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volatileDependencies.xml" ContentType="application/vnd.openxmlformats-officedocument.spreadsheetml.volatileDependenc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-120" yWindow="-120" windowWidth="29040" windowHeight="17640" tabRatio="739" activeTab="3"/>
  </bookViews>
  <sheets>
    <sheet name="雙比2元不限" sheetId="114" r:id="rId1"/>
    <sheet name="雙準單準15%季S" sheetId="74" r:id="rId2"/>
    <sheet name="TSE OTC全部" sheetId="57" r:id="rId3"/>
    <sheet name="看盤" sheetId="28" r:id="rId4"/>
    <sheet name="stock" sheetId="22" r:id="rId5"/>
    <sheet name="MEMO" sheetId="21" r:id="rId6"/>
    <sheet name="分類" sheetId="85" r:id="rId7"/>
    <sheet name="植物日記" sheetId="115" r:id="rId8"/>
  </sheets>
  <calcPr calcId="124519"/>
</workbook>
</file>

<file path=xl/calcChain.xml><?xml version="1.0" encoding="utf-8"?>
<calcChain xmlns="http://schemas.openxmlformats.org/spreadsheetml/2006/main">
  <c r="X14" i="74"/>
  <c r="X19" i="114"/>
  <c r="AE614" i="57"/>
  <c r="AJ614"/>
  <c r="W614"/>
  <c r="AI614" l="1"/>
  <c r="Y614"/>
  <c r="Z614" s="1"/>
  <c r="U614"/>
  <c r="N614"/>
  <c r="AE1520"/>
  <c r="AJ1520"/>
  <c r="W1520"/>
  <c r="AI1520" l="1"/>
  <c r="Y1520"/>
  <c r="Z1520" s="1"/>
  <c r="U1520"/>
  <c r="N1520"/>
  <c r="AE4" i="74"/>
  <c r="AJ4"/>
  <c r="W4"/>
  <c r="AI4" l="1"/>
  <c r="Y4"/>
  <c r="Z4" s="1"/>
  <c r="U4"/>
  <c r="N4"/>
  <c r="AE3"/>
  <c r="AJ3"/>
  <c r="W3"/>
  <c r="AI3" l="1"/>
  <c r="Y3"/>
  <c r="Z3" s="1"/>
  <c r="U3"/>
  <c r="N3"/>
  <c r="X39" i="114"/>
  <c r="W39"/>
  <c r="AE1217" i="57"/>
  <c r="AJ1217"/>
  <c r="W1217"/>
  <c r="AI1217" l="1"/>
  <c r="Y1217"/>
  <c r="Z1217" s="1"/>
  <c r="U1217"/>
  <c r="N1217"/>
  <c r="AE1752"/>
  <c r="AJ1752"/>
  <c r="W1752"/>
  <c r="AI1752" l="1"/>
  <c r="Y1752"/>
  <c r="Z1752" s="1"/>
  <c r="U1752"/>
  <c r="N1752"/>
  <c r="AE3" i="114"/>
  <c r="AJ3"/>
  <c r="W3"/>
  <c r="AI3" l="1"/>
  <c r="Y3"/>
  <c r="Z3" s="1"/>
  <c r="U3"/>
  <c r="N3"/>
  <c r="AE24"/>
  <c r="AJ24"/>
  <c r="AI24" l="1"/>
  <c r="Y24"/>
  <c r="Z24" s="1"/>
  <c r="U24"/>
  <c r="N24"/>
  <c r="AE1603" i="57"/>
  <c r="AJ1603"/>
  <c r="W1603"/>
  <c r="AI1603" l="1"/>
  <c r="Y1603"/>
  <c r="Z1603" s="1"/>
  <c r="U1603"/>
  <c r="N1603"/>
  <c r="AE741"/>
  <c r="AJ741"/>
  <c r="W741"/>
  <c r="AI741" l="1"/>
  <c r="Y741"/>
  <c r="Z741" s="1"/>
  <c r="U741"/>
  <c r="N741"/>
  <c r="AE57" i="28"/>
  <c r="AJ57"/>
  <c r="W57"/>
  <c r="AI57" l="1"/>
  <c r="Y57"/>
  <c r="Z57" s="1"/>
  <c r="U57"/>
  <c r="N57"/>
  <c r="AE56"/>
  <c r="AJ56"/>
  <c r="W56"/>
  <c r="AI56" l="1"/>
  <c r="Y56"/>
  <c r="Z56" s="1"/>
  <c r="U56"/>
  <c r="N56"/>
  <c r="AE275" i="57"/>
  <c r="AJ275"/>
  <c r="W275"/>
  <c r="AI275" l="1"/>
  <c r="Y275"/>
  <c r="Z275" s="1"/>
  <c r="U275"/>
  <c r="N275"/>
  <c r="AE25" i="114"/>
  <c r="AJ25"/>
  <c r="AI25" l="1"/>
  <c r="Y25"/>
  <c r="Z25" s="1"/>
  <c r="U25"/>
  <c r="N25"/>
  <c r="X33" i="74"/>
  <c r="W33"/>
  <c r="AE27" i="114" l="1"/>
  <c r="Y27" l="1"/>
  <c r="Z27" s="1"/>
  <c r="U27"/>
  <c r="N27"/>
  <c r="AE1290" i="57"/>
  <c r="AJ1290"/>
  <c r="W1290"/>
  <c r="AI1290" l="1"/>
  <c r="Y1290"/>
  <c r="Z1290" s="1"/>
  <c r="U1290"/>
  <c r="N1290"/>
  <c r="AE1528"/>
  <c r="AJ1528"/>
  <c r="W1528"/>
  <c r="AI1528" l="1"/>
  <c r="Y1528"/>
  <c r="Z1528" s="1"/>
  <c r="U1528"/>
  <c r="N1528"/>
  <c r="AE20" i="74" l="1"/>
  <c r="Y20" l="1"/>
  <c r="Z20" s="1"/>
  <c r="U20"/>
  <c r="N20"/>
  <c r="AE21" l="1"/>
  <c r="Y21" l="1"/>
  <c r="Z21" s="1"/>
  <c r="U21"/>
  <c r="N21"/>
  <c r="AE197" i="57"/>
  <c r="AJ197"/>
  <c r="W197"/>
  <c r="AI197" l="1"/>
  <c r="Y197"/>
  <c r="Z197" s="1"/>
  <c r="U197"/>
  <c r="N197"/>
  <c r="AE59" i="28"/>
  <c r="AJ59"/>
  <c r="W59"/>
  <c r="AI59" l="1"/>
  <c r="Y59"/>
  <c r="Z59" s="1"/>
  <c r="U59"/>
  <c r="N59"/>
  <c r="AE1549" i="57"/>
  <c r="AJ1549"/>
  <c r="W1549"/>
  <c r="AI1549" l="1"/>
  <c r="Y1549"/>
  <c r="Z1549" s="1"/>
  <c r="U1549"/>
  <c r="N1549"/>
  <c r="AE844"/>
  <c r="AJ844"/>
  <c r="W844"/>
  <c r="AI844" l="1"/>
  <c r="Y844"/>
  <c r="Z844" s="1"/>
  <c r="U844"/>
  <c r="N844"/>
  <c r="AE23" i="74"/>
  <c r="Y23" l="1"/>
  <c r="Z23" s="1"/>
  <c r="U23"/>
  <c r="N23"/>
  <c r="AE22"/>
  <c r="Y22" l="1"/>
  <c r="Z22" s="1"/>
  <c r="U22"/>
  <c r="N22"/>
  <c r="AE658" i="57"/>
  <c r="AJ658"/>
  <c r="W658"/>
  <c r="AI658" l="1"/>
  <c r="Y658"/>
  <c r="Z658" s="1"/>
  <c r="U658"/>
  <c r="N658"/>
  <c r="AE5" i="74"/>
  <c r="AJ5"/>
  <c r="W5"/>
  <c r="AI5" l="1"/>
  <c r="Y5"/>
  <c r="Z5" s="1"/>
  <c r="U5"/>
  <c r="N5"/>
  <c r="AE6"/>
  <c r="AJ6"/>
  <c r="W6"/>
  <c r="AI6" l="1"/>
  <c r="Y6"/>
  <c r="Z6" s="1"/>
  <c r="U6"/>
  <c r="N6"/>
  <c r="AE551" i="57"/>
  <c r="AJ551"/>
  <c r="W551"/>
  <c r="AI551" l="1"/>
  <c r="Y551"/>
  <c r="Z551" s="1"/>
  <c r="U551"/>
  <c r="N551"/>
  <c r="AE563"/>
  <c r="AJ563"/>
  <c r="W563"/>
  <c r="AI563" l="1"/>
  <c r="Y563"/>
  <c r="Z563" s="1"/>
  <c r="U563"/>
  <c r="N563"/>
  <c r="AE594"/>
  <c r="AJ594"/>
  <c r="W594"/>
  <c r="AI594" l="1"/>
  <c r="Y594"/>
  <c r="Z594" s="1"/>
  <c r="U594"/>
  <c r="N594"/>
  <c r="AE26" i="114"/>
  <c r="AJ26"/>
  <c r="AI26" l="1"/>
  <c r="Y26"/>
  <c r="Z26" s="1"/>
  <c r="U26"/>
  <c r="N26"/>
  <c r="AE5"/>
  <c r="AJ5"/>
  <c r="W5"/>
  <c r="AI5" l="1"/>
  <c r="Y5"/>
  <c r="Z5" s="1"/>
  <c r="U5"/>
  <c r="N5"/>
  <c r="AE4"/>
  <c r="AJ4"/>
  <c r="W4"/>
  <c r="AI4" l="1"/>
  <c r="Y4"/>
  <c r="Z4" s="1"/>
  <c r="U4"/>
  <c r="N4"/>
  <c r="AE214" i="57"/>
  <c r="AJ214"/>
  <c r="W214"/>
  <c r="AI214" l="1"/>
  <c r="Y214"/>
  <c r="Z214" s="1"/>
  <c r="U214"/>
  <c r="N214"/>
  <c r="AE1375"/>
  <c r="W1375"/>
  <c r="AJ1375"/>
  <c r="AI1375" l="1"/>
  <c r="Y1375"/>
  <c r="Z1375" s="1"/>
  <c r="U1375"/>
  <c r="N1375"/>
  <c r="AE600"/>
  <c r="AJ600"/>
  <c r="W600"/>
  <c r="AI600" l="1"/>
  <c r="Y600"/>
  <c r="Z600" s="1"/>
  <c r="U600"/>
  <c r="N600"/>
  <c r="AE1805"/>
  <c r="AJ1805"/>
  <c r="W1805"/>
  <c r="AI1805" l="1"/>
  <c r="Y1805"/>
  <c r="Z1805" s="1"/>
  <c r="U1805"/>
  <c r="N1805"/>
  <c r="AE60" i="28"/>
  <c r="W60"/>
  <c r="AJ60"/>
  <c r="AI60" l="1"/>
  <c r="Y60"/>
  <c r="Z60" s="1"/>
  <c r="U60"/>
  <c r="N60"/>
  <c r="AE61"/>
  <c r="AJ61"/>
  <c r="W61"/>
  <c r="AI61" l="1"/>
  <c r="Y61"/>
  <c r="Z61" s="1"/>
  <c r="U61"/>
  <c r="N61"/>
  <c r="AE63"/>
  <c r="W63"/>
  <c r="AJ63"/>
  <c r="AI63" l="1"/>
  <c r="Y63"/>
  <c r="Z63" s="1"/>
  <c r="U63"/>
  <c r="N63"/>
  <c r="AE64"/>
  <c r="AJ64"/>
  <c r="W64"/>
  <c r="AI64" l="1"/>
  <c r="Y64"/>
  <c r="Z64" s="1"/>
  <c r="U64"/>
  <c r="N64"/>
  <c r="AJ398" i="57"/>
  <c r="AI398" l="1"/>
  <c r="N398"/>
  <c r="AE12" i="74"/>
  <c r="AE650" i="57"/>
  <c r="AJ650"/>
  <c r="W650"/>
  <c r="AI650" l="1"/>
  <c r="Y650"/>
  <c r="Z650" s="1"/>
  <c r="U650"/>
  <c r="N650"/>
  <c r="AE536" l="1"/>
  <c r="AJ536"/>
  <c r="W536"/>
  <c r="AI536" l="1"/>
  <c r="Y536"/>
  <c r="Z536" s="1"/>
  <c r="U536"/>
  <c r="N536"/>
  <c r="AE8" i="74"/>
  <c r="AJ8"/>
  <c r="W8"/>
  <c r="AI8" l="1"/>
  <c r="Y8"/>
  <c r="Z8" s="1"/>
  <c r="U8"/>
  <c r="N8"/>
  <c r="AE7"/>
  <c r="AJ7"/>
  <c r="W7"/>
  <c r="AI7" l="1"/>
  <c r="Y7"/>
  <c r="Z7" s="1"/>
  <c r="U7"/>
  <c r="N7"/>
  <c r="AE19"/>
  <c r="Y19" l="1"/>
  <c r="Z19" s="1"/>
  <c r="U19"/>
  <c r="N19"/>
  <c r="AE628" i="57" l="1"/>
  <c r="AJ628"/>
  <c r="W628"/>
  <c r="AI628" l="1"/>
  <c r="Y628"/>
  <c r="Z628" s="1"/>
  <c r="U628"/>
  <c r="N628"/>
  <c r="AE7" i="114"/>
  <c r="AJ7"/>
  <c r="W7"/>
  <c r="AI7" l="1"/>
  <c r="Y7"/>
  <c r="Z7" s="1"/>
  <c r="U7"/>
  <c r="N7"/>
  <c r="AE6"/>
  <c r="AJ6"/>
  <c r="W6"/>
  <c r="AI6" l="1"/>
  <c r="Y6"/>
  <c r="Z6" s="1"/>
  <c r="U6"/>
  <c r="N6"/>
  <c r="X88" i="74"/>
  <c r="AE9"/>
  <c r="AJ9"/>
  <c r="W9"/>
  <c r="W70" i="28"/>
  <c r="AI9" i="74" l="1"/>
  <c r="Y9"/>
  <c r="Z9" s="1"/>
  <c r="U9"/>
  <c r="N9"/>
  <c r="AE24"/>
  <c r="Y24" l="1"/>
  <c r="Z24" s="1"/>
  <c r="U24"/>
  <c r="N24"/>
  <c r="AE570" i="57" l="1"/>
  <c r="AJ570"/>
  <c r="W570"/>
  <c r="AI570" l="1"/>
  <c r="Y570"/>
  <c r="Z570" s="1"/>
  <c r="U570"/>
  <c r="N570"/>
  <c r="AE8" i="114"/>
  <c r="AJ8"/>
  <c r="W8"/>
  <c r="AI8" l="1"/>
  <c r="Y8"/>
  <c r="Z8" s="1"/>
  <c r="U8"/>
  <c r="N8"/>
  <c r="AE28"/>
  <c r="Y28" l="1"/>
  <c r="Z28" s="1"/>
  <c r="U28"/>
  <c r="N28"/>
  <c r="AE552" i="57"/>
  <c r="AJ552"/>
  <c r="W552"/>
  <c r="AI552" l="1"/>
  <c r="Y552"/>
  <c r="Z552" s="1"/>
  <c r="U552"/>
  <c r="N552"/>
  <c r="AE1395"/>
  <c r="AJ1395"/>
  <c r="W1395"/>
  <c r="AI1395" l="1"/>
  <c r="Y1395"/>
  <c r="Z1395" s="1"/>
  <c r="U1395"/>
  <c r="N1395"/>
  <c r="AE1280"/>
  <c r="AJ1280"/>
  <c r="W1280"/>
  <c r="AI1280" l="1"/>
  <c r="Y1280"/>
  <c r="Z1280" s="1"/>
  <c r="U1280"/>
  <c r="N1280"/>
  <c r="AE27" i="74"/>
  <c r="Y27" l="1"/>
  <c r="Z27" s="1"/>
  <c r="U27"/>
  <c r="N27"/>
  <c r="AE29" i="114" l="1"/>
  <c r="Y29" l="1"/>
  <c r="Z29" s="1"/>
  <c r="U29"/>
  <c r="N29"/>
  <c r="K12" i="21"/>
  <c r="N12" s="1"/>
  <c r="M12"/>
  <c r="X151" i="22"/>
  <c r="AE150"/>
  <c r="X150"/>
  <c r="L12" i="21" l="1"/>
  <c r="Y33" i="74"/>
  <c r="Z33" s="1"/>
  <c r="AB33"/>
  <c r="Y150" i="22"/>
  <c r="Z150" s="1"/>
  <c r="W151"/>
  <c r="N150"/>
  <c r="AC33" i="74" l="1"/>
  <c r="Y151" i="22"/>
  <c r="AB151"/>
  <c r="F2" i="115"/>
  <c r="F3"/>
  <c r="Z151" i="22" l="1"/>
  <c r="AC151"/>
  <c r="AE1107" i="57" l="1"/>
  <c r="AJ1107"/>
  <c r="W1107"/>
  <c r="AI1107" l="1"/>
  <c r="Y1107"/>
  <c r="Z1107" s="1"/>
  <c r="U1107"/>
  <c r="N1107"/>
  <c r="AE29" i="74" l="1"/>
  <c r="Y29" l="1"/>
  <c r="Z29" s="1"/>
  <c r="U29"/>
  <c r="N29"/>
  <c r="AE28"/>
  <c r="Y28" l="1"/>
  <c r="Z28" s="1"/>
  <c r="U28"/>
  <c r="N28"/>
  <c r="AE643" i="57" l="1"/>
  <c r="AJ643"/>
  <c r="W643"/>
  <c r="AI643" l="1"/>
  <c r="Y643"/>
  <c r="Z643" s="1"/>
  <c r="U643"/>
  <c r="N643"/>
  <c r="AE513"/>
  <c r="AJ513"/>
  <c r="W513"/>
  <c r="AI513" l="1"/>
  <c r="Y513"/>
  <c r="Z513" s="1"/>
  <c r="U513"/>
  <c r="N513"/>
  <c r="AE555"/>
  <c r="AJ555"/>
  <c r="W555"/>
  <c r="AI555" l="1"/>
  <c r="Y555"/>
  <c r="Z555" s="1"/>
  <c r="U555"/>
  <c r="N555"/>
  <c r="AE10" i="114" l="1"/>
  <c r="AJ10"/>
  <c r="W10"/>
  <c r="AI10" l="1"/>
  <c r="Y10"/>
  <c r="Z10" s="1"/>
  <c r="U10"/>
  <c r="N10"/>
  <c r="AE9"/>
  <c r="AJ9"/>
  <c r="W9"/>
  <c r="AI9" l="1"/>
  <c r="Y9"/>
  <c r="Z9" s="1"/>
  <c r="U9"/>
  <c r="N9"/>
  <c r="W77" i="74" l="1"/>
  <c r="X61"/>
  <c r="W61"/>
  <c r="AE1063" i="57" l="1"/>
  <c r="W1063"/>
  <c r="AJ1063"/>
  <c r="AI1063" l="1"/>
  <c r="Y1063"/>
  <c r="Z1063" s="1"/>
  <c r="U1063"/>
  <c r="N1063"/>
  <c r="AE35" i="74"/>
  <c r="Y35" l="1"/>
  <c r="Z35" s="1"/>
  <c r="U35"/>
  <c r="N35"/>
  <c r="J15" i="21" l="1"/>
  <c r="I15"/>
  <c r="X155" i="22"/>
  <c r="W155"/>
  <c r="AE154"/>
  <c r="Y154"/>
  <c r="Z154" s="1"/>
  <c r="S154"/>
  <c r="N154"/>
  <c r="Y155" l="1"/>
  <c r="Z155" s="1"/>
  <c r="AB155"/>
  <c r="AE561" i="57"/>
  <c r="AJ561"/>
  <c r="W561"/>
  <c r="AC155" i="22" l="1"/>
  <c r="AI561" i="57"/>
  <c r="Y561"/>
  <c r="Z561" s="1"/>
  <c r="U561"/>
  <c r="N561"/>
  <c r="AE36" i="74" l="1"/>
  <c r="Y36" l="1"/>
  <c r="Z36" s="1"/>
  <c r="U36"/>
  <c r="N36"/>
  <c r="AE31"/>
  <c r="Y31" l="1"/>
  <c r="Z31" s="1"/>
  <c r="U31"/>
  <c r="N31"/>
  <c r="AE1743" i="57"/>
  <c r="W1743"/>
  <c r="AJ1743"/>
  <c r="AI1743" l="1"/>
  <c r="Y1743"/>
  <c r="Z1743" s="1"/>
  <c r="U1743"/>
  <c r="N1743"/>
  <c r="AE1223"/>
  <c r="AJ1223"/>
  <c r="W1223"/>
  <c r="AI1223" l="1"/>
  <c r="Y1223"/>
  <c r="Z1223" s="1"/>
  <c r="U1223"/>
  <c r="N1223"/>
  <c r="AE36" i="114" l="1"/>
  <c r="Y36" l="1"/>
  <c r="Z36" s="1"/>
  <c r="U36"/>
  <c r="N36"/>
  <c r="AE41"/>
  <c r="Y41" l="1"/>
  <c r="Z41" s="1"/>
  <c r="U41"/>
  <c r="N41"/>
  <c r="AE42"/>
  <c r="Y42" l="1"/>
  <c r="Z42" s="1"/>
  <c r="U42"/>
  <c r="N42"/>
  <c r="AE38"/>
  <c r="Y38" l="1"/>
  <c r="Z38" s="1"/>
  <c r="U38"/>
  <c r="N38"/>
  <c r="AE1298" i="57"/>
  <c r="AJ1298"/>
  <c r="W1298"/>
  <c r="AI1298" l="1"/>
  <c r="Y1298"/>
  <c r="Z1298" s="1"/>
  <c r="U1298"/>
  <c r="N1298"/>
  <c r="AE929"/>
  <c r="AJ929"/>
  <c r="W929"/>
  <c r="AI929" l="1"/>
  <c r="Y929"/>
  <c r="Z929" s="1"/>
  <c r="U929"/>
  <c r="N929"/>
  <c r="AE66" i="28"/>
  <c r="AJ66"/>
  <c r="W66"/>
  <c r="AI66" l="1"/>
  <c r="Y66"/>
  <c r="Z66" s="1"/>
  <c r="U66"/>
  <c r="N66"/>
  <c r="AE65"/>
  <c r="AJ65"/>
  <c r="W65"/>
  <c r="AI65" l="1"/>
  <c r="Y65"/>
  <c r="Z65" s="1"/>
  <c r="U65"/>
  <c r="N65"/>
  <c r="AE278" i="57" l="1"/>
  <c r="AJ278"/>
  <c r="W278"/>
  <c r="AI278" l="1"/>
  <c r="Y278"/>
  <c r="Z278" s="1"/>
  <c r="U278"/>
  <c r="N278"/>
  <c r="AE37" i="74"/>
  <c r="Y37" l="1"/>
  <c r="Z37" s="1"/>
  <c r="U37"/>
  <c r="N37"/>
  <c r="AE348" i="57" l="1"/>
  <c r="W348"/>
  <c r="AJ348"/>
  <c r="AI348" l="1"/>
  <c r="Y348"/>
  <c r="Z348" s="1"/>
  <c r="U348"/>
  <c r="N348"/>
  <c r="AE32" i="74"/>
  <c r="Y32" l="1"/>
  <c r="Z32" s="1"/>
  <c r="U32"/>
  <c r="N32"/>
  <c r="AE34" i="114" l="1"/>
  <c r="Y34" l="1"/>
  <c r="Z34" s="1"/>
  <c r="U34"/>
  <c r="N34"/>
  <c r="W164" i="22"/>
  <c r="K13" i="21"/>
  <c r="L13" s="1"/>
  <c r="M13"/>
  <c r="F4" i="115"/>
  <c r="F5"/>
  <c r="F6"/>
  <c r="F7"/>
  <c r="F8"/>
  <c r="F9"/>
  <c r="N13" i="21" l="1"/>
  <c r="AE38" i="74" l="1"/>
  <c r="Y38" l="1"/>
  <c r="Z38" s="1"/>
  <c r="U38"/>
  <c r="N38"/>
  <c r="AE26"/>
  <c r="Y26" l="1"/>
  <c r="Z26" s="1"/>
  <c r="U26"/>
  <c r="N26"/>
  <c r="AE30"/>
  <c r="Y30" l="1"/>
  <c r="Z30" s="1"/>
  <c r="U30"/>
  <c r="N30"/>
  <c r="AE10"/>
  <c r="AJ10"/>
  <c r="W10"/>
  <c r="AI10" l="1"/>
  <c r="Y10"/>
  <c r="Z10" s="1"/>
  <c r="U10"/>
  <c r="N10"/>
  <c r="AE1040" i="57" l="1"/>
  <c r="AJ1040"/>
  <c r="W1040"/>
  <c r="AI1040" l="1"/>
  <c r="Y1040"/>
  <c r="Z1040" s="1"/>
  <c r="U1040"/>
  <c r="N1040"/>
  <c r="AE1714" l="1"/>
  <c r="AJ1714"/>
  <c r="W1714"/>
  <c r="AI1714" l="1"/>
  <c r="Y1714"/>
  <c r="Z1714" s="1"/>
  <c r="U1714"/>
  <c r="N1714"/>
  <c r="AE30" i="114"/>
  <c r="Y30" l="1"/>
  <c r="Z30" s="1"/>
  <c r="U30"/>
  <c r="N30"/>
  <c r="AE11" l="1"/>
  <c r="AJ11"/>
  <c r="W11"/>
  <c r="AI11" l="1"/>
  <c r="Y11"/>
  <c r="Z11" s="1"/>
  <c r="U11"/>
  <c r="N11"/>
  <c r="X69" l="1"/>
  <c r="W69"/>
  <c r="Y43"/>
  <c r="AE694" i="57"/>
  <c r="AJ694"/>
  <c r="W694"/>
  <c r="AI694" l="1"/>
  <c r="Y694"/>
  <c r="Z694" s="1"/>
  <c r="U694"/>
  <c r="N694"/>
  <c r="AE382"/>
  <c r="AJ382"/>
  <c r="W382"/>
  <c r="AI382" l="1"/>
  <c r="Y382"/>
  <c r="Z382" s="1"/>
  <c r="U382"/>
  <c r="N382"/>
  <c r="AE40" i="74"/>
  <c r="Y40" l="1"/>
  <c r="Z40" s="1"/>
  <c r="U40"/>
  <c r="N40"/>
  <c r="AE43" i="114"/>
  <c r="Z43" l="1"/>
  <c r="U43"/>
  <c r="N43"/>
  <c r="W12" i="74"/>
  <c r="W35" i="57"/>
  <c r="AE39" i="74" l="1"/>
  <c r="Y39" l="1"/>
  <c r="Z39" s="1"/>
  <c r="U39"/>
  <c r="N39"/>
  <c r="AE41"/>
  <c r="Y41" l="1"/>
  <c r="Z41" s="1"/>
  <c r="U41"/>
  <c r="N41"/>
  <c r="AE580" i="57" l="1"/>
  <c r="AJ580"/>
  <c r="W580"/>
  <c r="AI580" l="1"/>
  <c r="Y580"/>
  <c r="Z580" s="1"/>
  <c r="U580"/>
  <c r="N580"/>
  <c r="AE44" i="114"/>
  <c r="Y44" l="1"/>
  <c r="Z44" s="1"/>
  <c r="U44"/>
  <c r="N44"/>
  <c r="AE32"/>
  <c r="Y32" l="1"/>
  <c r="Z32" s="1"/>
  <c r="U32"/>
  <c r="N32"/>
  <c r="AE1539" i="57" l="1"/>
  <c r="AJ1539"/>
  <c r="W1539"/>
  <c r="AI1539" l="1"/>
  <c r="Y1539"/>
  <c r="Z1539" s="1"/>
  <c r="U1539"/>
  <c r="N1539"/>
  <c r="AE1199"/>
  <c r="AJ1199"/>
  <c r="W1199"/>
  <c r="AI1199" l="1"/>
  <c r="Y1199"/>
  <c r="Z1199" s="1"/>
  <c r="U1199"/>
  <c r="N1199"/>
  <c r="AE672"/>
  <c r="AJ672"/>
  <c r="W672"/>
  <c r="AI672" l="1"/>
  <c r="Y672"/>
  <c r="Z672" s="1"/>
  <c r="U672"/>
  <c r="N672"/>
  <c r="AE72" i="28"/>
  <c r="AJ72"/>
  <c r="AI72" l="1"/>
  <c r="Y72"/>
  <c r="Z72" s="1"/>
  <c r="U72"/>
  <c r="N72"/>
  <c r="AE69"/>
  <c r="AJ69"/>
  <c r="W69"/>
  <c r="AI69" l="1"/>
  <c r="Y69"/>
  <c r="Z69" s="1"/>
  <c r="U69"/>
  <c r="N69"/>
  <c r="AE68"/>
  <c r="AJ68"/>
  <c r="W68"/>
  <c r="AI68" l="1"/>
  <c r="Y68"/>
  <c r="Z68" s="1"/>
  <c r="U68"/>
  <c r="N68"/>
  <c r="AE652" i="57"/>
  <c r="AJ652"/>
  <c r="W652"/>
  <c r="AI652" l="1"/>
  <c r="Y652"/>
  <c r="Z652" s="1"/>
  <c r="U652"/>
  <c r="N652"/>
  <c r="AE44" i="74"/>
  <c r="Y44" l="1"/>
  <c r="Z44" s="1"/>
  <c r="U44"/>
  <c r="N44"/>
  <c r="AE46" i="114" l="1"/>
  <c r="Y46" l="1"/>
  <c r="Z46" s="1"/>
  <c r="U46"/>
  <c r="N46"/>
  <c r="AE45"/>
  <c r="Y45" l="1"/>
  <c r="Z45" s="1"/>
  <c r="U45"/>
  <c r="N45"/>
  <c r="AE109" i="57" l="1"/>
  <c r="AJ109"/>
  <c r="W109"/>
  <c r="AI109" l="1"/>
  <c r="Y109"/>
  <c r="Z109" s="1"/>
  <c r="U109"/>
  <c r="N109"/>
  <c r="AJ37" i="28"/>
  <c r="W37"/>
  <c r="AI37" l="1"/>
  <c r="AG37"/>
  <c r="Y37"/>
  <c r="Z37" s="1"/>
  <c r="U37"/>
  <c r="N37"/>
  <c r="AE648" i="57"/>
  <c r="AJ648"/>
  <c r="W648"/>
  <c r="AI648" l="1"/>
  <c r="Y648"/>
  <c r="Z648" s="1"/>
  <c r="U648"/>
  <c r="N648"/>
  <c r="AE12" i="114" l="1"/>
  <c r="AJ12"/>
  <c r="W12"/>
  <c r="AI12" l="1"/>
  <c r="Y12"/>
  <c r="Z12" s="1"/>
  <c r="U12"/>
  <c r="N12"/>
  <c r="AE813" i="57"/>
  <c r="AJ813"/>
  <c r="W813"/>
  <c r="AI813" l="1"/>
  <c r="Y813"/>
  <c r="Z813" s="1"/>
  <c r="U813"/>
  <c r="N813"/>
  <c r="AE70" i="28"/>
  <c r="Y70" l="1"/>
  <c r="Z70" s="1"/>
  <c r="U70"/>
  <c r="N70"/>
  <c r="AE47" i="74" l="1"/>
  <c r="Y47" l="1"/>
  <c r="Z47" s="1"/>
  <c r="U47"/>
  <c r="N47"/>
  <c r="AE587" i="57" l="1"/>
  <c r="W587"/>
  <c r="AJ587"/>
  <c r="AI587" l="1"/>
  <c r="Y587"/>
  <c r="Z587" s="1"/>
  <c r="U587"/>
  <c r="N587"/>
  <c r="AE37" i="114" l="1"/>
  <c r="Y37" l="1"/>
  <c r="Z37" s="1"/>
  <c r="U37"/>
  <c r="N37"/>
  <c r="AE52"/>
  <c r="Y52" l="1"/>
  <c r="Z52" s="1"/>
  <c r="U52"/>
  <c r="N52"/>
  <c r="AE51"/>
  <c r="Y51" l="1"/>
  <c r="Z51" s="1"/>
  <c r="U51"/>
  <c r="N51"/>
  <c r="AE47"/>
  <c r="Y47" l="1"/>
  <c r="Z47" s="1"/>
  <c r="U47"/>
  <c r="N47"/>
  <c r="AE45" i="74"/>
  <c r="Y45" l="1"/>
  <c r="Z45" s="1"/>
  <c r="U45"/>
  <c r="N45"/>
  <c r="AE53" i="114" l="1"/>
  <c r="Y53" l="1"/>
  <c r="Z53" s="1"/>
  <c r="U53"/>
  <c r="N53"/>
  <c r="AE49"/>
  <c r="Y49" l="1"/>
  <c r="Z49" s="1"/>
  <c r="U49"/>
  <c r="N49"/>
  <c r="N48"/>
  <c r="U48" l="1"/>
  <c r="Y48"/>
  <c r="Z48" s="1"/>
  <c r="AE48"/>
  <c r="AE42" i="74" l="1"/>
  <c r="Y42" l="1"/>
  <c r="Z42" s="1"/>
  <c r="U42"/>
  <c r="N42"/>
  <c r="AE48"/>
  <c r="Y48" l="1"/>
  <c r="Z48" s="1"/>
  <c r="U48"/>
  <c r="N48"/>
  <c r="AE46"/>
  <c r="Y46" l="1"/>
  <c r="Z46" s="1"/>
  <c r="U46"/>
  <c r="N46"/>
  <c r="AE25"/>
  <c r="Y25" l="1"/>
  <c r="Z25" s="1"/>
  <c r="U25"/>
  <c r="N25"/>
  <c r="AE11"/>
  <c r="AJ11"/>
  <c r="W11"/>
  <c r="AI11" l="1"/>
  <c r="Y11"/>
  <c r="Z11" s="1"/>
  <c r="U11"/>
  <c r="N11"/>
  <c r="AE646" i="57"/>
  <c r="AJ646"/>
  <c r="W646"/>
  <c r="AI646" l="1"/>
  <c r="Y646"/>
  <c r="Z646" s="1"/>
  <c r="U646"/>
  <c r="N646"/>
  <c r="AE916" l="1"/>
  <c r="AJ916"/>
  <c r="W916"/>
  <c r="AI916" l="1"/>
  <c r="Y916"/>
  <c r="Z916" s="1"/>
  <c r="U916"/>
  <c r="N916"/>
  <c r="AE905"/>
  <c r="AJ905"/>
  <c r="W905"/>
  <c r="AI905" l="1"/>
  <c r="Y905"/>
  <c r="Z905" s="1"/>
  <c r="U905"/>
  <c r="N905"/>
  <c r="AE1126"/>
  <c r="AJ1126"/>
  <c r="W1126"/>
  <c r="AI1126" l="1"/>
  <c r="Y1126"/>
  <c r="Z1126" s="1"/>
  <c r="U1126"/>
  <c r="N1126"/>
  <c r="AE959" l="1"/>
  <c r="AJ959"/>
  <c r="W959"/>
  <c r="AI959" l="1"/>
  <c r="Y959"/>
  <c r="Z959" s="1"/>
  <c r="U959"/>
  <c r="N959"/>
  <c r="AE50" i="114" l="1"/>
  <c r="Y50" l="1"/>
  <c r="Z50" s="1"/>
  <c r="U50"/>
  <c r="N50"/>
  <c r="AE17"/>
  <c r="AJ17"/>
  <c r="W17"/>
  <c r="AI17" l="1"/>
  <c r="Y17"/>
  <c r="Z17" s="1"/>
  <c r="U17"/>
  <c r="N17"/>
  <c r="AE33"/>
  <c r="Y33" l="1"/>
  <c r="Z33" s="1"/>
  <c r="U33"/>
  <c r="N33"/>
  <c r="AE54"/>
  <c r="Y54" l="1"/>
  <c r="Z54" s="1"/>
  <c r="U54"/>
  <c r="N54"/>
  <c r="AE16"/>
  <c r="AJ16"/>
  <c r="W16"/>
  <c r="AI16" l="1"/>
  <c r="Y16"/>
  <c r="Z16" s="1"/>
  <c r="U16"/>
  <c r="N16"/>
  <c r="AE15"/>
  <c r="AJ15"/>
  <c r="W15"/>
  <c r="AI15" l="1"/>
  <c r="Y15"/>
  <c r="Z15" s="1"/>
  <c r="U15"/>
  <c r="N15"/>
  <c r="AE14"/>
  <c r="AJ14"/>
  <c r="W14"/>
  <c r="AI14" l="1"/>
  <c r="Y14"/>
  <c r="Z14" s="1"/>
  <c r="U14"/>
  <c r="N14"/>
  <c r="AE13" l="1"/>
  <c r="AJ13"/>
  <c r="W13"/>
  <c r="AI13" l="1"/>
  <c r="Y13"/>
  <c r="Z13" s="1"/>
  <c r="U13"/>
  <c r="N13"/>
  <c r="AE676" i="57" l="1"/>
  <c r="AJ676"/>
  <c r="W676"/>
  <c r="AI676" l="1"/>
  <c r="Y676"/>
  <c r="Z676" s="1"/>
  <c r="U676"/>
  <c r="N676"/>
  <c r="AE43" i="74"/>
  <c r="Y43" l="1"/>
  <c r="Z43" s="1"/>
  <c r="U43"/>
  <c r="N43"/>
  <c r="AE1173" i="57"/>
  <c r="AJ1173"/>
  <c r="W1173"/>
  <c r="AI1173" l="1"/>
  <c r="Y1173"/>
  <c r="Z1173" s="1"/>
  <c r="U1173"/>
  <c r="N1173"/>
  <c r="AE961" l="1"/>
  <c r="AJ961"/>
  <c r="W961"/>
  <c r="AI961" l="1"/>
  <c r="Y961"/>
  <c r="Z961" s="1"/>
  <c r="U961"/>
  <c r="N961"/>
  <c r="AE58" i="114" l="1"/>
  <c r="Y58" l="1"/>
  <c r="Z58" s="1"/>
  <c r="U58"/>
  <c r="N58"/>
  <c r="AE56" l="1"/>
  <c r="Y56" l="1"/>
  <c r="Z56" s="1"/>
  <c r="U56"/>
  <c r="N56"/>
  <c r="AE57"/>
  <c r="Y57" l="1"/>
  <c r="Z57" s="1"/>
  <c r="U57"/>
  <c r="N57"/>
  <c r="AE55"/>
  <c r="Y55" l="1"/>
  <c r="Z55" s="1"/>
  <c r="U55"/>
  <c r="N55"/>
  <c r="AJ35" i="57"/>
  <c r="AI35" l="1"/>
  <c r="Y35"/>
  <c r="U35"/>
  <c r="N35"/>
  <c r="AJ12" i="74"/>
  <c r="AI12" l="1"/>
  <c r="Y12"/>
  <c r="Z12" s="1"/>
  <c r="U12"/>
  <c r="N12"/>
  <c r="AE265" i="57" l="1"/>
  <c r="AJ265"/>
  <c r="W265"/>
  <c r="AI265" l="1"/>
  <c r="Y265"/>
  <c r="Z265" s="1"/>
  <c r="U265"/>
  <c r="N265"/>
  <c r="AE13" i="74" l="1"/>
  <c r="AJ13"/>
  <c r="W13"/>
  <c r="W14" l="1"/>
  <c r="AI13"/>
  <c r="Y13"/>
  <c r="Z13" s="1"/>
  <c r="U13"/>
  <c r="N13"/>
  <c r="AE50"/>
  <c r="AB14" l="1"/>
  <c r="Y14"/>
  <c r="Y50"/>
  <c r="Z50" s="1"/>
  <c r="U50"/>
  <c r="N50"/>
  <c r="Z14" l="1"/>
  <c r="AC14"/>
  <c r="AE1104" i="57"/>
  <c r="AJ1104"/>
  <c r="W1104"/>
  <c r="AI1104" l="1"/>
  <c r="Y1104"/>
  <c r="Z1104" s="1"/>
  <c r="U1104"/>
  <c r="N1104"/>
  <c r="AE1076" l="1"/>
  <c r="AJ1076"/>
  <c r="W1076"/>
  <c r="AI1076" l="1"/>
  <c r="Y1076"/>
  <c r="Z1076" s="1"/>
  <c r="U1076"/>
  <c r="N1076"/>
  <c r="AE63" i="114" l="1"/>
  <c r="Y63" l="1"/>
  <c r="Z63" s="1"/>
  <c r="U63"/>
  <c r="N63"/>
  <c r="AE62"/>
  <c r="Y62" l="1"/>
  <c r="Z62" s="1"/>
  <c r="U62"/>
  <c r="N62"/>
  <c r="AE61"/>
  <c r="Y61" l="1"/>
  <c r="Z61" s="1"/>
  <c r="U61"/>
  <c r="N61"/>
  <c r="AE31"/>
  <c r="Y31" l="1"/>
  <c r="Z31" s="1"/>
  <c r="U31"/>
  <c r="N31"/>
  <c r="AE18"/>
  <c r="W18"/>
  <c r="AJ18"/>
  <c r="W19" l="1"/>
  <c r="AI18"/>
  <c r="Y18"/>
  <c r="Z18" s="1"/>
  <c r="U18"/>
  <c r="N18"/>
  <c r="AE35"/>
  <c r="Y35" l="1"/>
  <c r="Z35" s="1"/>
  <c r="U35"/>
  <c r="N35"/>
  <c r="AE60"/>
  <c r="Y39" l="1"/>
  <c r="AB39"/>
  <c r="Y60"/>
  <c r="Z60" s="1"/>
  <c r="U60"/>
  <c r="N60"/>
  <c r="AE398" i="57"/>
  <c r="W398"/>
  <c r="U398" l="1"/>
  <c r="AC39" i="114"/>
  <c r="Z39"/>
  <c r="Y398" i="57"/>
  <c r="Z398" s="1"/>
  <c r="AE76" i="28" l="1"/>
  <c r="Y76" l="1"/>
  <c r="Z76" s="1"/>
  <c r="U76"/>
  <c r="N76"/>
  <c r="N467" i="57"/>
  <c r="N881"/>
  <c r="N1811"/>
  <c r="AE57" i="74" l="1"/>
  <c r="Y57" l="1"/>
  <c r="Z57" s="1"/>
  <c r="U57"/>
  <c r="N57"/>
  <c r="AE56"/>
  <c r="Y56" l="1"/>
  <c r="Z56" s="1"/>
  <c r="U56"/>
  <c r="N56"/>
  <c r="AE49"/>
  <c r="Y49" l="1"/>
  <c r="Z49" s="1"/>
  <c r="U49"/>
  <c r="N49"/>
  <c r="X77" l="1"/>
  <c r="X73" i="114"/>
  <c r="W73"/>
  <c r="N71"/>
  <c r="U71"/>
  <c r="Y71"/>
  <c r="Z71" s="1"/>
  <c r="AE71"/>
  <c r="N72"/>
  <c r="U72"/>
  <c r="Y72"/>
  <c r="Z72" s="1"/>
  <c r="AE72"/>
  <c r="AE75" i="74"/>
  <c r="Y75"/>
  <c r="Z75" s="1"/>
  <c r="U75"/>
  <c r="N75"/>
  <c r="AE74"/>
  <c r="Y74"/>
  <c r="Z74" s="1"/>
  <c r="U74"/>
  <c r="N74"/>
  <c r="AE73"/>
  <c r="Y73"/>
  <c r="Z73" s="1"/>
  <c r="U73"/>
  <c r="N73"/>
  <c r="AE72"/>
  <c r="Y72"/>
  <c r="Z72" s="1"/>
  <c r="U72"/>
  <c r="N72"/>
  <c r="AE71"/>
  <c r="Y71"/>
  <c r="Z71" s="1"/>
  <c r="U71"/>
  <c r="N71"/>
  <c r="AE70"/>
  <c r="Y70"/>
  <c r="Z70" s="1"/>
  <c r="U70"/>
  <c r="N70"/>
  <c r="AE69"/>
  <c r="Y69"/>
  <c r="Z69" s="1"/>
  <c r="U69"/>
  <c r="N69"/>
  <c r="AE68"/>
  <c r="Y68"/>
  <c r="Z68" s="1"/>
  <c r="U68"/>
  <c r="N68"/>
  <c r="AE67"/>
  <c r="Y67"/>
  <c r="Z67" s="1"/>
  <c r="U67"/>
  <c r="N67"/>
  <c r="AE66"/>
  <c r="Y66"/>
  <c r="Z66" s="1"/>
  <c r="U66"/>
  <c r="N66"/>
  <c r="AE65"/>
  <c r="Y65"/>
  <c r="Z65" s="1"/>
  <c r="U65"/>
  <c r="N65"/>
  <c r="AE64"/>
  <c r="Y64"/>
  <c r="Z64" s="1"/>
  <c r="U64"/>
  <c r="N64"/>
  <c r="AE63"/>
  <c r="Y63"/>
  <c r="Z63" s="1"/>
  <c r="U63"/>
  <c r="N63"/>
  <c r="AE64" i="114"/>
  <c r="Y64" l="1"/>
  <c r="Z64" s="1"/>
  <c r="U64"/>
  <c r="N64"/>
  <c r="AE68"/>
  <c r="Y68" l="1"/>
  <c r="Z68" s="1"/>
  <c r="U68"/>
  <c r="N68"/>
  <c r="AE84" i="74"/>
  <c r="AJ84"/>
  <c r="W84"/>
  <c r="Y69" i="114" l="1"/>
  <c r="AB69"/>
  <c r="AI84" i="74"/>
  <c r="Y84"/>
  <c r="Z84" s="1"/>
  <c r="U84"/>
  <c r="N84"/>
  <c r="AE83"/>
  <c r="AJ83"/>
  <c r="W83"/>
  <c r="AC69" i="114" l="1"/>
  <c r="Z69"/>
  <c r="AI83" i="74"/>
  <c r="Y83"/>
  <c r="Z83" s="1"/>
  <c r="U83"/>
  <c r="N83"/>
  <c r="AE82"/>
  <c r="AJ82"/>
  <c r="W82"/>
  <c r="AI82" l="1"/>
  <c r="Y82"/>
  <c r="Z82" s="1"/>
  <c r="U82"/>
  <c r="N82"/>
  <c r="AE81"/>
  <c r="AJ81"/>
  <c r="W81"/>
  <c r="AI81" l="1"/>
  <c r="Y81"/>
  <c r="Z81" s="1"/>
  <c r="U81"/>
  <c r="N81"/>
  <c r="AE80" l="1"/>
  <c r="AJ80"/>
  <c r="W80"/>
  <c r="AI80" l="1"/>
  <c r="Y80"/>
  <c r="Z80" s="1"/>
  <c r="U80"/>
  <c r="N80"/>
  <c r="AE79"/>
  <c r="AJ79"/>
  <c r="W79"/>
  <c r="AI79" l="1"/>
  <c r="Y79"/>
  <c r="Z79" s="1"/>
  <c r="U79"/>
  <c r="N79"/>
  <c r="AE52"/>
  <c r="Y52" l="1"/>
  <c r="Z52" s="1"/>
  <c r="U52"/>
  <c r="N52"/>
  <c r="AE51"/>
  <c r="Y51" l="1"/>
  <c r="Z51" s="1"/>
  <c r="U51"/>
  <c r="N51"/>
  <c r="AE55"/>
  <c r="Y55" l="1"/>
  <c r="Z55" s="1"/>
  <c r="U55"/>
  <c r="N55"/>
  <c r="AE59" l="1"/>
  <c r="Y59" l="1"/>
  <c r="Z59" s="1"/>
  <c r="U59"/>
  <c r="N59"/>
  <c r="AE58"/>
  <c r="Y58" l="1"/>
  <c r="Z58" s="1"/>
  <c r="U58"/>
  <c r="N58"/>
  <c r="AE1403" i="57" l="1"/>
  <c r="AJ1403"/>
  <c r="W1403"/>
  <c r="AI1403" l="1"/>
  <c r="Y1403"/>
  <c r="Z1403" s="1"/>
  <c r="U1403"/>
  <c r="N1403"/>
  <c r="AE59" i="114"/>
  <c r="Y59" l="1"/>
  <c r="Z59" s="1"/>
  <c r="U59"/>
  <c r="N59"/>
  <c r="AE67"/>
  <c r="Y67" l="1"/>
  <c r="Z67" s="1"/>
  <c r="U67"/>
  <c r="N67"/>
  <c r="AE66"/>
  <c r="Y66" l="1"/>
  <c r="Z66" s="1"/>
  <c r="U66"/>
  <c r="N66"/>
  <c r="AE65"/>
  <c r="Y65" l="1"/>
  <c r="Z65" s="1"/>
  <c r="U65"/>
  <c r="N65"/>
  <c r="AE639" i="57"/>
  <c r="AJ639"/>
  <c r="W639"/>
  <c r="AI639" l="1"/>
  <c r="Y639"/>
  <c r="Z639" s="1"/>
  <c r="U639"/>
  <c r="N639"/>
  <c r="AE438"/>
  <c r="AJ438"/>
  <c r="W438"/>
  <c r="AI438" l="1"/>
  <c r="Y438"/>
  <c r="Z438" s="1"/>
  <c r="U438"/>
  <c r="N438"/>
  <c r="AE60" i="74"/>
  <c r="Y60" l="1"/>
  <c r="Z60" s="1"/>
  <c r="U60"/>
  <c r="N60"/>
  <c r="AE1730" i="57" l="1"/>
  <c r="W1730"/>
  <c r="AJ1730"/>
  <c r="AI1730" l="1"/>
  <c r="Y1730"/>
  <c r="Z1730" s="1"/>
  <c r="U1730"/>
  <c r="N1730"/>
  <c r="AE661"/>
  <c r="AJ661"/>
  <c r="W661"/>
  <c r="AI661" l="1"/>
  <c r="Y661"/>
  <c r="Z661" s="1"/>
  <c r="U661"/>
  <c r="N661"/>
  <c r="AE53" i="74" l="1"/>
  <c r="Y53" l="1"/>
  <c r="Z53" s="1"/>
  <c r="U53"/>
  <c r="N53"/>
  <c r="AE151" i="57" l="1"/>
  <c r="AJ151"/>
  <c r="W151"/>
  <c r="AI151" l="1"/>
  <c r="Y151"/>
  <c r="Z151" s="1"/>
  <c r="U151"/>
  <c r="N151"/>
  <c r="AE743"/>
  <c r="AJ743"/>
  <c r="W743"/>
  <c r="AI743" l="1"/>
  <c r="Y743"/>
  <c r="Z743" s="1"/>
  <c r="U743"/>
  <c r="N743"/>
  <c r="AE632" l="1"/>
  <c r="AJ632"/>
  <c r="W632"/>
  <c r="AI632" l="1"/>
  <c r="Y632"/>
  <c r="Z632" s="1"/>
  <c r="U632"/>
  <c r="N632"/>
  <c r="AE960"/>
  <c r="AJ960"/>
  <c r="W960"/>
  <c r="AI960" l="1"/>
  <c r="Y960"/>
  <c r="Z960" s="1"/>
  <c r="U960"/>
  <c r="N960"/>
  <c r="AE1127" l="1"/>
  <c r="AJ1127"/>
  <c r="W1127"/>
  <c r="AI1127" l="1"/>
  <c r="Y1127"/>
  <c r="Z1127" s="1"/>
  <c r="U1127"/>
  <c r="N1127"/>
  <c r="AE882"/>
  <c r="AJ882"/>
  <c r="W882"/>
  <c r="AI882" l="1"/>
  <c r="Y882"/>
  <c r="Z882" s="1"/>
  <c r="U882"/>
  <c r="N882"/>
  <c r="N674" l="1"/>
  <c r="N1572"/>
  <c r="AE1657" l="1"/>
  <c r="AJ1657"/>
  <c r="W1657"/>
  <c r="AI1657" l="1"/>
  <c r="Y1657"/>
  <c r="Z1657" s="1"/>
  <c r="U1657"/>
  <c r="N1657"/>
  <c r="AE554"/>
  <c r="AJ554"/>
  <c r="W554"/>
  <c r="AI554" l="1"/>
  <c r="Y554"/>
  <c r="Z554" s="1"/>
  <c r="U554"/>
  <c r="N554"/>
  <c r="AE593" l="1"/>
  <c r="AJ593"/>
  <c r="W593"/>
  <c r="AI593" l="1"/>
  <c r="Y593"/>
  <c r="Z593" s="1"/>
  <c r="U593"/>
  <c r="N593"/>
  <c r="AE1568" l="1"/>
  <c r="AJ1568"/>
  <c r="W1568"/>
  <c r="AI1568" l="1"/>
  <c r="Y1568"/>
  <c r="Z1568" s="1"/>
  <c r="U1568"/>
  <c r="N1568"/>
  <c r="AE673"/>
  <c r="AJ673"/>
  <c r="W673"/>
  <c r="AI673" l="1"/>
  <c r="Y673"/>
  <c r="Z673" s="1"/>
  <c r="U673"/>
  <c r="N673"/>
  <c r="AE659"/>
  <c r="AJ659"/>
  <c r="W659"/>
  <c r="AI659" l="1"/>
  <c r="Y659"/>
  <c r="Z659" s="1"/>
  <c r="U659"/>
  <c r="N659"/>
  <c r="AE590" l="1"/>
  <c r="AJ590"/>
  <c r="W590"/>
  <c r="AI590" l="1"/>
  <c r="Y590"/>
  <c r="Z590" s="1"/>
  <c r="U590"/>
  <c r="N590"/>
  <c r="AE1216" l="1"/>
  <c r="AJ1216"/>
  <c r="W1216"/>
  <c r="AI1216" l="1"/>
  <c r="Y1216"/>
  <c r="Z1216" s="1"/>
  <c r="U1216"/>
  <c r="N1216"/>
  <c r="AE1529" l="1"/>
  <c r="AJ1529"/>
  <c r="W1529"/>
  <c r="AI1529" l="1"/>
  <c r="Y1529"/>
  <c r="Z1529" s="1"/>
  <c r="U1529"/>
  <c r="N1529"/>
  <c r="AE944" l="1"/>
  <c r="AJ944"/>
  <c r="W944"/>
  <c r="AI944" l="1"/>
  <c r="Y944"/>
  <c r="Z944" s="1"/>
  <c r="U944"/>
  <c r="N944"/>
  <c r="AE260" l="1"/>
  <c r="AJ260"/>
  <c r="W260"/>
  <c r="AI260" l="1"/>
  <c r="Y260"/>
  <c r="Z260" s="1"/>
  <c r="U260"/>
  <c r="N260"/>
  <c r="AE1775"/>
  <c r="AJ1775"/>
  <c r="W1775"/>
  <c r="AI1775" l="1"/>
  <c r="Y1775"/>
  <c r="Z1775" s="1"/>
  <c r="U1775"/>
  <c r="N1775"/>
  <c r="AE1435"/>
  <c r="AJ1435"/>
  <c r="W1435"/>
  <c r="AI1435" l="1"/>
  <c r="Y1435"/>
  <c r="Z1435" s="1"/>
  <c r="U1435"/>
  <c r="N1435"/>
  <c r="AE299" l="1"/>
  <c r="AJ299"/>
  <c r="W299"/>
  <c r="AI299" l="1"/>
  <c r="Y299"/>
  <c r="Z299" s="1"/>
  <c r="U299"/>
  <c r="N299"/>
  <c r="X18" i="28" l="1"/>
  <c r="AJ18"/>
  <c r="W18"/>
  <c r="AI18" l="1"/>
  <c r="Y18"/>
  <c r="Z18" s="1"/>
  <c r="AG18"/>
  <c r="U18"/>
  <c r="N18"/>
  <c r="AE713" i="57" l="1"/>
  <c r="W713"/>
  <c r="AJ713"/>
  <c r="AI713" l="1"/>
  <c r="Y713"/>
  <c r="Z713" s="1"/>
  <c r="U713"/>
  <c r="N713"/>
  <c r="AE85" i="74"/>
  <c r="AJ85"/>
  <c r="W85"/>
  <c r="AI85" l="1"/>
  <c r="Y85"/>
  <c r="Z85" s="1"/>
  <c r="U85"/>
  <c r="N85"/>
  <c r="AE54"/>
  <c r="Y54" l="1"/>
  <c r="Z54" s="1"/>
  <c r="U54"/>
  <c r="N54"/>
  <c r="Y61" l="1"/>
  <c r="AB61"/>
  <c r="Z61" l="1"/>
  <c r="AC61"/>
  <c r="AE1200" i="57"/>
  <c r="AJ1200"/>
  <c r="W1200"/>
  <c r="AI1200" l="1"/>
  <c r="Y1200"/>
  <c r="Z1200" s="1"/>
  <c r="U1200"/>
  <c r="N1200"/>
  <c r="AE867"/>
  <c r="AJ867"/>
  <c r="W867"/>
  <c r="AI867" l="1"/>
  <c r="Y867"/>
  <c r="Z867" s="1"/>
  <c r="U867"/>
  <c r="N867"/>
  <c r="AE519" l="1"/>
  <c r="W519"/>
  <c r="AJ519"/>
  <c r="AI519" l="1"/>
  <c r="Y519"/>
  <c r="Z519" s="1"/>
  <c r="U519"/>
  <c r="N519"/>
  <c r="AE556"/>
  <c r="AJ556"/>
  <c r="W556"/>
  <c r="AI556" l="1"/>
  <c r="Y556"/>
  <c r="Z556" s="1"/>
  <c r="U556"/>
  <c r="N556"/>
  <c r="AE630" l="1"/>
  <c r="AJ630"/>
  <c r="W630"/>
  <c r="AI630" l="1"/>
  <c r="Y630"/>
  <c r="Z630" s="1"/>
  <c r="U630"/>
  <c r="N630"/>
  <c r="AE1777" l="1"/>
  <c r="AJ1777"/>
  <c r="W1777"/>
  <c r="AI1777" l="1"/>
  <c r="Y1777"/>
  <c r="Z1777" s="1"/>
  <c r="U1777"/>
  <c r="N1777"/>
  <c r="AE86" i="74"/>
  <c r="AJ86"/>
  <c r="W86"/>
  <c r="AI86" l="1"/>
  <c r="Y86"/>
  <c r="Z86" s="1"/>
  <c r="U86"/>
  <c r="N86"/>
  <c r="AE812" i="57" l="1"/>
  <c r="AJ812"/>
  <c r="W812"/>
  <c r="AI812" l="1"/>
  <c r="Y812"/>
  <c r="Z812" s="1"/>
  <c r="U812"/>
  <c r="N812"/>
  <c r="AE642" l="1"/>
  <c r="AJ642"/>
  <c r="W642"/>
  <c r="AI642" l="1"/>
  <c r="Y642"/>
  <c r="Z642" s="1"/>
  <c r="U642"/>
  <c r="N642"/>
  <c r="AE1183" l="1"/>
  <c r="AJ1183"/>
  <c r="W1183"/>
  <c r="AI1183" l="1"/>
  <c r="Y1183"/>
  <c r="Z1183" s="1"/>
  <c r="U1183"/>
  <c r="N1183"/>
  <c r="AE1768" l="1"/>
  <c r="AJ1768"/>
  <c r="W1768"/>
  <c r="AI1768" l="1"/>
  <c r="Y1768"/>
  <c r="Z1768" s="1"/>
  <c r="U1768"/>
  <c r="N1768"/>
  <c r="AE76" i="74" l="1"/>
  <c r="Y76" l="1"/>
  <c r="Z76" s="1"/>
  <c r="U76"/>
  <c r="N76"/>
  <c r="AE339" i="57" l="1"/>
  <c r="AJ339"/>
  <c r="W339"/>
  <c r="AI339" l="1"/>
  <c r="Y339"/>
  <c r="Z339" s="1"/>
  <c r="U339"/>
  <c r="N339"/>
  <c r="AE992"/>
  <c r="AJ992"/>
  <c r="W992"/>
  <c r="AI992" l="1"/>
  <c r="Y992"/>
  <c r="Z992" s="1"/>
  <c r="U992"/>
  <c r="N992"/>
  <c r="AE641" l="1"/>
  <c r="W641"/>
  <c r="AJ641"/>
  <c r="AI641" l="1"/>
  <c r="Y641"/>
  <c r="Z641" s="1"/>
  <c r="U641"/>
  <c r="N641"/>
  <c r="AE1090" l="1"/>
  <c r="AJ1090"/>
  <c r="W1090"/>
  <c r="AI1090" l="1"/>
  <c r="Y1090"/>
  <c r="Z1090" s="1"/>
  <c r="U1090"/>
  <c r="N1090"/>
  <c r="AE1732"/>
  <c r="AJ1732"/>
  <c r="W1732"/>
  <c r="AI1732" l="1"/>
  <c r="Y1732"/>
  <c r="Z1732" s="1"/>
  <c r="U1732"/>
  <c r="N1732"/>
  <c r="U1506" l="1"/>
  <c r="N1817"/>
  <c r="N1799"/>
  <c r="N1772"/>
  <c r="N1686"/>
  <c r="N1672"/>
  <c r="N1633"/>
  <c r="N1588"/>
  <c r="N1542"/>
  <c r="N1511"/>
  <c r="N1306"/>
  <c r="N1264"/>
  <c r="N1226"/>
  <c r="N1018"/>
  <c r="N808"/>
  <c r="N697"/>
  <c r="N528"/>
  <c r="N493"/>
  <c r="N479"/>
  <c r="N431"/>
  <c r="N423"/>
  <c r="N416"/>
  <c r="N288"/>
  <c r="N244"/>
  <c r="N225"/>
  <c r="N128"/>
  <c r="N70"/>
  <c r="N42"/>
  <c r="N4"/>
  <c r="U83" i="28"/>
  <c r="U84"/>
  <c r="U85"/>
  <c r="U86"/>
  <c r="U87"/>
  <c r="U82"/>
  <c r="AE635" i="57" l="1"/>
  <c r="AJ635"/>
  <c r="W635"/>
  <c r="U635" l="1"/>
  <c r="AI635"/>
  <c r="Y635"/>
  <c r="Z635" s="1"/>
  <c r="N635"/>
  <c r="AE668"/>
  <c r="AJ668"/>
  <c r="W668"/>
  <c r="U668" l="1"/>
  <c r="AI668"/>
  <c r="Y668"/>
  <c r="Z668" s="1"/>
  <c r="N668"/>
  <c r="N592" l="1"/>
  <c r="N790"/>
  <c r="N1537"/>
  <c r="Y77" i="74" l="1"/>
  <c r="Z77" s="1"/>
  <c r="AB77"/>
  <c r="AC77" l="1"/>
  <c r="AE199" i="57"/>
  <c r="AJ199"/>
  <c r="W199"/>
  <c r="U199" l="1"/>
  <c r="AI199"/>
  <c r="Y199"/>
  <c r="Z199" s="1"/>
  <c r="N199"/>
  <c r="AE475" l="1"/>
  <c r="AJ475"/>
  <c r="W475"/>
  <c r="U475" l="1"/>
  <c r="AI475"/>
  <c r="Y475"/>
  <c r="Z475" s="1"/>
  <c r="N475"/>
  <c r="AE1531"/>
  <c r="AJ1531"/>
  <c r="W1531"/>
  <c r="U1531" l="1"/>
  <c r="AI1531"/>
  <c r="Y1531"/>
  <c r="Z1531" s="1"/>
  <c r="N1531"/>
  <c r="AE1195" l="1"/>
  <c r="AJ1195"/>
  <c r="W1195"/>
  <c r="U1195" l="1"/>
  <c r="AI1195"/>
  <c r="Y1195"/>
  <c r="Z1195" s="1"/>
  <c r="N1195"/>
  <c r="N1122" l="1"/>
  <c r="AJ31" i="28"/>
  <c r="W31"/>
  <c r="AG31" l="1"/>
  <c r="U31"/>
  <c r="AB73" i="114"/>
  <c r="Y73"/>
  <c r="AI31" i="28"/>
  <c r="Y31"/>
  <c r="Z31" s="1"/>
  <c r="N31"/>
  <c r="Z73" i="114" l="1"/>
  <c r="AC73"/>
  <c r="AG17" i="28" l="1"/>
  <c r="AE1814" i="57" l="1"/>
  <c r="AJ1814"/>
  <c r="W1814"/>
  <c r="U1814" l="1"/>
  <c r="AI1814"/>
  <c r="Y1814"/>
  <c r="Z1814" s="1"/>
  <c r="N1814"/>
  <c r="AE859" l="1"/>
  <c r="AJ859"/>
  <c r="W859"/>
  <c r="U859" l="1"/>
  <c r="AI859"/>
  <c r="Y859"/>
  <c r="Z859" s="1"/>
  <c r="N859"/>
  <c r="N1758" l="1"/>
  <c r="AJ1635"/>
  <c r="AI1635" l="1"/>
  <c r="AE1635"/>
  <c r="W1635"/>
  <c r="U1635" l="1"/>
  <c r="Y1635"/>
  <c r="Z1635" s="1"/>
  <c r="N1635"/>
  <c r="AE57" l="1"/>
  <c r="AJ57"/>
  <c r="W57"/>
  <c r="U57" l="1"/>
  <c r="AI57"/>
  <c r="Y57"/>
  <c r="N57"/>
  <c r="AE912" l="1"/>
  <c r="AJ912"/>
  <c r="W912"/>
  <c r="U912" l="1"/>
  <c r="AI912"/>
  <c r="Y912"/>
  <c r="Z912" s="1"/>
  <c r="N912"/>
  <c r="AE11" i="28" l="1"/>
  <c r="AE12"/>
  <c r="AE13"/>
  <c r="AE14"/>
  <c r="AE15"/>
  <c r="AE1667" i="57" l="1"/>
  <c r="AJ1667"/>
  <c r="W1667"/>
  <c r="U1667" l="1"/>
  <c r="AI1667"/>
  <c r="Y1667"/>
  <c r="Z1667" s="1"/>
  <c r="N1667"/>
  <c r="AE486"/>
  <c r="AJ486"/>
  <c r="W486"/>
  <c r="U486" l="1"/>
  <c r="AI486"/>
  <c r="Y486"/>
  <c r="Z486" s="1"/>
  <c r="N486"/>
  <c r="AE1343" l="1"/>
  <c r="AJ1343"/>
  <c r="W1343"/>
  <c r="U1343" l="1"/>
  <c r="AI1343"/>
  <c r="Y1343"/>
  <c r="Z1343" s="1"/>
  <c r="N1343"/>
  <c r="N200" l="1"/>
  <c r="AE1538" l="1"/>
  <c r="AJ1538"/>
  <c r="W1538"/>
  <c r="U1538" l="1"/>
  <c r="AI1538"/>
  <c r="Y1538"/>
  <c r="Z1538" s="1"/>
  <c r="N1538"/>
  <c r="AE1414"/>
  <c r="AJ1414"/>
  <c r="W1414"/>
  <c r="U1414" l="1"/>
  <c r="AI1414"/>
  <c r="Y1414"/>
  <c r="Z1414" s="1"/>
  <c r="N1414"/>
  <c r="AE329" l="1"/>
  <c r="AJ329"/>
  <c r="W329"/>
  <c r="U329" l="1"/>
  <c r="AI329"/>
  <c r="Y329"/>
  <c r="Z329" s="1"/>
  <c r="N329"/>
  <c r="AE337"/>
  <c r="AJ337"/>
  <c r="W337"/>
  <c r="U337" l="1"/>
  <c r="AI337"/>
  <c r="Y337"/>
  <c r="Z337" s="1"/>
  <c r="N337"/>
  <c r="AE1715"/>
  <c r="AJ1715"/>
  <c r="W1715"/>
  <c r="U1715" l="1"/>
  <c r="AI1715"/>
  <c r="Y1715"/>
  <c r="Z1715" s="1"/>
  <c r="N1715"/>
  <c r="AE1238" l="1"/>
  <c r="AJ1238"/>
  <c r="W1238"/>
  <c r="U1238" l="1"/>
  <c r="AI1238"/>
  <c r="Y1238"/>
  <c r="Z1238" s="1"/>
  <c r="N1238"/>
  <c r="AE855" l="1"/>
  <c r="AJ855"/>
  <c r="W855"/>
  <c r="U855" l="1"/>
  <c r="AI855"/>
  <c r="Y855"/>
  <c r="Z855" s="1"/>
  <c r="N855"/>
  <c r="AJ13" i="28"/>
  <c r="W13"/>
  <c r="U13" l="1"/>
  <c r="AI13"/>
  <c r="Y13"/>
  <c r="Z13" s="1"/>
  <c r="N13"/>
  <c r="AE1724" i="57" l="1"/>
  <c r="AJ1724"/>
  <c r="W1724"/>
  <c r="U1724" l="1"/>
  <c r="AI1724"/>
  <c r="Y1724"/>
  <c r="Z1724" s="1"/>
  <c r="N1724"/>
  <c r="AE515"/>
  <c r="AJ515"/>
  <c r="W515"/>
  <c r="U515" l="1"/>
  <c r="AI515"/>
  <c r="Y515"/>
  <c r="Z515" s="1"/>
  <c r="N515"/>
  <c r="AE1694" l="1"/>
  <c r="AJ1694"/>
  <c r="W1694"/>
  <c r="U1694" l="1"/>
  <c r="AI1694"/>
  <c r="Y1694"/>
  <c r="Z1694" s="1"/>
  <c r="N1694"/>
  <c r="AE87" i="74"/>
  <c r="AJ87"/>
  <c r="W87"/>
  <c r="W88" l="1"/>
  <c r="U87"/>
  <c r="AI87"/>
  <c r="Y87"/>
  <c r="Z87" s="1"/>
  <c r="N87"/>
  <c r="AE1811" i="57" l="1"/>
  <c r="AJ1811"/>
  <c r="W1811"/>
  <c r="U1811" l="1"/>
  <c r="AB88" i="74"/>
  <c r="Y88"/>
  <c r="Z88" s="1"/>
  <c r="AI1811" i="57"/>
  <c r="Y1811"/>
  <c r="Z1811" s="1"/>
  <c r="N78" i="28"/>
  <c r="AE78"/>
  <c r="AE77"/>
  <c r="AC88" i="74" l="1"/>
  <c r="U77" i="28"/>
  <c r="U78"/>
  <c r="Y78"/>
  <c r="Z78" s="1"/>
  <c r="Y77"/>
  <c r="Z77" s="1"/>
  <c r="N77"/>
  <c r="AE842" i="57" l="1"/>
  <c r="AJ842"/>
  <c r="W842"/>
  <c r="U842" l="1"/>
  <c r="AI842"/>
  <c r="Y842"/>
  <c r="Z842" s="1"/>
  <c r="N842"/>
  <c r="AE1792" l="1"/>
  <c r="AJ1792"/>
  <c r="W1792"/>
  <c r="U1792" l="1"/>
  <c r="AI1792"/>
  <c r="Y1792"/>
  <c r="Z1792" s="1"/>
  <c r="N1792"/>
  <c r="AE963" l="1"/>
  <c r="AJ963"/>
  <c r="W963"/>
  <c r="U963" l="1"/>
  <c r="AI963"/>
  <c r="Y963"/>
  <c r="Z963" s="1"/>
  <c r="N963"/>
  <c r="AJ716"/>
  <c r="AJ715"/>
  <c r="AJ745"/>
  <c r="AJ717"/>
  <c r="AJ714"/>
  <c r="AJ748"/>
  <c r="AJ747"/>
  <c r="AJ718"/>
  <c r="AJ746"/>
  <c r="AI748" l="1"/>
  <c r="AI747"/>
  <c r="AI746"/>
  <c r="AI718"/>
  <c r="AI745"/>
  <c r="AI717"/>
  <c r="AI716"/>
  <c r="AI715"/>
  <c r="AI714"/>
  <c r="AE881"/>
  <c r="AJ881"/>
  <c r="W881"/>
  <c r="U881" l="1"/>
  <c r="AI881"/>
  <c r="Y881"/>
  <c r="Z881" s="1"/>
  <c r="AE995" l="1"/>
  <c r="AJ995"/>
  <c r="W995"/>
  <c r="U995" l="1"/>
  <c r="AI995"/>
  <c r="Y995"/>
  <c r="Z995" s="1"/>
  <c r="N995"/>
  <c r="AE1745"/>
  <c r="AJ1745"/>
  <c r="W1745"/>
  <c r="U1745" l="1"/>
  <c r="AI1745"/>
  <c r="Y1745"/>
  <c r="Z1745" s="1"/>
  <c r="N1745"/>
  <c r="AE790" l="1"/>
  <c r="AJ790"/>
  <c r="W790"/>
  <c r="U790" l="1"/>
  <c r="AI790"/>
  <c r="Y790"/>
  <c r="Z790" s="1"/>
  <c r="AE839" l="1"/>
  <c r="W839"/>
  <c r="AJ839"/>
  <c r="U839" l="1"/>
  <c r="AI839"/>
  <c r="Y839"/>
  <c r="Z839" s="1"/>
  <c r="N839"/>
  <c r="AE616" l="1"/>
  <c r="AJ616"/>
  <c r="W616"/>
  <c r="U616" l="1"/>
  <c r="AI616"/>
  <c r="Y616"/>
  <c r="Z616" s="1"/>
  <c r="N616"/>
  <c r="N1590" l="1"/>
  <c r="N1384"/>
  <c r="AE1202" l="1"/>
  <c r="AJ1202"/>
  <c r="W1202"/>
  <c r="U1202" l="1"/>
  <c r="AI1202"/>
  <c r="Y1202"/>
  <c r="Z1202" s="1"/>
  <c r="N1202"/>
  <c r="AE579"/>
  <c r="AJ579"/>
  <c r="W579"/>
  <c r="U579" l="1"/>
  <c r="AI579"/>
  <c r="Y579"/>
  <c r="Z579" s="1"/>
  <c r="N579"/>
  <c r="AE821"/>
  <c r="AJ821"/>
  <c r="W821"/>
  <c r="U821" l="1"/>
  <c r="AI821"/>
  <c r="Y821"/>
  <c r="Z821" s="1"/>
  <c r="N821"/>
  <c r="AE604" l="1"/>
  <c r="AJ604"/>
  <c r="W604"/>
  <c r="U604" l="1"/>
  <c r="AI604"/>
  <c r="Y604"/>
  <c r="Z604" s="1"/>
  <c r="N604"/>
  <c r="AE1000" l="1"/>
  <c r="AJ1000"/>
  <c r="W1000"/>
  <c r="U1000" l="1"/>
  <c r="AI1000"/>
  <c r="Y1000"/>
  <c r="Z1000" s="1"/>
  <c r="N1000"/>
  <c r="O15" i="21" l="1"/>
  <c r="AE746" i="57" l="1"/>
  <c r="W746"/>
  <c r="U746" l="1"/>
  <c r="Y746"/>
  <c r="Z746" s="1"/>
  <c r="N746"/>
  <c r="AE715"/>
  <c r="W715"/>
  <c r="U715" l="1"/>
  <c r="Y715"/>
  <c r="Z715" s="1"/>
  <c r="N715"/>
  <c r="AE814" l="1"/>
  <c r="AJ814"/>
  <c r="W814"/>
  <c r="U814" l="1"/>
  <c r="AI814"/>
  <c r="Y814"/>
  <c r="Z814" s="1"/>
  <c r="N814"/>
  <c r="AE845"/>
  <c r="AJ845"/>
  <c r="W845"/>
  <c r="U845" l="1"/>
  <c r="AI845"/>
  <c r="Y845"/>
  <c r="Z845" s="1"/>
  <c r="N845"/>
  <c r="AE629" l="1"/>
  <c r="AJ629"/>
  <c r="W629"/>
  <c r="U629" l="1"/>
  <c r="AI629"/>
  <c r="Y629"/>
  <c r="Z629" s="1"/>
  <c r="N629"/>
  <c r="AE1024" l="1"/>
  <c r="AJ1024"/>
  <c r="W1024"/>
  <c r="U1024" l="1"/>
  <c r="AI1024"/>
  <c r="Y1024"/>
  <c r="Z1024" s="1"/>
  <c r="N1024"/>
  <c r="AE1572" l="1"/>
  <c r="AJ1572"/>
  <c r="W1572"/>
  <c r="U1572" l="1"/>
  <c r="AI1572"/>
  <c r="Y1572"/>
  <c r="Z1572" s="1"/>
  <c r="AE467"/>
  <c r="AJ467"/>
  <c r="W467"/>
  <c r="U467" l="1"/>
  <c r="AI467"/>
  <c r="Y467"/>
  <c r="Z467" s="1"/>
  <c r="AE674"/>
  <c r="AJ674"/>
  <c r="W674"/>
  <c r="U674" l="1"/>
  <c r="AI674"/>
  <c r="Y674"/>
  <c r="Z674" s="1"/>
  <c r="AE81" i="28"/>
  <c r="U81" l="1"/>
  <c r="Y81"/>
  <c r="Z81" s="1"/>
  <c r="N81"/>
  <c r="AE79"/>
  <c r="U79" l="1"/>
  <c r="Y79"/>
  <c r="Z79" s="1"/>
  <c r="N79"/>
  <c r="AE80"/>
  <c r="U80" l="1"/>
  <c r="Y80"/>
  <c r="Z80" s="1"/>
  <c r="N80"/>
  <c r="AE655" i="57" l="1"/>
  <c r="AJ655"/>
  <c r="W655"/>
  <c r="U655" l="1"/>
  <c r="AI655"/>
  <c r="Y655"/>
  <c r="Z655" s="1"/>
  <c r="N655"/>
  <c r="N1269" l="1"/>
  <c r="N52"/>
  <c r="N283"/>
  <c r="N388"/>
  <c r="N1111"/>
  <c r="AE718"/>
  <c r="W718"/>
  <c r="U718" l="1"/>
  <c r="Y718"/>
  <c r="Z718" s="1"/>
  <c r="N718"/>
  <c r="AE203"/>
  <c r="AJ203"/>
  <c r="W203"/>
  <c r="U203" l="1"/>
  <c r="AI203"/>
  <c r="Y203"/>
  <c r="Z203" s="1"/>
  <c r="N203"/>
  <c r="AE1703" l="1"/>
  <c r="AJ1703"/>
  <c r="W1703"/>
  <c r="U1703" l="1"/>
  <c r="AI1703"/>
  <c r="Y1703"/>
  <c r="Z1703" s="1"/>
  <c r="N1703"/>
  <c r="AE585"/>
  <c r="AJ585"/>
  <c r="W585"/>
  <c r="U585" l="1"/>
  <c r="AI585"/>
  <c r="Y585"/>
  <c r="Z585" s="1"/>
  <c r="N585"/>
  <c r="AE1624"/>
  <c r="AJ1624"/>
  <c r="W1624"/>
  <c r="U1624" l="1"/>
  <c r="AI1624"/>
  <c r="Y1624"/>
  <c r="Z1624" s="1"/>
  <c r="N1624"/>
  <c r="AE1221" l="1"/>
  <c r="AJ1221"/>
  <c r="W1221"/>
  <c r="U1221" l="1"/>
  <c r="AI1221"/>
  <c r="Y1221"/>
  <c r="Z1221" s="1"/>
  <c r="N1221"/>
  <c r="AE691"/>
  <c r="AJ691"/>
  <c r="W691"/>
  <c r="U691" l="1"/>
  <c r="AI691"/>
  <c r="Y691"/>
  <c r="Z691" s="1"/>
  <c r="N691"/>
  <c r="AE924" l="1"/>
  <c r="AJ924"/>
  <c r="W924"/>
  <c r="U924" l="1"/>
  <c r="AI924"/>
  <c r="Y924"/>
  <c r="Z924" s="1"/>
  <c r="N924"/>
  <c r="AE669"/>
  <c r="AJ669"/>
  <c r="W669"/>
  <c r="U669" l="1"/>
  <c r="AI669"/>
  <c r="Y669"/>
  <c r="Z669" s="1"/>
  <c r="N669"/>
  <c r="AE1630"/>
  <c r="AJ1630"/>
  <c r="W1630"/>
  <c r="U1630" l="1"/>
  <c r="AI1630"/>
  <c r="Y1630"/>
  <c r="Z1630" s="1"/>
  <c r="N1630"/>
  <c r="AE779" l="1"/>
  <c r="AJ779"/>
  <c r="W779"/>
  <c r="U779" l="1"/>
  <c r="AI779"/>
  <c r="Y779"/>
  <c r="Z779" s="1"/>
  <c r="N779"/>
  <c r="AE1749"/>
  <c r="AJ1749"/>
  <c r="W1749"/>
  <c r="U1749" l="1"/>
  <c r="AI1749"/>
  <c r="Y1749"/>
  <c r="Z1749" s="1"/>
  <c r="N1749"/>
  <c r="AE1193"/>
  <c r="AJ1193"/>
  <c r="W1193"/>
  <c r="U1193" l="1"/>
  <c r="AI1193"/>
  <c r="Y1193"/>
  <c r="Z1193" s="1"/>
  <c r="N1193"/>
  <c r="AE591"/>
  <c r="AJ591"/>
  <c r="W591"/>
  <c r="U591" l="1"/>
  <c r="AI591"/>
  <c r="Y591"/>
  <c r="Z591" s="1"/>
  <c r="N591"/>
  <c r="AE857"/>
  <c r="AJ857"/>
  <c r="W857"/>
  <c r="U857" l="1"/>
  <c r="AI857"/>
  <c r="Y857"/>
  <c r="Z857" s="1"/>
  <c r="N857"/>
  <c r="AE940" l="1"/>
  <c r="AJ940"/>
  <c r="W940"/>
  <c r="U940" l="1"/>
  <c r="AI940"/>
  <c r="Y940"/>
  <c r="Z940" s="1"/>
  <c r="N940"/>
  <c r="AE1774" l="1"/>
  <c r="AJ1774"/>
  <c r="W1774"/>
  <c r="U1774" l="1"/>
  <c r="AI1774"/>
  <c r="Y1774"/>
  <c r="Z1774" s="1"/>
  <c r="N1774"/>
  <c r="AE562"/>
  <c r="AJ562"/>
  <c r="W562"/>
  <c r="U562" l="1"/>
  <c r="AI562"/>
  <c r="Y562"/>
  <c r="Z562" s="1"/>
  <c r="N562"/>
  <c r="AE1719"/>
  <c r="AJ1719"/>
  <c r="W1719"/>
  <c r="U1719" l="1"/>
  <c r="AI1719"/>
  <c r="Y1719"/>
  <c r="Z1719" s="1"/>
  <c r="N1719"/>
  <c r="AE247"/>
  <c r="AJ247"/>
  <c r="W247"/>
  <c r="U247" l="1"/>
  <c r="AI247"/>
  <c r="Y247"/>
  <c r="Z247" s="1"/>
  <c r="N247"/>
  <c r="AE534"/>
  <c r="AJ534"/>
  <c r="W534"/>
  <c r="U534" l="1"/>
  <c r="AI534"/>
  <c r="Y534"/>
  <c r="Z534" s="1"/>
  <c r="N534"/>
  <c r="AE1029" l="1"/>
  <c r="AJ1029"/>
  <c r="W1029"/>
  <c r="U1029" l="1"/>
  <c r="AI1029"/>
  <c r="Y1029"/>
  <c r="Z1029" s="1"/>
  <c r="N1029"/>
  <c r="AE538"/>
  <c r="AJ538"/>
  <c r="W538"/>
  <c r="U538" l="1"/>
  <c r="AI538"/>
  <c r="Y538"/>
  <c r="Z538" s="1"/>
  <c r="N538"/>
  <c r="AE647" l="1"/>
  <c r="AJ647"/>
  <c r="W647"/>
  <c r="U647" l="1"/>
  <c r="AI647"/>
  <c r="Y647"/>
  <c r="Z647" s="1"/>
  <c r="N647"/>
  <c r="AE1782" l="1"/>
  <c r="AJ1782"/>
  <c r="W1782"/>
  <c r="U1782" l="1"/>
  <c r="AI1782"/>
  <c r="Y1782"/>
  <c r="Z1782" s="1"/>
  <c r="N1782"/>
  <c r="AE1787"/>
  <c r="AJ1787"/>
  <c r="W1787"/>
  <c r="U1787" l="1"/>
  <c r="AI1787"/>
  <c r="Y1787"/>
  <c r="Z1787" s="1"/>
  <c r="N1787"/>
  <c r="AE1197" l="1"/>
  <c r="AJ1197"/>
  <c r="W1197"/>
  <c r="U1197" l="1"/>
  <c r="AI1197"/>
  <c r="Y1197"/>
  <c r="Z1197" s="1"/>
  <c r="N1197"/>
  <c r="AE301"/>
  <c r="W301"/>
  <c r="AJ301"/>
  <c r="U301" l="1"/>
  <c r="AI301"/>
  <c r="Y301"/>
  <c r="Z301" s="1"/>
  <c r="N301"/>
  <c r="AE380" l="1"/>
  <c r="AJ380"/>
  <c r="W380"/>
  <c r="U380" l="1"/>
  <c r="AI380"/>
  <c r="Y380"/>
  <c r="Z380" s="1"/>
  <c r="N380"/>
  <c r="AE1725" l="1"/>
  <c r="AJ1725"/>
  <c r="W1725"/>
  <c r="U1725" l="1"/>
  <c r="AI1725"/>
  <c r="Y1725"/>
  <c r="Z1725" s="1"/>
  <c r="N1725"/>
  <c r="AE1693" l="1"/>
  <c r="AJ1693"/>
  <c r="W1693"/>
  <c r="U1693" l="1"/>
  <c r="AI1693"/>
  <c r="Y1693"/>
  <c r="Z1693" s="1"/>
  <c r="N1693"/>
  <c r="AE1159"/>
  <c r="AJ1159"/>
  <c r="W1159"/>
  <c r="U1159" l="1"/>
  <c r="AI1159"/>
  <c r="Y1159"/>
  <c r="Z1159" s="1"/>
  <c r="N1159"/>
  <c r="AJ1692"/>
  <c r="AI1692" l="1"/>
  <c r="AJ1695"/>
  <c r="AI1695" l="1"/>
  <c r="AJ1727"/>
  <c r="AJ1696"/>
  <c r="AI1696" l="1"/>
  <c r="AI1727"/>
  <c r="AJ1728"/>
  <c r="AI1728" l="1"/>
  <c r="AJ1729"/>
  <c r="AI1729" l="1"/>
  <c r="AJ1731"/>
  <c r="AI1731" l="1"/>
  <c r="AJ1733"/>
  <c r="AI1733" l="1"/>
  <c r="AJ1734"/>
  <c r="AI1734" l="1"/>
  <c r="AJ1735"/>
  <c r="AI1735" l="1"/>
  <c r="AJ1736"/>
  <c r="AI1736" l="1"/>
  <c r="AJ1737"/>
  <c r="AI1737" l="1"/>
  <c r="AJ1738"/>
  <c r="AI1738" l="1"/>
  <c r="AJ1739"/>
  <c r="AI1739" l="1"/>
  <c r="AJ1740"/>
  <c r="AI1740" l="1"/>
  <c r="AJ1741"/>
  <c r="AI1741" l="1"/>
  <c r="AJ1742"/>
  <c r="AI1742" l="1"/>
  <c r="AJ1744"/>
  <c r="AI1744" l="1"/>
  <c r="AJ1746"/>
  <c r="AI1746" l="1"/>
  <c r="AJ1747"/>
  <c r="AI1747" l="1"/>
  <c r="AJ1748"/>
  <c r="AI1748" l="1"/>
  <c r="AJ1608"/>
  <c r="AJ1607"/>
  <c r="AJ1606"/>
  <c r="AE1818" l="1"/>
  <c r="AJ1818"/>
  <c r="W1818"/>
  <c r="U1818" l="1"/>
  <c r="AI1818"/>
  <c r="Y1818"/>
  <c r="Z1818" s="1"/>
  <c r="N1818"/>
  <c r="AE1817"/>
  <c r="AJ1817"/>
  <c r="W1817"/>
  <c r="U1817" l="1"/>
  <c r="AI1817"/>
  <c r="Y1817"/>
  <c r="Z1817" s="1"/>
  <c r="AE1813" l="1"/>
  <c r="AJ1813"/>
  <c r="W1813"/>
  <c r="U1813" l="1"/>
  <c r="AI1813"/>
  <c r="Y1813"/>
  <c r="Z1813" s="1"/>
  <c r="N1813"/>
  <c r="AE1812"/>
  <c r="AJ1812"/>
  <c r="W1812"/>
  <c r="U1812" l="1"/>
  <c r="AI1812"/>
  <c r="Y1812"/>
  <c r="Z1812" s="1"/>
  <c r="N1812"/>
  <c r="AE1808" l="1"/>
  <c r="AJ1808"/>
  <c r="W1808"/>
  <c r="U1808" l="1"/>
  <c r="AI1808"/>
  <c r="Y1808"/>
  <c r="Z1808" s="1"/>
  <c r="N1808"/>
  <c r="AE1807"/>
  <c r="W1807"/>
  <c r="AJ1807"/>
  <c r="U1807" l="1"/>
  <c r="AI1807"/>
  <c r="Y1807"/>
  <c r="Z1807" s="1"/>
  <c r="N1807"/>
  <c r="AE1806"/>
  <c r="AJ1806"/>
  <c r="W1806"/>
  <c r="U1806" l="1"/>
  <c r="AI1806"/>
  <c r="Y1806"/>
  <c r="Z1806" s="1"/>
  <c r="N1806"/>
  <c r="AE1803"/>
  <c r="AJ1803"/>
  <c r="W1803"/>
  <c r="U1803" l="1"/>
  <c r="AI1803"/>
  <c r="Y1803"/>
  <c r="Z1803" s="1"/>
  <c r="N1803"/>
  <c r="AE1802"/>
  <c r="AJ1802"/>
  <c r="W1802"/>
  <c r="U1802" l="1"/>
  <c r="AI1802"/>
  <c r="Y1802"/>
  <c r="Z1802" s="1"/>
  <c r="N1802"/>
  <c r="AE1801"/>
  <c r="W1801"/>
  <c r="AJ1801"/>
  <c r="U1801" l="1"/>
  <c r="AI1801"/>
  <c r="Y1801"/>
  <c r="Z1801" s="1"/>
  <c r="N1801"/>
  <c r="AE1800"/>
  <c r="AJ1800"/>
  <c r="W1800"/>
  <c r="U1800" l="1"/>
  <c r="AI1800"/>
  <c r="Y1800"/>
  <c r="Z1800" s="1"/>
  <c r="N1800"/>
  <c r="AE1799"/>
  <c r="AJ1799"/>
  <c r="W1799"/>
  <c r="U1799" l="1"/>
  <c r="AI1799"/>
  <c r="Y1799"/>
  <c r="Z1799" s="1"/>
  <c r="AE1796"/>
  <c r="AJ1796"/>
  <c r="W1796"/>
  <c r="U1796" l="1"/>
  <c r="AI1796"/>
  <c r="Y1796"/>
  <c r="Z1796" s="1"/>
  <c r="N1796"/>
  <c r="AE1795"/>
  <c r="AJ1795"/>
  <c r="W1795"/>
  <c r="U1795" l="1"/>
  <c r="AI1795"/>
  <c r="Y1795"/>
  <c r="Z1795" s="1"/>
  <c r="N1795"/>
  <c r="AE1794"/>
  <c r="AJ1794"/>
  <c r="W1794"/>
  <c r="U1794" l="1"/>
  <c r="AI1794"/>
  <c r="Y1794"/>
  <c r="Z1794" s="1"/>
  <c r="N1794"/>
  <c r="AE1793"/>
  <c r="AJ1793"/>
  <c r="W1793"/>
  <c r="U1793" l="1"/>
  <c r="AI1793"/>
  <c r="Y1793"/>
  <c r="Z1793" s="1"/>
  <c r="N1793"/>
  <c r="AE1791" l="1"/>
  <c r="AJ1791"/>
  <c r="W1791"/>
  <c r="U1791" l="1"/>
  <c r="AI1791"/>
  <c r="Y1791"/>
  <c r="Z1791" s="1"/>
  <c r="N1791"/>
  <c r="AE1790"/>
  <c r="AJ1790"/>
  <c r="W1790"/>
  <c r="U1790" l="1"/>
  <c r="AI1790"/>
  <c r="Y1790"/>
  <c r="Z1790" s="1"/>
  <c r="N1790"/>
  <c r="AE1789"/>
  <c r="AJ1789"/>
  <c r="W1789"/>
  <c r="U1789" l="1"/>
  <c r="AI1789"/>
  <c r="Y1789"/>
  <c r="Z1789" s="1"/>
  <c r="N1789"/>
  <c r="AE1788"/>
  <c r="AJ1788"/>
  <c r="W1788"/>
  <c r="U1788" l="1"/>
  <c r="AI1788"/>
  <c r="Y1788"/>
  <c r="Z1788" s="1"/>
  <c r="N1788"/>
  <c r="AE1786"/>
  <c r="AJ1786"/>
  <c r="W1786"/>
  <c r="U1786" l="1"/>
  <c r="AI1786"/>
  <c r="Y1786"/>
  <c r="Z1786" s="1"/>
  <c r="N1786"/>
  <c r="AE1785"/>
  <c r="AJ1785"/>
  <c r="W1785"/>
  <c r="U1785" l="1"/>
  <c r="AI1785"/>
  <c r="Y1785"/>
  <c r="Z1785" s="1"/>
  <c r="N1785"/>
  <c r="AE1784"/>
  <c r="AJ1784"/>
  <c r="W1784"/>
  <c r="U1784" l="1"/>
  <c r="AI1784"/>
  <c r="Y1784"/>
  <c r="Z1784" s="1"/>
  <c r="N1784"/>
  <c r="AE1783"/>
  <c r="AJ1783"/>
  <c r="W1783"/>
  <c r="U1783" l="1"/>
  <c r="AI1783"/>
  <c r="Y1783"/>
  <c r="Z1783" s="1"/>
  <c r="N1783"/>
  <c r="AE1781" l="1"/>
  <c r="AJ1781"/>
  <c r="W1781"/>
  <c r="U1781" l="1"/>
  <c r="AI1781"/>
  <c r="Y1781"/>
  <c r="Z1781" s="1"/>
  <c r="N1781"/>
  <c r="AE1780"/>
  <c r="AJ1780"/>
  <c r="W1780"/>
  <c r="U1780" l="1"/>
  <c r="AI1780"/>
  <c r="Y1780"/>
  <c r="Z1780" s="1"/>
  <c r="N1780"/>
  <c r="AE1779"/>
  <c r="AJ1779"/>
  <c r="W1779"/>
  <c r="U1779" l="1"/>
  <c r="AI1779"/>
  <c r="Y1779"/>
  <c r="Z1779" s="1"/>
  <c r="N1779"/>
  <c r="AE1778" l="1"/>
  <c r="AJ1778"/>
  <c r="W1778"/>
  <c r="U1778" l="1"/>
  <c r="AI1778"/>
  <c r="Y1778"/>
  <c r="Z1778" s="1"/>
  <c r="N1778"/>
  <c r="AE1776" l="1"/>
  <c r="AJ1776"/>
  <c r="W1776"/>
  <c r="U1776" l="1"/>
  <c r="AI1776"/>
  <c r="Y1776"/>
  <c r="Z1776" s="1"/>
  <c r="N1776"/>
  <c r="AE1773" l="1"/>
  <c r="W1773"/>
  <c r="AJ1773"/>
  <c r="U1773" l="1"/>
  <c r="AI1773"/>
  <c r="Y1773"/>
  <c r="Z1773" s="1"/>
  <c r="N1773"/>
  <c r="AE1772"/>
  <c r="AJ1772"/>
  <c r="W1772"/>
  <c r="U1772" l="1"/>
  <c r="AI1772"/>
  <c r="Y1772"/>
  <c r="Z1772" s="1"/>
  <c r="AE1769"/>
  <c r="AJ1769"/>
  <c r="W1769"/>
  <c r="U1769" l="1"/>
  <c r="AI1769"/>
  <c r="Y1769"/>
  <c r="Z1769" s="1"/>
  <c r="N1769"/>
  <c r="AE1767" l="1"/>
  <c r="AJ1767"/>
  <c r="W1767"/>
  <c r="U1767" l="1"/>
  <c r="AI1767"/>
  <c r="Y1767"/>
  <c r="Z1767" s="1"/>
  <c r="N1767"/>
  <c r="AE1766"/>
  <c r="AJ1766"/>
  <c r="W1766"/>
  <c r="U1766" l="1"/>
  <c r="AI1766"/>
  <c r="Y1766"/>
  <c r="Z1766" s="1"/>
  <c r="N1766"/>
  <c r="AE1765"/>
  <c r="AJ1765"/>
  <c r="W1765"/>
  <c r="U1765" l="1"/>
  <c r="AI1765"/>
  <c r="Y1765"/>
  <c r="Z1765" s="1"/>
  <c r="N1765"/>
  <c r="AE1764"/>
  <c r="AJ1764"/>
  <c r="W1764"/>
  <c r="U1764" l="1"/>
  <c r="AI1764"/>
  <c r="Y1764"/>
  <c r="Z1764" s="1"/>
  <c r="N1764"/>
  <c r="AE1763"/>
  <c r="AJ1763"/>
  <c r="W1763"/>
  <c r="U1763" l="1"/>
  <c r="AI1763"/>
  <c r="Y1763"/>
  <c r="Z1763" s="1"/>
  <c r="N1763"/>
  <c r="AE1762"/>
  <c r="AJ1762"/>
  <c r="W1762"/>
  <c r="U1762" l="1"/>
  <c r="AI1762"/>
  <c r="Y1762"/>
  <c r="Z1762" s="1"/>
  <c r="N1762"/>
  <c r="AE1761"/>
  <c r="AJ1761"/>
  <c r="W1761"/>
  <c r="U1761" l="1"/>
  <c r="AI1761"/>
  <c r="Y1761"/>
  <c r="Z1761" s="1"/>
  <c r="N1761"/>
  <c r="AE1760"/>
  <c r="AJ1760"/>
  <c r="W1760"/>
  <c r="U1760" l="1"/>
  <c r="AI1760"/>
  <c r="Y1760"/>
  <c r="Z1760" s="1"/>
  <c r="N1760"/>
  <c r="AE1759"/>
  <c r="AJ1759"/>
  <c r="W1759"/>
  <c r="U1759" l="1"/>
  <c r="AI1759"/>
  <c r="Y1759"/>
  <c r="Z1759" s="1"/>
  <c r="N1759"/>
  <c r="AE1758"/>
  <c r="AJ1758"/>
  <c r="W1758"/>
  <c r="U1758" l="1"/>
  <c r="AI1758"/>
  <c r="Y1758"/>
  <c r="Z1758" s="1"/>
  <c r="AE1757"/>
  <c r="W1757"/>
  <c r="AJ1757"/>
  <c r="U1757" l="1"/>
  <c r="AI1757"/>
  <c r="Y1757"/>
  <c r="Z1757" s="1"/>
  <c r="N1757"/>
  <c r="AE1756"/>
  <c r="AJ1756"/>
  <c r="W1756"/>
  <c r="U1756" l="1"/>
  <c r="AI1756"/>
  <c r="Y1756"/>
  <c r="Z1756" s="1"/>
  <c r="N1756"/>
  <c r="AE1755"/>
  <c r="AJ1755"/>
  <c r="W1755"/>
  <c r="U1755" l="1"/>
  <c r="AI1755"/>
  <c r="Y1755"/>
  <c r="Z1755" s="1"/>
  <c r="N1755"/>
  <c r="AE1754"/>
  <c r="AJ1754"/>
  <c r="W1754"/>
  <c r="U1754" l="1"/>
  <c r="AI1754"/>
  <c r="Y1754"/>
  <c r="Z1754" s="1"/>
  <c r="N1754"/>
  <c r="AE1753"/>
  <c r="AJ1753"/>
  <c r="W1753"/>
  <c r="U1753" l="1"/>
  <c r="AI1753"/>
  <c r="Y1753"/>
  <c r="Z1753" s="1"/>
  <c r="N1753"/>
  <c r="AE1751" l="1"/>
  <c r="AJ1751"/>
  <c r="W1751"/>
  <c r="U1751" l="1"/>
  <c r="AI1751"/>
  <c r="Y1751"/>
  <c r="Z1751" s="1"/>
  <c r="N1751"/>
  <c r="AE1750"/>
  <c r="AJ1750"/>
  <c r="W1750"/>
  <c r="U1750" l="1"/>
  <c r="AI1750"/>
  <c r="Y1750"/>
  <c r="Z1750" s="1"/>
  <c r="N1750"/>
  <c r="AE1748" l="1"/>
  <c r="W1748"/>
  <c r="U1748" l="1"/>
  <c r="Y1748"/>
  <c r="Z1748" s="1"/>
  <c r="N1748"/>
  <c r="AE1747"/>
  <c r="W1747"/>
  <c r="U1747" l="1"/>
  <c r="Y1747"/>
  <c r="Z1747" s="1"/>
  <c r="N1747"/>
  <c r="AE1746"/>
  <c r="W1746"/>
  <c r="U1746" l="1"/>
  <c r="Y1746"/>
  <c r="Z1746" s="1"/>
  <c r="N1746"/>
  <c r="AE1744" l="1"/>
  <c r="W1744"/>
  <c r="U1744" l="1"/>
  <c r="Y1744"/>
  <c r="Z1744" s="1"/>
  <c r="N1744"/>
  <c r="AE1742" l="1"/>
  <c r="W1742"/>
  <c r="U1742" l="1"/>
  <c r="Y1742"/>
  <c r="Z1742" s="1"/>
  <c r="N1742"/>
  <c r="AE1741"/>
  <c r="W1741"/>
  <c r="U1741" l="1"/>
  <c r="Y1741"/>
  <c r="Z1741" s="1"/>
  <c r="N1741"/>
  <c r="AE1740"/>
  <c r="W1740"/>
  <c r="U1740" l="1"/>
  <c r="Y1740"/>
  <c r="Z1740" s="1"/>
  <c r="N1740"/>
  <c r="AE1739"/>
  <c r="W1739"/>
  <c r="U1739" l="1"/>
  <c r="Y1739"/>
  <c r="Z1739" s="1"/>
  <c r="N1739"/>
  <c r="AE1738"/>
  <c r="W1738"/>
  <c r="U1738" l="1"/>
  <c r="Y1738"/>
  <c r="Z1738" s="1"/>
  <c r="N1738"/>
  <c r="AE1737"/>
  <c r="W1737"/>
  <c r="U1737" l="1"/>
  <c r="Y1737"/>
  <c r="Z1737" s="1"/>
  <c r="N1737"/>
  <c r="AE1736"/>
  <c r="W1736"/>
  <c r="U1736" l="1"/>
  <c r="Y1736"/>
  <c r="Z1736" s="1"/>
  <c r="N1736"/>
  <c r="AE1735"/>
  <c r="W1735"/>
  <c r="U1735" l="1"/>
  <c r="Y1735"/>
  <c r="Z1735" s="1"/>
  <c r="N1735"/>
  <c r="AE1734"/>
  <c r="W1734"/>
  <c r="U1734" l="1"/>
  <c r="Y1734"/>
  <c r="Z1734" s="1"/>
  <c r="N1734"/>
  <c r="AE1733"/>
  <c r="W1733"/>
  <c r="U1733" l="1"/>
  <c r="Y1733"/>
  <c r="Z1733" s="1"/>
  <c r="N1733"/>
  <c r="AE1731" l="1"/>
  <c r="W1731"/>
  <c r="U1731" l="1"/>
  <c r="Y1731"/>
  <c r="Z1731" s="1"/>
  <c r="N1731"/>
  <c r="AE1729" l="1"/>
  <c r="W1729"/>
  <c r="U1729" l="1"/>
  <c r="Y1729"/>
  <c r="Z1729" s="1"/>
  <c r="N1729"/>
  <c r="AE1728"/>
  <c r="W1728"/>
  <c r="U1728" l="1"/>
  <c r="Y1728"/>
  <c r="Z1728" s="1"/>
  <c r="N1728"/>
  <c r="AE1727"/>
  <c r="W1727"/>
  <c r="U1727" l="1"/>
  <c r="Y1727"/>
  <c r="Z1727" s="1"/>
  <c r="N1727"/>
  <c r="AE1726"/>
  <c r="W1726"/>
  <c r="AJ1726"/>
  <c r="U1726" l="1"/>
  <c r="AI1726"/>
  <c r="Y1726"/>
  <c r="Z1726" s="1"/>
  <c r="N1726"/>
  <c r="AE1723" l="1"/>
  <c r="AJ1723"/>
  <c r="W1723"/>
  <c r="U1723" l="1"/>
  <c r="AI1723"/>
  <c r="Y1723"/>
  <c r="Z1723" s="1"/>
  <c r="N1723"/>
  <c r="AE1722"/>
  <c r="AJ1722"/>
  <c r="W1722"/>
  <c r="U1722" l="1"/>
  <c r="AI1722"/>
  <c r="Y1722"/>
  <c r="Z1722" s="1"/>
  <c r="N1722"/>
  <c r="AE1721"/>
  <c r="AJ1721"/>
  <c r="W1721"/>
  <c r="U1721" l="1"/>
  <c r="AI1721"/>
  <c r="Y1721"/>
  <c r="Z1721" s="1"/>
  <c r="N1721"/>
  <c r="AE1720"/>
  <c r="AJ1720"/>
  <c r="W1720"/>
  <c r="U1720" l="1"/>
  <c r="AI1720"/>
  <c r="Y1720"/>
  <c r="Z1720" s="1"/>
  <c r="N1720"/>
  <c r="AE1718" l="1"/>
  <c r="AJ1718"/>
  <c r="W1718"/>
  <c r="U1718" l="1"/>
  <c r="AI1718"/>
  <c r="Y1718"/>
  <c r="Z1718" s="1"/>
  <c r="N1718"/>
  <c r="AE1717"/>
  <c r="AJ1717"/>
  <c r="W1717"/>
  <c r="U1717" l="1"/>
  <c r="AI1717"/>
  <c r="Y1717"/>
  <c r="Z1717" s="1"/>
  <c r="N1717"/>
  <c r="AE1716"/>
  <c r="AJ1716"/>
  <c r="W1716"/>
  <c r="U1716" l="1"/>
  <c r="AI1716"/>
  <c r="Y1716"/>
  <c r="Z1716" s="1"/>
  <c r="N1716"/>
  <c r="AE1713" l="1"/>
  <c r="AJ1713"/>
  <c r="W1713"/>
  <c r="U1713" l="1"/>
  <c r="AI1713"/>
  <c r="Y1713"/>
  <c r="Z1713" s="1"/>
  <c r="N1713"/>
  <c r="AE1712"/>
  <c r="AJ1712"/>
  <c r="W1712"/>
  <c r="U1712" l="1"/>
  <c r="AI1712"/>
  <c r="Y1712"/>
  <c r="Z1712" s="1"/>
  <c r="N1712"/>
  <c r="AE1711"/>
  <c r="AJ1711"/>
  <c r="W1711"/>
  <c r="U1711" l="1"/>
  <c r="AI1711"/>
  <c r="Y1711"/>
  <c r="Z1711" s="1"/>
  <c r="N1711"/>
  <c r="AE1710"/>
  <c r="AJ1710"/>
  <c r="W1710"/>
  <c r="U1710" l="1"/>
  <c r="AI1710"/>
  <c r="Y1710"/>
  <c r="Z1710" s="1"/>
  <c r="N1710"/>
  <c r="AE1709"/>
  <c r="AJ1709"/>
  <c r="W1709"/>
  <c r="U1709" l="1"/>
  <c r="AI1709"/>
  <c r="Y1709"/>
  <c r="Z1709" s="1"/>
  <c r="N1709"/>
  <c r="AE1708"/>
  <c r="AJ1708"/>
  <c r="W1708"/>
  <c r="U1708" l="1"/>
  <c r="AI1708"/>
  <c r="Y1708"/>
  <c r="Z1708" s="1"/>
  <c r="N1708"/>
  <c r="AE1707"/>
  <c r="AJ1707"/>
  <c r="W1707"/>
  <c r="U1707" l="1"/>
  <c r="AI1707"/>
  <c r="Y1707"/>
  <c r="Z1707" s="1"/>
  <c r="N1707"/>
  <c r="AE1706"/>
  <c r="AJ1706"/>
  <c r="W1706"/>
  <c r="U1706" l="1"/>
  <c r="AI1706"/>
  <c r="Y1706"/>
  <c r="Z1706" s="1"/>
  <c r="N1706"/>
  <c r="AE1705"/>
  <c r="AJ1705"/>
  <c r="W1705"/>
  <c r="U1705" l="1"/>
  <c r="AI1705"/>
  <c r="Y1705"/>
  <c r="Z1705" s="1"/>
  <c r="N1705"/>
  <c r="AE1704"/>
  <c r="AJ1704"/>
  <c r="W1704"/>
  <c r="U1704" l="1"/>
  <c r="AI1704"/>
  <c r="Y1704"/>
  <c r="Z1704" s="1"/>
  <c r="N1704"/>
  <c r="AE1702" l="1"/>
  <c r="AJ1702"/>
  <c r="W1702"/>
  <c r="U1702" l="1"/>
  <c r="AI1702"/>
  <c r="Y1702"/>
  <c r="Z1702" s="1"/>
  <c r="N1702"/>
  <c r="AE1701"/>
  <c r="AJ1701"/>
  <c r="W1701"/>
  <c r="U1701" l="1"/>
  <c r="AI1701"/>
  <c r="Y1701"/>
  <c r="Z1701" s="1"/>
  <c r="N1701"/>
  <c r="AE1700"/>
  <c r="AJ1700"/>
  <c r="W1700"/>
  <c r="U1700" l="1"/>
  <c r="AI1700"/>
  <c r="Y1700"/>
  <c r="Z1700" s="1"/>
  <c r="N1700"/>
  <c r="AE1699"/>
  <c r="AJ1699"/>
  <c r="W1699"/>
  <c r="U1699" l="1"/>
  <c r="AI1699"/>
  <c r="Y1699"/>
  <c r="Z1699" s="1"/>
  <c r="N1699"/>
  <c r="AE1698"/>
  <c r="AJ1698"/>
  <c r="W1698"/>
  <c r="U1698" l="1"/>
  <c r="AI1698"/>
  <c r="Y1698"/>
  <c r="Z1698" s="1"/>
  <c r="N1698"/>
  <c r="AE1697"/>
  <c r="AJ1697"/>
  <c r="W1697"/>
  <c r="U1697" l="1"/>
  <c r="AI1697"/>
  <c r="Y1697"/>
  <c r="Z1697" s="1"/>
  <c r="N1697"/>
  <c r="AE1696"/>
  <c r="W1696"/>
  <c r="U1696" l="1"/>
  <c r="Y1696"/>
  <c r="Z1696" s="1"/>
  <c r="N1696"/>
  <c r="AE1695"/>
  <c r="W1695"/>
  <c r="U1695" l="1"/>
  <c r="Y1695"/>
  <c r="Z1695" s="1"/>
  <c r="N1695"/>
  <c r="AE1692" l="1"/>
  <c r="W1692"/>
  <c r="U1692" l="1"/>
  <c r="Y1692"/>
  <c r="Z1692" s="1"/>
  <c r="N1692"/>
  <c r="AE1691"/>
  <c r="AJ1691"/>
  <c r="W1691"/>
  <c r="U1691" l="1"/>
  <c r="AI1691"/>
  <c r="Y1691"/>
  <c r="Z1691" s="1"/>
  <c r="N1691"/>
  <c r="AE1690"/>
  <c r="AJ1690"/>
  <c r="W1690"/>
  <c r="U1690" l="1"/>
  <c r="AI1690"/>
  <c r="Y1690"/>
  <c r="Z1690" s="1"/>
  <c r="N1690"/>
  <c r="AE1689"/>
  <c r="AJ1689"/>
  <c r="W1689"/>
  <c r="U1689" l="1"/>
  <c r="AI1689"/>
  <c r="Y1689"/>
  <c r="Z1689" s="1"/>
  <c r="N1689"/>
  <c r="AE1688"/>
  <c r="AJ1688"/>
  <c r="W1688"/>
  <c r="U1688" l="1"/>
  <c r="AI1688"/>
  <c r="Y1688"/>
  <c r="Z1688" s="1"/>
  <c r="N1688"/>
  <c r="AE1687"/>
  <c r="AJ1687"/>
  <c r="W1687"/>
  <c r="U1687" l="1"/>
  <c r="AI1687"/>
  <c r="Y1687"/>
  <c r="Z1687" s="1"/>
  <c r="N1687"/>
  <c r="AE1686"/>
  <c r="AJ1686"/>
  <c r="W1686"/>
  <c r="U1686" l="1"/>
  <c r="AI1686"/>
  <c r="Y1686"/>
  <c r="Z1686" s="1"/>
  <c r="AE1683"/>
  <c r="AJ1683"/>
  <c r="W1683"/>
  <c r="U1683" l="1"/>
  <c r="AI1683"/>
  <c r="Y1683"/>
  <c r="Z1683" s="1"/>
  <c r="N1683"/>
  <c r="AE1682"/>
  <c r="AJ1682"/>
  <c r="W1682"/>
  <c r="U1682" l="1"/>
  <c r="AI1682"/>
  <c r="Y1682"/>
  <c r="Z1682" s="1"/>
  <c r="N1682"/>
  <c r="AE1681"/>
  <c r="AJ1681"/>
  <c r="W1681"/>
  <c r="U1681" l="1"/>
  <c r="AI1681"/>
  <c r="Y1681"/>
  <c r="Z1681" s="1"/>
  <c r="N1681"/>
  <c r="AE1680"/>
  <c r="AJ1680"/>
  <c r="W1680"/>
  <c r="U1680" l="1"/>
  <c r="AI1680"/>
  <c r="Y1680"/>
  <c r="Z1680" s="1"/>
  <c r="N1680"/>
  <c r="AE1679"/>
  <c r="AJ1679"/>
  <c r="W1679"/>
  <c r="U1679" l="1"/>
  <c r="AI1679"/>
  <c r="Y1679"/>
  <c r="Z1679" s="1"/>
  <c r="N1679"/>
  <c r="AE1678"/>
  <c r="AJ1678"/>
  <c r="W1678"/>
  <c r="U1678" l="1"/>
  <c r="AI1678"/>
  <c r="Y1678"/>
  <c r="Z1678" s="1"/>
  <c r="N1678"/>
  <c r="AE1677"/>
  <c r="AJ1677"/>
  <c r="W1677"/>
  <c r="U1677" l="1"/>
  <c r="AI1677"/>
  <c r="Y1677"/>
  <c r="Z1677" s="1"/>
  <c r="N1677"/>
  <c r="AE1676"/>
  <c r="AJ1676"/>
  <c r="W1676"/>
  <c r="U1676" l="1"/>
  <c r="AI1676"/>
  <c r="Y1676"/>
  <c r="Z1676" s="1"/>
  <c r="N1676"/>
  <c r="AE1675"/>
  <c r="AJ1675"/>
  <c r="W1675"/>
  <c r="U1675" l="1"/>
  <c r="AI1675"/>
  <c r="Y1675"/>
  <c r="Z1675" s="1"/>
  <c r="N1675"/>
  <c r="AE1674"/>
  <c r="AJ1674"/>
  <c r="W1674"/>
  <c r="U1674" l="1"/>
  <c r="AI1674"/>
  <c r="Y1674"/>
  <c r="Z1674" s="1"/>
  <c r="N1674"/>
  <c r="AE1673"/>
  <c r="AJ1673"/>
  <c r="W1673"/>
  <c r="U1673" l="1"/>
  <c r="AI1673"/>
  <c r="Y1673"/>
  <c r="Z1673" s="1"/>
  <c r="N1673"/>
  <c r="AE1672"/>
  <c r="AJ1672"/>
  <c r="W1672"/>
  <c r="U1672" l="1"/>
  <c r="AI1672"/>
  <c r="Y1672"/>
  <c r="Z1672" s="1"/>
  <c r="AE1669"/>
  <c r="AJ1669"/>
  <c r="W1669"/>
  <c r="U1669" l="1"/>
  <c r="AI1669"/>
  <c r="Y1669"/>
  <c r="Z1669" s="1"/>
  <c r="N1669"/>
  <c r="AE1668"/>
  <c r="AJ1668"/>
  <c r="W1668"/>
  <c r="U1668" l="1"/>
  <c r="AI1668"/>
  <c r="Y1668"/>
  <c r="Z1668" s="1"/>
  <c r="N1668"/>
  <c r="AE1666" l="1"/>
  <c r="AJ1666"/>
  <c r="W1666"/>
  <c r="U1666" l="1"/>
  <c r="AI1666"/>
  <c r="Y1666"/>
  <c r="Z1666" s="1"/>
  <c r="N1666"/>
  <c r="AE1665"/>
  <c r="AJ1665"/>
  <c r="W1665"/>
  <c r="U1665" l="1"/>
  <c r="AI1665"/>
  <c r="Y1665"/>
  <c r="Z1665" s="1"/>
  <c r="N1665"/>
  <c r="AE1664"/>
  <c r="AJ1664"/>
  <c r="W1664"/>
  <c r="U1664" l="1"/>
  <c r="AI1664"/>
  <c r="Y1664"/>
  <c r="Z1664" s="1"/>
  <c r="N1664"/>
  <c r="AE1663"/>
  <c r="W1663"/>
  <c r="AJ1663"/>
  <c r="U1663" l="1"/>
  <c r="AI1663"/>
  <c r="Y1663"/>
  <c r="Z1663" s="1"/>
  <c r="N1663"/>
  <c r="AE1662"/>
  <c r="AJ1662"/>
  <c r="W1662"/>
  <c r="U1662" l="1"/>
  <c r="AI1662"/>
  <c r="Y1662"/>
  <c r="Z1662" s="1"/>
  <c r="N1662"/>
  <c r="AE1661"/>
  <c r="AJ1661"/>
  <c r="W1661"/>
  <c r="U1661" l="1"/>
  <c r="AI1661"/>
  <c r="Y1661"/>
  <c r="Z1661" s="1"/>
  <c r="N1661"/>
  <c r="AE1660"/>
  <c r="W1660"/>
  <c r="AJ1660"/>
  <c r="U1660" l="1"/>
  <c r="AI1660"/>
  <c r="Y1660"/>
  <c r="Z1660" s="1"/>
  <c r="N1660"/>
  <c r="AE1659"/>
  <c r="AJ1659"/>
  <c r="W1659"/>
  <c r="U1659" l="1"/>
  <c r="AI1659"/>
  <c r="Y1659"/>
  <c r="Z1659" s="1"/>
  <c r="N1659"/>
  <c r="AE1658"/>
  <c r="AJ1658"/>
  <c r="W1658"/>
  <c r="U1658" l="1"/>
  <c r="AI1658"/>
  <c r="Y1658"/>
  <c r="Z1658" s="1"/>
  <c r="N1658"/>
  <c r="AE1656" l="1"/>
  <c r="AJ1656"/>
  <c r="W1656"/>
  <c r="U1656" l="1"/>
  <c r="AI1656"/>
  <c r="Y1656"/>
  <c r="Z1656" s="1"/>
  <c r="N1656"/>
  <c r="AE1655"/>
  <c r="AJ1655"/>
  <c r="W1655"/>
  <c r="U1655" l="1"/>
  <c r="AI1655"/>
  <c r="Y1655"/>
  <c r="Z1655" s="1"/>
  <c r="N1655"/>
  <c r="AE1654"/>
  <c r="AJ1654"/>
  <c r="W1654"/>
  <c r="U1654" l="1"/>
  <c r="AI1654"/>
  <c r="Y1654"/>
  <c r="Z1654" s="1"/>
  <c r="N1654"/>
  <c r="AE1653"/>
  <c r="AJ1653"/>
  <c r="W1653"/>
  <c r="U1653" l="1"/>
  <c r="AI1653"/>
  <c r="Y1653"/>
  <c r="Z1653" s="1"/>
  <c r="N1653"/>
  <c r="AE1652"/>
  <c r="AJ1652"/>
  <c r="W1652"/>
  <c r="U1652" l="1"/>
  <c r="AI1652"/>
  <c r="Y1652"/>
  <c r="Z1652" s="1"/>
  <c r="N1652"/>
  <c r="AE1651"/>
  <c r="AJ1651"/>
  <c r="W1651"/>
  <c r="U1651" l="1"/>
  <c r="AI1651"/>
  <c r="Y1651"/>
  <c r="Z1651" s="1"/>
  <c r="N1651"/>
  <c r="AE1650"/>
  <c r="AJ1650"/>
  <c r="W1650"/>
  <c r="U1650" l="1"/>
  <c r="AI1650"/>
  <c r="Y1650"/>
  <c r="Z1650" s="1"/>
  <c r="N1650"/>
  <c r="AE1649"/>
  <c r="W1649"/>
  <c r="AJ1649"/>
  <c r="U1649" l="1"/>
  <c r="AI1649"/>
  <c r="Y1649"/>
  <c r="Z1649" s="1"/>
  <c r="N1649"/>
  <c r="AE1648"/>
  <c r="W1648"/>
  <c r="AJ1648"/>
  <c r="U1648" l="1"/>
  <c r="AI1648"/>
  <c r="Y1648"/>
  <c r="Z1648" s="1"/>
  <c r="N1648"/>
  <c r="AE1647"/>
  <c r="AJ1647"/>
  <c r="W1647"/>
  <c r="U1647" l="1"/>
  <c r="AI1647"/>
  <c r="Y1647"/>
  <c r="Z1647" s="1"/>
  <c r="N1647"/>
  <c r="AE1646"/>
  <c r="AJ1646"/>
  <c r="W1646"/>
  <c r="U1646" l="1"/>
  <c r="AI1646"/>
  <c r="Y1646"/>
  <c r="Z1646" s="1"/>
  <c r="N1646"/>
  <c r="AE1645"/>
  <c r="AJ1645"/>
  <c r="W1645"/>
  <c r="U1645" l="1"/>
  <c r="AI1645"/>
  <c r="Y1645"/>
  <c r="Z1645" s="1"/>
  <c r="N1645"/>
  <c r="AE1644"/>
  <c r="AJ1644"/>
  <c r="W1644"/>
  <c r="U1644" l="1"/>
  <c r="AI1644"/>
  <c r="Y1644"/>
  <c r="Z1644" s="1"/>
  <c r="N1644"/>
  <c r="AE1643"/>
  <c r="AJ1643"/>
  <c r="W1643"/>
  <c r="U1643" l="1"/>
  <c r="AI1643"/>
  <c r="Y1643"/>
  <c r="Z1643" s="1"/>
  <c r="N1643"/>
  <c r="AE1642"/>
  <c r="AJ1642"/>
  <c r="W1642"/>
  <c r="U1642" l="1"/>
  <c r="AI1642"/>
  <c r="Y1642"/>
  <c r="Z1642" s="1"/>
  <c r="N1642"/>
  <c r="AE1641"/>
  <c r="AJ1641"/>
  <c r="W1641"/>
  <c r="U1641" l="1"/>
  <c r="AI1641"/>
  <c r="Y1641"/>
  <c r="Z1641" s="1"/>
  <c r="N1641"/>
  <c r="AE1640"/>
  <c r="AJ1640"/>
  <c r="W1640"/>
  <c r="U1640" l="1"/>
  <c r="AI1640"/>
  <c r="Y1640"/>
  <c r="Z1640" s="1"/>
  <c r="N1640"/>
  <c r="AE1639"/>
  <c r="AJ1639"/>
  <c r="W1639"/>
  <c r="U1639" l="1"/>
  <c r="AI1639"/>
  <c r="Y1639"/>
  <c r="Z1639" s="1"/>
  <c r="N1639"/>
  <c r="AE1638"/>
  <c r="AJ1638"/>
  <c r="W1638"/>
  <c r="U1638" l="1"/>
  <c r="AI1638"/>
  <c r="Y1638"/>
  <c r="Z1638" s="1"/>
  <c r="N1638"/>
  <c r="AE1637"/>
  <c r="AJ1637"/>
  <c r="W1637"/>
  <c r="U1637" l="1"/>
  <c r="AI1637"/>
  <c r="Y1637"/>
  <c r="Z1637" s="1"/>
  <c r="N1637"/>
  <c r="AE1636"/>
  <c r="AJ1636"/>
  <c r="W1636"/>
  <c r="U1636" l="1"/>
  <c r="AI1636"/>
  <c r="Y1636"/>
  <c r="Z1636" s="1"/>
  <c r="N1636"/>
  <c r="AE1634" l="1"/>
  <c r="AJ1634"/>
  <c r="W1634"/>
  <c r="U1634" l="1"/>
  <c r="AI1634"/>
  <c r="Y1634"/>
  <c r="Z1634" s="1"/>
  <c r="N1634"/>
  <c r="AE1633"/>
  <c r="AJ1633"/>
  <c r="W1633"/>
  <c r="U1633" l="1"/>
  <c r="AI1633"/>
  <c r="Y1633"/>
  <c r="Z1633" s="1"/>
  <c r="AE1629" l="1"/>
  <c r="AJ1629"/>
  <c r="W1629"/>
  <c r="U1629" l="1"/>
  <c r="AI1629"/>
  <c r="Y1629"/>
  <c r="Z1629" s="1"/>
  <c r="N1629"/>
  <c r="AE1628"/>
  <c r="AJ1628"/>
  <c r="W1628"/>
  <c r="U1628" l="1"/>
  <c r="AI1628"/>
  <c r="Y1628"/>
  <c r="Z1628" s="1"/>
  <c r="N1628"/>
  <c r="AE1627"/>
  <c r="AJ1627"/>
  <c r="W1627"/>
  <c r="U1627" l="1"/>
  <c r="AI1627"/>
  <c r="Y1627"/>
  <c r="Z1627" s="1"/>
  <c r="N1627"/>
  <c r="AE1626"/>
  <c r="AJ1626"/>
  <c r="W1626"/>
  <c r="U1626" l="1"/>
  <c r="AI1626"/>
  <c r="Y1626"/>
  <c r="Z1626" s="1"/>
  <c r="N1626"/>
  <c r="AE1625"/>
  <c r="AJ1625"/>
  <c r="W1625"/>
  <c r="U1625" l="1"/>
  <c r="AI1625"/>
  <c r="Y1625"/>
  <c r="Z1625" s="1"/>
  <c r="N1625"/>
  <c r="AE1623" l="1"/>
  <c r="AJ1623"/>
  <c r="W1623"/>
  <c r="U1623" l="1"/>
  <c r="AI1623"/>
  <c r="Y1623"/>
  <c r="Z1623" s="1"/>
  <c r="N1623"/>
  <c r="AE1622"/>
  <c r="AJ1622"/>
  <c r="W1622"/>
  <c r="U1622" l="1"/>
  <c r="AI1622"/>
  <c r="Y1622"/>
  <c r="Z1622" s="1"/>
  <c r="N1622"/>
  <c r="AE1621"/>
  <c r="AJ1621"/>
  <c r="W1621"/>
  <c r="U1621" l="1"/>
  <c r="AI1621"/>
  <c r="Y1621"/>
  <c r="Z1621" s="1"/>
  <c r="N1621"/>
  <c r="AE1620"/>
  <c r="AJ1620"/>
  <c r="W1620"/>
  <c r="U1620" l="1"/>
  <c r="AI1620"/>
  <c r="Y1620"/>
  <c r="Z1620" s="1"/>
  <c r="N1620"/>
  <c r="AE1619"/>
  <c r="AJ1619"/>
  <c r="W1619"/>
  <c r="U1619" l="1"/>
  <c r="AI1619"/>
  <c r="Y1619"/>
  <c r="Z1619" s="1"/>
  <c r="N1619"/>
  <c r="AE1618"/>
  <c r="AJ1618"/>
  <c r="W1618"/>
  <c r="U1618" l="1"/>
  <c r="AI1618"/>
  <c r="Y1618"/>
  <c r="Z1618" s="1"/>
  <c r="N1618"/>
  <c r="AE1617"/>
  <c r="W1617"/>
  <c r="AJ1617"/>
  <c r="U1617" l="1"/>
  <c r="AI1617"/>
  <c r="Y1617"/>
  <c r="Z1617" s="1"/>
  <c r="N1617"/>
  <c r="AE1616"/>
  <c r="AJ1616"/>
  <c r="W1616"/>
  <c r="U1616" l="1"/>
  <c r="AI1616"/>
  <c r="Y1616"/>
  <c r="Z1616" s="1"/>
  <c r="N1616"/>
  <c r="AE1615"/>
  <c r="AJ1615"/>
  <c r="W1615"/>
  <c r="U1615" l="1"/>
  <c r="AI1615"/>
  <c r="Y1615"/>
  <c r="Z1615" s="1"/>
  <c r="N1615"/>
  <c r="AE1614"/>
  <c r="AJ1614"/>
  <c r="W1614"/>
  <c r="U1614" l="1"/>
  <c r="AI1614"/>
  <c r="Y1614"/>
  <c r="Z1614" s="1"/>
  <c r="N1614"/>
  <c r="AE1613"/>
  <c r="AJ1613"/>
  <c r="W1613"/>
  <c r="U1613" l="1"/>
  <c r="AI1613"/>
  <c r="Y1613"/>
  <c r="Z1613" s="1"/>
  <c r="N1613"/>
  <c r="AE1612"/>
  <c r="AJ1612"/>
  <c r="W1612"/>
  <c r="U1612" l="1"/>
  <c r="AI1612"/>
  <c r="Y1612"/>
  <c r="Z1612" s="1"/>
  <c r="N1612"/>
  <c r="AE1611"/>
  <c r="W1611"/>
  <c r="AJ1611"/>
  <c r="U1611" l="1"/>
  <c r="AI1611"/>
  <c r="Y1611"/>
  <c r="Z1611" s="1"/>
  <c r="N1611"/>
  <c r="AE1610"/>
  <c r="AJ1610"/>
  <c r="W1610"/>
  <c r="U1610" l="1"/>
  <c r="AI1610"/>
  <c r="Y1610"/>
  <c r="Z1610" s="1"/>
  <c r="N1610"/>
  <c r="AE1609"/>
  <c r="AJ1609"/>
  <c r="W1609"/>
  <c r="U1609" l="1"/>
  <c r="AI1609"/>
  <c r="Y1609"/>
  <c r="Z1609" s="1"/>
  <c r="N1609"/>
  <c r="AI1608"/>
  <c r="AE1608"/>
  <c r="W1608"/>
  <c r="U1608" l="1"/>
  <c r="Y1608"/>
  <c r="Z1608" s="1"/>
  <c r="N1608"/>
  <c r="AI1607"/>
  <c r="AE1607"/>
  <c r="W1607"/>
  <c r="U1607" l="1"/>
  <c r="Y1607"/>
  <c r="Z1607" s="1"/>
  <c r="N1607"/>
  <c r="AI1606"/>
  <c r="AE1606"/>
  <c r="W1606"/>
  <c r="U1606" l="1"/>
  <c r="Y1606"/>
  <c r="Z1606" s="1"/>
  <c r="N1606"/>
  <c r="AE1605"/>
  <c r="AJ1605"/>
  <c r="W1605"/>
  <c r="U1605" l="1"/>
  <c r="AI1605"/>
  <c r="Y1605"/>
  <c r="Z1605" s="1"/>
  <c r="N1605"/>
  <c r="AE1604"/>
  <c r="AJ1604"/>
  <c r="W1604"/>
  <c r="U1604" l="1"/>
  <c r="AI1604"/>
  <c r="Y1604"/>
  <c r="Z1604" s="1"/>
  <c r="N1604"/>
  <c r="AE1602" l="1"/>
  <c r="AJ1602"/>
  <c r="W1602"/>
  <c r="U1602" l="1"/>
  <c r="AI1602"/>
  <c r="Y1602"/>
  <c r="Z1602" s="1"/>
  <c r="N1602"/>
  <c r="AE1601"/>
  <c r="AJ1601"/>
  <c r="W1601"/>
  <c r="U1601" l="1"/>
  <c r="AI1601"/>
  <c r="Y1601"/>
  <c r="Z1601" s="1"/>
  <c r="N1601"/>
  <c r="AE1600"/>
  <c r="AJ1600"/>
  <c r="W1600"/>
  <c r="U1600" l="1"/>
  <c r="AI1600"/>
  <c r="Y1600"/>
  <c r="Z1600" s="1"/>
  <c r="N1600"/>
  <c r="AE1599"/>
  <c r="W1599"/>
  <c r="AJ1599"/>
  <c r="U1599" l="1"/>
  <c r="AI1599"/>
  <c r="Y1599"/>
  <c r="Z1599" s="1"/>
  <c r="N1599"/>
  <c r="AE1598"/>
  <c r="AJ1598"/>
  <c r="W1598"/>
  <c r="U1598" l="1"/>
  <c r="AI1598"/>
  <c r="Y1598"/>
  <c r="Z1598" s="1"/>
  <c r="N1598"/>
  <c r="AE1597"/>
  <c r="AJ1597"/>
  <c r="W1597"/>
  <c r="U1597" l="1"/>
  <c r="AI1597"/>
  <c r="Y1597"/>
  <c r="Z1597" s="1"/>
  <c r="N1597"/>
  <c r="AE1596"/>
  <c r="AJ1596"/>
  <c r="W1596"/>
  <c r="U1596" l="1"/>
  <c r="AI1596"/>
  <c r="Y1596"/>
  <c r="Z1596" s="1"/>
  <c r="N1596"/>
  <c r="AE1595"/>
  <c r="AJ1595"/>
  <c r="W1595"/>
  <c r="U1595" l="1"/>
  <c r="AI1595"/>
  <c r="Y1595"/>
  <c r="Z1595" s="1"/>
  <c r="N1595"/>
  <c r="AE1594"/>
  <c r="AJ1594"/>
  <c r="W1594"/>
  <c r="U1594" l="1"/>
  <c r="AI1594"/>
  <c r="Y1594"/>
  <c r="Z1594" s="1"/>
  <c r="N1594"/>
  <c r="AE1593"/>
  <c r="AJ1593"/>
  <c r="W1593"/>
  <c r="U1593" l="1"/>
  <c r="AI1593"/>
  <c r="Y1593"/>
  <c r="Z1593" s="1"/>
  <c r="N1593"/>
  <c r="AE1592" l="1"/>
  <c r="AJ1592"/>
  <c r="W1592"/>
  <c r="U1592" l="1"/>
  <c r="AI1592"/>
  <c r="Y1592"/>
  <c r="Z1592" s="1"/>
  <c r="N1592"/>
  <c r="AE1591"/>
  <c r="AJ1591"/>
  <c r="W1591"/>
  <c r="U1591" l="1"/>
  <c r="AI1591"/>
  <c r="Y1591"/>
  <c r="Z1591" s="1"/>
  <c r="N1591"/>
  <c r="AE1590"/>
  <c r="AJ1590"/>
  <c r="W1590"/>
  <c r="U1590" l="1"/>
  <c r="AI1590"/>
  <c r="Y1590"/>
  <c r="Z1590" s="1"/>
  <c r="AE1589"/>
  <c r="AJ1589"/>
  <c r="W1589"/>
  <c r="U1589" l="1"/>
  <c r="AI1589"/>
  <c r="Y1589"/>
  <c r="Z1589" s="1"/>
  <c r="N1589"/>
  <c r="AE1588"/>
  <c r="AJ1588"/>
  <c r="W1588"/>
  <c r="U1588" l="1"/>
  <c r="AI1588"/>
  <c r="Y1588"/>
  <c r="Z1588" s="1"/>
  <c r="AE1585"/>
  <c r="AJ1585"/>
  <c r="W1585"/>
  <c r="U1585" l="1"/>
  <c r="AI1585"/>
  <c r="Y1585"/>
  <c r="Z1585" s="1"/>
  <c r="N1585"/>
  <c r="AE1584"/>
  <c r="AJ1584"/>
  <c r="W1584"/>
  <c r="U1584" l="1"/>
  <c r="AI1584"/>
  <c r="Y1584"/>
  <c r="Z1584" s="1"/>
  <c r="N1584"/>
  <c r="AE1583"/>
  <c r="AJ1583"/>
  <c r="W1583"/>
  <c r="U1583" l="1"/>
  <c r="AI1583"/>
  <c r="Y1583"/>
  <c r="Z1583" s="1"/>
  <c r="N1583"/>
  <c r="AE1582"/>
  <c r="AJ1582"/>
  <c r="W1582"/>
  <c r="U1582" l="1"/>
  <c r="AI1582"/>
  <c r="Y1582"/>
  <c r="Z1582" s="1"/>
  <c r="N1582"/>
  <c r="AE1581"/>
  <c r="AJ1581"/>
  <c r="W1581"/>
  <c r="U1581" l="1"/>
  <c r="AI1581"/>
  <c r="Y1581"/>
  <c r="Z1581" s="1"/>
  <c r="N1581"/>
  <c r="AE1580"/>
  <c r="AJ1580"/>
  <c r="W1580"/>
  <c r="U1580" l="1"/>
  <c r="AI1580"/>
  <c r="Y1580"/>
  <c r="Z1580" s="1"/>
  <c r="N1580"/>
  <c r="AE1579"/>
  <c r="AJ1579"/>
  <c r="W1579"/>
  <c r="U1579" l="1"/>
  <c r="AI1579"/>
  <c r="Y1579"/>
  <c r="Z1579" s="1"/>
  <c r="N1579"/>
  <c r="AE1578"/>
  <c r="AJ1578"/>
  <c r="W1578"/>
  <c r="U1578" l="1"/>
  <c r="AI1578"/>
  <c r="Y1578"/>
  <c r="Z1578" s="1"/>
  <c r="N1578"/>
  <c r="AE1577"/>
  <c r="AJ1577"/>
  <c r="W1577"/>
  <c r="U1577" l="1"/>
  <c r="AI1577"/>
  <c r="Y1577"/>
  <c r="Z1577" s="1"/>
  <c r="N1577"/>
  <c r="AE1576"/>
  <c r="AJ1576"/>
  <c r="W1576"/>
  <c r="U1576" l="1"/>
  <c r="AI1576"/>
  <c r="Y1576"/>
  <c r="Z1576" s="1"/>
  <c r="N1576"/>
  <c r="AE1575"/>
  <c r="AJ1575"/>
  <c r="W1575"/>
  <c r="U1575" l="1"/>
  <c r="AI1575"/>
  <c r="Y1575"/>
  <c r="Z1575" s="1"/>
  <c r="N1575"/>
  <c r="AE1574"/>
  <c r="AJ1574"/>
  <c r="W1574"/>
  <c r="U1574" l="1"/>
  <c r="AI1574"/>
  <c r="Y1574"/>
  <c r="Z1574" s="1"/>
  <c r="N1574"/>
  <c r="AE1573"/>
  <c r="AJ1573"/>
  <c r="W1573"/>
  <c r="U1573" l="1"/>
  <c r="AI1573"/>
  <c r="Y1573"/>
  <c r="Z1573" s="1"/>
  <c r="N1573"/>
  <c r="AE1571" l="1"/>
  <c r="AJ1571"/>
  <c r="W1571"/>
  <c r="U1571" l="1"/>
  <c r="AI1571"/>
  <c r="Y1571"/>
  <c r="Z1571" s="1"/>
  <c r="N1571"/>
  <c r="AE1570"/>
  <c r="AJ1570"/>
  <c r="W1570"/>
  <c r="U1570" l="1"/>
  <c r="AI1570"/>
  <c r="Y1570"/>
  <c r="Z1570" s="1"/>
  <c r="N1570"/>
  <c r="AE1569"/>
  <c r="AJ1569"/>
  <c r="W1569"/>
  <c r="U1569" l="1"/>
  <c r="AI1569"/>
  <c r="Y1569"/>
  <c r="Z1569" s="1"/>
  <c r="N1569"/>
  <c r="AE1567" l="1"/>
  <c r="AJ1567"/>
  <c r="W1567"/>
  <c r="U1567" l="1"/>
  <c r="AI1567"/>
  <c r="Y1567"/>
  <c r="Z1567" s="1"/>
  <c r="N1567"/>
  <c r="AE1566"/>
  <c r="AJ1566"/>
  <c r="W1566"/>
  <c r="U1566" l="1"/>
  <c r="AI1566"/>
  <c r="Y1566"/>
  <c r="Z1566" s="1"/>
  <c r="N1566"/>
  <c r="AE1565"/>
  <c r="AJ1565"/>
  <c r="W1565"/>
  <c r="U1565" l="1"/>
  <c r="AI1565"/>
  <c r="Y1565"/>
  <c r="Z1565" s="1"/>
  <c r="N1565"/>
  <c r="AE1564"/>
  <c r="W1564"/>
  <c r="AJ1564"/>
  <c r="U1564" l="1"/>
  <c r="AI1564"/>
  <c r="Y1564"/>
  <c r="Z1564" s="1"/>
  <c r="N1564"/>
  <c r="AE1563"/>
  <c r="AJ1563"/>
  <c r="W1563"/>
  <c r="U1563" l="1"/>
  <c r="AI1563"/>
  <c r="Y1563"/>
  <c r="Z1563" s="1"/>
  <c r="N1563"/>
  <c r="AE1562"/>
  <c r="AJ1562"/>
  <c r="W1562"/>
  <c r="U1562" l="1"/>
  <c r="AI1562"/>
  <c r="Y1562"/>
  <c r="Z1562" s="1"/>
  <c r="N1562"/>
  <c r="AE1561"/>
  <c r="AJ1561"/>
  <c r="W1561"/>
  <c r="U1561" l="1"/>
  <c r="AI1561"/>
  <c r="Y1561"/>
  <c r="Z1561" s="1"/>
  <c r="N1561"/>
  <c r="AE1560"/>
  <c r="AJ1560"/>
  <c r="W1560"/>
  <c r="U1560" l="1"/>
  <c r="AI1560"/>
  <c r="Y1560"/>
  <c r="Z1560" s="1"/>
  <c r="N1560"/>
  <c r="AE1559"/>
  <c r="AJ1559"/>
  <c r="W1559"/>
  <c r="U1559" l="1"/>
  <c r="AI1559"/>
  <c r="Y1559"/>
  <c r="Z1559" s="1"/>
  <c r="N1559"/>
  <c r="AE1558"/>
  <c r="AJ1558"/>
  <c r="W1558"/>
  <c r="U1558" l="1"/>
  <c r="AI1558"/>
  <c r="Y1558"/>
  <c r="Z1558" s="1"/>
  <c r="N1558"/>
  <c r="AE1557"/>
  <c r="W1557"/>
  <c r="AJ1557"/>
  <c r="U1557" l="1"/>
  <c r="AI1557"/>
  <c r="Y1557"/>
  <c r="Z1557" s="1"/>
  <c r="N1557"/>
  <c r="AE1556"/>
  <c r="AJ1556"/>
  <c r="W1556"/>
  <c r="U1556" l="1"/>
  <c r="AI1556"/>
  <c r="Y1556"/>
  <c r="Z1556" s="1"/>
  <c r="N1556"/>
  <c r="AE1555"/>
  <c r="AJ1555"/>
  <c r="W1555"/>
  <c r="U1555" l="1"/>
  <c r="AI1555"/>
  <c r="Y1555"/>
  <c r="Z1555" s="1"/>
  <c r="N1555"/>
  <c r="AE1554"/>
  <c r="AJ1554"/>
  <c r="W1554"/>
  <c r="U1554" l="1"/>
  <c r="AI1554"/>
  <c r="Y1554"/>
  <c r="Z1554" s="1"/>
  <c r="N1554"/>
  <c r="AE1553"/>
  <c r="AJ1553"/>
  <c r="W1553"/>
  <c r="U1553" l="1"/>
  <c r="AI1553"/>
  <c r="Y1553"/>
  <c r="Z1553" s="1"/>
  <c r="N1553"/>
  <c r="AE1552"/>
  <c r="AJ1552"/>
  <c r="W1552"/>
  <c r="U1552" l="1"/>
  <c r="AI1552"/>
  <c r="Y1552"/>
  <c r="Z1552" s="1"/>
  <c r="N1552"/>
  <c r="AE1551"/>
  <c r="AJ1551"/>
  <c r="W1551"/>
  <c r="U1551" l="1"/>
  <c r="AI1551"/>
  <c r="Y1551"/>
  <c r="Z1551" s="1"/>
  <c r="N1551"/>
  <c r="AE1550"/>
  <c r="AJ1550"/>
  <c r="W1550"/>
  <c r="U1550" l="1"/>
  <c r="AI1550"/>
  <c r="Y1550"/>
  <c r="Z1550" s="1"/>
  <c r="N1550"/>
  <c r="AE1548" l="1"/>
  <c r="AJ1548"/>
  <c r="W1548"/>
  <c r="U1548" l="1"/>
  <c r="AI1548"/>
  <c r="Y1548"/>
  <c r="Z1548" s="1"/>
  <c r="N1548"/>
  <c r="AE1547"/>
  <c r="AJ1547"/>
  <c r="W1547"/>
  <c r="U1547" l="1"/>
  <c r="AI1547"/>
  <c r="Y1547"/>
  <c r="Z1547" s="1"/>
  <c r="N1547"/>
  <c r="AE1546"/>
  <c r="AJ1546"/>
  <c r="W1546"/>
  <c r="U1546" l="1"/>
  <c r="AI1546"/>
  <c r="Y1546"/>
  <c r="Z1546" s="1"/>
  <c r="N1546"/>
  <c r="AE1545"/>
  <c r="AJ1545"/>
  <c r="W1545"/>
  <c r="U1545" l="1"/>
  <c r="AI1545"/>
  <c r="Y1545"/>
  <c r="Z1545" s="1"/>
  <c r="N1545"/>
  <c r="AE1544"/>
  <c r="AJ1544"/>
  <c r="W1544"/>
  <c r="U1544" l="1"/>
  <c r="AI1544"/>
  <c r="Y1544"/>
  <c r="Z1544" s="1"/>
  <c r="N1544"/>
  <c r="AE1543"/>
  <c r="AJ1543"/>
  <c r="W1543"/>
  <c r="U1543" l="1"/>
  <c r="AI1543"/>
  <c r="Y1543"/>
  <c r="Z1543" s="1"/>
  <c r="N1543"/>
  <c r="AE1542"/>
  <c r="AJ1542"/>
  <c r="W1542"/>
  <c r="U1542" l="1"/>
  <c r="AI1542"/>
  <c r="Y1542"/>
  <c r="Z1542" s="1"/>
  <c r="AE1537" l="1"/>
  <c r="AJ1537"/>
  <c r="W1537"/>
  <c r="U1537" l="1"/>
  <c r="AI1537"/>
  <c r="Y1537"/>
  <c r="Z1537" s="1"/>
  <c r="AE1536"/>
  <c r="AJ1536"/>
  <c r="W1536"/>
  <c r="U1536" l="1"/>
  <c r="AI1536"/>
  <c r="Y1536"/>
  <c r="Z1536" s="1"/>
  <c r="N1536"/>
  <c r="AE1535"/>
  <c r="AJ1535"/>
  <c r="W1535"/>
  <c r="U1535" l="1"/>
  <c r="AI1535"/>
  <c r="Y1535"/>
  <c r="Z1535" s="1"/>
  <c r="N1535"/>
  <c r="AE1534"/>
  <c r="AJ1534"/>
  <c r="W1534"/>
  <c r="U1534" l="1"/>
  <c r="AI1534"/>
  <c r="Y1534"/>
  <c r="Z1534" s="1"/>
  <c r="N1534"/>
  <c r="AE1533"/>
  <c r="AJ1533"/>
  <c r="W1533"/>
  <c r="U1533" l="1"/>
  <c r="AI1533"/>
  <c r="Y1533"/>
  <c r="Z1533" s="1"/>
  <c r="N1533"/>
  <c r="AE1532"/>
  <c r="AJ1532"/>
  <c r="W1532"/>
  <c r="U1532" l="1"/>
  <c r="AI1532"/>
  <c r="Y1532"/>
  <c r="Z1532" s="1"/>
  <c r="N1532"/>
  <c r="AE1530" l="1"/>
  <c r="AJ1530"/>
  <c r="W1530"/>
  <c r="U1530" l="1"/>
  <c r="AI1530"/>
  <c r="Y1530"/>
  <c r="Z1530" s="1"/>
  <c r="N1530"/>
  <c r="AE1527" l="1"/>
  <c r="AJ1527"/>
  <c r="W1527"/>
  <c r="U1527" l="1"/>
  <c r="AI1527"/>
  <c r="Y1527"/>
  <c r="Z1527" s="1"/>
  <c r="N1527"/>
  <c r="AE1526"/>
  <c r="AJ1526"/>
  <c r="W1526"/>
  <c r="U1526" l="1"/>
  <c r="AI1526"/>
  <c r="Y1526"/>
  <c r="Z1526" s="1"/>
  <c r="N1526"/>
  <c r="AE1525"/>
  <c r="AJ1525"/>
  <c r="W1525"/>
  <c r="U1525" l="1"/>
  <c r="AI1525"/>
  <c r="Y1525"/>
  <c r="Z1525" s="1"/>
  <c r="N1525"/>
  <c r="AE1524"/>
  <c r="AJ1524"/>
  <c r="W1524"/>
  <c r="U1524" l="1"/>
  <c r="AI1524"/>
  <c r="Y1524"/>
  <c r="Z1524" s="1"/>
  <c r="N1524"/>
  <c r="AE1523"/>
  <c r="W1523"/>
  <c r="AJ1523"/>
  <c r="U1523" l="1"/>
  <c r="AI1523"/>
  <c r="Y1523"/>
  <c r="Z1523" s="1"/>
  <c r="N1523"/>
  <c r="AE1522"/>
  <c r="AJ1522"/>
  <c r="W1522"/>
  <c r="U1522" l="1"/>
  <c r="AI1522"/>
  <c r="Y1522"/>
  <c r="Z1522" s="1"/>
  <c r="N1522"/>
  <c r="AE1521"/>
  <c r="AJ1521"/>
  <c r="W1521"/>
  <c r="U1521" l="1"/>
  <c r="AI1521"/>
  <c r="Y1521"/>
  <c r="Z1521" s="1"/>
  <c r="N1521"/>
  <c r="AE1519" l="1"/>
  <c r="AJ1519"/>
  <c r="W1519"/>
  <c r="U1519" l="1"/>
  <c r="AI1519"/>
  <c r="Y1519"/>
  <c r="Z1519" s="1"/>
  <c r="N1519"/>
  <c r="AE1518"/>
  <c r="AJ1518"/>
  <c r="W1518"/>
  <c r="U1518" l="1"/>
  <c r="AI1518"/>
  <c r="Y1518"/>
  <c r="Z1518" s="1"/>
  <c r="N1518"/>
  <c r="AE1517"/>
  <c r="AJ1517"/>
  <c r="W1517"/>
  <c r="U1517" l="1"/>
  <c r="AI1517"/>
  <c r="Y1517"/>
  <c r="Z1517" s="1"/>
  <c r="N1517"/>
  <c r="AE1516"/>
  <c r="AJ1516"/>
  <c r="W1516"/>
  <c r="U1516" l="1"/>
  <c r="AI1516"/>
  <c r="Y1516"/>
  <c r="Z1516" s="1"/>
  <c r="N1516"/>
  <c r="AE1515"/>
  <c r="AJ1515"/>
  <c r="W1515"/>
  <c r="U1515" l="1"/>
  <c r="AI1515"/>
  <c r="Y1515"/>
  <c r="Z1515" s="1"/>
  <c r="N1515"/>
  <c r="AE1514"/>
  <c r="AJ1514"/>
  <c r="W1514"/>
  <c r="U1514" l="1"/>
  <c r="AI1514"/>
  <c r="Y1514"/>
  <c r="Z1514" s="1"/>
  <c r="N1514"/>
  <c r="AE1513"/>
  <c r="AJ1513"/>
  <c r="W1513"/>
  <c r="U1513" l="1"/>
  <c r="AI1513"/>
  <c r="Y1513"/>
  <c r="Z1513" s="1"/>
  <c r="N1513"/>
  <c r="AE1512"/>
  <c r="AJ1512"/>
  <c r="W1512"/>
  <c r="U1512" l="1"/>
  <c r="AI1512"/>
  <c r="Y1512"/>
  <c r="Z1512" s="1"/>
  <c r="N1512"/>
  <c r="AE1511"/>
  <c r="AJ1511"/>
  <c r="W1511"/>
  <c r="U1511" l="1"/>
  <c r="AI1511"/>
  <c r="Y1511"/>
  <c r="Z1511" s="1"/>
  <c r="AE1508"/>
  <c r="AJ1508"/>
  <c r="W1508"/>
  <c r="U1508" l="1"/>
  <c r="AI1508"/>
  <c r="Y1508"/>
  <c r="Z1508" s="1"/>
  <c r="N1508"/>
  <c r="AE1507"/>
  <c r="AJ1507"/>
  <c r="W1507"/>
  <c r="U1507" l="1"/>
  <c r="AI1507"/>
  <c r="Y1507"/>
  <c r="Z1507" s="1"/>
  <c r="N1507"/>
  <c r="AE1506"/>
  <c r="Y1506"/>
  <c r="Z1506" s="1"/>
  <c r="N1506"/>
  <c r="AE1505"/>
  <c r="AJ1506"/>
  <c r="AJ1505"/>
  <c r="W1505"/>
  <c r="U1505" l="1"/>
  <c r="AI1505"/>
  <c r="AI1506"/>
  <c r="Y1505"/>
  <c r="Z1505" s="1"/>
  <c r="N1505"/>
  <c r="AE1504"/>
  <c r="AJ1504"/>
  <c r="W1504"/>
  <c r="U1504" l="1"/>
  <c r="AI1504"/>
  <c r="Y1504"/>
  <c r="Z1504" s="1"/>
  <c r="N1504"/>
  <c r="AE1503"/>
  <c r="W1503"/>
  <c r="AJ1503"/>
  <c r="U1503" l="1"/>
  <c r="AI1503"/>
  <c r="Y1503"/>
  <c r="Z1503" s="1"/>
  <c r="N1503"/>
  <c r="AE1502"/>
  <c r="AJ1502"/>
  <c r="W1502"/>
  <c r="U1502" l="1"/>
  <c r="AI1502"/>
  <c r="Y1502"/>
  <c r="Z1502" s="1"/>
  <c r="N1502"/>
  <c r="AE1501"/>
  <c r="W1501"/>
  <c r="AJ1501"/>
  <c r="U1501" l="1"/>
  <c r="AI1501"/>
  <c r="Y1501"/>
  <c r="Z1501" s="1"/>
  <c r="N1501"/>
  <c r="AE1500"/>
  <c r="AJ1500"/>
  <c r="W1500"/>
  <c r="U1500" l="1"/>
  <c r="AI1500"/>
  <c r="Y1500"/>
  <c r="Z1500" s="1"/>
  <c r="N1500"/>
  <c r="AE1499"/>
  <c r="AJ1499"/>
  <c r="W1499"/>
  <c r="U1499" l="1"/>
  <c r="AI1499"/>
  <c r="Y1499"/>
  <c r="Z1499" s="1"/>
  <c r="N1499"/>
  <c r="AE1498"/>
  <c r="AJ1498"/>
  <c r="W1498"/>
  <c r="U1498" l="1"/>
  <c r="AI1498"/>
  <c r="Y1498"/>
  <c r="Z1498" s="1"/>
  <c r="N1498"/>
  <c r="AE1497"/>
  <c r="AJ1497"/>
  <c r="W1497"/>
  <c r="U1497" l="1"/>
  <c r="AI1497"/>
  <c r="Y1497"/>
  <c r="Z1497" s="1"/>
  <c r="N1497"/>
  <c r="AE1496"/>
  <c r="AJ1496"/>
  <c r="W1496"/>
  <c r="U1496" l="1"/>
  <c r="AI1496"/>
  <c r="Y1496"/>
  <c r="Z1496" s="1"/>
  <c r="N1496"/>
  <c r="AE1495"/>
  <c r="AJ1495"/>
  <c r="W1495"/>
  <c r="U1495" l="1"/>
  <c r="AI1495"/>
  <c r="Y1495"/>
  <c r="Z1495" s="1"/>
  <c r="N1495"/>
  <c r="AE1494"/>
  <c r="AJ1494"/>
  <c r="W1494"/>
  <c r="U1494" l="1"/>
  <c r="AI1494"/>
  <c r="Y1494"/>
  <c r="Z1494" s="1"/>
  <c r="N1494"/>
  <c r="AE1493"/>
  <c r="AJ1493"/>
  <c r="W1493"/>
  <c r="U1493" l="1"/>
  <c r="AI1493"/>
  <c r="Y1493"/>
  <c r="Z1493" s="1"/>
  <c r="N1493"/>
  <c r="AE1492"/>
  <c r="AJ1492"/>
  <c r="W1492"/>
  <c r="U1492" l="1"/>
  <c r="AI1492"/>
  <c r="Y1492"/>
  <c r="Z1492" s="1"/>
  <c r="N1492"/>
  <c r="AE1491"/>
  <c r="AJ1491"/>
  <c r="W1491"/>
  <c r="U1491" l="1"/>
  <c r="AI1491"/>
  <c r="Y1491"/>
  <c r="Z1491" s="1"/>
  <c r="N1491"/>
  <c r="AE1490"/>
  <c r="AJ1490"/>
  <c r="W1490"/>
  <c r="U1490" l="1"/>
  <c r="AI1490"/>
  <c r="Y1490"/>
  <c r="Z1490" s="1"/>
  <c r="N1490"/>
  <c r="AE1489"/>
  <c r="AJ1489"/>
  <c r="W1489"/>
  <c r="U1489" l="1"/>
  <c r="AI1489"/>
  <c r="Y1489"/>
  <c r="Z1489" s="1"/>
  <c r="N1489"/>
  <c r="AE1488"/>
  <c r="AJ1488"/>
  <c r="W1488"/>
  <c r="U1488" l="1"/>
  <c r="AI1488"/>
  <c r="Y1488"/>
  <c r="Z1488" s="1"/>
  <c r="N1488"/>
  <c r="AE1487"/>
  <c r="AJ1487"/>
  <c r="W1487"/>
  <c r="U1487" l="1"/>
  <c r="AI1487"/>
  <c r="Y1487"/>
  <c r="Z1487" s="1"/>
  <c r="N1487"/>
  <c r="AE1486"/>
  <c r="AJ1486"/>
  <c r="W1486"/>
  <c r="U1486" l="1"/>
  <c r="AI1486"/>
  <c r="Y1486"/>
  <c r="Z1486" s="1"/>
  <c r="N1486"/>
  <c r="AE1485"/>
  <c r="AJ1485"/>
  <c r="W1485"/>
  <c r="U1485" l="1"/>
  <c r="AI1485"/>
  <c r="Y1485"/>
  <c r="Z1485" s="1"/>
  <c r="N1485"/>
  <c r="AE1484"/>
  <c r="AJ1484"/>
  <c r="W1484"/>
  <c r="U1484" l="1"/>
  <c r="AI1484"/>
  <c r="Y1484"/>
  <c r="Z1484" s="1"/>
  <c r="N1484"/>
  <c r="AE1483"/>
  <c r="AJ1483"/>
  <c r="W1483"/>
  <c r="U1483" l="1"/>
  <c r="AI1483"/>
  <c r="Y1483"/>
  <c r="Z1483" s="1"/>
  <c r="N1483"/>
  <c r="AE1482"/>
  <c r="AJ1482"/>
  <c r="W1482"/>
  <c r="U1482" l="1"/>
  <c r="AI1482"/>
  <c r="Y1482"/>
  <c r="Z1482" s="1"/>
  <c r="N1482"/>
  <c r="AE1481"/>
  <c r="AJ1481"/>
  <c r="W1481"/>
  <c r="U1481" l="1"/>
  <c r="AI1481"/>
  <c r="Y1481"/>
  <c r="Z1481" s="1"/>
  <c r="N1481"/>
  <c r="AE1480"/>
  <c r="AJ1480"/>
  <c r="W1480"/>
  <c r="U1480" l="1"/>
  <c r="AI1480"/>
  <c r="Y1480"/>
  <c r="Z1480" s="1"/>
  <c r="N1480"/>
  <c r="AE1479"/>
  <c r="AJ1479"/>
  <c r="W1479"/>
  <c r="U1479" l="1"/>
  <c r="AI1479"/>
  <c r="Y1479"/>
  <c r="Z1479" s="1"/>
  <c r="N1479"/>
  <c r="AE1478"/>
  <c r="AJ1478"/>
  <c r="W1478"/>
  <c r="U1478" l="1"/>
  <c r="AI1478"/>
  <c r="Y1478"/>
  <c r="Z1478" s="1"/>
  <c r="N1478"/>
  <c r="AE1477"/>
  <c r="AJ1477"/>
  <c r="W1477"/>
  <c r="U1477" l="1"/>
  <c r="AI1477"/>
  <c r="Y1477"/>
  <c r="Z1477" s="1"/>
  <c r="N1477"/>
  <c r="AE1476"/>
  <c r="AJ1476"/>
  <c r="W1476"/>
  <c r="U1476" l="1"/>
  <c r="AI1476"/>
  <c r="Y1476"/>
  <c r="Z1476" s="1"/>
  <c r="N1476"/>
  <c r="AE1475"/>
  <c r="AJ1475"/>
  <c r="W1475"/>
  <c r="U1475" l="1"/>
  <c r="AI1475"/>
  <c r="Y1475"/>
  <c r="Z1475" s="1"/>
  <c r="N1475"/>
  <c r="AE1474"/>
  <c r="AJ1474"/>
  <c r="W1474"/>
  <c r="U1474" l="1"/>
  <c r="AI1474"/>
  <c r="Y1474"/>
  <c r="Z1474" s="1"/>
  <c r="N1474"/>
  <c r="AE1473"/>
  <c r="AJ1473"/>
  <c r="W1473"/>
  <c r="U1473" l="1"/>
  <c r="AI1473"/>
  <c r="Y1473"/>
  <c r="Z1473" s="1"/>
  <c r="N1473"/>
  <c r="AE1472"/>
  <c r="AJ1472"/>
  <c r="W1472"/>
  <c r="U1472" l="1"/>
  <c r="AI1472"/>
  <c r="Y1472"/>
  <c r="Z1472" s="1"/>
  <c r="N1472"/>
  <c r="AE1471"/>
  <c r="AJ1471"/>
  <c r="W1471"/>
  <c r="U1471" l="1"/>
  <c r="AI1471"/>
  <c r="Y1471"/>
  <c r="Z1471" s="1"/>
  <c r="N1471"/>
  <c r="AE1470"/>
  <c r="AJ1470"/>
  <c r="W1470"/>
  <c r="U1470" l="1"/>
  <c r="AI1470"/>
  <c r="Y1470"/>
  <c r="Z1470" s="1"/>
  <c r="N1470"/>
  <c r="AE1469"/>
  <c r="AJ1469"/>
  <c r="W1469"/>
  <c r="U1469" l="1"/>
  <c r="AI1469"/>
  <c r="Y1469"/>
  <c r="Z1469" s="1"/>
  <c r="N1469"/>
  <c r="AE1468"/>
  <c r="AJ1468"/>
  <c r="W1468"/>
  <c r="U1468" l="1"/>
  <c r="AI1468"/>
  <c r="Y1468"/>
  <c r="Z1468" s="1"/>
  <c r="N1468"/>
  <c r="AE1467"/>
  <c r="W1467"/>
  <c r="AJ1467"/>
  <c r="U1467" l="1"/>
  <c r="AI1467"/>
  <c r="Y1467"/>
  <c r="Z1467" s="1"/>
  <c r="N1467"/>
  <c r="AE1466"/>
  <c r="AJ1466"/>
  <c r="W1466"/>
  <c r="U1466" l="1"/>
  <c r="AI1466"/>
  <c r="Y1466"/>
  <c r="Z1466" s="1"/>
  <c r="N1466"/>
  <c r="AE1465"/>
  <c r="AJ1465"/>
  <c r="W1465"/>
  <c r="U1465" l="1"/>
  <c r="AI1465"/>
  <c r="Y1465"/>
  <c r="Z1465" s="1"/>
  <c r="N1465"/>
  <c r="AE1464"/>
  <c r="W1464"/>
  <c r="AJ1464"/>
  <c r="U1464" l="1"/>
  <c r="AI1464"/>
  <c r="Y1464"/>
  <c r="Z1464" s="1"/>
  <c r="N1464"/>
  <c r="AE1463"/>
  <c r="AJ1463"/>
  <c r="W1463"/>
  <c r="U1463" l="1"/>
  <c r="AI1463"/>
  <c r="Y1463"/>
  <c r="Z1463" s="1"/>
  <c r="N1463"/>
  <c r="AE1462"/>
  <c r="AJ1462"/>
  <c r="W1462"/>
  <c r="U1462" l="1"/>
  <c r="AI1462"/>
  <c r="Y1462"/>
  <c r="Z1462" s="1"/>
  <c r="N1462"/>
  <c r="AE1461"/>
  <c r="AJ1461"/>
  <c r="W1461"/>
  <c r="U1461" l="1"/>
  <c r="AI1461"/>
  <c r="Y1461"/>
  <c r="Z1461" s="1"/>
  <c r="N1461"/>
  <c r="AE1460"/>
  <c r="AJ1460"/>
  <c r="W1460"/>
  <c r="U1460" l="1"/>
  <c r="AI1460"/>
  <c r="Y1460"/>
  <c r="Z1460" s="1"/>
  <c r="N1460"/>
  <c r="AE1459"/>
  <c r="AJ1459"/>
  <c r="W1459"/>
  <c r="U1459" l="1"/>
  <c r="AI1459"/>
  <c r="Y1459"/>
  <c r="Z1459" s="1"/>
  <c r="N1459"/>
  <c r="AE1458"/>
  <c r="AJ1458"/>
  <c r="W1458"/>
  <c r="U1458" l="1"/>
  <c r="AI1458"/>
  <c r="Y1458"/>
  <c r="Z1458" s="1"/>
  <c r="N1458"/>
  <c r="AE1457"/>
  <c r="AJ1457"/>
  <c r="W1457"/>
  <c r="U1457" l="1"/>
  <c r="AI1457"/>
  <c r="Y1457"/>
  <c r="Z1457" s="1"/>
  <c r="N1457"/>
  <c r="AE1456"/>
  <c r="AJ1456"/>
  <c r="W1456"/>
  <c r="U1456" l="1"/>
  <c r="AI1456"/>
  <c r="Y1456"/>
  <c r="Z1456" s="1"/>
  <c r="N1456"/>
  <c r="AE1455"/>
  <c r="AJ1455"/>
  <c r="W1455"/>
  <c r="U1455" l="1"/>
  <c r="AI1455"/>
  <c r="Y1455"/>
  <c r="Z1455" s="1"/>
  <c r="N1455"/>
  <c r="AE1454"/>
  <c r="AJ1454"/>
  <c r="W1454"/>
  <c r="U1454" l="1"/>
  <c r="AI1454"/>
  <c r="Y1454"/>
  <c r="Z1454" s="1"/>
  <c r="N1454"/>
  <c r="AE1453"/>
  <c r="AJ1453"/>
  <c r="W1453"/>
  <c r="U1453" l="1"/>
  <c r="AI1453"/>
  <c r="Y1453"/>
  <c r="Z1453" s="1"/>
  <c r="N1453"/>
  <c r="AE1452"/>
  <c r="AJ1452"/>
  <c r="W1452"/>
  <c r="U1452" l="1"/>
  <c r="AI1452"/>
  <c r="Y1452"/>
  <c r="Z1452" s="1"/>
  <c r="N1452"/>
  <c r="AE1451"/>
  <c r="AJ1451"/>
  <c r="W1451"/>
  <c r="U1451" l="1"/>
  <c r="AI1451"/>
  <c r="Y1451"/>
  <c r="Z1451" s="1"/>
  <c r="N1451"/>
  <c r="AE1450"/>
  <c r="W1450"/>
  <c r="AJ1450"/>
  <c r="U1450" l="1"/>
  <c r="AI1450"/>
  <c r="Y1450"/>
  <c r="Z1450" s="1"/>
  <c r="N1450"/>
  <c r="AE1449"/>
  <c r="AJ1449"/>
  <c r="W1449"/>
  <c r="U1449" l="1"/>
  <c r="AI1449"/>
  <c r="Y1449"/>
  <c r="Z1449" s="1"/>
  <c r="N1449"/>
  <c r="AE1448"/>
  <c r="AJ1448"/>
  <c r="W1448"/>
  <c r="U1448" l="1"/>
  <c r="AI1448"/>
  <c r="Y1448"/>
  <c r="Z1448" s="1"/>
  <c r="N1448"/>
  <c r="AE1447"/>
  <c r="AJ1447"/>
  <c r="W1447"/>
  <c r="U1447" l="1"/>
  <c r="AI1447"/>
  <c r="Y1447"/>
  <c r="Z1447" s="1"/>
  <c r="N1447"/>
  <c r="AE1446"/>
  <c r="AJ1446"/>
  <c r="W1446"/>
  <c r="U1446" l="1"/>
  <c r="AI1446"/>
  <c r="Y1446"/>
  <c r="Z1446" s="1"/>
  <c r="N1446"/>
  <c r="AE1445"/>
  <c r="AJ1445"/>
  <c r="W1445"/>
  <c r="U1445" l="1"/>
  <c r="AI1445"/>
  <c r="Y1445"/>
  <c r="Z1445" s="1"/>
  <c r="N1445"/>
  <c r="AE1444"/>
  <c r="AJ1444"/>
  <c r="W1444"/>
  <c r="U1444" l="1"/>
  <c r="AI1444"/>
  <c r="Y1444"/>
  <c r="Z1444" s="1"/>
  <c r="N1444"/>
  <c r="AE1443"/>
  <c r="AJ1443"/>
  <c r="W1443"/>
  <c r="U1443" l="1"/>
  <c r="AI1443"/>
  <c r="Y1443"/>
  <c r="Z1443" s="1"/>
  <c r="N1443"/>
  <c r="AE1442"/>
  <c r="AJ1442"/>
  <c r="W1442"/>
  <c r="U1442" l="1"/>
  <c r="AI1442"/>
  <c r="Y1442"/>
  <c r="Z1442" s="1"/>
  <c r="N1442"/>
  <c r="AE1441"/>
  <c r="AJ1441"/>
  <c r="W1441"/>
  <c r="U1441" l="1"/>
  <c r="AI1441"/>
  <c r="Y1441"/>
  <c r="Z1441" s="1"/>
  <c r="N1441"/>
  <c r="AE1440"/>
  <c r="AJ1440"/>
  <c r="W1440"/>
  <c r="U1440" l="1"/>
  <c r="AI1440"/>
  <c r="Y1440"/>
  <c r="Z1440" s="1"/>
  <c r="N1440"/>
  <c r="AE1439"/>
  <c r="AJ1439"/>
  <c r="W1439"/>
  <c r="U1439" l="1"/>
  <c r="AI1439"/>
  <c r="Y1439"/>
  <c r="Z1439" s="1"/>
  <c r="N1439"/>
  <c r="AE1438"/>
  <c r="AJ1438"/>
  <c r="W1438"/>
  <c r="U1438" l="1"/>
  <c r="AI1438"/>
  <c r="Y1438"/>
  <c r="Z1438" s="1"/>
  <c r="N1438"/>
  <c r="AE1437"/>
  <c r="AJ1437"/>
  <c r="W1437"/>
  <c r="U1437" l="1"/>
  <c r="AI1437"/>
  <c r="Y1437"/>
  <c r="Z1437" s="1"/>
  <c r="N1437"/>
  <c r="AE1436"/>
  <c r="AJ1436"/>
  <c r="W1436"/>
  <c r="U1436" l="1"/>
  <c r="AI1436"/>
  <c r="Y1436"/>
  <c r="Z1436" s="1"/>
  <c r="N1436"/>
  <c r="AE1432" l="1"/>
  <c r="AJ1432"/>
  <c r="W1432"/>
  <c r="U1432" l="1"/>
  <c r="AI1432"/>
  <c r="Y1432"/>
  <c r="Z1432" s="1"/>
  <c r="N1432"/>
  <c r="AE1431"/>
  <c r="AJ1431"/>
  <c r="W1431"/>
  <c r="U1431" l="1"/>
  <c r="AI1431"/>
  <c r="Y1431"/>
  <c r="Z1431" s="1"/>
  <c r="N1431"/>
  <c r="AE1430"/>
  <c r="AJ1430"/>
  <c r="W1430"/>
  <c r="U1430" l="1"/>
  <c r="AI1430"/>
  <c r="Y1430"/>
  <c r="Z1430" s="1"/>
  <c r="N1430"/>
  <c r="AE1429"/>
  <c r="AJ1429"/>
  <c r="W1429"/>
  <c r="U1429" l="1"/>
  <c r="AI1429"/>
  <c r="Y1429"/>
  <c r="Z1429" s="1"/>
  <c r="N1429"/>
  <c r="AE1428"/>
  <c r="AJ1428"/>
  <c r="W1428"/>
  <c r="U1428" l="1"/>
  <c r="AI1428"/>
  <c r="Y1428"/>
  <c r="Z1428" s="1"/>
  <c r="N1428"/>
  <c r="AE1427"/>
  <c r="AJ1427"/>
  <c r="W1427"/>
  <c r="U1427" l="1"/>
  <c r="AI1427"/>
  <c r="Y1427"/>
  <c r="Z1427" s="1"/>
  <c r="N1427"/>
  <c r="AE1426"/>
  <c r="AJ1426"/>
  <c r="W1426"/>
  <c r="U1426" l="1"/>
  <c r="AI1426"/>
  <c r="Y1426"/>
  <c r="Z1426" s="1"/>
  <c r="N1426"/>
  <c r="AE1425"/>
  <c r="AJ1425"/>
  <c r="W1425"/>
  <c r="U1425" l="1"/>
  <c r="AI1425"/>
  <c r="Y1425"/>
  <c r="Z1425" s="1"/>
  <c r="N1425"/>
  <c r="AE1424"/>
  <c r="AJ1424"/>
  <c r="W1424"/>
  <c r="U1424" l="1"/>
  <c r="AI1424"/>
  <c r="Y1424"/>
  <c r="Z1424" s="1"/>
  <c r="N1424"/>
  <c r="AE1423"/>
  <c r="AJ1423"/>
  <c r="W1423"/>
  <c r="U1423" l="1"/>
  <c r="AI1423"/>
  <c r="Y1423"/>
  <c r="Z1423" s="1"/>
  <c r="N1423"/>
  <c r="AE1422"/>
  <c r="AJ1422"/>
  <c r="W1422"/>
  <c r="U1422" l="1"/>
  <c r="AI1422"/>
  <c r="Y1422"/>
  <c r="Z1422" s="1"/>
  <c r="N1422"/>
  <c r="AE1421"/>
  <c r="AJ1421"/>
  <c r="W1421"/>
  <c r="U1421" l="1"/>
  <c r="AI1421"/>
  <c r="Y1421"/>
  <c r="Z1421" s="1"/>
  <c r="N1421"/>
  <c r="AE1420"/>
  <c r="AJ1420"/>
  <c r="W1420"/>
  <c r="U1420" l="1"/>
  <c r="AI1420"/>
  <c r="Y1420"/>
  <c r="Z1420" s="1"/>
  <c r="N1420"/>
  <c r="AE1419"/>
  <c r="AJ1419"/>
  <c r="W1419"/>
  <c r="U1419" l="1"/>
  <c r="AI1419"/>
  <c r="Y1419"/>
  <c r="Z1419" s="1"/>
  <c r="N1419"/>
  <c r="AE1418"/>
  <c r="AJ1418"/>
  <c r="W1418"/>
  <c r="U1418" l="1"/>
  <c r="AI1418"/>
  <c r="Y1418"/>
  <c r="Z1418" s="1"/>
  <c r="N1418"/>
  <c r="AE1417"/>
  <c r="AJ1417"/>
  <c r="W1417"/>
  <c r="U1417" l="1"/>
  <c r="AI1417"/>
  <c r="Y1417"/>
  <c r="Z1417" s="1"/>
  <c r="N1417"/>
  <c r="AE1416"/>
  <c r="AJ1416"/>
  <c r="W1416"/>
  <c r="U1416" l="1"/>
  <c r="AI1416"/>
  <c r="Y1416"/>
  <c r="Z1416" s="1"/>
  <c r="N1416"/>
  <c r="AE1415"/>
  <c r="AJ1415"/>
  <c r="W1415"/>
  <c r="U1415" l="1"/>
  <c r="AI1415"/>
  <c r="Y1415"/>
  <c r="Z1415" s="1"/>
  <c r="N1415"/>
  <c r="AE1413" l="1"/>
  <c r="AJ1413"/>
  <c r="W1413"/>
  <c r="U1413" l="1"/>
  <c r="AI1413"/>
  <c r="Y1413"/>
  <c r="Z1413" s="1"/>
  <c r="N1413"/>
  <c r="AE1412"/>
  <c r="AJ1412"/>
  <c r="W1412"/>
  <c r="U1412" l="1"/>
  <c r="AI1412"/>
  <c r="Y1412"/>
  <c r="Z1412" s="1"/>
  <c r="N1412"/>
  <c r="AE1411"/>
  <c r="AJ1411"/>
  <c r="W1411"/>
  <c r="U1411" l="1"/>
  <c r="AI1411"/>
  <c r="Y1411"/>
  <c r="Z1411" s="1"/>
  <c r="N1411"/>
  <c r="AE1410"/>
  <c r="AJ1410"/>
  <c r="W1410"/>
  <c r="U1410" l="1"/>
  <c r="AI1410"/>
  <c r="Y1410"/>
  <c r="Z1410" s="1"/>
  <c r="N1410"/>
  <c r="AE1409"/>
  <c r="AJ1409"/>
  <c r="W1409"/>
  <c r="U1409" l="1"/>
  <c r="AI1409"/>
  <c r="Y1409"/>
  <c r="Z1409" s="1"/>
  <c r="N1409"/>
  <c r="AE1408"/>
  <c r="AJ1408"/>
  <c r="W1408"/>
  <c r="U1408" l="1"/>
  <c r="AI1408"/>
  <c r="Y1408"/>
  <c r="Z1408" s="1"/>
  <c r="N1408"/>
  <c r="AE1407"/>
  <c r="AJ1407"/>
  <c r="W1407"/>
  <c r="U1407" l="1"/>
  <c r="AI1407"/>
  <c r="Y1407"/>
  <c r="Z1407" s="1"/>
  <c r="N1407"/>
  <c r="AE1406"/>
  <c r="AJ1406"/>
  <c r="W1406"/>
  <c r="U1406" l="1"/>
  <c r="AI1406"/>
  <c r="Y1406"/>
  <c r="Z1406" s="1"/>
  <c r="N1406"/>
  <c r="AE1405"/>
  <c r="AJ1405"/>
  <c r="W1405"/>
  <c r="U1405" l="1"/>
  <c r="AI1405"/>
  <c r="Y1405"/>
  <c r="Z1405" s="1"/>
  <c r="N1405"/>
  <c r="AE1404"/>
  <c r="AJ1404"/>
  <c r="W1404"/>
  <c r="U1404" l="1"/>
  <c r="AI1404"/>
  <c r="Y1404"/>
  <c r="Z1404" s="1"/>
  <c r="N1404"/>
  <c r="AE1402" l="1"/>
  <c r="AJ1402"/>
  <c r="W1402"/>
  <c r="U1402" l="1"/>
  <c r="AI1402"/>
  <c r="Y1402"/>
  <c r="Z1402" s="1"/>
  <c r="N1402"/>
  <c r="AE1401"/>
  <c r="AJ1401"/>
  <c r="W1401"/>
  <c r="U1401" l="1"/>
  <c r="AI1401"/>
  <c r="Y1401"/>
  <c r="Z1401" s="1"/>
  <c r="N1401"/>
  <c r="AE1400"/>
  <c r="AJ1400"/>
  <c r="W1400"/>
  <c r="U1400" l="1"/>
  <c r="AI1400"/>
  <c r="Y1400"/>
  <c r="Z1400" s="1"/>
  <c r="N1400"/>
  <c r="AE1399"/>
  <c r="AJ1399"/>
  <c r="W1399"/>
  <c r="U1399" l="1"/>
  <c r="AI1399"/>
  <c r="Y1399"/>
  <c r="Z1399" s="1"/>
  <c r="N1399"/>
  <c r="AE1398"/>
  <c r="AJ1398"/>
  <c r="W1398"/>
  <c r="U1398" l="1"/>
  <c r="AI1398"/>
  <c r="Y1398"/>
  <c r="Z1398" s="1"/>
  <c r="N1398"/>
  <c r="AE1397"/>
  <c r="AJ1397"/>
  <c r="W1397"/>
  <c r="U1397" l="1"/>
  <c r="AI1397"/>
  <c r="Y1397"/>
  <c r="Z1397" s="1"/>
  <c r="N1397"/>
  <c r="AE1396"/>
  <c r="AJ1396"/>
  <c r="W1396"/>
  <c r="U1396" l="1"/>
  <c r="AI1396"/>
  <c r="Y1396"/>
  <c r="Z1396" s="1"/>
  <c r="N1396"/>
  <c r="AE1394" l="1"/>
  <c r="AJ1394"/>
  <c r="W1394"/>
  <c r="U1394" l="1"/>
  <c r="AI1394"/>
  <c r="Y1394"/>
  <c r="Z1394" s="1"/>
  <c r="N1394"/>
  <c r="AE1393"/>
  <c r="AJ1393"/>
  <c r="W1393"/>
  <c r="U1393" l="1"/>
  <c r="AI1393"/>
  <c r="Y1393"/>
  <c r="Z1393" s="1"/>
  <c r="N1393"/>
  <c r="AE1392"/>
  <c r="AJ1392"/>
  <c r="W1392"/>
  <c r="U1392" l="1"/>
  <c r="AI1392"/>
  <c r="Y1392"/>
  <c r="Z1392" s="1"/>
  <c r="N1392"/>
  <c r="AE1391"/>
  <c r="AJ1391"/>
  <c r="W1391"/>
  <c r="U1391" l="1"/>
  <c r="AI1391"/>
  <c r="Y1391"/>
  <c r="Z1391" s="1"/>
  <c r="N1391"/>
  <c r="AE1390"/>
  <c r="AJ1390"/>
  <c r="W1390"/>
  <c r="U1390" l="1"/>
  <c r="AI1390"/>
  <c r="Y1390"/>
  <c r="Z1390" s="1"/>
  <c r="N1390"/>
  <c r="AE1389"/>
  <c r="AJ1389"/>
  <c r="W1389"/>
  <c r="U1389" l="1"/>
  <c r="AI1389"/>
  <c r="Y1389"/>
  <c r="Z1389" s="1"/>
  <c r="N1389"/>
  <c r="AE1388"/>
  <c r="AJ1388"/>
  <c r="W1388"/>
  <c r="U1388" l="1"/>
  <c r="AI1388"/>
  <c r="Y1388"/>
  <c r="Z1388" s="1"/>
  <c r="N1388"/>
  <c r="AE1387"/>
  <c r="AJ1387"/>
  <c r="W1387"/>
  <c r="U1387" l="1"/>
  <c r="AI1387"/>
  <c r="Y1387"/>
  <c r="Z1387" s="1"/>
  <c r="N1387"/>
  <c r="AE1386"/>
  <c r="AJ1386"/>
  <c r="W1386"/>
  <c r="U1386" l="1"/>
  <c r="AI1386"/>
  <c r="Y1386"/>
  <c r="Z1386" s="1"/>
  <c r="N1386"/>
  <c r="AE1385"/>
  <c r="AJ1385"/>
  <c r="W1385"/>
  <c r="U1385" l="1"/>
  <c r="AI1385"/>
  <c r="Y1385"/>
  <c r="Z1385" s="1"/>
  <c r="N1385"/>
  <c r="AE1384"/>
  <c r="AJ1384"/>
  <c r="W1384"/>
  <c r="U1384" l="1"/>
  <c r="AI1384"/>
  <c r="Y1384"/>
  <c r="Z1384" s="1"/>
  <c r="AE1383"/>
  <c r="AJ1383"/>
  <c r="W1383"/>
  <c r="U1383" l="1"/>
  <c r="AI1383"/>
  <c r="Y1383"/>
  <c r="Z1383" s="1"/>
  <c r="N1383"/>
  <c r="AE1382"/>
  <c r="W1382"/>
  <c r="AJ1382"/>
  <c r="U1382" l="1"/>
  <c r="AI1382"/>
  <c r="Y1382"/>
  <c r="Z1382" s="1"/>
  <c r="N1382"/>
  <c r="AE1381"/>
  <c r="AJ1381"/>
  <c r="W1381"/>
  <c r="U1381" l="1"/>
  <c r="AI1381"/>
  <c r="Y1381"/>
  <c r="Z1381" s="1"/>
  <c r="N1381"/>
  <c r="AE1380"/>
  <c r="AJ1380"/>
  <c r="W1380"/>
  <c r="U1380" l="1"/>
  <c r="AI1380"/>
  <c r="Y1380"/>
  <c r="Z1380" s="1"/>
  <c r="N1380"/>
  <c r="AE1379"/>
  <c r="AJ1379"/>
  <c r="W1379"/>
  <c r="U1379" l="1"/>
  <c r="AI1379"/>
  <c r="Y1379"/>
  <c r="Z1379" s="1"/>
  <c r="N1379"/>
  <c r="AE1378"/>
  <c r="AJ1378"/>
  <c r="W1378"/>
  <c r="U1378" l="1"/>
  <c r="AI1378"/>
  <c r="Y1378"/>
  <c r="Z1378" s="1"/>
  <c r="N1378"/>
  <c r="AE1377"/>
  <c r="AJ1377"/>
  <c r="W1377"/>
  <c r="U1377" l="1"/>
  <c r="AI1377"/>
  <c r="Y1377"/>
  <c r="Z1377" s="1"/>
  <c r="N1377"/>
  <c r="AE1376"/>
  <c r="AJ1376"/>
  <c r="W1376"/>
  <c r="U1376" l="1"/>
  <c r="AI1376"/>
  <c r="Y1376"/>
  <c r="Z1376" s="1"/>
  <c r="N1376"/>
  <c r="AE1374"/>
  <c r="AJ1374"/>
  <c r="W1374"/>
  <c r="U1374" l="1"/>
  <c r="AI1374"/>
  <c r="Y1374"/>
  <c r="Z1374" s="1"/>
  <c r="N1374"/>
  <c r="AE1373"/>
  <c r="AJ1373"/>
  <c r="W1373"/>
  <c r="U1373" l="1"/>
  <c r="AI1373"/>
  <c r="Y1373"/>
  <c r="Z1373" s="1"/>
  <c r="N1373"/>
  <c r="AE1372"/>
  <c r="W1372"/>
  <c r="AJ1372"/>
  <c r="U1372" l="1"/>
  <c r="AI1372"/>
  <c r="Y1372"/>
  <c r="Z1372" s="1"/>
  <c r="N1372"/>
  <c r="AE1371"/>
  <c r="AJ1371"/>
  <c r="W1371"/>
  <c r="U1371" l="1"/>
  <c r="AI1371"/>
  <c r="Y1371"/>
  <c r="Z1371" s="1"/>
  <c r="N1371"/>
  <c r="AE1370"/>
  <c r="AJ1370"/>
  <c r="W1370"/>
  <c r="U1370" l="1"/>
  <c r="AI1370"/>
  <c r="Y1370"/>
  <c r="Z1370" s="1"/>
  <c r="N1370"/>
  <c r="AE1369"/>
  <c r="AJ1369"/>
  <c r="W1369"/>
  <c r="U1369" l="1"/>
  <c r="AI1369"/>
  <c r="Y1369"/>
  <c r="Z1369" s="1"/>
  <c r="N1369"/>
  <c r="AE1368"/>
  <c r="AJ1368"/>
  <c r="W1368"/>
  <c r="U1368" l="1"/>
  <c r="AI1368"/>
  <c r="Y1368"/>
  <c r="Z1368" s="1"/>
  <c r="N1368"/>
  <c r="AE1367"/>
  <c r="AJ1367"/>
  <c r="W1367"/>
  <c r="U1367" l="1"/>
  <c r="AI1367"/>
  <c r="Y1367"/>
  <c r="Z1367" s="1"/>
  <c r="N1367"/>
  <c r="AE1366"/>
  <c r="AJ1366"/>
  <c r="W1366"/>
  <c r="U1366" l="1"/>
  <c r="AI1366"/>
  <c r="Y1366"/>
  <c r="Z1366" s="1"/>
  <c r="N1366"/>
  <c r="AE1365"/>
  <c r="AJ1365"/>
  <c r="W1365"/>
  <c r="U1365" l="1"/>
  <c r="AI1365"/>
  <c r="Y1365"/>
  <c r="Z1365" s="1"/>
  <c r="N1365"/>
  <c r="AE1364"/>
  <c r="AJ1364"/>
  <c r="W1364"/>
  <c r="U1364" l="1"/>
  <c r="AI1364"/>
  <c r="Y1364"/>
  <c r="Z1364" s="1"/>
  <c r="N1364"/>
  <c r="AE1363"/>
  <c r="AJ1363"/>
  <c r="W1363"/>
  <c r="U1363" l="1"/>
  <c r="AI1363"/>
  <c r="Y1363"/>
  <c r="Z1363" s="1"/>
  <c r="N1363"/>
  <c r="AE1362"/>
  <c r="AJ1362"/>
  <c r="W1362"/>
  <c r="U1362" l="1"/>
  <c r="AI1362"/>
  <c r="Y1362"/>
  <c r="Z1362" s="1"/>
  <c r="N1362"/>
  <c r="AE1361"/>
  <c r="AJ1361"/>
  <c r="W1361"/>
  <c r="U1361" l="1"/>
  <c r="AI1361"/>
  <c r="Y1361"/>
  <c r="Z1361" s="1"/>
  <c r="N1361"/>
  <c r="AE1360"/>
  <c r="AJ1360"/>
  <c r="W1360"/>
  <c r="U1360" l="1"/>
  <c r="AI1360"/>
  <c r="Y1360"/>
  <c r="Z1360" s="1"/>
  <c r="N1360"/>
  <c r="AE1359"/>
  <c r="AJ1359"/>
  <c r="W1359"/>
  <c r="U1359" l="1"/>
  <c r="AI1359"/>
  <c r="Y1359"/>
  <c r="Z1359" s="1"/>
  <c r="N1359"/>
  <c r="AE1358"/>
  <c r="AJ1358"/>
  <c r="W1358"/>
  <c r="U1358" l="1"/>
  <c r="AI1358"/>
  <c r="Y1358"/>
  <c r="Z1358" s="1"/>
  <c r="N1358"/>
  <c r="AE1357"/>
  <c r="AJ1357"/>
  <c r="W1357"/>
  <c r="U1357" l="1"/>
  <c r="AI1357"/>
  <c r="Y1357"/>
  <c r="Z1357" s="1"/>
  <c r="N1357"/>
  <c r="AE1356"/>
  <c r="AJ1356"/>
  <c r="W1356"/>
  <c r="U1356" l="1"/>
  <c r="AI1356"/>
  <c r="Y1356"/>
  <c r="Z1356" s="1"/>
  <c r="N1356"/>
  <c r="AE1355"/>
  <c r="AJ1355"/>
  <c r="W1355"/>
  <c r="U1355" l="1"/>
  <c r="AI1355"/>
  <c r="Y1355"/>
  <c r="Z1355" s="1"/>
  <c r="N1355"/>
  <c r="AE1354"/>
  <c r="AJ1354"/>
  <c r="W1354"/>
  <c r="U1354" l="1"/>
  <c r="AI1354"/>
  <c r="Y1354"/>
  <c r="Z1354" s="1"/>
  <c r="N1354"/>
  <c r="AE1353"/>
  <c r="AJ1353"/>
  <c r="W1353"/>
  <c r="U1353" l="1"/>
  <c r="AI1353"/>
  <c r="Y1353"/>
  <c r="Z1353" s="1"/>
  <c r="N1353"/>
  <c r="AE1352"/>
  <c r="AJ1352"/>
  <c r="W1352"/>
  <c r="U1352" l="1"/>
  <c r="AI1352"/>
  <c r="Y1352"/>
  <c r="Z1352" s="1"/>
  <c r="N1352"/>
  <c r="AE1351"/>
  <c r="AJ1351"/>
  <c r="W1351"/>
  <c r="U1351" l="1"/>
  <c r="AI1351"/>
  <c r="Y1351"/>
  <c r="Z1351" s="1"/>
  <c r="N1351"/>
  <c r="AE1350"/>
  <c r="AJ1350"/>
  <c r="W1350"/>
  <c r="U1350" l="1"/>
  <c r="AI1350"/>
  <c r="Y1350"/>
  <c r="Z1350" s="1"/>
  <c r="N1350"/>
  <c r="AE1349"/>
  <c r="AJ1349"/>
  <c r="W1349"/>
  <c r="U1349" l="1"/>
  <c r="AI1349"/>
  <c r="Y1349"/>
  <c r="Z1349" s="1"/>
  <c r="N1349"/>
  <c r="AE1348"/>
  <c r="AJ1348"/>
  <c r="W1348"/>
  <c r="U1348" l="1"/>
  <c r="AI1348"/>
  <c r="Y1348"/>
  <c r="Z1348" s="1"/>
  <c r="N1348"/>
  <c r="AE1347"/>
  <c r="AJ1347"/>
  <c r="W1347"/>
  <c r="U1347" l="1"/>
  <c r="AI1347"/>
  <c r="Y1347"/>
  <c r="Z1347" s="1"/>
  <c r="N1347"/>
  <c r="AE1346"/>
  <c r="AJ1346"/>
  <c r="W1346"/>
  <c r="U1346" l="1"/>
  <c r="AI1346"/>
  <c r="Y1346"/>
  <c r="Z1346" s="1"/>
  <c r="N1346"/>
  <c r="AE1345"/>
  <c r="AJ1345"/>
  <c r="W1345"/>
  <c r="U1345" l="1"/>
  <c r="AI1345"/>
  <c r="Y1345"/>
  <c r="Z1345" s="1"/>
  <c r="N1345"/>
  <c r="AE1344"/>
  <c r="AJ1344"/>
  <c r="W1344"/>
  <c r="U1344" l="1"/>
  <c r="AI1344"/>
  <c r="Y1344"/>
  <c r="Z1344" s="1"/>
  <c r="N1344"/>
  <c r="AE1342" l="1"/>
  <c r="AJ1342"/>
  <c r="W1342"/>
  <c r="U1342" l="1"/>
  <c r="AI1342"/>
  <c r="Y1342"/>
  <c r="Z1342" s="1"/>
  <c r="N1342"/>
  <c r="AE1341"/>
  <c r="AJ1341"/>
  <c r="W1341"/>
  <c r="U1341" l="1"/>
  <c r="AI1341"/>
  <c r="Y1341"/>
  <c r="Z1341" s="1"/>
  <c r="N1341"/>
  <c r="AE1340"/>
  <c r="AJ1340"/>
  <c r="W1340"/>
  <c r="U1340" l="1"/>
  <c r="AI1340"/>
  <c r="Y1340"/>
  <c r="Z1340" s="1"/>
  <c r="N1340"/>
  <c r="AE1339"/>
  <c r="AJ1339"/>
  <c r="W1339"/>
  <c r="U1339" l="1"/>
  <c r="AI1339"/>
  <c r="Y1339"/>
  <c r="Z1339" s="1"/>
  <c r="N1339"/>
  <c r="AE1338"/>
  <c r="AJ1338"/>
  <c r="W1338"/>
  <c r="U1338" l="1"/>
  <c r="AI1338"/>
  <c r="Y1338"/>
  <c r="Z1338" s="1"/>
  <c r="N1338"/>
  <c r="AE1337"/>
  <c r="AJ1337"/>
  <c r="W1337"/>
  <c r="U1337" l="1"/>
  <c r="AI1337"/>
  <c r="Y1337"/>
  <c r="Z1337" s="1"/>
  <c r="N1337"/>
  <c r="AE1336"/>
  <c r="AJ1336"/>
  <c r="W1336"/>
  <c r="U1336" l="1"/>
  <c r="AI1336"/>
  <c r="Y1336"/>
  <c r="Z1336" s="1"/>
  <c r="N1336"/>
  <c r="AE1335"/>
  <c r="AJ1335"/>
  <c r="W1335"/>
  <c r="U1335" l="1"/>
  <c r="AI1335"/>
  <c r="Y1335"/>
  <c r="Z1335" s="1"/>
  <c r="N1335"/>
  <c r="AE1334"/>
  <c r="AJ1334"/>
  <c r="W1334"/>
  <c r="U1334" l="1"/>
  <c r="AI1334"/>
  <c r="Y1334"/>
  <c r="Z1334" s="1"/>
  <c r="N1334"/>
  <c r="AE1333"/>
  <c r="AJ1333"/>
  <c r="W1333"/>
  <c r="U1333" l="1"/>
  <c r="AI1333"/>
  <c r="Y1333"/>
  <c r="Z1333" s="1"/>
  <c r="N1333"/>
  <c r="AE1332"/>
  <c r="AJ1332"/>
  <c r="W1332"/>
  <c r="U1332" l="1"/>
  <c r="AI1332"/>
  <c r="Y1332"/>
  <c r="Z1332" s="1"/>
  <c r="N1332"/>
  <c r="AE1331"/>
  <c r="AJ1331"/>
  <c r="W1331"/>
  <c r="U1331" l="1"/>
  <c r="AI1331"/>
  <c r="Y1331"/>
  <c r="Z1331" s="1"/>
  <c r="N1331"/>
  <c r="AE1330"/>
  <c r="W1330"/>
  <c r="AJ1330"/>
  <c r="U1330" l="1"/>
  <c r="AI1330"/>
  <c r="Y1330"/>
  <c r="Z1330" s="1"/>
  <c r="N1330"/>
  <c r="AE1329"/>
  <c r="AJ1329"/>
  <c r="W1329"/>
  <c r="U1329" l="1"/>
  <c r="AI1329"/>
  <c r="Y1329"/>
  <c r="Z1329" s="1"/>
  <c r="N1329"/>
  <c r="AE1328"/>
  <c r="AJ1328"/>
  <c r="W1328"/>
  <c r="U1328" l="1"/>
  <c r="AI1328"/>
  <c r="Y1328"/>
  <c r="Z1328" s="1"/>
  <c r="N1328"/>
  <c r="AE1327"/>
  <c r="AJ1327"/>
  <c r="W1327"/>
  <c r="U1327" l="1"/>
  <c r="AI1327"/>
  <c r="Y1327"/>
  <c r="Z1327" s="1"/>
  <c r="N1327"/>
  <c r="AE1326"/>
  <c r="AJ1326"/>
  <c r="W1326"/>
  <c r="U1326" l="1"/>
  <c r="AI1326"/>
  <c r="Y1326"/>
  <c r="Z1326" s="1"/>
  <c r="N1326"/>
  <c r="AE1325"/>
  <c r="AJ1325"/>
  <c r="W1325"/>
  <c r="U1325" l="1"/>
  <c r="AI1325"/>
  <c r="Y1325"/>
  <c r="Z1325" s="1"/>
  <c r="N1325"/>
  <c r="AE1324"/>
  <c r="AJ1324"/>
  <c r="W1324"/>
  <c r="U1324" l="1"/>
  <c r="AI1324"/>
  <c r="Y1324"/>
  <c r="Z1324" s="1"/>
  <c r="N1324"/>
  <c r="AE1323"/>
  <c r="AJ1323"/>
  <c r="W1323"/>
  <c r="U1323" l="1"/>
  <c r="AI1323"/>
  <c r="Y1323"/>
  <c r="Z1323" s="1"/>
  <c r="N1323"/>
  <c r="AE1322"/>
  <c r="AJ1322"/>
  <c r="W1322"/>
  <c r="U1322" l="1"/>
  <c r="AI1322"/>
  <c r="Y1322"/>
  <c r="Z1322" s="1"/>
  <c r="N1322"/>
  <c r="AE1321"/>
  <c r="AJ1321"/>
  <c r="W1321"/>
  <c r="U1321" l="1"/>
  <c r="AI1321"/>
  <c r="Y1321"/>
  <c r="Z1321" s="1"/>
  <c r="N1321"/>
  <c r="AE1320"/>
  <c r="AJ1320"/>
  <c r="W1320"/>
  <c r="U1320" l="1"/>
  <c r="AI1320"/>
  <c r="Y1320"/>
  <c r="Z1320" s="1"/>
  <c r="N1320"/>
  <c r="AE1319"/>
  <c r="AJ1319"/>
  <c r="W1319"/>
  <c r="U1319" l="1"/>
  <c r="AI1319"/>
  <c r="Y1319"/>
  <c r="Z1319" s="1"/>
  <c r="N1319"/>
  <c r="AE1318"/>
  <c r="AJ1318"/>
  <c r="W1318"/>
  <c r="U1318" l="1"/>
  <c r="AI1318"/>
  <c r="Y1318"/>
  <c r="Z1318" s="1"/>
  <c r="N1318"/>
  <c r="AE1317"/>
  <c r="AJ1317"/>
  <c r="W1317"/>
  <c r="U1317" l="1"/>
  <c r="AI1317"/>
  <c r="Y1317"/>
  <c r="Z1317" s="1"/>
  <c r="N1317"/>
  <c r="AE1316"/>
  <c r="AJ1316"/>
  <c r="W1316"/>
  <c r="U1316" l="1"/>
  <c r="AI1316"/>
  <c r="Y1316"/>
  <c r="Z1316" s="1"/>
  <c r="N1316"/>
  <c r="AE1315"/>
  <c r="AJ1315"/>
  <c r="W1315"/>
  <c r="U1315" l="1"/>
  <c r="AI1315"/>
  <c r="Y1315"/>
  <c r="Z1315" s="1"/>
  <c r="N1315"/>
  <c r="AE1314"/>
  <c r="AJ1314"/>
  <c r="W1314"/>
  <c r="U1314" l="1"/>
  <c r="AI1314"/>
  <c r="Y1314"/>
  <c r="Z1314" s="1"/>
  <c r="N1314"/>
  <c r="AE1313"/>
  <c r="AJ1313"/>
  <c r="W1313"/>
  <c r="U1313" l="1"/>
  <c r="AI1313"/>
  <c r="Y1313"/>
  <c r="Z1313" s="1"/>
  <c r="N1313"/>
  <c r="AE1312"/>
  <c r="AJ1312"/>
  <c r="W1312"/>
  <c r="U1312" l="1"/>
  <c r="AI1312"/>
  <c r="Y1312"/>
  <c r="Z1312" s="1"/>
  <c r="N1312"/>
  <c r="AE1311"/>
  <c r="AJ1311"/>
  <c r="W1311"/>
  <c r="U1311" l="1"/>
  <c r="AI1311"/>
  <c r="Y1311"/>
  <c r="Z1311" s="1"/>
  <c r="N1311"/>
  <c r="AE1310"/>
  <c r="AJ1310"/>
  <c r="W1310"/>
  <c r="U1310" l="1"/>
  <c r="AI1310"/>
  <c r="Y1310"/>
  <c r="Z1310" s="1"/>
  <c r="N1310"/>
  <c r="AE1309"/>
  <c r="W1309"/>
  <c r="AJ1309"/>
  <c r="U1309" l="1"/>
  <c r="AI1309"/>
  <c r="Y1309"/>
  <c r="Z1309" s="1"/>
  <c r="N1309"/>
  <c r="AE1308"/>
  <c r="AJ1308"/>
  <c r="W1308"/>
  <c r="U1308" l="1"/>
  <c r="AI1308"/>
  <c r="Y1308"/>
  <c r="Z1308" s="1"/>
  <c r="N1308"/>
  <c r="AE1307"/>
  <c r="AJ1307"/>
  <c r="W1307"/>
  <c r="U1307" l="1"/>
  <c r="AI1307"/>
  <c r="Y1307"/>
  <c r="Z1307" s="1"/>
  <c r="N1307"/>
  <c r="AE1306"/>
  <c r="AJ1306"/>
  <c r="W1306"/>
  <c r="U1306" l="1"/>
  <c r="AI1306"/>
  <c r="Y1306"/>
  <c r="Z1306" s="1"/>
  <c r="AE1303"/>
  <c r="AJ1303"/>
  <c r="W1303"/>
  <c r="U1303" l="1"/>
  <c r="AI1303"/>
  <c r="Y1303"/>
  <c r="Z1303" s="1"/>
  <c r="N1303"/>
  <c r="AE1302"/>
  <c r="AJ1302"/>
  <c r="W1302"/>
  <c r="U1302" l="1"/>
  <c r="AI1302"/>
  <c r="Y1302"/>
  <c r="Z1302" s="1"/>
  <c r="N1302"/>
  <c r="AE1301"/>
  <c r="AJ1301"/>
  <c r="W1301"/>
  <c r="U1301" l="1"/>
  <c r="AI1301"/>
  <c r="Y1301"/>
  <c r="Z1301" s="1"/>
  <c r="N1301"/>
  <c r="AE1300"/>
  <c r="AJ1300"/>
  <c r="W1300"/>
  <c r="U1300" l="1"/>
  <c r="AI1300"/>
  <c r="Y1300"/>
  <c r="Z1300" s="1"/>
  <c r="N1300"/>
  <c r="AE1299"/>
  <c r="AJ1299"/>
  <c r="W1299"/>
  <c r="U1299" l="1"/>
  <c r="AI1299"/>
  <c r="Y1299"/>
  <c r="Z1299" s="1"/>
  <c r="N1299"/>
  <c r="AE1297" l="1"/>
  <c r="W1297"/>
  <c r="AJ1297"/>
  <c r="U1297" l="1"/>
  <c r="AI1297"/>
  <c r="Y1297"/>
  <c r="Z1297" s="1"/>
  <c r="N1297"/>
  <c r="AE1296"/>
  <c r="AJ1296"/>
  <c r="W1296"/>
  <c r="U1296" l="1"/>
  <c r="AI1296"/>
  <c r="Y1296"/>
  <c r="Z1296" s="1"/>
  <c r="N1296"/>
  <c r="AE1295"/>
  <c r="AJ1295"/>
  <c r="W1295"/>
  <c r="U1295" l="1"/>
  <c r="AI1295"/>
  <c r="Y1295"/>
  <c r="Z1295" s="1"/>
  <c r="N1295"/>
  <c r="AE1294"/>
  <c r="AJ1294"/>
  <c r="W1294"/>
  <c r="U1294" l="1"/>
  <c r="AI1294"/>
  <c r="Y1294"/>
  <c r="Z1294" s="1"/>
  <c r="N1294"/>
  <c r="AE1293"/>
  <c r="AJ1293"/>
  <c r="W1293"/>
  <c r="U1293" l="1"/>
  <c r="AI1293"/>
  <c r="Y1293"/>
  <c r="Z1293" s="1"/>
  <c r="N1293"/>
  <c r="AE1292"/>
  <c r="W1292"/>
  <c r="AJ1292"/>
  <c r="U1292" l="1"/>
  <c r="AI1292"/>
  <c r="Y1292"/>
  <c r="Z1292" s="1"/>
  <c r="N1292"/>
  <c r="AE1291"/>
  <c r="AJ1291"/>
  <c r="W1291"/>
  <c r="U1291" l="1"/>
  <c r="AI1291"/>
  <c r="Y1291"/>
  <c r="Z1291" s="1"/>
  <c r="N1291"/>
  <c r="AE1289" l="1"/>
  <c r="AJ1289"/>
  <c r="W1289"/>
  <c r="U1289" l="1"/>
  <c r="AI1289"/>
  <c r="Y1289"/>
  <c r="Z1289" s="1"/>
  <c r="N1289"/>
  <c r="AE1288"/>
  <c r="AJ1288"/>
  <c r="W1288"/>
  <c r="U1288" l="1"/>
  <c r="AI1288"/>
  <c r="Y1288"/>
  <c r="Z1288" s="1"/>
  <c r="N1288"/>
  <c r="AE1287"/>
  <c r="AJ1287"/>
  <c r="W1287"/>
  <c r="U1287" l="1"/>
  <c r="AI1287"/>
  <c r="Y1287"/>
  <c r="Z1287" s="1"/>
  <c r="N1287"/>
  <c r="AE1286"/>
  <c r="AJ1286"/>
  <c r="W1286"/>
  <c r="U1286" l="1"/>
  <c r="AI1286"/>
  <c r="Y1286"/>
  <c r="Z1286" s="1"/>
  <c r="N1286"/>
  <c r="AE1285"/>
  <c r="AJ1285"/>
  <c r="W1285"/>
  <c r="U1285" l="1"/>
  <c r="AI1285"/>
  <c r="Y1285"/>
  <c r="Z1285" s="1"/>
  <c r="N1285"/>
  <c r="AE1284"/>
  <c r="AJ1284"/>
  <c r="W1284"/>
  <c r="U1284" l="1"/>
  <c r="AI1284"/>
  <c r="Y1284"/>
  <c r="Z1284" s="1"/>
  <c r="N1284"/>
  <c r="AE1283"/>
  <c r="AJ1283"/>
  <c r="W1283"/>
  <c r="U1283" l="1"/>
  <c r="AI1283"/>
  <c r="Y1283"/>
  <c r="Z1283" s="1"/>
  <c r="N1283"/>
  <c r="AE1282"/>
  <c r="AJ1282"/>
  <c r="W1282"/>
  <c r="U1282" l="1"/>
  <c r="AI1282"/>
  <c r="Y1282"/>
  <c r="Z1282" s="1"/>
  <c r="N1282"/>
  <c r="AE1281"/>
  <c r="AJ1281"/>
  <c r="W1281"/>
  <c r="U1281" l="1"/>
  <c r="AI1281"/>
  <c r="Y1281"/>
  <c r="Z1281" s="1"/>
  <c r="N1281"/>
  <c r="AE1279" l="1"/>
  <c r="AJ1279"/>
  <c r="W1279"/>
  <c r="U1279" l="1"/>
  <c r="AI1279"/>
  <c r="Y1279"/>
  <c r="Z1279" s="1"/>
  <c r="N1279"/>
  <c r="AE1278"/>
  <c r="AJ1278"/>
  <c r="W1278"/>
  <c r="U1278" l="1"/>
  <c r="AI1278"/>
  <c r="Y1278"/>
  <c r="Z1278" s="1"/>
  <c r="N1278"/>
  <c r="AE1277"/>
  <c r="AJ1277"/>
  <c r="W1277"/>
  <c r="U1277" l="1"/>
  <c r="AI1277"/>
  <c r="Y1277"/>
  <c r="Z1277" s="1"/>
  <c r="N1277"/>
  <c r="AE1276"/>
  <c r="AJ1276"/>
  <c r="W1276"/>
  <c r="U1276" l="1"/>
  <c r="AI1276"/>
  <c r="Y1276"/>
  <c r="Z1276" s="1"/>
  <c r="N1276"/>
  <c r="AE1275"/>
  <c r="AJ1275"/>
  <c r="W1275"/>
  <c r="U1275" l="1"/>
  <c r="AI1275"/>
  <c r="Y1275"/>
  <c r="Z1275" s="1"/>
  <c r="N1275"/>
  <c r="AE1274"/>
  <c r="AJ1274"/>
  <c r="W1274"/>
  <c r="U1274" l="1"/>
  <c r="AI1274"/>
  <c r="Y1274"/>
  <c r="Z1274" s="1"/>
  <c r="N1274"/>
  <c r="AE1273"/>
  <c r="AJ1273"/>
  <c r="W1273"/>
  <c r="U1273" l="1"/>
  <c r="AI1273"/>
  <c r="Y1273"/>
  <c r="Z1273" s="1"/>
  <c r="N1273"/>
  <c r="AE1272"/>
  <c r="AJ1272"/>
  <c r="W1272"/>
  <c r="U1272" l="1"/>
  <c r="AI1272"/>
  <c r="Y1272"/>
  <c r="Z1272" s="1"/>
  <c r="N1272"/>
  <c r="AE1271"/>
  <c r="AJ1271"/>
  <c r="W1271"/>
  <c r="U1271" l="1"/>
  <c r="AI1271"/>
  <c r="Y1271"/>
  <c r="Z1271" s="1"/>
  <c r="N1271"/>
  <c r="AE1270"/>
  <c r="AJ1270"/>
  <c r="W1270"/>
  <c r="U1270" l="1"/>
  <c r="AI1270"/>
  <c r="Y1270"/>
  <c r="Z1270" s="1"/>
  <c r="N1270"/>
  <c r="AE1269"/>
  <c r="AJ1269"/>
  <c r="W1269"/>
  <c r="U1269" l="1"/>
  <c r="AI1269"/>
  <c r="Y1269"/>
  <c r="Z1269" s="1"/>
  <c r="AE1268"/>
  <c r="AJ1268"/>
  <c r="W1268"/>
  <c r="U1268" l="1"/>
  <c r="AI1268"/>
  <c r="Y1268"/>
  <c r="Z1268" s="1"/>
  <c r="N1268"/>
  <c r="AE1267"/>
  <c r="AJ1267"/>
  <c r="W1267"/>
  <c r="U1267" l="1"/>
  <c r="AI1267"/>
  <c r="Y1267"/>
  <c r="Z1267" s="1"/>
  <c r="N1267"/>
  <c r="AE1266"/>
  <c r="AJ1266"/>
  <c r="W1266"/>
  <c r="U1266" l="1"/>
  <c r="AI1266"/>
  <c r="Y1266"/>
  <c r="Z1266" s="1"/>
  <c r="N1266"/>
  <c r="AE1265"/>
  <c r="AJ1265"/>
  <c r="W1265"/>
  <c r="U1265" l="1"/>
  <c r="AI1265"/>
  <c r="Y1265"/>
  <c r="Z1265" s="1"/>
  <c r="N1265"/>
  <c r="AE1264"/>
  <c r="AJ1264"/>
  <c r="W1264"/>
  <c r="U1264" l="1"/>
  <c r="AI1264"/>
  <c r="Y1264"/>
  <c r="Z1264" s="1"/>
  <c r="AE1261"/>
  <c r="AJ1261"/>
  <c r="W1261"/>
  <c r="U1261" l="1"/>
  <c r="AI1261"/>
  <c r="Y1261"/>
  <c r="Z1261" s="1"/>
  <c r="N1261"/>
  <c r="AE1260"/>
  <c r="AJ1260"/>
  <c r="W1260"/>
  <c r="U1260" l="1"/>
  <c r="AI1260"/>
  <c r="Y1260"/>
  <c r="Z1260" s="1"/>
  <c r="N1260"/>
  <c r="AE1259"/>
  <c r="AJ1259"/>
  <c r="W1259"/>
  <c r="U1259" l="1"/>
  <c r="AI1259"/>
  <c r="Y1259"/>
  <c r="Z1259" s="1"/>
  <c r="N1259"/>
  <c r="AE1258"/>
  <c r="AJ1258"/>
  <c r="W1258"/>
  <c r="U1258" l="1"/>
  <c r="AI1258"/>
  <c r="Y1258"/>
  <c r="Z1258" s="1"/>
  <c r="N1258"/>
  <c r="AE1257"/>
  <c r="AJ1257"/>
  <c r="W1257"/>
  <c r="U1257" l="1"/>
  <c r="AI1257"/>
  <c r="Y1257"/>
  <c r="Z1257" s="1"/>
  <c r="N1257"/>
  <c r="AE1256"/>
  <c r="AJ1256"/>
  <c r="W1256"/>
  <c r="U1256" l="1"/>
  <c r="AI1256"/>
  <c r="Y1256"/>
  <c r="Z1256" s="1"/>
  <c r="N1256"/>
  <c r="AE1255"/>
  <c r="AJ1255"/>
  <c r="W1255"/>
  <c r="U1255" l="1"/>
  <c r="AI1255"/>
  <c r="Y1255"/>
  <c r="Z1255" s="1"/>
  <c r="N1255"/>
  <c r="AE1254"/>
  <c r="AJ1254"/>
  <c r="W1254"/>
  <c r="U1254" l="1"/>
  <c r="AI1254"/>
  <c r="Y1254"/>
  <c r="Z1254" s="1"/>
  <c r="N1254"/>
  <c r="AE1253"/>
  <c r="AJ1253"/>
  <c r="W1253"/>
  <c r="U1253" l="1"/>
  <c r="AI1253"/>
  <c r="Y1253"/>
  <c r="Z1253" s="1"/>
  <c r="N1253"/>
  <c r="AE1252"/>
  <c r="AJ1252"/>
  <c r="W1252"/>
  <c r="U1252" l="1"/>
  <c r="AI1252"/>
  <c r="Y1252"/>
  <c r="Z1252" s="1"/>
  <c r="N1252"/>
  <c r="AE1251"/>
  <c r="AJ1251"/>
  <c r="W1251"/>
  <c r="U1251" l="1"/>
  <c r="AI1251"/>
  <c r="Y1251"/>
  <c r="Z1251" s="1"/>
  <c r="N1251"/>
  <c r="AE1250"/>
  <c r="AJ1250"/>
  <c r="W1250"/>
  <c r="U1250" l="1"/>
  <c r="AI1250"/>
  <c r="Y1250"/>
  <c r="Z1250" s="1"/>
  <c r="N1250"/>
  <c r="AE1249"/>
  <c r="AJ1249"/>
  <c r="W1249"/>
  <c r="U1249" l="1"/>
  <c r="AI1249"/>
  <c r="Y1249"/>
  <c r="Z1249" s="1"/>
  <c r="N1249"/>
  <c r="AE1248"/>
  <c r="AJ1248"/>
  <c r="W1248"/>
  <c r="U1248" l="1"/>
  <c r="AI1248"/>
  <c r="Y1248"/>
  <c r="Z1248" s="1"/>
  <c r="N1248"/>
  <c r="AE1247"/>
  <c r="W1247"/>
  <c r="AJ1247"/>
  <c r="U1247" l="1"/>
  <c r="AI1247"/>
  <c r="Y1247"/>
  <c r="Z1247" s="1"/>
  <c r="N1247"/>
  <c r="AE1246"/>
  <c r="AJ1246"/>
  <c r="W1246"/>
  <c r="U1246" l="1"/>
  <c r="AI1246"/>
  <c r="Y1246"/>
  <c r="Z1246" s="1"/>
  <c r="N1246"/>
  <c r="AE1245"/>
  <c r="AJ1245"/>
  <c r="W1245"/>
  <c r="U1245" l="1"/>
  <c r="AI1245"/>
  <c r="Y1245"/>
  <c r="Z1245" s="1"/>
  <c r="N1245"/>
  <c r="AE1244"/>
  <c r="AJ1244"/>
  <c r="W1244"/>
  <c r="U1244" l="1"/>
  <c r="AI1244"/>
  <c r="Y1244"/>
  <c r="Z1244" s="1"/>
  <c r="N1244"/>
  <c r="AE1243"/>
  <c r="AJ1243"/>
  <c r="W1243"/>
  <c r="U1243" l="1"/>
  <c r="AI1243"/>
  <c r="Y1243"/>
  <c r="Z1243" s="1"/>
  <c r="N1243"/>
  <c r="AE1242"/>
  <c r="AJ1242"/>
  <c r="W1242"/>
  <c r="U1242" l="1"/>
  <c r="AI1242"/>
  <c r="Y1242"/>
  <c r="Z1242" s="1"/>
  <c r="N1242"/>
  <c r="AE1241"/>
  <c r="AJ1241"/>
  <c r="W1241"/>
  <c r="U1241" l="1"/>
  <c r="AI1241"/>
  <c r="Y1241"/>
  <c r="Z1241" s="1"/>
  <c r="N1241"/>
  <c r="AE1240"/>
  <c r="AJ1240"/>
  <c r="W1240"/>
  <c r="U1240" l="1"/>
  <c r="AI1240"/>
  <c r="Y1240"/>
  <c r="Z1240" s="1"/>
  <c r="N1240"/>
  <c r="AE1239"/>
  <c r="AJ1239"/>
  <c r="W1239"/>
  <c r="U1239" l="1"/>
  <c r="AI1239"/>
  <c r="Y1239"/>
  <c r="Z1239" s="1"/>
  <c r="N1239"/>
  <c r="AE1237" l="1"/>
  <c r="AJ1237"/>
  <c r="W1237"/>
  <c r="U1237" l="1"/>
  <c r="AI1237"/>
  <c r="Y1237"/>
  <c r="Z1237" s="1"/>
  <c r="N1237"/>
  <c r="AE1236"/>
  <c r="AJ1236"/>
  <c r="W1236"/>
  <c r="U1236" l="1"/>
  <c r="AI1236"/>
  <c r="Y1236"/>
  <c r="Z1236" s="1"/>
  <c r="N1236"/>
  <c r="AE1235"/>
  <c r="AJ1235"/>
  <c r="W1235"/>
  <c r="U1235" l="1"/>
  <c r="AI1235"/>
  <c r="Y1235"/>
  <c r="Z1235" s="1"/>
  <c r="N1235"/>
  <c r="AE1234"/>
  <c r="AJ1234"/>
  <c r="W1234"/>
  <c r="U1234" l="1"/>
  <c r="AI1234"/>
  <c r="Y1234"/>
  <c r="Z1234" s="1"/>
  <c r="N1234"/>
  <c r="AE1233"/>
  <c r="AJ1233"/>
  <c r="W1233"/>
  <c r="U1233" l="1"/>
  <c r="AI1233"/>
  <c r="Y1233"/>
  <c r="Z1233" s="1"/>
  <c r="N1233"/>
  <c r="AE1232"/>
  <c r="AJ1232"/>
  <c r="W1232"/>
  <c r="U1232" l="1"/>
  <c r="AI1232"/>
  <c r="Y1232"/>
  <c r="Z1232" s="1"/>
  <c r="N1232"/>
  <c r="AE1231"/>
  <c r="AJ1231"/>
  <c r="W1231"/>
  <c r="U1231" l="1"/>
  <c r="AI1231"/>
  <c r="Y1231"/>
  <c r="Z1231" s="1"/>
  <c r="N1231"/>
  <c r="AE1230"/>
  <c r="AJ1230"/>
  <c r="W1230"/>
  <c r="U1230" l="1"/>
  <c r="AI1230"/>
  <c r="Y1230"/>
  <c r="Z1230" s="1"/>
  <c r="N1230"/>
  <c r="AE1229"/>
  <c r="AJ1229"/>
  <c r="W1229"/>
  <c r="U1229" l="1"/>
  <c r="AI1229"/>
  <c r="Y1229"/>
  <c r="Z1229" s="1"/>
  <c r="N1229"/>
  <c r="AE1228"/>
  <c r="AJ1228"/>
  <c r="W1228"/>
  <c r="U1228" l="1"/>
  <c r="AI1228"/>
  <c r="Y1228"/>
  <c r="Z1228" s="1"/>
  <c r="N1228"/>
  <c r="AE1227"/>
  <c r="AJ1227"/>
  <c r="W1227"/>
  <c r="U1227" l="1"/>
  <c r="AI1227"/>
  <c r="Y1227"/>
  <c r="Z1227" s="1"/>
  <c r="N1227"/>
  <c r="AE1226"/>
  <c r="AJ1226"/>
  <c r="W1226"/>
  <c r="U1226" l="1"/>
  <c r="AI1226"/>
  <c r="Y1226"/>
  <c r="Z1226" s="1"/>
  <c r="AE1222" l="1"/>
  <c r="AJ1222"/>
  <c r="W1222"/>
  <c r="U1222" l="1"/>
  <c r="AI1222"/>
  <c r="Y1222"/>
  <c r="Z1222" s="1"/>
  <c r="N1222"/>
  <c r="AE1220" l="1"/>
  <c r="AJ1220"/>
  <c r="W1220"/>
  <c r="U1220" l="1"/>
  <c r="AI1220"/>
  <c r="Y1220"/>
  <c r="Z1220" s="1"/>
  <c r="N1220"/>
  <c r="AE1219"/>
  <c r="AJ1219"/>
  <c r="W1219"/>
  <c r="U1219" l="1"/>
  <c r="AI1219"/>
  <c r="Y1219"/>
  <c r="Z1219" s="1"/>
  <c r="N1219"/>
  <c r="AE1218"/>
  <c r="AJ1218"/>
  <c r="W1218"/>
  <c r="U1218" l="1"/>
  <c r="AI1218"/>
  <c r="Y1218"/>
  <c r="Z1218" s="1"/>
  <c r="N1218"/>
  <c r="AE1215" l="1"/>
  <c r="AJ1215"/>
  <c r="W1215"/>
  <c r="U1215" l="1"/>
  <c r="AI1215"/>
  <c r="Y1215"/>
  <c r="Z1215" s="1"/>
  <c r="N1215"/>
  <c r="AE1214"/>
  <c r="AJ1214"/>
  <c r="W1214"/>
  <c r="U1214" l="1"/>
  <c r="AI1214"/>
  <c r="Y1214"/>
  <c r="Z1214" s="1"/>
  <c r="N1214"/>
  <c r="AE1213"/>
  <c r="AJ1213"/>
  <c r="W1213"/>
  <c r="U1213" l="1"/>
  <c r="AI1213"/>
  <c r="Y1213"/>
  <c r="Z1213" s="1"/>
  <c r="N1213"/>
  <c r="AE1212"/>
  <c r="AJ1212"/>
  <c r="W1212"/>
  <c r="U1212" l="1"/>
  <c r="AI1212"/>
  <c r="Y1212"/>
  <c r="Z1212" s="1"/>
  <c r="N1212"/>
  <c r="AE1211"/>
  <c r="AJ1211"/>
  <c r="W1211"/>
  <c r="U1211" l="1"/>
  <c r="AI1211"/>
  <c r="Y1211"/>
  <c r="Z1211" s="1"/>
  <c r="N1211"/>
  <c r="AE1210"/>
  <c r="AJ1210"/>
  <c r="W1210"/>
  <c r="U1210" l="1"/>
  <c r="AI1210"/>
  <c r="Y1210"/>
  <c r="Z1210" s="1"/>
  <c r="N1210"/>
  <c r="AE1209"/>
  <c r="AJ1209"/>
  <c r="W1209"/>
  <c r="U1209" l="1"/>
  <c r="AI1209"/>
  <c r="Y1209"/>
  <c r="Z1209" s="1"/>
  <c r="N1209"/>
  <c r="AE1208"/>
  <c r="AJ1208"/>
  <c r="W1208"/>
  <c r="U1208" l="1"/>
  <c r="AI1208"/>
  <c r="Y1208"/>
  <c r="Z1208" s="1"/>
  <c r="N1208"/>
  <c r="AE1207"/>
  <c r="AJ1207"/>
  <c r="W1207"/>
  <c r="U1207" l="1"/>
  <c r="AI1207"/>
  <c r="Y1207"/>
  <c r="Z1207" s="1"/>
  <c r="N1207"/>
  <c r="AE1206"/>
  <c r="AJ1206"/>
  <c r="W1206"/>
  <c r="U1206" l="1"/>
  <c r="AI1206"/>
  <c r="Y1206"/>
  <c r="Z1206" s="1"/>
  <c r="N1206"/>
  <c r="AE1205"/>
  <c r="AJ1205"/>
  <c r="W1205"/>
  <c r="U1205" l="1"/>
  <c r="AI1205"/>
  <c r="Y1205"/>
  <c r="Z1205" s="1"/>
  <c r="N1205"/>
  <c r="AE1204"/>
  <c r="AJ1204"/>
  <c r="W1204"/>
  <c r="U1204" l="1"/>
  <c r="AI1204"/>
  <c r="Y1204"/>
  <c r="Z1204" s="1"/>
  <c r="N1204"/>
  <c r="AE1203"/>
  <c r="AJ1203"/>
  <c r="W1203"/>
  <c r="U1203" l="1"/>
  <c r="AI1203"/>
  <c r="Y1203"/>
  <c r="Z1203" s="1"/>
  <c r="N1203"/>
  <c r="AE1201" l="1"/>
  <c r="AJ1201"/>
  <c r="W1201"/>
  <c r="U1201" l="1"/>
  <c r="AI1201"/>
  <c r="Y1201"/>
  <c r="Z1201" s="1"/>
  <c r="N1201"/>
  <c r="AE1198" l="1"/>
  <c r="AJ1198"/>
  <c r="W1198"/>
  <c r="U1198" l="1"/>
  <c r="AI1198"/>
  <c r="Y1198"/>
  <c r="Z1198" s="1"/>
  <c r="N1198"/>
  <c r="AE1196"/>
  <c r="AJ1196"/>
  <c r="W1196"/>
  <c r="U1196" l="1"/>
  <c r="AI1196"/>
  <c r="Y1196"/>
  <c r="Z1196" s="1"/>
  <c r="N1196"/>
  <c r="AE1194" l="1"/>
  <c r="AJ1194"/>
  <c r="W1194"/>
  <c r="U1194" l="1"/>
  <c r="AI1194"/>
  <c r="Y1194"/>
  <c r="Z1194" s="1"/>
  <c r="N1194"/>
  <c r="AE1192" l="1"/>
  <c r="AJ1192"/>
  <c r="W1192"/>
  <c r="U1192" l="1"/>
  <c r="AI1192"/>
  <c r="Y1192"/>
  <c r="Z1192" s="1"/>
  <c r="N1192"/>
  <c r="AE1191"/>
  <c r="AJ1191"/>
  <c r="W1191"/>
  <c r="U1191" l="1"/>
  <c r="AI1191"/>
  <c r="Y1191"/>
  <c r="Z1191" s="1"/>
  <c r="N1191"/>
  <c r="AE1190"/>
  <c r="AJ1190"/>
  <c r="W1190"/>
  <c r="U1190" l="1"/>
  <c r="AI1190"/>
  <c r="Y1190"/>
  <c r="Z1190" s="1"/>
  <c r="N1190"/>
  <c r="AE1189"/>
  <c r="AJ1189"/>
  <c r="W1189"/>
  <c r="U1189" l="1"/>
  <c r="AI1189"/>
  <c r="Y1189"/>
  <c r="Z1189" s="1"/>
  <c r="N1189"/>
  <c r="AE1188"/>
  <c r="AJ1188"/>
  <c r="W1188"/>
  <c r="U1188" l="1"/>
  <c r="AI1188"/>
  <c r="Y1188"/>
  <c r="Z1188" s="1"/>
  <c r="N1188"/>
  <c r="AE1187"/>
  <c r="AJ1187"/>
  <c r="W1187"/>
  <c r="U1187" l="1"/>
  <c r="AI1187"/>
  <c r="Y1187"/>
  <c r="Z1187" s="1"/>
  <c r="N1187"/>
  <c r="AE1186"/>
  <c r="AJ1186"/>
  <c r="W1186"/>
  <c r="U1186" l="1"/>
  <c r="AI1186"/>
  <c r="Y1186"/>
  <c r="Z1186" s="1"/>
  <c r="N1186"/>
  <c r="AE1185"/>
  <c r="AJ1185"/>
  <c r="W1185"/>
  <c r="U1185" l="1"/>
  <c r="AI1185"/>
  <c r="Y1185"/>
  <c r="Z1185" s="1"/>
  <c r="N1185"/>
  <c r="AE1184"/>
  <c r="AJ1184"/>
  <c r="W1184"/>
  <c r="U1184" l="1"/>
  <c r="AI1184"/>
  <c r="Y1184"/>
  <c r="Z1184" s="1"/>
  <c r="N1184"/>
  <c r="AE1182" l="1"/>
  <c r="AJ1182"/>
  <c r="W1182"/>
  <c r="U1182" l="1"/>
  <c r="AI1182"/>
  <c r="Y1182"/>
  <c r="Z1182" s="1"/>
  <c r="N1182"/>
  <c r="AE1181"/>
  <c r="AJ1181"/>
  <c r="W1181"/>
  <c r="U1181" l="1"/>
  <c r="AI1181"/>
  <c r="Y1181"/>
  <c r="Z1181" s="1"/>
  <c r="N1181"/>
  <c r="AE1180"/>
  <c r="AJ1180"/>
  <c r="W1180"/>
  <c r="U1180" l="1"/>
  <c r="AI1180"/>
  <c r="Y1180"/>
  <c r="Z1180" s="1"/>
  <c r="N1180"/>
  <c r="AE1179"/>
  <c r="AJ1179"/>
  <c r="W1179"/>
  <c r="U1179" l="1"/>
  <c r="AI1179"/>
  <c r="Y1179"/>
  <c r="Z1179" s="1"/>
  <c r="N1179"/>
  <c r="AE1178"/>
  <c r="W1178"/>
  <c r="AJ1178"/>
  <c r="U1178" l="1"/>
  <c r="AI1178"/>
  <c r="Y1178"/>
  <c r="Z1178" s="1"/>
  <c r="N1178"/>
  <c r="AE1177"/>
  <c r="AJ1177"/>
  <c r="W1177"/>
  <c r="U1177" l="1"/>
  <c r="AI1177"/>
  <c r="Y1177"/>
  <c r="Z1177" s="1"/>
  <c r="N1177"/>
  <c r="AE1176"/>
  <c r="AJ1176"/>
  <c r="W1176"/>
  <c r="U1176" l="1"/>
  <c r="AI1176"/>
  <c r="Y1176"/>
  <c r="Z1176" s="1"/>
  <c r="N1176"/>
  <c r="AE1175"/>
  <c r="AJ1175"/>
  <c r="W1175"/>
  <c r="U1175" l="1"/>
  <c r="AI1175"/>
  <c r="Y1175"/>
  <c r="Z1175" s="1"/>
  <c r="N1175"/>
  <c r="AE1174"/>
  <c r="AJ1174"/>
  <c r="W1174"/>
  <c r="U1174" l="1"/>
  <c r="AI1174"/>
  <c r="Y1174"/>
  <c r="Z1174" s="1"/>
  <c r="N1174"/>
  <c r="AE1172" l="1"/>
  <c r="AJ1172"/>
  <c r="W1172"/>
  <c r="U1172" l="1"/>
  <c r="AI1172"/>
  <c r="Y1172"/>
  <c r="Z1172" s="1"/>
  <c r="N1172"/>
  <c r="AE1171"/>
  <c r="AJ1171"/>
  <c r="W1171"/>
  <c r="U1171" l="1"/>
  <c r="AI1171"/>
  <c r="Y1171"/>
  <c r="Z1171" s="1"/>
  <c r="N1171"/>
  <c r="AE1170"/>
  <c r="W1170"/>
  <c r="AJ1170"/>
  <c r="U1170" l="1"/>
  <c r="AI1170"/>
  <c r="Y1170"/>
  <c r="Z1170" s="1"/>
  <c r="N1170"/>
  <c r="AE1169"/>
  <c r="AJ1169"/>
  <c r="W1169"/>
  <c r="U1169" l="1"/>
  <c r="AI1169"/>
  <c r="Y1169"/>
  <c r="Z1169" s="1"/>
  <c r="N1169"/>
  <c r="AE1168"/>
  <c r="AJ1168"/>
  <c r="W1168"/>
  <c r="U1168" l="1"/>
  <c r="AI1168"/>
  <c r="Y1168"/>
  <c r="Z1168" s="1"/>
  <c r="N1168"/>
  <c r="AE1167"/>
  <c r="AJ1167"/>
  <c r="W1167"/>
  <c r="U1167" l="1"/>
  <c r="AI1167"/>
  <c r="Y1167"/>
  <c r="Z1167" s="1"/>
  <c r="N1167"/>
  <c r="AE1166"/>
  <c r="AJ1166"/>
  <c r="W1166"/>
  <c r="U1166" l="1"/>
  <c r="AI1166"/>
  <c r="Y1166"/>
  <c r="Z1166" s="1"/>
  <c r="N1166"/>
  <c r="AE1165"/>
  <c r="AJ1165"/>
  <c r="W1165"/>
  <c r="U1165" l="1"/>
  <c r="AI1165"/>
  <c r="Y1165"/>
  <c r="Z1165" s="1"/>
  <c r="N1165"/>
  <c r="AE1164"/>
  <c r="AJ1164"/>
  <c r="W1164"/>
  <c r="U1164" l="1"/>
  <c r="AI1164"/>
  <c r="Y1164"/>
  <c r="Z1164" s="1"/>
  <c r="N1164"/>
  <c r="AE1163"/>
  <c r="AJ1163"/>
  <c r="W1163"/>
  <c r="U1163" l="1"/>
  <c r="AI1163"/>
  <c r="Y1163"/>
  <c r="Z1163" s="1"/>
  <c r="N1163"/>
  <c r="AE1162"/>
  <c r="AJ1162"/>
  <c r="W1162"/>
  <c r="U1162" l="1"/>
  <c r="AI1162"/>
  <c r="Y1162"/>
  <c r="Z1162" s="1"/>
  <c r="N1162"/>
  <c r="AE1161"/>
  <c r="AJ1161"/>
  <c r="W1161"/>
  <c r="U1161" l="1"/>
  <c r="AI1161"/>
  <c r="Y1161"/>
  <c r="Z1161" s="1"/>
  <c r="N1161"/>
  <c r="AE1160"/>
  <c r="AJ1160"/>
  <c r="W1160"/>
  <c r="U1160" l="1"/>
  <c r="AI1160"/>
  <c r="Y1160"/>
  <c r="Z1160" s="1"/>
  <c r="N1160"/>
  <c r="AE1158"/>
  <c r="AJ1158"/>
  <c r="W1158"/>
  <c r="U1158" l="1"/>
  <c r="AI1158"/>
  <c r="Y1158"/>
  <c r="Z1158" s="1"/>
  <c r="N1158"/>
  <c r="AE1157"/>
  <c r="AJ1157"/>
  <c r="W1157"/>
  <c r="U1157" l="1"/>
  <c r="AI1157"/>
  <c r="Y1157"/>
  <c r="Z1157" s="1"/>
  <c r="N1157"/>
  <c r="AE1156"/>
  <c r="AJ1156"/>
  <c r="W1156"/>
  <c r="U1156" l="1"/>
  <c r="AI1156"/>
  <c r="Y1156"/>
  <c r="Z1156" s="1"/>
  <c r="N1156"/>
  <c r="AE1155"/>
  <c r="W1155"/>
  <c r="AJ1155"/>
  <c r="U1155" l="1"/>
  <c r="AI1155"/>
  <c r="Y1155"/>
  <c r="Z1155" s="1"/>
  <c r="N1155"/>
  <c r="AE1154"/>
  <c r="AJ1154"/>
  <c r="W1154"/>
  <c r="U1154" l="1"/>
  <c r="AI1154"/>
  <c r="Y1154"/>
  <c r="Z1154" s="1"/>
  <c r="N1154"/>
  <c r="AE1153"/>
  <c r="AJ1153"/>
  <c r="W1153"/>
  <c r="U1153" l="1"/>
  <c r="AI1153"/>
  <c r="Y1153"/>
  <c r="Z1153" s="1"/>
  <c r="N1153"/>
  <c r="AE1152"/>
  <c r="AJ1152"/>
  <c r="W1152"/>
  <c r="U1152" l="1"/>
  <c r="AI1152"/>
  <c r="Y1152"/>
  <c r="Z1152" s="1"/>
  <c r="N1152"/>
  <c r="AE1151"/>
  <c r="AJ1151"/>
  <c r="W1151"/>
  <c r="U1151" l="1"/>
  <c r="AI1151"/>
  <c r="Y1151"/>
  <c r="Z1151" s="1"/>
  <c r="N1151"/>
  <c r="AE1150"/>
  <c r="AJ1150"/>
  <c r="W1150"/>
  <c r="U1150" l="1"/>
  <c r="AI1150"/>
  <c r="Y1150"/>
  <c r="Z1150" s="1"/>
  <c r="N1150"/>
  <c r="AE1149"/>
  <c r="AJ1149"/>
  <c r="W1149"/>
  <c r="U1149" l="1"/>
  <c r="AI1149"/>
  <c r="Y1149"/>
  <c r="Z1149" s="1"/>
  <c r="N1149"/>
  <c r="AE1148"/>
  <c r="AJ1148"/>
  <c r="W1148"/>
  <c r="U1148" l="1"/>
  <c r="AI1148"/>
  <c r="Y1148"/>
  <c r="Z1148" s="1"/>
  <c r="N1148"/>
  <c r="AE1147"/>
  <c r="AJ1147"/>
  <c r="W1147"/>
  <c r="U1147" l="1"/>
  <c r="AI1147"/>
  <c r="Y1147"/>
  <c r="Z1147" s="1"/>
  <c r="N1147"/>
  <c r="AE1146"/>
  <c r="AJ1146"/>
  <c r="W1146"/>
  <c r="U1146" l="1"/>
  <c r="AI1146"/>
  <c r="Y1146"/>
  <c r="Z1146" s="1"/>
  <c r="N1146"/>
  <c r="AE1145"/>
  <c r="AJ1145"/>
  <c r="W1145"/>
  <c r="U1145" l="1"/>
  <c r="AI1145"/>
  <c r="Y1145"/>
  <c r="Z1145" s="1"/>
  <c r="N1145"/>
  <c r="AE1144"/>
  <c r="AJ1144"/>
  <c r="W1144"/>
  <c r="U1144" l="1"/>
  <c r="AI1144"/>
  <c r="Y1144"/>
  <c r="Z1144" s="1"/>
  <c r="N1144"/>
  <c r="AE1143"/>
  <c r="AJ1143"/>
  <c r="W1143"/>
  <c r="U1143" l="1"/>
  <c r="AI1143"/>
  <c r="Y1143"/>
  <c r="Z1143" s="1"/>
  <c r="N1143"/>
  <c r="AE1142"/>
  <c r="AJ1142"/>
  <c r="W1142"/>
  <c r="U1142" l="1"/>
  <c r="AI1142"/>
  <c r="Y1142"/>
  <c r="Z1142" s="1"/>
  <c r="N1142"/>
  <c r="AE1141"/>
  <c r="AJ1141"/>
  <c r="W1141"/>
  <c r="U1141" l="1"/>
  <c r="AI1141"/>
  <c r="Y1141"/>
  <c r="Z1141" s="1"/>
  <c r="N1141"/>
  <c r="AE1140"/>
  <c r="AJ1140"/>
  <c r="W1140"/>
  <c r="U1140" l="1"/>
  <c r="AI1140"/>
  <c r="Y1140"/>
  <c r="Z1140" s="1"/>
  <c r="N1140"/>
  <c r="AE1139"/>
  <c r="AJ1139"/>
  <c r="W1139"/>
  <c r="U1139" l="1"/>
  <c r="AI1139"/>
  <c r="Y1139"/>
  <c r="Z1139" s="1"/>
  <c r="N1139"/>
  <c r="AE1138"/>
  <c r="AJ1138"/>
  <c r="W1138"/>
  <c r="U1138" l="1"/>
  <c r="AI1138"/>
  <c r="Y1138"/>
  <c r="Z1138" s="1"/>
  <c r="N1138"/>
  <c r="AE1137"/>
  <c r="AJ1137"/>
  <c r="W1137"/>
  <c r="U1137" l="1"/>
  <c r="AI1137"/>
  <c r="Y1137"/>
  <c r="Z1137" s="1"/>
  <c r="N1137"/>
  <c r="AE1136"/>
  <c r="AJ1136"/>
  <c r="W1136"/>
  <c r="U1136" l="1"/>
  <c r="AI1136"/>
  <c r="Y1136"/>
  <c r="Z1136" s="1"/>
  <c r="N1136"/>
  <c r="AE1135"/>
  <c r="AJ1135"/>
  <c r="W1135"/>
  <c r="U1135" l="1"/>
  <c r="AI1135"/>
  <c r="Y1135"/>
  <c r="Z1135" s="1"/>
  <c r="N1135"/>
  <c r="AE1134"/>
  <c r="AJ1134"/>
  <c r="W1134"/>
  <c r="U1134" l="1"/>
  <c r="AI1134"/>
  <c r="Y1134"/>
  <c r="Z1134" s="1"/>
  <c r="N1134"/>
  <c r="AE1133"/>
  <c r="AJ1133"/>
  <c r="W1133"/>
  <c r="U1133" l="1"/>
  <c r="AI1133"/>
  <c r="Y1133"/>
  <c r="Z1133" s="1"/>
  <c r="N1133"/>
  <c r="AE1132"/>
  <c r="AJ1132"/>
  <c r="W1132"/>
  <c r="U1132" l="1"/>
  <c r="AI1132"/>
  <c r="Y1132"/>
  <c r="Z1132" s="1"/>
  <c r="N1132"/>
  <c r="AE1131"/>
  <c r="AJ1131"/>
  <c r="W1131"/>
  <c r="U1131" l="1"/>
  <c r="AI1131"/>
  <c r="Y1131"/>
  <c r="Z1131" s="1"/>
  <c r="N1131"/>
  <c r="AE1130"/>
  <c r="AJ1130"/>
  <c r="W1130"/>
  <c r="U1130" l="1"/>
  <c r="AI1130"/>
  <c r="Y1130"/>
  <c r="Z1130" s="1"/>
  <c r="N1130"/>
  <c r="AE1129"/>
  <c r="AJ1129"/>
  <c r="W1129"/>
  <c r="U1129" l="1"/>
  <c r="AI1129"/>
  <c r="Y1129"/>
  <c r="Z1129" s="1"/>
  <c r="N1129"/>
  <c r="AE1128"/>
  <c r="AJ1128"/>
  <c r="W1128"/>
  <c r="U1128" l="1"/>
  <c r="AI1128"/>
  <c r="Y1128"/>
  <c r="Z1128" s="1"/>
  <c r="N1128"/>
  <c r="AE1125" l="1"/>
  <c r="AJ1125"/>
  <c r="W1125"/>
  <c r="U1125" l="1"/>
  <c r="AI1125"/>
  <c r="Y1125"/>
  <c r="Z1125" s="1"/>
  <c r="N1125"/>
  <c r="AE1124"/>
  <c r="AJ1124"/>
  <c r="W1124"/>
  <c r="U1124" l="1"/>
  <c r="AI1124"/>
  <c r="Y1124"/>
  <c r="Z1124" s="1"/>
  <c r="N1124"/>
  <c r="AE1123"/>
  <c r="AJ1123"/>
  <c r="W1123"/>
  <c r="U1123" l="1"/>
  <c r="AI1123"/>
  <c r="Y1123"/>
  <c r="Z1123" s="1"/>
  <c r="N1123"/>
  <c r="AE1122"/>
  <c r="AJ1122"/>
  <c r="W1122"/>
  <c r="U1122" l="1"/>
  <c r="AI1122"/>
  <c r="Y1122"/>
  <c r="Z1122" s="1"/>
  <c r="AE1121"/>
  <c r="AJ1121"/>
  <c r="W1121"/>
  <c r="U1121" l="1"/>
  <c r="AI1121"/>
  <c r="Y1121"/>
  <c r="Z1121" s="1"/>
  <c r="N1121"/>
  <c r="AE1120"/>
  <c r="AJ1120"/>
  <c r="W1120"/>
  <c r="U1120" l="1"/>
  <c r="AI1120"/>
  <c r="Y1120"/>
  <c r="Z1120" s="1"/>
  <c r="N1120"/>
  <c r="AE1119"/>
  <c r="AJ1119"/>
  <c r="W1119"/>
  <c r="U1119" l="1"/>
  <c r="AI1119"/>
  <c r="Y1119"/>
  <c r="Z1119" s="1"/>
  <c r="N1119"/>
  <c r="AE1118"/>
  <c r="AJ1118"/>
  <c r="W1118"/>
  <c r="U1118" l="1"/>
  <c r="AI1118"/>
  <c r="Y1118"/>
  <c r="Z1118" s="1"/>
  <c r="N1118"/>
  <c r="AE1117"/>
  <c r="AJ1117"/>
  <c r="W1117"/>
  <c r="U1117" l="1"/>
  <c r="AI1117"/>
  <c r="Y1117"/>
  <c r="Z1117" s="1"/>
  <c r="N1117"/>
  <c r="AE1116"/>
  <c r="AJ1116"/>
  <c r="W1116"/>
  <c r="U1116" l="1"/>
  <c r="AI1116"/>
  <c r="Y1116"/>
  <c r="Z1116" s="1"/>
  <c r="N1116"/>
  <c r="AE1115"/>
  <c r="AJ1115"/>
  <c r="W1115"/>
  <c r="U1115" l="1"/>
  <c r="AI1115"/>
  <c r="Y1115"/>
  <c r="Z1115" s="1"/>
  <c r="N1115"/>
  <c r="AE1114"/>
  <c r="AJ1114"/>
  <c r="W1114"/>
  <c r="U1114" l="1"/>
  <c r="AI1114"/>
  <c r="Y1114"/>
  <c r="Z1114" s="1"/>
  <c r="N1114"/>
  <c r="AE1113"/>
  <c r="AJ1113"/>
  <c r="W1113"/>
  <c r="U1113" l="1"/>
  <c r="AI1113"/>
  <c r="Y1113"/>
  <c r="Z1113" s="1"/>
  <c r="N1113"/>
  <c r="AE1112"/>
  <c r="W1112"/>
  <c r="AJ1112"/>
  <c r="U1112" l="1"/>
  <c r="AI1112"/>
  <c r="Y1112"/>
  <c r="Z1112" s="1"/>
  <c r="N1112"/>
  <c r="AE1111"/>
  <c r="AJ1111"/>
  <c r="W1111"/>
  <c r="U1111" l="1"/>
  <c r="AI1111"/>
  <c r="Y1111"/>
  <c r="Z1111" s="1"/>
  <c r="AE1110"/>
  <c r="AJ1110"/>
  <c r="W1110"/>
  <c r="U1110" l="1"/>
  <c r="AI1110"/>
  <c r="Y1110"/>
  <c r="Z1110" s="1"/>
  <c r="N1110"/>
  <c r="AE1109"/>
  <c r="AJ1109"/>
  <c r="W1109"/>
  <c r="U1109" l="1"/>
  <c r="AI1109"/>
  <c r="Y1109"/>
  <c r="Z1109" s="1"/>
  <c r="N1109"/>
  <c r="AE1108"/>
  <c r="AJ1108"/>
  <c r="W1108"/>
  <c r="U1108" l="1"/>
  <c r="AI1108"/>
  <c r="Y1108"/>
  <c r="Z1108" s="1"/>
  <c r="N1108"/>
  <c r="AE1106" l="1"/>
  <c r="W1106"/>
  <c r="AJ1106"/>
  <c r="U1106" l="1"/>
  <c r="AI1106"/>
  <c r="Y1106"/>
  <c r="Z1106" s="1"/>
  <c r="N1106"/>
  <c r="AE1105"/>
  <c r="AJ1105"/>
  <c r="W1105"/>
  <c r="U1105" l="1"/>
  <c r="AI1105"/>
  <c r="Y1105"/>
  <c r="Z1105" s="1"/>
  <c r="N1105"/>
  <c r="AE1103" l="1"/>
  <c r="AJ1103"/>
  <c r="W1103"/>
  <c r="U1103" l="1"/>
  <c r="AI1103"/>
  <c r="Y1103"/>
  <c r="Z1103" s="1"/>
  <c r="N1103"/>
  <c r="AE1102"/>
  <c r="AJ1102"/>
  <c r="W1102"/>
  <c r="U1102" l="1"/>
  <c r="AI1102"/>
  <c r="Y1102"/>
  <c r="Z1102" s="1"/>
  <c r="N1102"/>
  <c r="AE1101"/>
  <c r="AJ1101"/>
  <c r="W1101"/>
  <c r="U1101" l="1"/>
  <c r="AI1101"/>
  <c r="Y1101"/>
  <c r="Z1101" s="1"/>
  <c r="N1101"/>
  <c r="AE1100"/>
  <c r="AJ1100"/>
  <c r="W1100"/>
  <c r="U1100" l="1"/>
  <c r="AI1100"/>
  <c r="Y1100"/>
  <c r="Z1100" s="1"/>
  <c r="N1100"/>
  <c r="AE1099"/>
  <c r="AJ1099"/>
  <c r="W1099"/>
  <c r="U1099" l="1"/>
  <c r="AI1099"/>
  <c r="Y1099"/>
  <c r="Z1099" s="1"/>
  <c r="N1099"/>
  <c r="AE1098"/>
  <c r="AJ1098"/>
  <c r="W1098"/>
  <c r="U1098" l="1"/>
  <c r="AI1098"/>
  <c r="Y1098"/>
  <c r="Z1098" s="1"/>
  <c r="N1098"/>
  <c r="AE1097"/>
  <c r="AJ1097"/>
  <c r="W1097"/>
  <c r="U1097" l="1"/>
  <c r="AI1097"/>
  <c r="Y1097"/>
  <c r="Z1097" s="1"/>
  <c r="N1097"/>
  <c r="AE1096"/>
  <c r="AJ1096"/>
  <c r="W1096"/>
  <c r="U1096" l="1"/>
  <c r="AI1096"/>
  <c r="Y1096"/>
  <c r="Z1096" s="1"/>
  <c r="N1096"/>
  <c r="AE1095"/>
  <c r="AJ1095"/>
  <c r="W1095"/>
  <c r="U1095" l="1"/>
  <c r="AI1095"/>
  <c r="Y1095"/>
  <c r="Z1095" s="1"/>
  <c r="N1095"/>
  <c r="AE1094"/>
  <c r="AJ1094"/>
  <c r="W1094"/>
  <c r="U1094" l="1"/>
  <c r="AI1094"/>
  <c r="Y1094"/>
  <c r="Z1094" s="1"/>
  <c r="N1094"/>
  <c r="AE1093"/>
  <c r="AJ1093"/>
  <c r="W1093"/>
  <c r="U1093" l="1"/>
  <c r="AI1093"/>
  <c r="Y1093"/>
  <c r="Z1093" s="1"/>
  <c r="N1093"/>
  <c r="AE1092"/>
  <c r="AJ1092"/>
  <c r="W1092"/>
  <c r="U1092" l="1"/>
  <c r="AI1092"/>
  <c r="Y1092"/>
  <c r="Z1092" s="1"/>
  <c r="N1092"/>
  <c r="AE1091"/>
  <c r="AJ1091"/>
  <c r="W1091"/>
  <c r="U1091" l="1"/>
  <c r="AI1091"/>
  <c r="Y1091"/>
  <c r="Z1091" s="1"/>
  <c r="N1091"/>
  <c r="AE1089" l="1"/>
  <c r="AJ1089"/>
  <c r="W1089"/>
  <c r="U1089" l="1"/>
  <c r="AI1089"/>
  <c r="Y1089"/>
  <c r="Z1089" s="1"/>
  <c r="N1089"/>
  <c r="AE1088"/>
  <c r="AJ1088"/>
  <c r="W1088"/>
  <c r="U1088" l="1"/>
  <c r="AI1088"/>
  <c r="Y1088"/>
  <c r="Z1088" s="1"/>
  <c r="N1088"/>
  <c r="AE1087"/>
  <c r="AJ1087"/>
  <c r="W1087"/>
  <c r="U1087" l="1"/>
  <c r="AI1087"/>
  <c r="Y1087"/>
  <c r="Z1087" s="1"/>
  <c r="N1087"/>
  <c r="AE1086"/>
  <c r="AJ1086"/>
  <c r="W1086"/>
  <c r="U1086" l="1"/>
  <c r="AI1086"/>
  <c r="Y1086"/>
  <c r="Z1086" s="1"/>
  <c r="N1086"/>
  <c r="AE1085"/>
  <c r="AJ1085"/>
  <c r="W1085"/>
  <c r="U1085" l="1"/>
  <c r="AI1085"/>
  <c r="Y1085"/>
  <c r="Z1085" s="1"/>
  <c r="N1085"/>
  <c r="AE1084"/>
  <c r="AJ1084"/>
  <c r="W1084"/>
  <c r="U1084" l="1"/>
  <c r="AI1084"/>
  <c r="Y1084"/>
  <c r="Z1084" s="1"/>
  <c r="N1084"/>
  <c r="AE1083"/>
  <c r="AJ1083"/>
  <c r="W1083"/>
  <c r="U1083" l="1"/>
  <c r="AI1083"/>
  <c r="Y1083"/>
  <c r="Z1083" s="1"/>
  <c r="N1083"/>
  <c r="AE1082"/>
  <c r="AJ1082"/>
  <c r="W1082"/>
  <c r="U1082" l="1"/>
  <c r="AI1082"/>
  <c r="Y1082"/>
  <c r="Z1082" s="1"/>
  <c r="N1082"/>
  <c r="AE1081"/>
  <c r="AJ1081"/>
  <c r="W1081"/>
  <c r="U1081" l="1"/>
  <c r="AI1081"/>
  <c r="Y1081"/>
  <c r="Z1081" s="1"/>
  <c r="N1081"/>
  <c r="AE1080"/>
  <c r="AJ1080"/>
  <c r="W1080"/>
  <c r="U1080" l="1"/>
  <c r="AI1080"/>
  <c r="Y1080"/>
  <c r="Z1080" s="1"/>
  <c r="N1080"/>
  <c r="AE1079"/>
  <c r="AJ1079"/>
  <c r="W1079"/>
  <c r="U1079" l="1"/>
  <c r="AI1079"/>
  <c r="Y1079"/>
  <c r="Z1079" s="1"/>
  <c r="N1079"/>
  <c r="AE1078"/>
  <c r="AJ1078"/>
  <c r="W1078"/>
  <c r="U1078" l="1"/>
  <c r="AI1078"/>
  <c r="Y1078"/>
  <c r="Z1078" s="1"/>
  <c r="N1078"/>
  <c r="AE1077"/>
  <c r="AJ1077"/>
  <c r="W1077"/>
  <c r="U1077" l="1"/>
  <c r="AI1077"/>
  <c r="Y1077"/>
  <c r="Z1077" s="1"/>
  <c r="N1077"/>
  <c r="AE1075" l="1"/>
  <c r="W1075"/>
  <c r="AJ1075"/>
  <c r="U1075" l="1"/>
  <c r="AI1075"/>
  <c r="Y1075"/>
  <c r="Z1075" s="1"/>
  <c r="N1075"/>
  <c r="AE1074"/>
  <c r="AJ1074"/>
  <c r="W1074"/>
  <c r="U1074" l="1"/>
  <c r="AI1074"/>
  <c r="Y1074"/>
  <c r="Z1074" s="1"/>
  <c r="N1074"/>
  <c r="AE1073"/>
  <c r="AJ1073"/>
  <c r="W1073"/>
  <c r="U1073" l="1"/>
  <c r="AI1073"/>
  <c r="Y1073"/>
  <c r="Z1073" s="1"/>
  <c r="N1073"/>
  <c r="AE1072"/>
  <c r="AJ1072"/>
  <c r="W1072"/>
  <c r="U1072" l="1"/>
  <c r="AI1072"/>
  <c r="Y1072"/>
  <c r="Z1072" s="1"/>
  <c r="N1072"/>
  <c r="AE1071" l="1"/>
  <c r="AJ1071"/>
  <c r="W1071"/>
  <c r="U1071" l="1"/>
  <c r="AI1071"/>
  <c r="Y1071"/>
  <c r="Z1071" s="1"/>
  <c r="N1071"/>
  <c r="AE1070"/>
  <c r="AJ1070"/>
  <c r="W1070"/>
  <c r="U1070" l="1"/>
  <c r="AI1070"/>
  <c r="Y1070"/>
  <c r="Z1070" s="1"/>
  <c r="N1070"/>
  <c r="AE1069"/>
  <c r="AJ1069"/>
  <c r="W1069"/>
  <c r="U1069" l="1"/>
  <c r="AI1069"/>
  <c r="Y1069"/>
  <c r="Z1069" s="1"/>
  <c r="N1069"/>
  <c r="AE1068"/>
  <c r="AJ1068"/>
  <c r="W1068"/>
  <c r="U1068" l="1"/>
  <c r="AI1068"/>
  <c r="Y1068"/>
  <c r="Z1068" s="1"/>
  <c r="N1068"/>
  <c r="AE1067"/>
  <c r="AJ1067"/>
  <c r="W1067"/>
  <c r="U1067" l="1"/>
  <c r="AI1067"/>
  <c r="Y1067"/>
  <c r="Z1067" s="1"/>
  <c r="N1067"/>
  <c r="AE1066"/>
  <c r="AJ1066"/>
  <c r="W1066"/>
  <c r="U1066" l="1"/>
  <c r="AI1066"/>
  <c r="Y1066"/>
  <c r="Z1066" s="1"/>
  <c r="N1066"/>
  <c r="AE1065"/>
  <c r="AJ1065"/>
  <c r="W1065"/>
  <c r="U1065" l="1"/>
  <c r="AI1065"/>
  <c r="Y1065"/>
  <c r="Z1065" s="1"/>
  <c r="N1065"/>
  <c r="AE1064"/>
  <c r="AJ1064"/>
  <c r="W1064"/>
  <c r="U1064" l="1"/>
  <c r="AI1064"/>
  <c r="Y1064"/>
  <c r="Z1064" s="1"/>
  <c r="N1064"/>
  <c r="AE1062" l="1"/>
  <c r="AJ1062"/>
  <c r="W1062"/>
  <c r="U1062" l="1"/>
  <c r="AI1062"/>
  <c r="Y1062"/>
  <c r="Z1062" s="1"/>
  <c r="N1062"/>
  <c r="AE1061"/>
  <c r="AJ1061"/>
  <c r="W1061"/>
  <c r="U1061" l="1"/>
  <c r="AI1061"/>
  <c r="Y1061"/>
  <c r="Z1061" s="1"/>
  <c r="N1061"/>
  <c r="AE1060"/>
  <c r="AJ1060"/>
  <c r="W1060"/>
  <c r="U1060" l="1"/>
  <c r="AI1060"/>
  <c r="Y1060"/>
  <c r="Z1060" s="1"/>
  <c r="N1060"/>
  <c r="AE1059"/>
  <c r="AJ1059"/>
  <c r="W1059"/>
  <c r="U1059" l="1"/>
  <c r="AI1059"/>
  <c r="Y1059"/>
  <c r="Z1059" s="1"/>
  <c r="N1059"/>
  <c r="AE1058"/>
  <c r="AJ1058"/>
  <c r="W1058"/>
  <c r="U1058" l="1"/>
  <c r="AI1058"/>
  <c r="Y1058"/>
  <c r="Z1058" s="1"/>
  <c r="N1058"/>
  <c r="AE1057"/>
  <c r="AJ1057"/>
  <c r="W1057"/>
  <c r="U1057" l="1"/>
  <c r="AI1057"/>
  <c r="Y1057"/>
  <c r="Z1057" s="1"/>
  <c r="N1057"/>
  <c r="AE1056"/>
  <c r="AJ1056"/>
  <c r="W1056"/>
  <c r="U1056" l="1"/>
  <c r="AI1056"/>
  <c r="Y1056"/>
  <c r="Z1056" s="1"/>
  <c r="N1056"/>
  <c r="AE1055"/>
  <c r="AJ1055"/>
  <c r="W1055"/>
  <c r="U1055" l="1"/>
  <c r="AI1055"/>
  <c r="Y1055"/>
  <c r="Z1055" s="1"/>
  <c r="N1055"/>
  <c r="AE1054"/>
  <c r="AJ1054"/>
  <c r="W1054"/>
  <c r="U1054" l="1"/>
  <c r="AI1054"/>
  <c r="Y1054"/>
  <c r="Z1054" s="1"/>
  <c r="N1054"/>
  <c r="AE1053"/>
  <c r="AJ1053"/>
  <c r="W1053"/>
  <c r="U1053" l="1"/>
  <c r="AI1053"/>
  <c r="Y1053"/>
  <c r="Z1053" s="1"/>
  <c r="N1053"/>
  <c r="AE1052"/>
  <c r="AJ1052"/>
  <c r="W1052"/>
  <c r="U1052" l="1"/>
  <c r="AI1052"/>
  <c r="Y1052"/>
  <c r="Z1052" s="1"/>
  <c r="N1052"/>
  <c r="AE1051"/>
  <c r="AJ1051"/>
  <c r="W1051"/>
  <c r="U1051" l="1"/>
  <c r="AI1051"/>
  <c r="Y1051"/>
  <c r="Z1051" s="1"/>
  <c r="N1051"/>
  <c r="AE1050"/>
  <c r="AJ1050"/>
  <c r="W1050"/>
  <c r="U1050" l="1"/>
  <c r="AI1050"/>
  <c r="Y1050"/>
  <c r="Z1050" s="1"/>
  <c r="N1050"/>
  <c r="AE1049"/>
  <c r="AJ1049"/>
  <c r="W1049"/>
  <c r="U1049" l="1"/>
  <c r="AI1049"/>
  <c r="Y1049"/>
  <c r="Z1049" s="1"/>
  <c r="N1049"/>
  <c r="AE1048"/>
  <c r="W1048"/>
  <c r="AJ1048"/>
  <c r="U1048" l="1"/>
  <c r="AI1048"/>
  <c r="Y1048"/>
  <c r="Z1048" s="1"/>
  <c r="N1048"/>
  <c r="AE1047"/>
  <c r="AJ1047"/>
  <c r="W1047"/>
  <c r="U1047" l="1"/>
  <c r="AI1047"/>
  <c r="Y1047"/>
  <c r="Z1047" s="1"/>
  <c r="N1047"/>
  <c r="AE1046"/>
  <c r="AJ1046"/>
  <c r="W1046"/>
  <c r="U1046" l="1"/>
  <c r="AI1046"/>
  <c r="Y1046"/>
  <c r="Z1046" s="1"/>
  <c r="N1046"/>
  <c r="AE1045"/>
  <c r="AJ1045"/>
  <c r="W1045"/>
  <c r="U1045" l="1"/>
  <c r="AI1045"/>
  <c r="Y1045"/>
  <c r="Z1045" s="1"/>
  <c r="N1045"/>
  <c r="AE1044" l="1"/>
  <c r="AJ1044"/>
  <c r="W1044"/>
  <c r="U1044" l="1"/>
  <c r="AI1044"/>
  <c r="Y1044"/>
  <c r="Z1044" s="1"/>
  <c r="N1044"/>
  <c r="AE1043"/>
  <c r="AJ1043"/>
  <c r="W1043"/>
  <c r="U1043" l="1"/>
  <c r="AI1043"/>
  <c r="Y1043"/>
  <c r="Z1043" s="1"/>
  <c r="N1043"/>
  <c r="AE1042"/>
  <c r="AJ1042"/>
  <c r="W1042"/>
  <c r="U1042" l="1"/>
  <c r="AI1042"/>
  <c r="Y1042"/>
  <c r="Z1042" s="1"/>
  <c r="N1042"/>
  <c r="AE1041"/>
  <c r="AJ1041"/>
  <c r="W1041"/>
  <c r="U1041" l="1"/>
  <c r="AI1041"/>
  <c r="Y1041"/>
  <c r="Z1041" s="1"/>
  <c r="N1041"/>
  <c r="AE1039" l="1"/>
  <c r="AJ1039"/>
  <c r="W1039"/>
  <c r="U1039" l="1"/>
  <c r="AI1039"/>
  <c r="Y1039"/>
  <c r="Z1039" s="1"/>
  <c r="N1039"/>
  <c r="AE1038"/>
  <c r="AJ1038"/>
  <c r="W1038"/>
  <c r="U1038" l="1"/>
  <c r="AI1038"/>
  <c r="Y1038"/>
  <c r="Z1038" s="1"/>
  <c r="N1038"/>
  <c r="AE1037"/>
  <c r="AJ1037"/>
  <c r="W1037"/>
  <c r="U1037" l="1"/>
  <c r="AI1037"/>
  <c r="Y1037"/>
  <c r="Z1037" s="1"/>
  <c r="N1037"/>
  <c r="AE1036"/>
  <c r="AJ1036"/>
  <c r="W1036"/>
  <c r="U1036" l="1"/>
  <c r="AI1036"/>
  <c r="Y1036"/>
  <c r="Z1036" s="1"/>
  <c r="N1036"/>
  <c r="AE1035"/>
  <c r="AJ1035"/>
  <c r="W1035"/>
  <c r="U1035" l="1"/>
  <c r="AI1035"/>
  <c r="Y1035"/>
  <c r="Z1035" s="1"/>
  <c r="N1035"/>
  <c r="AE1034"/>
  <c r="AJ1034"/>
  <c r="W1034"/>
  <c r="U1034" l="1"/>
  <c r="AI1034"/>
  <c r="Y1034"/>
  <c r="Z1034" s="1"/>
  <c r="N1034"/>
  <c r="AE1033"/>
  <c r="AJ1033"/>
  <c r="W1033"/>
  <c r="U1033" l="1"/>
  <c r="AI1033"/>
  <c r="Y1033"/>
  <c r="Z1033" s="1"/>
  <c r="N1033"/>
  <c r="AE1032"/>
  <c r="AJ1032"/>
  <c r="W1032"/>
  <c r="U1032" l="1"/>
  <c r="AI1032"/>
  <c r="Y1032"/>
  <c r="Z1032" s="1"/>
  <c r="N1032"/>
  <c r="AE1031"/>
  <c r="AJ1031"/>
  <c r="W1031"/>
  <c r="U1031" l="1"/>
  <c r="AI1031"/>
  <c r="Y1031"/>
  <c r="Z1031" s="1"/>
  <c r="N1031"/>
  <c r="AE1030"/>
  <c r="W1030"/>
  <c r="AJ1030"/>
  <c r="U1030" l="1"/>
  <c r="AI1030"/>
  <c r="Y1030"/>
  <c r="Z1030" s="1"/>
  <c r="N1030"/>
  <c r="AE1028" l="1"/>
  <c r="AJ1028"/>
  <c r="W1028"/>
  <c r="U1028" l="1"/>
  <c r="AI1028"/>
  <c r="Y1028"/>
  <c r="Z1028" s="1"/>
  <c r="N1028"/>
  <c r="AE1027"/>
  <c r="W1027"/>
  <c r="AJ1027"/>
  <c r="U1027" l="1"/>
  <c r="AI1027"/>
  <c r="Y1027"/>
  <c r="Z1027" s="1"/>
  <c r="N1027"/>
  <c r="AE1026"/>
  <c r="AJ1026"/>
  <c r="W1026"/>
  <c r="U1026" l="1"/>
  <c r="AI1026"/>
  <c r="Y1026"/>
  <c r="Z1026" s="1"/>
  <c r="N1026"/>
  <c r="AE1025"/>
  <c r="AJ1025"/>
  <c r="W1025"/>
  <c r="U1025" l="1"/>
  <c r="AI1025"/>
  <c r="Y1025"/>
  <c r="Z1025" s="1"/>
  <c r="N1025"/>
  <c r="AE1023" l="1"/>
  <c r="AJ1023"/>
  <c r="W1023"/>
  <c r="U1023" l="1"/>
  <c r="AI1023"/>
  <c r="Y1023"/>
  <c r="Z1023" s="1"/>
  <c r="N1023"/>
  <c r="AE1022"/>
  <c r="AJ1022"/>
  <c r="W1022"/>
  <c r="U1022" l="1"/>
  <c r="AI1022"/>
  <c r="Y1022"/>
  <c r="Z1022" s="1"/>
  <c r="N1022"/>
  <c r="AE1021"/>
  <c r="AJ1021"/>
  <c r="W1021"/>
  <c r="U1021" l="1"/>
  <c r="AI1021"/>
  <c r="Y1021"/>
  <c r="Z1021" s="1"/>
  <c r="N1021"/>
  <c r="AE1020"/>
  <c r="AJ1020"/>
  <c r="W1020"/>
  <c r="U1020" l="1"/>
  <c r="AI1020"/>
  <c r="Y1020"/>
  <c r="Z1020" s="1"/>
  <c r="N1020"/>
  <c r="AE1019"/>
  <c r="AJ1019"/>
  <c r="W1019"/>
  <c r="U1019" l="1"/>
  <c r="AI1019"/>
  <c r="Y1019"/>
  <c r="Z1019" s="1"/>
  <c r="N1019"/>
  <c r="AE1018"/>
  <c r="AJ1018"/>
  <c r="W1018"/>
  <c r="U1018" l="1"/>
  <c r="AI1018"/>
  <c r="Y1018"/>
  <c r="Z1018" s="1"/>
  <c r="AE1015"/>
  <c r="AJ1015"/>
  <c r="W1015"/>
  <c r="U1015" l="1"/>
  <c r="AI1015"/>
  <c r="Y1015"/>
  <c r="Z1015" s="1"/>
  <c r="N1015"/>
  <c r="AE1014"/>
  <c r="AJ1014"/>
  <c r="W1014"/>
  <c r="U1014" l="1"/>
  <c r="AI1014"/>
  <c r="Y1014"/>
  <c r="Z1014" s="1"/>
  <c r="N1014"/>
  <c r="AE1013"/>
  <c r="AJ1013"/>
  <c r="W1013"/>
  <c r="U1013" l="1"/>
  <c r="AI1013"/>
  <c r="Y1013"/>
  <c r="Z1013" s="1"/>
  <c r="N1013"/>
  <c r="AE1012"/>
  <c r="AJ1012"/>
  <c r="W1012"/>
  <c r="U1012" l="1"/>
  <c r="AI1012"/>
  <c r="Y1012"/>
  <c r="Z1012" s="1"/>
  <c r="N1012"/>
  <c r="AE1011"/>
  <c r="AJ1011"/>
  <c r="W1011"/>
  <c r="U1011" l="1"/>
  <c r="AI1011"/>
  <c r="Y1011"/>
  <c r="Z1011" s="1"/>
  <c r="N1011"/>
  <c r="AE1010"/>
  <c r="AJ1010"/>
  <c r="W1010"/>
  <c r="U1010" l="1"/>
  <c r="AI1010"/>
  <c r="Y1010"/>
  <c r="Z1010" s="1"/>
  <c r="N1010"/>
  <c r="AE1009"/>
  <c r="AJ1009"/>
  <c r="W1009"/>
  <c r="U1009" l="1"/>
  <c r="AI1009"/>
  <c r="Y1009"/>
  <c r="Z1009" s="1"/>
  <c r="N1009"/>
  <c r="AE1008"/>
  <c r="AJ1008"/>
  <c r="W1008"/>
  <c r="U1008" l="1"/>
  <c r="AI1008"/>
  <c r="Y1008"/>
  <c r="Z1008" s="1"/>
  <c r="N1008"/>
  <c r="AE1007"/>
  <c r="AJ1007"/>
  <c r="W1007"/>
  <c r="U1007" l="1"/>
  <c r="AI1007"/>
  <c r="Y1007"/>
  <c r="Z1007" s="1"/>
  <c r="N1007"/>
  <c r="AE1006"/>
  <c r="AJ1006"/>
  <c r="W1006"/>
  <c r="U1006" l="1"/>
  <c r="AI1006"/>
  <c r="Y1006"/>
  <c r="Z1006" s="1"/>
  <c r="N1006"/>
  <c r="AE1005"/>
  <c r="AJ1005"/>
  <c r="W1005"/>
  <c r="U1005" l="1"/>
  <c r="AI1005"/>
  <c r="Y1005"/>
  <c r="Z1005" s="1"/>
  <c r="N1005"/>
  <c r="AE1004"/>
  <c r="AJ1004"/>
  <c r="W1004"/>
  <c r="U1004" l="1"/>
  <c r="AI1004"/>
  <c r="Y1004"/>
  <c r="Z1004" s="1"/>
  <c r="N1004"/>
  <c r="AE1003"/>
  <c r="AJ1003"/>
  <c r="W1003"/>
  <c r="U1003" l="1"/>
  <c r="AI1003"/>
  <c r="Y1003"/>
  <c r="Z1003" s="1"/>
  <c r="N1003"/>
  <c r="AE1002"/>
  <c r="AJ1002"/>
  <c r="W1002"/>
  <c r="U1002" l="1"/>
  <c r="AI1002"/>
  <c r="Y1002"/>
  <c r="Z1002" s="1"/>
  <c r="N1002"/>
  <c r="AE1001"/>
  <c r="AJ1001"/>
  <c r="W1001"/>
  <c r="U1001" l="1"/>
  <c r="AI1001"/>
  <c r="Y1001"/>
  <c r="Z1001" s="1"/>
  <c r="N1001"/>
  <c r="AE999" l="1"/>
  <c r="AJ999"/>
  <c r="W999"/>
  <c r="U999" l="1"/>
  <c r="AI999"/>
  <c r="Y999"/>
  <c r="Z999" s="1"/>
  <c r="N999"/>
  <c r="AE998"/>
  <c r="AJ998"/>
  <c r="W998"/>
  <c r="U998" l="1"/>
  <c r="AI998"/>
  <c r="Y998"/>
  <c r="Z998" s="1"/>
  <c r="N998"/>
  <c r="AE997"/>
  <c r="AJ997"/>
  <c r="W997"/>
  <c r="U997" l="1"/>
  <c r="AI997"/>
  <c r="Y997"/>
  <c r="Z997" s="1"/>
  <c r="N997"/>
  <c r="AE996"/>
  <c r="W996"/>
  <c r="AJ996"/>
  <c r="U996" l="1"/>
  <c r="AI996"/>
  <c r="Y996"/>
  <c r="Z996" s="1"/>
  <c r="N996"/>
  <c r="AE994" l="1"/>
  <c r="AJ994"/>
  <c r="W994"/>
  <c r="U994" l="1"/>
  <c r="AI994"/>
  <c r="Y994"/>
  <c r="Z994" s="1"/>
  <c r="N994"/>
  <c r="AE993"/>
  <c r="AJ993"/>
  <c r="W993"/>
  <c r="U993" l="1"/>
  <c r="AI993"/>
  <c r="Y993"/>
  <c r="Z993" s="1"/>
  <c r="N993"/>
  <c r="AE991" l="1"/>
  <c r="AJ991"/>
  <c r="W991"/>
  <c r="U991" l="1"/>
  <c r="AI991"/>
  <c r="Y991"/>
  <c r="Z991" s="1"/>
  <c r="N991"/>
  <c r="AE990"/>
  <c r="AJ990"/>
  <c r="W990"/>
  <c r="U990" l="1"/>
  <c r="AI990"/>
  <c r="Y990"/>
  <c r="Z990" s="1"/>
  <c r="N990"/>
  <c r="AE989"/>
  <c r="AJ989"/>
  <c r="W989"/>
  <c r="U989" l="1"/>
  <c r="AI989"/>
  <c r="Y989"/>
  <c r="Z989" s="1"/>
  <c r="N989"/>
  <c r="AE988"/>
  <c r="AJ988"/>
  <c r="W988"/>
  <c r="U988" l="1"/>
  <c r="AI988"/>
  <c r="Y988"/>
  <c r="Z988" s="1"/>
  <c r="N988"/>
  <c r="AE987"/>
  <c r="AJ987"/>
  <c r="W987"/>
  <c r="U987" l="1"/>
  <c r="AI987"/>
  <c r="Y987"/>
  <c r="Z987" s="1"/>
  <c r="N987"/>
  <c r="AE986"/>
  <c r="AJ986"/>
  <c r="W986"/>
  <c r="U986" l="1"/>
  <c r="AI986"/>
  <c r="Y986"/>
  <c r="Z986" s="1"/>
  <c r="N986"/>
  <c r="AE985"/>
  <c r="AJ985"/>
  <c r="W985"/>
  <c r="U985" l="1"/>
  <c r="AI985"/>
  <c r="Y985"/>
  <c r="Z985" s="1"/>
  <c r="N985"/>
  <c r="AE984"/>
  <c r="AJ984"/>
  <c r="W984"/>
  <c r="U984" l="1"/>
  <c r="AI984"/>
  <c r="Y984"/>
  <c r="Z984" s="1"/>
  <c r="N984"/>
  <c r="AE983"/>
  <c r="AJ983"/>
  <c r="W983"/>
  <c r="U983" l="1"/>
  <c r="AI983"/>
  <c r="Y983"/>
  <c r="Z983" s="1"/>
  <c r="N983"/>
  <c r="AE982"/>
  <c r="AJ982"/>
  <c r="W982"/>
  <c r="U982" l="1"/>
  <c r="AI982"/>
  <c r="Y982"/>
  <c r="Z982" s="1"/>
  <c r="N982"/>
  <c r="AE981"/>
  <c r="AJ981"/>
  <c r="W981"/>
  <c r="U981" l="1"/>
  <c r="AI981"/>
  <c r="Y981"/>
  <c r="Z981" s="1"/>
  <c r="N981"/>
  <c r="AE980"/>
  <c r="AJ980"/>
  <c r="W980"/>
  <c r="U980" l="1"/>
  <c r="AI980"/>
  <c r="Y980"/>
  <c r="Z980" s="1"/>
  <c r="N980"/>
  <c r="AE979"/>
  <c r="AJ979"/>
  <c r="W979"/>
  <c r="U979" l="1"/>
  <c r="AI979"/>
  <c r="Y979"/>
  <c r="Z979" s="1"/>
  <c r="N979"/>
  <c r="AE978"/>
  <c r="AJ978"/>
  <c r="W978"/>
  <c r="U978" l="1"/>
  <c r="AI978"/>
  <c r="Y978"/>
  <c r="Z978" s="1"/>
  <c r="N978"/>
  <c r="AE977"/>
  <c r="AJ977"/>
  <c r="W977"/>
  <c r="U977" l="1"/>
  <c r="AI977"/>
  <c r="Y977"/>
  <c r="Z977" s="1"/>
  <c r="N977"/>
  <c r="AE976"/>
  <c r="W976"/>
  <c r="AJ976"/>
  <c r="U976" l="1"/>
  <c r="AI976"/>
  <c r="Y976"/>
  <c r="Z976" s="1"/>
  <c r="N976"/>
  <c r="AE975"/>
  <c r="AJ975"/>
  <c r="W975"/>
  <c r="U975" l="1"/>
  <c r="AI975"/>
  <c r="Y975"/>
  <c r="Z975" s="1"/>
  <c r="N975"/>
  <c r="AE974"/>
  <c r="AJ974"/>
  <c r="W974"/>
  <c r="U974" l="1"/>
  <c r="AI974"/>
  <c r="Y974"/>
  <c r="Z974" s="1"/>
  <c r="N974"/>
  <c r="AE973"/>
  <c r="AJ973"/>
  <c r="W973"/>
  <c r="U973" l="1"/>
  <c r="AI973"/>
  <c r="Y973"/>
  <c r="Z973" s="1"/>
  <c r="N973"/>
  <c r="AE972"/>
  <c r="AJ972"/>
  <c r="W972"/>
  <c r="U972" l="1"/>
  <c r="AI972"/>
  <c r="Y972"/>
  <c r="Z972" s="1"/>
  <c r="N972"/>
  <c r="AE971"/>
  <c r="AJ971"/>
  <c r="W971"/>
  <c r="U971" l="1"/>
  <c r="AI971"/>
  <c r="Y971"/>
  <c r="Z971" s="1"/>
  <c r="N971"/>
  <c r="AE970"/>
  <c r="AJ970"/>
  <c r="W970"/>
  <c r="U970" l="1"/>
  <c r="AI970"/>
  <c r="Y970"/>
  <c r="Z970" s="1"/>
  <c r="N970"/>
  <c r="AE969"/>
  <c r="AJ969"/>
  <c r="W969"/>
  <c r="U969" l="1"/>
  <c r="AI969"/>
  <c r="Y969"/>
  <c r="Z969" s="1"/>
  <c r="N969"/>
  <c r="AE968"/>
  <c r="AJ968"/>
  <c r="W968"/>
  <c r="U968" l="1"/>
  <c r="AI968"/>
  <c r="Y968"/>
  <c r="Z968" s="1"/>
  <c r="N968"/>
  <c r="AE967"/>
  <c r="AJ967"/>
  <c r="W967"/>
  <c r="U967" l="1"/>
  <c r="AI967"/>
  <c r="Y967"/>
  <c r="Z967" s="1"/>
  <c r="N967"/>
  <c r="AE966"/>
  <c r="AJ966"/>
  <c r="W966"/>
  <c r="U966" l="1"/>
  <c r="AI966"/>
  <c r="Y966"/>
  <c r="Z966" s="1"/>
  <c r="N966"/>
  <c r="AE965"/>
  <c r="AJ965"/>
  <c r="W965"/>
  <c r="U965" l="1"/>
  <c r="AI965"/>
  <c r="Y965"/>
  <c r="Z965" s="1"/>
  <c r="N965"/>
  <c r="AE964"/>
  <c r="AJ964"/>
  <c r="W964"/>
  <c r="U964" l="1"/>
  <c r="AI964"/>
  <c r="Y964"/>
  <c r="Z964" s="1"/>
  <c r="N964"/>
  <c r="AE962" l="1"/>
  <c r="AJ962"/>
  <c r="W962"/>
  <c r="U962" l="1"/>
  <c r="AI962"/>
  <c r="Y962"/>
  <c r="Z962" s="1"/>
  <c r="N962"/>
  <c r="AE958" l="1"/>
  <c r="AJ958"/>
  <c r="W958"/>
  <c r="U958" l="1"/>
  <c r="AI958"/>
  <c r="Y958"/>
  <c r="Z958" s="1"/>
  <c r="N958"/>
  <c r="AE957"/>
  <c r="AJ957"/>
  <c r="W957"/>
  <c r="U957" l="1"/>
  <c r="AI957"/>
  <c r="Y957"/>
  <c r="Z957" s="1"/>
  <c r="N957"/>
  <c r="AE956"/>
  <c r="AJ956"/>
  <c r="W956"/>
  <c r="U956" l="1"/>
  <c r="AI956"/>
  <c r="Y956"/>
  <c r="Z956" s="1"/>
  <c r="N956"/>
  <c r="AE955"/>
  <c r="AJ955"/>
  <c r="W955"/>
  <c r="U955" l="1"/>
  <c r="AI955"/>
  <c r="Y955"/>
  <c r="Z955" s="1"/>
  <c r="N955"/>
  <c r="AE954"/>
  <c r="AJ954"/>
  <c r="W954"/>
  <c r="U954" l="1"/>
  <c r="AI954"/>
  <c r="Y954"/>
  <c r="Z954" s="1"/>
  <c r="N954"/>
  <c r="AE953"/>
  <c r="AJ953"/>
  <c r="W953"/>
  <c r="U953" l="1"/>
  <c r="AI953"/>
  <c r="Y953"/>
  <c r="Z953" s="1"/>
  <c r="N953"/>
  <c r="AE952"/>
  <c r="AJ952"/>
  <c r="W952"/>
  <c r="U952" l="1"/>
  <c r="AI952"/>
  <c r="Y952"/>
  <c r="Z952" s="1"/>
  <c r="N952"/>
  <c r="AE951"/>
  <c r="AJ951"/>
  <c r="W951"/>
  <c r="U951" l="1"/>
  <c r="AI951"/>
  <c r="Y951"/>
  <c r="Z951" s="1"/>
  <c r="N951"/>
  <c r="AE950"/>
  <c r="AJ950"/>
  <c r="W950"/>
  <c r="U950" l="1"/>
  <c r="AI950"/>
  <c r="Y950"/>
  <c r="Z950" s="1"/>
  <c r="N950"/>
  <c r="AE949"/>
  <c r="AJ949"/>
  <c r="W949"/>
  <c r="U949" l="1"/>
  <c r="AI949"/>
  <c r="Y949"/>
  <c r="Z949" s="1"/>
  <c r="N949"/>
  <c r="AE948"/>
  <c r="AJ948"/>
  <c r="W948"/>
  <c r="U948" l="1"/>
  <c r="AI948"/>
  <c r="Y948"/>
  <c r="Z948" s="1"/>
  <c r="N948"/>
  <c r="AE947"/>
  <c r="AJ947"/>
  <c r="W947"/>
  <c r="U947" l="1"/>
  <c r="AI947"/>
  <c r="Y947"/>
  <c r="Z947" s="1"/>
  <c r="N947"/>
  <c r="AE946"/>
  <c r="AJ946"/>
  <c r="W946"/>
  <c r="U946" l="1"/>
  <c r="AI946"/>
  <c r="Y946"/>
  <c r="Z946" s="1"/>
  <c r="N946"/>
  <c r="AE945"/>
  <c r="AJ945"/>
  <c r="W945"/>
  <c r="U945" l="1"/>
  <c r="AI945"/>
  <c r="Y945"/>
  <c r="Z945" s="1"/>
  <c r="N945"/>
  <c r="AE943" l="1"/>
  <c r="AJ943"/>
  <c r="W943"/>
  <c r="U943" l="1"/>
  <c r="AI943"/>
  <c r="Y943"/>
  <c r="Z943" s="1"/>
  <c r="N943"/>
  <c r="AE942"/>
  <c r="W942"/>
  <c r="AJ942"/>
  <c r="U942" l="1"/>
  <c r="AI942"/>
  <c r="Y942"/>
  <c r="Z942" s="1"/>
  <c r="N942"/>
  <c r="AE941"/>
  <c r="AJ941"/>
  <c r="W941"/>
  <c r="U941" l="1"/>
  <c r="AI941"/>
  <c r="Y941"/>
  <c r="Z941" s="1"/>
  <c r="N941"/>
  <c r="AE939" l="1"/>
  <c r="AJ939"/>
  <c r="W939"/>
  <c r="U939" l="1"/>
  <c r="AI939"/>
  <c r="Y939"/>
  <c r="Z939" s="1"/>
  <c r="N939"/>
  <c r="AE938"/>
  <c r="AJ938"/>
  <c r="W938"/>
  <c r="U938" l="1"/>
  <c r="AI938"/>
  <c r="Y938"/>
  <c r="Z938" s="1"/>
  <c r="N938"/>
  <c r="AE937"/>
  <c r="AJ937"/>
  <c r="W937"/>
  <c r="U937" l="1"/>
  <c r="AI937"/>
  <c r="Y937"/>
  <c r="Z937" s="1"/>
  <c r="N937"/>
  <c r="AE936"/>
  <c r="AJ936"/>
  <c r="W936"/>
  <c r="U936" l="1"/>
  <c r="AI936"/>
  <c r="Y936"/>
  <c r="Z936" s="1"/>
  <c r="N936"/>
  <c r="AE935"/>
  <c r="AJ935"/>
  <c r="W935"/>
  <c r="U935" l="1"/>
  <c r="AI935"/>
  <c r="Y935"/>
  <c r="Z935" s="1"/>
  <c r="N935"/>
  <c r="AE934"/>
  <c r="AJ934"/>
  <c r="W934"/>
  <c r="U934" l="1"/>
  <c r="AI934"/>
  <c r="Y934"/>
  <c r="Z934" s="1"/>
  <c r="N934"/>
  <c r="AE933"/>
  <c r="AJ933"/>
  <c r="W933"/>
  <c r="U933" l="1"/>
  <c r="AI933"/>
  <c r="Y933"/>
  <c r="Z933" s="1"/>
  <c r="N933"/>
  <c r="AE932"/>
  <c r="AJ932"/>
  <c r="W932"/>
  <c r="U932" l="1"/>
  <c r="AI932"/>
  <c r="Y932"/>
  <c r="Z932" s="1"/>
  <c r="N932"/>
  <c r="AE931"/>
  <c r="AJ931"/>
  <c r="W931"/>
  <c r="U931" l="1"/>
  <c r="AI931"/>
  <c r="Y931"/>
  <c r="Z931" s="1"/>
  <c r="N931"/>
  <c r="AE930"/>
  <c r="AJ930"/>
  <c r="W930"/>
  <c r="U930" l="1"/>
  <c r="AI930"/>
  <c r="Y930"/>
  <c r="Z930" s="1"/>
  <c r="N930"/>
  <c r="AE926" l="1"/>
  <c r="AJ926"/>
  <c r="W926"/>
  <c r="U926" l="1"/>
  <c r="AI926"/>
  <c r="Y926"/>
  <c r="Z926" s="1"/>
  <c r="N926"/>
  <c r="AE925"/>
  <c r="AJ925"/>
  <c r="W925"/>
  <c r="U925" l="1"/>
  <c r="AI925"/>
  <c r="Y925"/>
  <c r="Z925" s="1"/>
  <c r="N925"/>
  <c r="AE923" l="1"/>
  <c r="AJ923"/>
  <c r="W923"/>
  <c r="U923" l="1"/>
  <c r="AI923"/>
  <c r="Y923"/>
  <c r="Z923" s="1"/>
  <c r="N923"/>
  <c r="AE922"/>
  <c r="AJ922"/>
  <c r="W922"/>
  <c r="U922" l="1"/>
  <c r="AI922"/>
  <c r="Y922"/>
  <c r="Z922" s="1"/>
  <c r="N922"/>
  <c r="AE921"/>
  <c r="AJ921"/>
  <c r="W921"/>
  <c r="U921" l="1"/>
  <c r="AI921"/>
  <c r="Y921"/>
  <c r="Z921" s="1"/>
  <c r="N921"/>
  <c r="AE920"/>
  <c r="AJ920"/>
  <c r="W920"/>
  <c r="U920" l="1"/>
  <c r="AI920"/>
  <c r="Y920"/>
  <c r="Z920" s="1"/>
  <c r="N920"/>
  <c r="AE919"/>
  <c r="AJ919"/>
  <c r="W919"/>
  <c r="U919" l="1"/>
  <c r="AI919"/>
  <c r="Y919"/>
  <c r="Z919" s="1"/>
  <c r="N919"/>
  <c r="AE918"/>
  <c r="AJ918"/>
  <c r="W918"/>
  <c r="U918" l="1"/>
  <c r="AI918"/>
  <c r="Y918"/>
  <c r="Z918" s="1"/>
  <c r="N918"/>
  <c r="AE917"/>
  <c r="AJ917"/>
  <c r="W917"/>
  <c r="U917" l="1"/>
  <c r="AI917"/>
  <c r="Y917"/>
  <c r="Z917" s="1"/>
  <c r="N917"/>
  <c r="AE915" l="1"/>
  <c r="AJ915"/>
  <c r="W915"/>
  <c r="U915" l="1"/>
  <c r="AI915"/>
  <c r="Y915"/>
  <c r="Z915" s="1"/>
  <c r="N915"/>
  <c r="AE914"/>
  <c r="AJ914"/>
  <c r="W914"/>
  <c r="U914" l="1"/>
  <c r="AI914"/>
  <c r="Y914"/>
  <c r="Z914" s="1"/>
  <c r="N914"/>
  <c r="AE913"/>
  <c r="AJ913"/>
  <c r="W913"/>
  <c r="U913" l="1"/>
  <c r="AI913"/>
  <c r="Y913"/>
  <c r="Z913" s="1"/>
  <c r="N913"/>
  <c r="AE911" l="1"/>
  <c r="AJ911"/>
  <c r="W911"/>
  <c r="U911" l="1"/>
  <c r="AI911"/>
  <c r="Y911"/>
  <c r="Z911" s="1"/>
  <c r="N911"/>
  <c r="AE910"/>
  <c r="AJ910"/>
  <c r="W910"/>
  <c r="U910" l="1"/>
  <c r="AI910"/>
  <c r="Y910"/>
  <c r="Z910" s="1"/>
  <c r="N910"/>
  <c r="AE909"/>
  <c r="AJ909"/>
  <c r="W909"/>
  <c r="U909" l="1"/>
  <c r="AI909"/>
  <c r="Y909"/>
  <c r="Z909" s="1"/>
  <c r="N909"/>
  <c r="AE908"/>
  <c r="AJ908"/>
  <c r="W908"/>
  <c r="U908" l="1"/>
  <c r="AI908"/>
  <c r="Y908"/>
  <c r="Z908" s="1"/>
  <c r="N908"/>
  <c r="AE907"/>
  <c r="AJ907"/>
  <c r="W907"/>
  <c r="U907" l="1"/>
  <c r="AI907"/>
  <c r="Y907"/>
  <c r="Z907" s="1"/>
  <c r="N907"/>
  <c r="AE906"/>
  <c r="W906"/>
  <c r="AJ906"/>
  <c r="U906" l="1"/>
  <c r="AI906"/>
  <c r="Y906"/>
  <c r="Z906" s="1"/>
  <c r="N906"/>
  <c r="AE904" l="1"/>
  <c r="AJ904"/>
  <c r="W904"/>
  <c r="U904" l="1"/>
  <c r="AI904"/>
  <c r="Y904"/>
  <c r="Z904" s="1"/>
  <c r="N904"/>
  <c r="AE903"/>
  <c r="AJ903"/>
  <c r="W903"/>
  <c r="U903" l="1"/>
  <c r="AI903"/>
  <c r="Y903"/>
  <c r="Z903" s="1"/>
  <c r="N903"/>
  <c r="AE902"/>
  <c r="AJ902"/>
  <c r="W902"/>
  <c r="U902" l="1"/>
  <c r="AI902"/>
  <c r="Y902"/>
  <c r="Z902" s="1"/>
  <c r="N902"/>
  <c r="AE901"/>
  <c r="AJ901"/>
  <c r="W901"/>
  <c r="U901" l="1"/>
  <c r="AI901"/>
  <c r="Y901"/>
  <c r="Z901" s="1"/>
  <c r="N901"/>
  <c r="AE900"/>
  <c r="AJ900"/>
  <c r="W900"/>
  <c r="U900" l="1"/>
  <c r="AI900"/>
  <c r="Y900"/>
  <c r="Z900" s="1"/>
  <c r="N900"/>
  <c r="AE899"/>
  <c r="AJ899"/>
  <c r="W899"/>
  <c r="U899" l="1"/>
  <c r="AI899"/>
  <c r="Y899"/>
  <c r="Z899" s="1"/>
  <c r="N899"/>
  <c r="AE898"/>
  <c r="AJ898"/>
  <c r="W898"/>
  <c r="U898" l="1"/>
  <c r="AI898"/>
  <c r="Y898"/>
  <c r="Z898" s="1"/>
  <c r="N898"/>
  <c r="AE897"/>
  <c r="AJ897"/>
  <c r="W897"/>
  <c r="U897" l="1"/>
  <c r="AI897"/>
  <c r="Y897"/>
  <c r="Z897" s="1"/>
  <c r="N897"/>
  <c r="AE896"/>
  <c r="AJ896"/>
  <c r="W896"/>
  <c r="U896" l="1"/>
  <c r="AI896"/>
  <c r="Y896"/>
  <c r="Z896" s="1"/>
  <c r="N896"/>
  <c r="AE895"/>
  <c r="AJ895"/>
  <c r="W895"/>
  <c r="U895" l="1"/>
  <c r="AI895"/>
  <c r="Y895"/>
  <c r="Z895" s="1"/>
  <c r="N895"/>
  <c r="AE894"/>
  <c r="AJ894"/>
  <c r="W894"/>
  <c r="U894" l="1"/>
  <c r="AI894"/>
  <c r="Y894"/>
  <c r="Z894" s="1"/>
  <c r="N894"/>
  <c r="AE893"/>
  <c r="AJ893"/>
  <c r="W893"/>
  <c r="U893" l="1"/>
  <c r="AI893"/>
  <c r="Y893"/>
  <c r="Z893" s="1"/>
  <c r="N893"/>
  <c r="AE892"/>
  <c r="AJ892"/>
  <c r="W892"/>
  <c r="U892" l="1"/>
  <c r="AI892"/>
  <c r="Y892"/>
  <c r="Z892" s="1"/>
  <c r="N892"/>
  <c r="AE891"/>
  <c r="AJ891"/>
  <c r="W891"/>
  <c r="U891" l="1"/>
  <c r="AI891"/>
  <c r="Y891"/>
  <c r="Z891" s="1"/>
  <c r="N891"/>
  <c r="AE890"/>
  <c r="AJ890"/>
  <c r="W890"/>
  <c r="U890" l="1"/>
  <c r="AI890"/>
  <c r="Y890"/>
  <c r="Z890" s="1"/>
  <c r="N890"/>
  <c r="AE889"/>
  <c r="AJ889"/>
  <c r="W889"/>
  <c r="U889" l="1"/>
  <c r="AI889"/>
  <c r="Y889"/>
  <c r="Z889" s="1"/>
  <c r="N889"/>
  <c r="AE888"/>
  <c r="AJ888"/>
  <c r="W888"/>
  <c r="U888" l="1"/>
  <c r="AI888"/>
  <c r="Y888"/>
  <c r="Z888" s="1"/>
  <c r="N888"/>
  <c r="AE887"/>
  <c r="AJ887"/>
  <c r="W887"/>
  <c r="U887" l="1"/>
  <c r="AI887"/>
  <c r="Y887"/>
  <c r="Z887" s="1"/>
  <c r="N887"/>
  <c r="AE886"/>
  <c r="AJ886"/>
  <c r="W886"/>
  <c r="U886" l="1"/>
  <c r="AI886"/>
  <c r="Y886"/>
  <c r="Z886" s="1"/>
  <c r="N886"/>
  <c r="AE885"/>
  <c r="AJ885"/>
  <c r="W885"/>
  <c r="U885" l="1"/>
  <c r="AI885"/>
  <c r="Y885"/>
  <c r="Z885" s="1"/>
  <c r="N885"/>
  <c r="AE884"/>
  <c r="AJ884"/>
  <c r="W884"/>
  <c r="U884" l="1"/>
  <c r="AI884"/>
  <c r="Y884"/>
  <c r="Z884" s="1"/>
  <c r="N884"/>
  <c r="AE883"/>
  <c r="AJ883"/>
  <c r="W883"/>
  <c r="U883" l="1"/>
  <c r="AI883"/>
  <c r="Y883"/>
  <c r="Z883" s="1"/>
  <c r="N883"/>
  <c r="AE880" l="1"/>
  <c r="AJ880"/>
  <c r="W880"/>
  <c r="U880" l="1"/>
  <c r="AI880"/>
  <c r="Y880"/>
  <c r="Z880" s="1"/>
  <c r="N880"/>
  <c r="AE879"/>
  <c r="AJ879"/>
  <c r="W879"/>
  <c r="U879" l="1"/>
  <c r="AI879"/>
  <c r="Y879"/>
  <c r="Z879" s="1"/>
  <c r="N879"/>
  <c r="AE878"/>
  <c r="AJ878"/>
  <c r="W878"/>
  <c r="U878" l="1"/>
  <c r="AI878"/>
  <c r="Y878"/>
  <c r="Z878" s="1"/>
  <c r="N878"/>
  <c r="AE877"/>
  <c r="AJ877"/>
  <c r="W877"/>
  <c r="U877" l="1"/>
  <c r="AI877"/>
  <c r="Y877"/>
  <c r="Z877" s="1"/>
  <c r="N877"/>
  <c r="AE876"/>
  <c r="AJ876"/>
  <c r="W876"/>
  <c r="U876" l="1"/>
  <c r="AI876"/>
  <c r="Y876"/>
  <c r="Z876" s="1"/>
  <c r="N876"/>
  <c r="AE875"/>
  <c r="AJ875"/>
  <c r="W875"/>
  <c r="U875" l="1"/>
  <c r="AI875"/>
  <c r="Y875"/>
  <c r="Z875" s="1"/>
  <c r="N875"/>
  <c r="AE874"/>
  <c r="AJ874"/>
  <c r="W874"/>
  <c r="U874" l="1"/>
  <c r="AI874"/>
  <c r="Y874"/>
  <c r="Z874" s="1"/>
  <c r="N874"/>
  <c r="AE873"/>
  <c r="AJ873"/>
  <c r="W873"/>
  <c r="U873" l="1"/>
  <c r="AI873"/>
  <c r="Y873"/>
  <c r="Z873" s="1"/>
  <c r="N873"/>
  <c r="AE872"/>
  <c r="AJ872"/>
  <c r="W872"/>
  <c r="U872" l="1"/>
  <c r="AI872"/>
  <c r="Y872"/>
  <c r="Z872" s="1"/>
  <c r="N872"/>
  <c r="AE871"/>
  <c r="AJ871"/>
  <c r="W871"/>
  <c r="U871" l="1"/>
  <c r="AI871"/>
  <c r="Y871"/>
  <c r="Z871" s="1"/>
  <c r="N871"/>
  <c r="AE870"/>
  <c r="AJ870"/>
  <c r="W870"/>
  <c r="U870" l="1"/>
  <c r="AI870"/>
  <c r="Y870"/>
  <c r="Z870" s="1"/>
  <c r="N870"/>
  <c r="AE869"/>
  <c r="AJ869"/>
  <c r="W869"/>
  <c r="U869" l="1"/>
  <c r="AI869"/>
  <c r="Y869"/>
  <c r="Z869" s="1"/>
  <c r="N869"/>
  <c r="AE868"/>
  <c r="AJ868"/>
  <c r="W868"/>
  <c r="U868" l="1"/>
  <c r="AI868"/>
  <c r="Y868"/>
  <c r="Z868" s="1"/>
  <c r="N868"/>
  <c r="AE866" l="1"/>
  <c r="AJ866"/>
  <c r="W866"/>
  <c r="U866" l="1"/>
  <c r="AI866"/>
  <c r="Y866"/>
  <c r="Z866" s="1"/>
  <c r="N866"/>
  <c r="AE865"/>
  <c r="AJ865"/>
  <c r="W865"/>
  <c r="U865" l="1"/>
  <c r="AI865"/>
  <c r="Y865"/>
  <c r="Z865" s="1"/>
  <c r="N865"/>
  <c r="AE864"/>
  <c r="AJ864"/>
  <c r="W864"/>
  <c r="U864" l="1"/>
  <c r="AI864"/>
  <c r="Y864"/>
  <c r="Z864" s="1"/>
  <c r="N864"/>
  <c r="AE863"/>
  <c r="AJ863"/>
  <c r="W863"/>
  <c r="U863" l="1"/>
  <c r="AI863"/>
  <c r="Y863"/>
  <c r="Z863" s="1"/>
  <c r="N863"/>
  <c r="AE862"/>
  <c r="AJ862"/>
  <c r="W862"/>
  <c r="U862" l="1"/>
  <c r="AI862"/>
  <c r="Y862"/>
  <c r="Z862" s="1"/>
  <c r="N862"/>
  <c r="AE861"/>
  <c r="AJ861"/>
  <c r="W861"/>
  <c r="U861" l="1"/>
  <c r="AI861"/>
  <c r="Y861"/>
  <c r="Z861" s="1"/>
  <c r="N861"/>
  <c r="AE860"/>
  <c r="AJ860"/>
  <c r="W860"/>
  <c r="U860" l="1"/>
  <c r="AI860"/>
  <c r="Y860"/>
  <c r="Z860" s="1"/>
  <c r="N860"/>
  <c r="AE858" l="1"/>
  <c r="AJ858"/>
  <c r="W858"/>
  <c r="U858" l="1"/>
  <c r="AI858"/>
  <c r="Y858"/>
  <c r="Z858" s="1"/>
  <c r="N858"/>
  <c r="AE856" l="1"/>
  <c r="AJ856"/>
  <c r="W856"/>
  <c r="U856" l="1"/>
  <c r="AI856"/>
  <c r="Y856"/>
  <c r="Z856" s="1"/>
  <c r="N856"/>
  <c r="AE854" l="1"/>
  <c r="AJ854"/>
  <c r="W854"/>
  <c r="U854" l="1"/>
  <c r="AI854"/>
  <c r="Y854"/>
  <c r="Z854" s="1"/>
  <c r="N854"/>
  <c r="AE853"/>
  <c r="AJ853"/>
  <c r="W853"/>
  <c r="U853" l="1"/>
  <c r="AI853"/>
  <c r="Y853"/>
  <c r="Z853" s="1"/>
  <c r="N853"/>
  <c r="AE852"/>
  <c r="AJ852"/>
  <c r="W852"/>
  <c r="U852" l="1"/>
  <c r="AI852"/>
  <c r="Y852"/>
  <c r="Z852" s="1"/>
  <c r="N852"/>
  <c r="AE851"/>
  <c r="AJ851"/>
  <c r="W851"/>
  <c r="U851" l="1"/>
  <c r="AI851"/>
  <c r="Y851"/>
  <c r="Z851" s="1"/>
  <c r="N851"/>
  <c r="AE850"/>
  <c r="AJ850"/>
  <c r="W850"/>
  <c r="U850" l="1"/>
  <c r="AI850"/>
  <c r="Y850"/>
  <c r="Z850" s="1"/>
  <c r="N850"/>
  <c r="AE849"/>
  <c r="AJ849"/>
  <c r="W849"/>
  <c r="U849" l="1"/>
  <c r="AI849"/>
  <c r="Y849"/>
  <c r="Z849" s="1"/>
  <c r="N849"/>
  <c r="AE848"/>
  <c r="AJ848"/>
  <c r="W848"/>
  <c r="U848" l="1"/>
  <c r="AI848"/>
  <c r="Y848"/>
  <c r="Z848" s="1"/>
  <c r="N848"/>
  <c r="AE847"/>
  <c r="AJ847"/>
  <c r="W847"/>
  <c r="U847" l="1"/>
  <c r="AI847"/>
  <c r="Y847"/>
  <c r="Z847" s="1"/>
  <c r="N847"/>
  <c r="AE846"/>
  <c r="AJ846"/>
  <c r="W846"/>
  <c r="U846" l="1"/>
  <c r="AI846"/>
  <c r="Y846"/>
  <c r="Z846" s="1"/>
  <c r="N846"/>
  <c r="AE843"/>
  <c r="AJ843"/>
  <c r="W843"/>
  <c r="U843" l="1"/>
  <c r="AI843"/>
  <c r="Y843"/>
  <c r="Z843" s="1"/>
  <c r="N843"/>
  <c r="AE841" l="1"/>
  <c r="W841"/>
  <c r="AJ841"/>
  <c r="U841" l="1"/>
  <c r="AI841"/>
  <c r="Y841"/>
  <c r="Z841" s="1"/>
  <c r="N841"/>
  <c r="AE840"/>
  <c r="AJ840"/>
  <c r="W840"/>
  <c r="U840" l="1"/>
  <c r="AI840"/>
  <c r="Y840"/>
  <c r="Z840" s="1"/>
  <c r="N840"/>
  <c r="AE838" l="1"/>
  <c r="AJ838"/>
  <c r="W838"/>
  <c r="U838" l="1"/>
  <c r="AI838"/>
  <c r="Y838"/>
  <c r="Z838" s="1"/>
  <c r="N838"/>
  <c r="AE837"/>
  <c r="AJ837"/>
  <c r="W837"/>
  <c r="U837" l="1"/>
  <c r="AI837"/>
  <c r="Y837"/>
  <c r="Z837" s="1"/>
  <c r="N837"/>
  <c r="AE836"/>
  <c r="AJ836"/>
  <c r="W836"/>
  <c r="U836" l="1"/>
  <c r="AI836"/>
  <c r="Y836"/>
  <c r="Z836" s="1"/>
  <c r="N836"/>
  <c r="AE835"/>
  <c r="AJ835"/>
  <c r="W835"/>
  <c r="U835" l="1"/>
  <c r="AI835"/>
  <c r="Y835"/>
  <c r="Z835" s="1"/>
  <c r="N835"/>
  <c r="AE834"/>
  <c r="W834"/>
  <c r="AJ834"/>
  <c r="U834" l="1"/>
  <c r="AI834"/>
  <c r="Y834"/>
  <c r="Z834" s="1"/>
  <c r="N834"/>
  <c r="AE833"/>
  <c r="AJ833"/>
  <c r="W833"/>
  <c r="U833" l="1"/>
  <c r="AI833"/>
  <c r="Y833"/>
  <c r="Z833" s="1"/>
  <c r="N833"/>
  <c r="AE832"/>
  <c r="AJ832"/>
  <c r="W832"/>
  <c r="U832" l="1"/>
  <c r="AI832"/>
  <c r="Y832"/>
  <c r="Z832" s="1"/>
  <c r="N832"/>
  <c r="AE831"/>
  <c r="AJ831"/>
  <c r="W831"/>
  <c r="U831" l="1"/>
  <c r="AI831"/>
  <c r="Y831"/>
  <c r="Z831" s="1"/>
  <c r="N831"/>
  <c r="AE830"/>
  <c r="AJ830"/>
  <c r="W830"/>
  <c r="U830" l="1"/>
  <c r="AI830"/>
  <c r="Y830"/>
  <c r="Z830" s="1"/>
  <c r="N830"/>
  <c r="AE829"/>
  <c r="AJ829"/>
  <c r="W829"/>
  <c r="U829" l="1"/>
  <c r="AI829"/>
  <c r="Y829"/>
  <c r="Z829" s="1"/>
  <c r="N829"/>
  <c r="AE828"/>
  <c r="AJ828"/>
  <c r="W828"/>
  <c r="U828" l="1"/>
  <c r="AI828"/>
  <c r="Y828"/>
  <c r="Z828" s="1"/>
  <c r="N828"/>
  <c r="AE827"/>
  <c r="AJ827"/>
  <c r="W827"/>
  <c r="U827" l="1"/>
  <c r="AI827"/>
  <c r="Y827"/>
  <c r="Z827" s="1"/>
  <c r="N827"/>
  <c r="AE826"/>
  <c r="AJ826"/>
  <c r="W826"/>
  <c r="U826" l="1"/>
  <c r="AI826"/>
  <c r="Y826"/>
  <c r="Z826" s="1"/>
  <c r="N826"/>
  <c r="AE825"/>
  <c r="AJ825"/>
  <c r="W825"/>
  <c r="U825" l="1"/>
  <c r="AI825"/>
  <c r="Y825"/>
  <c r="Z825" s="1"/>
  <c r="N825"/>
  <c r="AE824"/>
  <c r="AJ824"/>
  <c r="W824"/>
  <c r="U824" l="1"/>
  <c r="AI824"/>
  <c r="Y824"/>
  <c r="Z824" s="1"/>
  <c r="N824"/>
  <c r="AE823"/>
  <c r="AJ823"/>
  <c r="W823"/>
  <c r="U823" l="1"/>
  <c r="AI823"/>
  <c r="Y823"/>
  <c r="Z823" s="1"/>
  <c r="N823"/>
  <c r="AE822"/>
  <c r="AJ822"/>
  <c r="W822"/>
  <c r="U822" l="1"/>
  <c r="AI822"/>
  <c r="Y822"/>
  <c r="Z822" s="1"/>
  <c r="N822"/>
  <c r="AE820" l="1"/>
  <c r="AJ820"/>
  <c r="W820"/>
  <c r="U820" l="1"/>
  <c r="AI820"/>
  <c r="Y820"/>
  <c r="Z820" s="1"/>
  <c r="N820"/>
  <c r="AE819"/>
  <c r="W819"/>
  <c r="AJ819"/>
  <c r="U819" l="1"/>
  <c r="AI819"/>
  <c r="Y819"/>
  <c r="Z819" s="1"/>
  <c r="N819"/>
  <c r="AE818"/>
  <c r="AJ818"/>
  <c r="W818"/>
  <c r="U818" l="1"/>
  <c r="AI818"/>
  <c r="Y818"/>
  <c r="Z818" s="1"/>
  <c r="N818"/>
  <c r="AE817"/>
  <c r="AJ817"/>
  <c r="W817"/>
  <c r="U817" l="1"/>
  <c r="AI817"/>
  <c r="Y817"/>
  <c r="Z817" s="1"/>
  <c r="N817"/>
  <c r="AE816"/>
  <c r="AJ816"/>
  <c r="W816"/>
  <c r="U816" l="1"/>
  <c r="AI816"/>
  <c r="Y816"/>
  <c r="Z816" s="1"/>
  <c r="N816"/>
  <c r="AE815"/>
  <c r="AJ815"/>
  <c r="W815"/>
  <c r="U815" l="1"/>
  <c r="AI815"/>
  <c r="Y815"/>
  <c r="Z815" s="1"/>
  <c r="N815"/>
  <c r="AE811" l="1"/>
  <c r="AJ811"/>
  <c r="W811"/>
  <c r="U811" l="1"/>
  <c r="AI811"/>
  <c r="Y811"/>
  <c r="Z811" s="1"/>
  <c r="N811"/>
  <c r="AE810"/>
  <c r="AJ810"/>
  <c r="W810"/>
  <c r="U810" l="1"/>
  <c r="AI810"/>
  <c r="Y810"/>
  <c r="Z810" s="1"/>
  <c r="N810"/>
  <c r="AE809"/>
  <c r="AJ809"/>
  <c r="W809"/>
  <c r="U809" l="1"/>
  <c r="AI809"/>
  <c r="Y809"/>
  <c r="Z809" s="1"/>
  <c r="N809"/>
  <c r="AE808"/>
  <c r="AJ808"/>
  <c r="W808"/>
  <c r="U808" l="1"/>
  <c r="AI808"/>
  <c r="Y808"/>
  <c r="Z808" s="1"/>
  <c r="AE805"/>
  <c r="AJ805"/>
  <c r="W805"/>
  <c r="U805" l="1"/>
  <c r="AI805"/>
  <c r="Y805"/>
  <c r="Z805" s="1"/>
  <c r="N805"/>
  <c r="AE804"/>
  <c r="AJ804"/>
  <c r="W804"/>
  <c r="U804" l="1"/>
  <c r="AI804"/>
  <c r="Y804"/>
  <c r="Z804" s="1"/>
  <c r="N804"/>
  <c r="AE803"/>
  <c r="AJ803"/>
  <c r="W803"/>
  <c r="U803" l="1"/>
  <c r="AI803"/>
  <c r="Y803"/>
  <c r="Z803" s="1"/>
  <c r="N803"/>
  <c r="AE802"/>
  <c r="AJ802"/>
  <c r="W802"/>
  <c r="U802" l="1"/>
  <c r="AI802"/>
  <c r="Y802"/>
  <c r="Z802" s="1"/>
  <c r="N802"/>
  <c r="AE801"/>
  <c r="AJ801"/>
  <c r="W801"/>
  <c r="U801" l="1"/>
  <c r="AI801"/>
  <c r="Y801"/>
  <c r="Z801" s="1"/>
  <c r="N801"/>
  <c r="AE800"/>
  <c r="AJ800"/>
  <c r="W800"/>
  <c r="U800" l="1"/>
  <c r="AI800"/>
  <c r="Y800"/>
  <c r="Z800" s="1"/>
  <c r="N800"/>
  <c r="AE799"/>
  <c r="AJ799"/>
  <c r="W799"/>
  <c r="U799" l="1"/>
  <c r="AI799"/>
  <c r="Y799"/>
  <c r="Z799" s="1"/>
  <c r="N799"/>
  <c r="AE798"/>
  <c r="AJ798"/>
  <c r="W798"/>
  <c r="U798" l="1"/>
  <c r="AI798"/>
  <c r="Y798"/>
  <c r="Z798" s="1"/>
  <c r="N798"/>
  <c r="AE797"/>
  <c r="AJ797"/>
  <c r="W797"/>
  <c r="U797" l="1"/>
  <c r="AI797"/>
  <c r="Y797"/>
  <c r="Z797" s="1"/>
  <c r="N797"/>
  <c r="AE796"/>
  <c r="AJ796"/>
  <c r="W796"/>
  <c r="U796" l="1"/>
  <c r="AI796"/>
  <c r="Y796"/>
  <c r="Z796" s="1"/>
  <c r="N796"/>
  <c r="AE795"/>
  <c r="AJ795"/>
  <c r="W795"/>
  <c r="U795" l="1"/>
  <c r="AI795"/>
  <c r="Y795"/>
  <c r="Z795" s="1"/>
  <c r="N795"/>
  <c r="AE794"/>
  <c r="AJ794"/>
  <c r="W794"/>
  <c r="U794" l="1"/>
  <c r="AI794"/>
  <c r="Y794"/>
  <c r="Z794" s="1"/>
  <c r="N794"/>
  <c r="AE793"/>
  <c r="AJ793"/>
  <c r="W793"/>
  <c r="U793" l="1"/>
  <c r="AI793"/>
  <c r="Y793"/>
  <c r="Z793" s="1"/>
  <c r="N793"/>
  <c r="AE792"/>
  <c r="AJ792"/>
  <c r="W792"/>
  <c r="U792" l="1"/>
  <c r="AI792"/>
  <c r="Y792"/>
  <c r="Z792" s="1"/>
  <c r="N792"/>
  <c r="AE791"/>
  <c r="AJ791"/>
  <c r="W791"/>
  <c r="U791" l="1"/>
  <c r="AI791"/>
  <c r="Y791"/>
  <c r="Z791" s="1"/>
  <c r="N791"/>
  <c r="AE789" l="1"/>
  <c r="W789"/>
  <c r="AJ789"/>
  <c r="U789" l="1"/>
  <c r="AI789"/>
  <c r="Y789"/>
  <c r="Z789" s="1"/>
  <c r="N789"/>
  <c r="AE788"/>
  <c r="AJ788"/>
  <c r="W788"/>
  <c r="U788" l="1"/>
  <c r="AI788"/>
  <c r="Y788"/>
  <c r="Z788" s="1"/>
  <c r="N788"/>
  <c r="AE787"/>
  <c r="AJ787"/>
  <c r="W787"/>
  <c r="U787" l="1"/>
  <c r="AI787"/>
  <c r="Y787"/>
  <c r="Z787" s="1"/>
  <c r="N787"/>
  <c r="AE786"/>
  <c r="AJ786"/>
  <c r="W786"/>
  <c r="U786" l="1"/>
  <c r="AI786"/>
  <c r="Y786"/>
  <c r="Z786" s="1"/>
  <c r="N786"/>
  <c r="AE785"/>
  <c r="AJ785"/>
  <c r="W785"/>
  <c r="U785" l="1"/>
  <c r="AI785"/>
  <c r="Y785"/>
  <c r="Z785" s="1"/>
  <c r="N785"/>
  <c r="AE784"/>
  <c r="AJ784"/>
  <c r="W784"/>
  <c r="U784" l="1"/>
  <c r="AI784"/>
  <c r="Y784"/>
  <c r="Z784" s="1"/>
  <c r="N784"/>
  <c r="AE783"/>
  <c r="AJ783"/>
  <c r="W783"/>
  <c r="U783" l="1"/>
  <c r="AI783"/>
  <c r="Y783"/>
  <c r="Z783" s="1"/>
  <c r="N783"/>
  <c r="AE782" l="1"/>
  <c r="AJ782"/>
  <c r="W782"/>
  <c r="U782" l="1"/>
  <c r="AI782"/>
  <c r="Y782"/>
  <c r="Z782" s="1"/>
  <c r="N782"/>
  <c r="AE781"/>
  <c r="AJ781"/>
  <c r="W781"/>
  <c r="U781" l="1"/>
  <c r="AI781"/>
  <c r="Y781"/>
  <c r="Z781" s="1"/>
  <c r="N781"/>
  <c r="AE780"/>
  <c r="AJ780"/>
  <c r="W780"/>
  <c r="U780" l="1"/>
  <c r="AI780"/>
  <c r="Y780"/>
  <c r="Z780" s="1"/>
  <c r="N780"/>
  <c r="AE778" l="1"/>
  <c r="AJ778"/>
  <c r="W778"/>
  <c r="U778" l="1"/>
  <c r="AI778"/>
  <c r="Y778"/>
  <c r="Z778" s="1"/>
  <c r="N778"/>
  <c r="AE777"/>
  <c r="AJ777"/>
  <c r="W777"/>
  <c r="U777" l="1"/>
  <c r="AI777"/>
  <c r="Y777"/>
  <c r="Z777" s="1"/>
  <c r="N777"/>
  <c r="AE776"/>
  <c r="AJ776"/>
  <c r="W776"/>
  <c r="U776" l="1"/>
  <c r="AI776"/>
  <c r="Y776"/>
  <c r="Z776" s="1"/>
  <c r="N776"/>
  <c r="AE775"/>
  <c r="AJ775"/>
  <c r="W775"/>
  <c r="U775" l="1"/>
  <c r="AI775"/>
  <c r="Y775"/>
  <c r="Z775" s="1"/>
  <c r="N775"/>
  <c r="AE774"/>
  <c r="AJ774"/>
  <c r="W774"/>
  <c r="U774" l="1"/>
  <c r="AI774"/>
  <c r="Y774"/>
  <c r="Z774" s="1"/>
  <c r="N774"/>
  <c r="AE773"/>
  <c r="AJ773"/>
  <c r="W773"/>
  <c r="U773" l="1"/>
  <c r="AI773"/>
  <c r="Y773"/>
  <c r="Z773" s="1"/>
  <c r="N773"/>
  <c r="AE772"/>
  <c r="AJ772"/>
  <c r="W772"/>
  <c r="U772" l="1"/>
  <c r="AI772"/>
  <c r="Y772"/>
  <c r="Z772" s="1"/>
  <c r="N772"/>
  <c r="AE771"/>
  <c r="AJ771"/>
  <c r="W771"/>
  <c r="U771" l="1"/>
  <c r="AI771"/>
  <c r="Y771"/>
  <c r="Z771" s="1"/>
  <c r="N771"/>
  <c r="AE770"/>
  <c r="AJ770"/>
  <c r="W770"/>
  <c r="U770" l="1"/>
  <c r="AI770"/>
  <c r="Y770"/>
  <c r="Z770" s="1"/>
  <c r="N770"/>
  <c r="AE769"/>
  <c r="AJ769"/>
  <c r="W769"/>
  <c r="U769" l="1"/>
  <c r="AI769"/>
  <c r="Y769"/>
  <c r="Z769" s="1"/>
  <c r="N769"/>
  <c r="AE768"/>
  <c r="AJ768"/>
  <c r="W768"/>
  <c r="U768" l="1"/>
  <c r="AI768"/>
  <c r="Y768"/>
  <c r="Z768" s="1"/>
  <c r="N768"/>
  <c r="AE767"/>
  <c r="AJ767"/>
  <c r="W767"/>
  <c r="U767" l="1"/>
  <c r="AI767"/>
  <c r="Y767"/>
  <c r="Z767" s="1"/>
  <c r="N767"/>
  <c r="AE766"/>
  <c r="AJ766"/>
  <c r="W766"/>
  <c r="U766" l="1"/>
  <c r="AI766"/>
  <c r="Y766"/>
  <c r="Z766" s="1"/>
  <c r="N766"/>
  <c r="AE765"/>
  <c r="AJ765"/>
  <c r="W765"/>
  <c r="U765" l="1"/>
  <c r="AI765"/>
  <c r="Y765"/>
  <c r="Z765" s="1"/>
  <c r="N765"/>
  <c r="AE764"/>
  <c r="AJ764"/>
  <c r="W764"/>
  <c r="U764" l="1"/>
  <c r="AI764"/>
  <c r="Y764"/>
  <c r="Z764" s="1"/>
  <c r="N764"/>
  <c r="AE763"/>
  <c r="W763"/>
  <c r="AJ763"/>
  <c r="U763" l="1"/>
  <c r="AI763"/>
  <c r="Y763"/>
  <c r="Z763" s="1"/>
  <c r="N763"/>
  <c r="AE762"/>
  <c r="AJ762"/>
  <c r="W762"/>
  <c r="U762" l="1"/>
  <c r="AI762"/>
  <c r="Y762"/>
  <c r="Z762" s="1"/>
  <c r="N762"/>
  <c r="AE761"/>
  <c r="AJ761"/>
  <c r="W761"/>
  <c r="U761" l="1"/>
  <c r="AI761"/>
  <c r="Y761"/>
  <c r="Z761" s="1"/>
  <c r="N761"/>
  <c r="AE760"/>
  <c r="AJ760"/>
  <c r="W760"/>
  <c r="U760" l="1"/>
  <c r="AI760"/>
  <c r="Y760"/>
  <c r="Z760" s="1"/>
  <c r="N760"/>
  <c r="AE759"/>
  <c r="AJ759"/>
  <c r="W759"/>
  <c r="U759" l="1"/>
  <c r="AI759"/>
  <c r="Y759"/>
  <c r="Z759" s="1"/>
  <c r="N759"/>
  <c r="AE758"/>
  <c r="AJ758"/>
  <c r="W758"/>
  <c r="U758" l="1"/>
  <c r="AI758"/>
  <c r="Y758"/>
  <c r="Z758" s="1"/>
  <c r="N758"/>
  <c r="AE757"/>
  <c r="AJ757"/>
  <c r="W757"/>
  <c r="U757" l="1"/>
  <c r="AI757"/>
  <c r="Y757"/>
  <c r="Z757" s="1"/>
  <c r="N757"/>
  <c r="AE756"/>
  <c r="AJ756"/>
  <c r="W756"/>
  <c r="U756" l="1"/>
  <c r="AI756"/>
  <c r="Y756"/>
  <c r="Z756" s="1"/>
  <c r="N756"/>
  <c r="AE755"/>
  <c r="AJ755"/>
  <c r="W755"/>
  <c r="U755" l="1"/>
  <c r="AI755"/>
  <c r="Y755"/>
  <c r="Z755" s="1"/>
  <c r="N755"/>
  <c r="AE754"/>
  <c r="AJ754"/>
  <c r="W754"/>
  <c r="U754" l="1"/>
  <c r="AI754"/>
  <c r="Y754"/>
  <c r="Z754" s="1"/>
  <c r="N754"/>
  <c r="AE753"/>
  <c r="AJ753"/>
  <c r="W753"/>
  <c r="U753" l="1"/>
  <c r="AI753"/>
  <c r="Y753"/>
  <c r="Z753" s="1"/>
  <c r="N753"/>
  <c r="AE752"/>
  <c r="AJ752"/>
  <c r="W752"/>
  <c r="U752" l="1"/>
  <c r="AI752"/>
  <c r="Y752"/>
  <c r="Z752" s="1"/>
  <c r="N752"/>
  <c r="AE751"/>
  <c r="AJ751"/>
  <c r="W751"/>
  <c r="U751" l="1"/>
  <c r="AI751"/>
  <c r="Y751"/>
  <c r="Z751" s="1"/>
  <c r="N751"/>
  <c r="AE750"/>
  <c r="AJ750"/>
  <c r="W750"/>
  <c r="U750" l="1"/>
  <c r="AI750"/>
  <c r="Y750"/>
  <c r="Z750" s="1"/>
  <c r="N750"/>
  <c r="AE749"/>
  <c r="W749"/>
  <c r="AJ749"/>
  <c r="U749" l="1"/>
  <c r="AI749"/>
  <c r="Y749"/>
  <c r="Z749" s="1"/>
  <c r="N749"/>
  <c r="AE748"/>
  <c r="W748"/>
  <c r="U748" l="1"/>
  <c r="Y748"/>
  <c r="Z748" s="1"/>
  <c r="N748"/>
  <c r="AE747"/>
  <c r="W747"/>
  <c r="U747" l="1"/>
  <c r="Y747"/>
  <c r="Z747" s="1"/>
  <c r="N747"/>
  <c r="AE745" l="1"/>
  <c r="W745"/>
  <c r="U745" l="1"/>
  <c r="Y745"/>
  <c r="Z745" s="1"/>
  <c r="N745"/>
  <c r="AE744"/>
  <c r="AJ744"/>
  <c r="W744"/>
  <c r="U744" l="1"/>
  <c r="AI744"/>
  <c r="Y744"/>
  <c r="Z744" s="1"/>
  <c r="N744"/>
  <c r="AE742" l="1"/>
  <c r="AJ742"/>
  <c r="W742"/>
  <c r="U742" l="1"/>
  <c r="AI742"/>
  <c r="Y742"/>
  <c r="Z742" s="1"/>
  <c r="N742"/>
  <c r="AE739"/>
  <c r="AJ739"/>
  <c r="W739"/>
  <c r="U739" l="1"/>
  <c r="AI739"/>
  <c r="Y739"/>
  <c r="Z739" s="1"/>
  <c r="N739"/>
  <c r="AE738"/>
  <c r="AJ738"/>
  <c r="W738"/>
  <c r="U738" l="1"/>
  <c r="AI738"/>
  <c r="Y738"/>
  <c r="Z738" s="1"/>
  <c r="N738"/>
  <c r="AE737"/>
  <c r="W737"/>
  <c r="AJ737"/>
  <c r="U737" l="1"/>
  <c r="AI737"/>
  <c r="Y737"/>
  <c r="Z737" s="1"/>
  <c r="N737"/>
  <c r="AE736"/>
  <c r="AJ736"/>
  <c r="W736"/>
  <c r="U736" l="1"/>
  <c r="AI736"/>
  <c r="Y736"/>
  <c r="Z736" s="1"/>
  <c r="N736"/>
  <c r="AE735"/>
  <c r="AJ735"/>
  <c r="W735"/>
  <c r="U735" l="1"/>
  <c r="AI735"/>
  <c r="Y735"/>
  <c r="Z735" s="1"/>
  <c r="N735"/>
  <c r="AE734"/>
  <c r="AJ734"/>
  <c r="W734"/>
  <c r="U734" l="1"/>
  <c r="AI734"/>
  <c r="Y734"/>
  <c r="Z734" s="1"/>
  <c r="N734"/>
  <c r="AE733"/>
  <c r="AJ733"/>
  <c r="W733"/>
  <c r="U733" l="1"/>
  <c r="AI733"/>
  <c r="Y733"/>
  <c r="Z733" s="1"/>
  <c r="N733"/>
  <c r="AE732"/>
  <c r="AJ732"/>
  <c r="W732"/>
  <c r="U732" l="1"/>
  <c r="AI732"/>
  <c r="Y732"/>
  <c r="Z732" s="1"/>
  <c r="N732"/>
  <c r="AE731"/>
  <c r="AJ731"/>
  <c r="W731"/>
  <c r="U731" l="1"/>
  <c r="AI731"/>
  <c r="Y731"/>
  <c r="Z731" s="1"/>
  <c r="N731"/>
  <c r="AE730"/>
  <c r="AJ730"/>
  <c r="W730"/>
  <c r="U730" l="1"/>
  <c r="AI730"/>
  <c r="Y730"/>
  <c r="Z730" s="1"/>
  <c r="N730"/>
  <c r="AE729"/>
  <c r="AJ729"/>
  <c r="W729"/>
  <c r="U729" l="1"/>
  <c r="AI729"/>
  <c r="Y729"/>
  <c r="Z729" s="1"/>
  <c r="N729"/>
  <c r="AE728"/>
  <c r="AJ728"/>
  <c r="W728"/>
  <c r="U728" l="1"/>
  <c r="AI728"/>
  <c r="Y728"/>
  <c r="Z728" s="1"/>
  <c r="N728"/>
  <c r="AE727"/>
  <c r="AJ727"/>
  <c r="W727"/>
  <c r="U727" l="1"/>
  <c r="AI727"/>
  <c r="Y727"/>
  <c r="Z727" s="1"/>
  <c r="N727"/>
  <c r="AE726"/>
  <c r="AJ726"/>
  <c r="W726"/>
  <c r="U726" l="1"/>
  <c r="AI726"/>
  <c r="Y726"/>
  <c r="Z726" s="1"/>
  <c r="N726"/>
  <c r="AE725"/>
  <c r="AJ725"/>
  <c r="W725"/>
  <c r="U725" l="1"/>
  <c r="AI725"/>
  <c r="Y725"/>
  <c r="Z725" s="1"/>
  <c r="N725"/>
  <c r="AE724"/>
  <c r="AJ724"/>
  <c r="W724"/>
  <c r="U724" l="1"/>
  <c r="AI724"/>
  <c r="Y724"/>
  <c r="Z724" s="1"/>
  <c r="N724"/>
  <c r="AE723"/>
  <c r="AJ723"/>
  <c r="W723"/>
  <c r="U723" l="1"/>
  <c r="AI723"/>
  <c r="Y723"/>
  <c r="Z723" s="1"/>
  <c r="N723"/>
  <c r="AE722"/>
  <c r="AJ722"/>
  <c r="W722"/>
  <c r="U722" l="1"/>
  <c r="AI722"/>
  <c r="Y722"/>
  <c r="Z722" s="1"/>
  <c r="N722"/>
  <c r="AE721"/>
  <c r="AJ721"/>
  <c r="W721"/>
  <c r="U721" l="1"/>
  <c r="AI721"/>
  <c r="Y721"/>
  <c r="Z721" s="1"/>
  <c r="N721"/>
  <c r="AE720"/>
  <c r="AJ720"/>
  <c r="W720"/>
  <c r="U720" l="1"/>
  <c r="AI720"/>
  <c r="Y720"/>
  <c r="Z720" s="1"/>
  <c r="N720"/>
  <c r="AE719"/>
  <c r="AJ719"/>
  <c r="W719"/>
  <c r="U719" l="1"/>
  <c r="AI719"/>
  <c r="Y719"/>
  <c r="Z719" s="1"/>
  <c r="N719"/>
  <c r="AE717" l="1"/>
  <c r="W717"/>
  <c r="U717" l="1"/>
  <c r="Y717"/>
  <c r="Z717" s="1"/>
  <c r="N717"/>
  <c r="AE716"/>
  <c r="W716"/>
  <c r="U716" l="1"/>
  <c r="Y716"/>
  <c r="Z716" s="1"/>
  <c r="N716"/>
  <c r="AE714" l="1"/>
  <c r="W714"/>
  <c r="U714" l="1"/>
  <c r="Y714"/>
  <c r="Z714" s="1"/>
  <c r="N714"/>
  <c r="AE712" l="1"/>
  <c r="AJ712"/>
  <c r="W712"/>
  <c r="U712" l="1"/>
  <c r="AI712"/>
  <c r="Y712"/>
  <c r="Z712" s="1"/>
  <c r="N712"/>
  <c r="AE711"/>
  <c r="AJ711"/>
  <c r="W711"/>
  <c r="U711" l="1"/>
  <c r="AI711"/>
  <c r="Y711"/>
  <c r="Z711" s="1"/>
  <c r="N711"/>
  <c r="AE710"/>
  <c r="AJ710"/>
  <c r="W710"/>
  <c r="U710" l="1"/>
  <c r="AI710"/>
  <c r="Y710"/>
  <c r="Z710" s="1"/>
  <c r="N710"/>
  <c r="AE709"/>
  <c r="AJ709"/>
  <c r="W709"/>
  <c r="U709" l="1"/>
  <c r="AI709"/>
  <c r="Y709"/>
  <c r="Z709" s="1"/>
  <c r="N709"/>
  <c r="AE708"/>
  <c r="AJ708"/>
  <c r="W708"/>
  <c r="U708" l="1"/>
  <c r="AI708"/>
  <c r="Y708"/>
  <c r="Z708" s="1"/>
  <c r="N708"/>
  <c r="AE707"/>
  <c r="AJ707"/>
  <c r="W707"/>
  <c r="U707" l="1"/>
  <c r="AI707"/>
  <c r="Y707"/>
  <c r="Z707" s="1"/>
  <c r="N707"/>
  <c r="AE706"/>
  <c r="AJ706"/>
  <c r="W706"/>
  <c r="U706" l="1"/>
  <c r="AI706"/>
  <c r="Y706"/>
  <c r="Z706" s="1"/>
  <c r="N706"/>
  <c r="AE705"/>
  <c r="AJ705"/>
  <c r="W705"/>
  <c r="U705" l="1"/>
  <c r="AI705"/>
  <c r="Y705"/>
  <c r="Z705" s="1"/>
  <c r="N705"/>
  <c r="AE704"/>
  <c r="AJ704"/>
  <c r="W704"/>
  <c r="U704" l="1"/>
  <c r="AI704"/>
  <c r="Y704"/>
  <c r="Z704" s="1"/>
  <c r="N704"/>
  <c r="AE703"/>
  <c r="AJ703"/>
  <c r="W703"/>
  <c r="U703" l="1"/>
  <c r="AI703"/>
  <c r="Y703"/>
  <c r="Z703" s="1"/>
  <c r="N703"/>
  <c r="AE702"/>
  <c r="AJ702"/>
  <c r="W702"/>
  <c r="U702" l="1"/>
  <c r="AI702"/>
  <c r="Y702"/>
  <c r="Z702" s="1"/>
  <c r="N702"/>
  <c r="AE701"/>
  <c r="AJ701"/>
  <c r="W701"/>
  <c r="U701" l="1"/>
  <c r="AI701"/>
  <c r="Y701"/>
  <c r="Z701" s="1"/>
  <c r="N701"/>
  <c r="AE700"/>
  <c r="AJ700"/>
  <c r="W700"/>
  <c r="U700" l="1"/>
  <c r="AI700"/>
  <c r="Y700"/>
  <c r="Z700" s="1"/>
  <c r="N700"/>
  <c r="AE699"/>
  <c r="AJ699"/>
  <c r="W699"/>
  <c r="U699" l="1"/>
  <c r="AI699"/>
  <c r="Y699"/>
  <c r="Z699" s="1"/>
  <c r="N699"/>
  <c r="AE698"/>
  <c r="AJ698"/>
  <c r="W698"/>
  <c r="U698" l="1"/>
  <c r="AI698"/>
  <c r="Y698"/>
  <c r="Z698" s="1"/>
  <c r="N698"/>
  <c r="AE697"/>
  <c r="AJ697"/>
  <c r="W697"/>
  <c r="U697" l="1"/>
  <c r="AI697"/>
  <c r="Y697"/>
  <c r="Z697" s="1"/>
  <c r="AE693"/>
  <c r="AJ693"/>
  <c r="W693"/>
  <c r="U693" l="1"/>
  <c r="AI693"/>
  <c r="Y693"/>
  <c r="Z693" s="1"/>
  <c r="N693"/>
  <c r="AE692"/>
  <c r="AJ692"/>
  <c r="W692"/>
  <c r="U692" l="1"/>
  <c r="AI692"/>
  <c r="Y692"/>
  <c r="Z692" s="1"/>
  <c r="N692"/>
  <c r="AE690" l="1"/>
  <c r="AJ690"/>
  <c r="W690"/>
  <c r="U690" l="1"/>
  <c r="AI690"/>
  <c r="Y690"/>
  <c r="Z690" s="1"/>
  <c r="N690"/>
  <c r="AE689"/>
  <c r="AJ689"/>
  <c r="W689"/>
  <c r="U689" l="1"/>
  <c r="AI689"/>
  <c r="Y689"/>
  <c r="Z689" s="1"/>
  <c r="N689"/>
  <c r="AE688"/>
  <c r="AJ688"/>
  <c r="W688"/>
  <c r="U688" l="1"/>
  <c r="AI688"/>
  <c r="Y688"/>
  <c r="Z688" s="1"/>
  <c r="N688"/>
  <c r="AE687"/>
  <c r="AJ687"/>
  <c r="W687"/>
  <c r="U687" l="1"/>
  <c r="AI687"/>
  <c r="Y687"/>
  <c r="Z687" s="1"/>
  <c r="N687"/>
  <c r="AE686"/>
  <c r="AJ686"/>
  <c r="W686"/>
  <c r="U686" l="1"/>
  <c r="AI686"/>
  <c r="Y686"/>
  <c r="Z686" s="1"/>
  <c r="N686"/>
  <c r="AE685"/>
  <c r="AJ685"/>
  <c r="W685"/>
  <c r="U685" l="1"/>
  <c r="AI685"/>
  <c r="Y685"/>
  <c r="Z685" s="1"/>
  <c r="N685"/>
  <c r="AE684"/>
  <c r="AJ684"/>
  <c r="W684"/>
  <c r="U684" l="1"/>
  <c r="AI684"/>
  <c r="Y684"/>
  <c r="Z684" s="1"/>
  <c r="N684"/>
  <c r="AE683"/>
  <c r="AJ683"/>
  <c r="W683"/>
  <c r="U683" l="1"/>
  <c r="AI683"/>
  <c r="Y683"/>
  <c r="Z683" s="1"/>
  <c r="N683"/>
  <c r="AE682"/>
  <c r="AJ682"/>
  <c r="W682"/>
  <c r="U682" l="1"/>
  <c r="AI682"/>
  <c r="Y682"/>
  <c r="Z682" s="1"/>
  <c r="N682"/>
  <c r="AE681"/>
  <c r="AJ681"/>
  <c r="W681"/>
  <c r="U681" l="1"/>
  <c r="AI681"/>
  <c r="Y681"/>
  <c r="Z681" s="1"/>
  <c r="N681"/>
  <c r="AE680"/>
  <c r="AJ680"/>
  <c r="W680"/>
  <c r="U680" l="1"/>
  <c r="AI680"/>
  <c r="Y680"/>
  <c r="Z680" s="1"/>
  <c r="N680"/>
  <c r="AE679"/>
  <c r="AJ679"/>
  <c r="W679"/>
  <c r="U679" l="1"/>
  <c r="AI679"/>
  <c r="Y679"/>
  <c r="Z679" s="1"/>
  <c r="N679"/>
  <c r="AE678"/>
  <c r="AJ678"/>
  <c r="W678"/>
  <c r="U678" l="1"/>
  <c r="AI678"/>
  <c r="Y678"/>
  <c r="Z678" s="1"/>
  <c r="N678"/>
  <c r="AE677"/>
  <c r="AJ677"/>
  <c r="W677"/>
  <c r="U677" l="1"/>
  <c r="AI677"/>
  <c r="Y677"/>
  <c r="Z677" s="1"/>
  <c r="N677"/>
  <c r="AE675" l="1"/>
  <c r="AJ675"/>
  <c r="W675"/>
  <c r="U675" l="1"/>
  <c r="AI675"/>
  <c r="Y675"/>
  <c r="Z675" s="1"/>
  <c r="N675"/>
  <c r="AE671" l="1"/>
  <c r="AJ671"/>
  <c r="W671"/>
  <c r="U671" l="1"/>
  <c r="AI671"/>
  <c r="Y671"/>
  <c r="Z671" s="1"/>
  <c r="N671"/>
  <c r="AE670"/>
  <c r="AJ670"/>
  <c r="W670"/>
  <c r="U670" l="1"/>
  <c r="AI670"/>
  <c r="Y670"/>
  <c r="Z670" s="1"/>
  <c r="N670"/>
  <c r="AE667" l="1"/>
  <c r="AJ667"/>
  <c r="W667"/>
  <c r="U667" l="1"/>
  <c r="AI667"/>
  <c r="Y667"/>
  <c r="Z667" s="1"/>
  <c r="N667"/>
  <c r="AE666"/>
  <c r="AJ666"/>
  <c r="W666"/>
  <c r="U666" l="1"/>
  <c r="AI666"/>
  <c r="Y666"/>
  <c r="Z666" s="1"/>
  <c r="N666"/>
  <c r="AE665"/>
  <c r="AJ665"/>
  <c r="W665"/>
  <c r="U665" l="1"/>
  <c r="AI665"/>
  <c r="Y665"/>
  <c r="Z665" s="1"/>
  <c r="N665"/>
  <c r="AE664"/>
  <c r="AJ664"/>
  <c r="W664"/>
  <c r="U664" l="1"/>
  <c r="AI664"/>
  <c r="Y664"/>
  <c r="Z664" s="1"/>
  <c r="N664"/>
  <c r="AE663"/>
  <c r="AJ663"/>
  <c r="W663"/>
  <c r="U663" l="1"/>
  <c r="AI663"/>
  <c r="Y663"/>
  <c r="Z663" s="1"/>
  <c r="N663"/>
  <c r="AE662"/>
  <c r="AJ662"/>
  <c r="W662"/>
  <c r="U662" l="1"/>
  <c r="AI662"/>
  <c r="Y662"/>
  <c r="Z662" s="1"/>
  <c r="N662"/>
  <c r="AE660" l="1"/>
  <c r="AJ660"/>
  <c r="W660"/>
  <c r="U660" l="1"/>
  <c r="AI660"/>
  <c r="Y660"/>
  <c r="Z660" s="1"/>
  <c r="N660"/>
  <c r="AE657" l="1"/>
  <c r="AJ657"/>
  <c r="W657"/>
  <c r="U657" l="1"/>
  <c r="AI657"/>
  <c r="Y657"/>
  <c r="Z657" s="1"/>
  <c r="N657"/>
  <c r="AE656"/>
  <c r="AJ656"/>
  <c r="W656"/>
  <c r="U656" l="1"/>
  <c r="AI656"/>
  <c r="Y656"/>
  <c r="Z656" s="1"/>
  <c r="N656"/>
  <c r="AE654"/>
  <c r="AJ654"/>
  <c r="W654"/>
  <c r="U654" l="1"/>
  <c r="AI654"/>
  <c r="Y654"/>
  <c r="Z654" s="1"/>
  <c r="N654"/>
  <c r="AE653"/>
  <c r="AJ653"/>
  <c r="W653"/>
  <c r="U653" l="1"/>
  <c r="AI653"/>
  <c r="Y653"/>
  <c r="Z653" s="1"/>
  <c r="N653"/>
  <c r="AE651" l="1"/>
  <c r="AJ651"/>
  <c r="W651"/>
  <c r="U651" l="1"/>
  <c r="AI651"/>
  <c r="Y651"/>
  <c r="Z651" s="1"/>
  <c r="N651"/>
  <c r="AE649" l="1"/>
  <c r="AJ649"/>
  <c r="W649"/>
  <c r="U649" l="1"/>
  <c r="AI649"/>
  <c r="Y649"/>
  <c r="Z649" s="1"/>
  <c r="N649"/>
  <c r="AE645" l="1"/>
  <c r="AJ645"/>
  <c r="W645"/>
  <c r="U645" l="1"/>
  <c r="AI645"/>
  <c r="Y645"/>
  <c r="Z645" s="1"/>
  <c r="N645"/>
  <c r="AE644"/>
  <c r="W644"/>
  <c r="AJ644"/>
  <c r="U644" l="1"/>
  <c r="AI644"/>
  <c r="Y644"/>
  <c r="Z644" s="1"/>
  <c r="N644"/>
  <c r="AE640" l="1"/>
  <c r="AJ640"/>
  <c r="W640"/>
  <c r="U640" l="1"/>
  <c r="AI640"/>
  <c r="Y640"/>
  <c r="Z640" s="1"/>
  <c r="N640"/>
  <c r="AE638" l="1"/>
  <c r="AJ638"/>
  <c r="W638"/>
  <c r="U638" l="1"/>
  <c r="AI638"/>
  <c r="Y638"/>
  <c r="Z638" s="1"/>
  <c r="N638"/>
  <c r="AE637"/>
  <c r="AJ637"/>
  <c r="W637"/>
  <c r="U637" l="1"/>
  <c r="AI637"/>
  <c r="Y637"/>
  <c r="Z637" s="1"/>
  <c r="N637"/>
  <c r="AE636"/>
  <c r="AJ636"/>
  <c r="W636"/>
  <c r="U636" l="1"/>
  <c r="AI636"/>
  <c r="Y636"/>
  <c r="Z636" s="1"/>
  <c r="N636"/>
  <c r="AE634" l="1"/>
  <c r="AJ634"/>
  <c r="W634"/>
  <c r="U634" l="1"/>
  <c r="AI634"/>
  <c r="Y634"/>
  <c r="Z634" s="1"/>
  <c r="N634"/>
  <c r="AE633"/>
  <c r="AJ633"/>
  <c r="W633"/>
  <c r="U633" l="1"/>
  <c r="AI633"/>
  <c r="Y633"/>
  <c r="Z633" s="1"/>
  <c r="N633"/>
  <c r="AE631" l="1"/>
  <c r="AJ631"/>
  <c r="W631"/>
  <c r="U631" l="1"/>
  <c r="AI631"/>
  <c r="Y631"/>
  <c r="Z631" s="1"/>
  <c r="N631"/>
  <c r="AE627" l="1"/>
  <c r="AJ627"/>
  <c r="W627"/>
  <c r="U627" l="1"/>
  <c r="AI627"/>
  <c r="Y627"/>
  <c r="Z627" s="1"/>
  <c r="N627"/>
  <c r="AE626"/>
  <c r="W626"/>
  <c r="AJ626"/>
  <c r="U626" l="1"/>
  <c r="AI626"/>
  <c r="Y626"/>
  <c r="Z626" s="1"/>
  <c r="N626"/>
  <c r="AE625"/>
  <c r="AJ625"/>
  <c r="W625"/>
  <c r="U625" l="1"/>
  <c r="AI625"/>
  <c r="Y625"/>
  <c r="Z625" s="1"/>
  <c r="N625"/>
  <c r="AE624"/>
  <c r="AJ624"/>
  <c r="W624"/>
  <c r="U624" l="1"/>
  <c r="AI624"/>
  <c r="Y624"/>
  <c r="Z624" s="1"/>
  <c r="N624"/>
  <c r="AE623"/>
  <c r="AJ623"/>
  <c r="W623"/>
  <c r="U623" l="1"/>
  <c r="AI623"/>
  <c r="Y623"/>
  <c r="Z623" s="1"/>
  <c r="N623"/>
  <c r="AE622"/>
  <c r="AJ622"/>
  <c r="W622"/>
  <c r="U622" l="1"/>
  <c r="AI622"/>
  <c r="Y622"/>
  <c r="Z622" s="1"/>
  <c r="N622"/>
  <c r="AE621"/>
  <c r="AJ621"/>
  <c r="W621"/>
  <c r="U621" l="1"/>
  <c r="AI621"/>
  <c r="Y621"/>
  <c r="Z621" s="1"/>
  <c r="N621"/>
  <c r="AE620"/>
  <c r="W620"/>
  <c r="AJ620"/>
  <c r="U620" l="1"/>
  <c r="AI620"/>
  <c r="Y620"/>
  <c r="Z620" s="1"/>
  <c r="N620"/>
  <c r="AE619"/>
  <c r="AJ619"/>
  <c r="W619"/>
  <c r="U619" l="1"/>
  <c r="AI619"/>
  <c r="Y619"/>
  <c r="Z619" s="1"/>
  <c r="N619"/>
  <c r="AE618"/>
  <c r="AJ618"/>
  <c r="W618"/>
  <c r="U618" l="1"/>
  <c r="AI618"/>
  <c r="Y618"/>
  <c r="Z618" s="1"/>
  <c r="N618"/>
  <c r="AE617"/>
  <c r="AJ617"/>
  <c r="W617"/>
  <c r="U617" l="1"/>
  <c r="AI617"/>
  <c r="Y617"/>
  <c r="Z617" s="1"/>
  <c r="N617"/>
  <c r="AE615" l="1"/>
  <c r="AJ615"/>
  <c r="W615"/>
  <c r="U615" l="1"/>
  <c r="AI615"/>
  <c r="Y615"/>
  <c r="Z615" s="1"/>
  <c r="N615"/>
  <c r="AE613" l="1"/>
  <c r="AJ613"/>
  <c r="W613"/>
  <c r="U613" l="1"/>
  <c r="AI613"/>
  <c r="Y613"/>
  <c r="Z613" s="1"/>
  <c r="N613"/>
  <c r="AE612"/>
  <c r="AJ612"/>
  <c r="W612"/>
  <c r="U612" l="1"/>
  <c r="AI612"/>
  <c r="Y612"/>
  <c r="Z612" s="1"/>
  <c r="N612"/>
  <c r="AE611"/>
  <c r="AJ611"/>
  <c r="W611"/>
  <c r="U611" l="1"/>
  <c r="AI611"/>
  <c r="Y611"/>
  <c r="Z611" s="1"/>
  <c r="N611"/>
  <c r="AE610"/>
  <c r="AJ610"/>
  <c r="W610"/>
  <c r="U610" l="1"/>
  <c r="AI610"/>
  <c r="Y610"/>
  <c r="Z610" s="1"/>
  <c r="N610"/>
  <c r="AE609"/>
  <c r="AJ609"/>
  <c r="W609"/>
  <c r="U609" l="1"/>
  <c r="AI609"/>
  <c r="Y609"/>
  <c r="Z609" s="1"/>
  <c r="N609"/>
  <c r="AE608"/>
  <c r="AJ608"/>
  <c r="W608"/>
  <c r="U608" l="1"/>
  <c r="AI608"/>
  <c r="Y608"/>
  <c r="Z608" s="1"/>
  <c r="N608"/>
  <c r="AE607"/>
  <c r="AJ607"/>
  <c r="W607"/>
  <c r="U607" l="1"/>
  <c r="AI607"/>
  <c r="Y607"/>
  <c r="Z607" s="1"/>
  <c r="N607"/>
  <c r="AE606"/>
  <c r="AJ606"/>
  <c r="W606"/>
  <c r="U606" l="1"/>
  <c r="AI606"/>
  <c r="Y606"/>
  <c r="Z606" s="1"/>
  <c r="N606"/>
  <c r="AE605"/>
  <c r="AJ605"/>
  <c r="W605"/>
  <c r="U605" l="1"/>
  <c r="AI605"/>
  <c r="Y605"/>
  <c r="Z605" s="1"/>
  <c r="N605"/>
  <c r="AE603" l="1"/>
  <c r="AJ603"/>
  <c r="W603"/>
  <c r="U603" l="1"/>
  <c r="AI603"/>
  <c r="Y603"/>
  <c r="Z603" s="1"/>
  <c r="N603"/>
  <c r="AE602"/>
  <c r="AJ602"/>
  <c r="W602"/>
  <c r="U602" l="1"/>
  <c r="AI602"/>
  <c r="Y602"/>
  <c r="Z602" s="1"/>
  <c r="N602"/>
  <c r="AE601"/>
  <c r="AJ601"/>
  <c r="W601"/>
  <c r="U601" l="1"/>
  <c r="AI601"/>
  <c r="Y601"/>
  <c r="Z601" s="1"/>
  <c r="N601"/>
  <c r="AE599"/>
  <c r="W599"/>
  <c r="AJ599"/>
  <c r="U599" l="1"/>
  <c r="AI599"/>
  <c r="Y599"/>
  <c r="Z599" s="1"/>
  <c r="N599"/>
  <c r="AE598"/>
  <c r="AJ598"/>
  <c r="W598"/>
  <c r="U598" l="1"/>
  <c r="AI598"/>
  <c r="Y598"/>
  <c r="Z598" s="1"/>
  <c r="N598"/>
  <c r="AE597"/>
  <c r="AJ597"/>
  <c r="W597"/>
  <c r="U597" l="1"/>
  <c r="AI597"/>
  <c r="Y597"/>
  <c r="Z597" s="1"/>
  <c r="N597"/>
  <c r="AE596"/>
  <c r="AJ596"/>
  <c r="W596"/>
  <c r="U596" l="1"/>
  <c r="AI596"/>
  <c r="Y596"/>
  <c r="Z596" s="1"/>
  <c r="N596"/>
  <c r="AE595"/>
  <c r="AJ595"/>
  <c r="W595"/>
  <c r="U595" l="1"/>
  <c r="AI595"/>
  <c r="Y595"/>
  <c r="Z595" s="1"/>
  <c r="N595"/>
  <c r="AE592" l="1"/>
  <c r="AJ592"/>
  <c r="W592"/>
  <c r="U592" l="1"/>
  <c r="AI592"/>
  <c r="Y592"/>
  <c r="Z592" s="1"/>
  <c r="AE589" l="1"/>
  <c r="AJ589"/>
  <c r="W589"/>
  <c r="U589" l="1"/>
  <c r="AI589"/>
  <c r="Y589"/>
  <c r="Z589" s="1"/>
  <c r="N589"/>
  <c r="AE588"/>
  <c r="W588"/>
  <c r="AJ588"/>
  <c r="U588" l="1"/>
  <c r="AI588"/>
  <c r="Y588"/>
  <c r="Z588" s="1"/>
  <c r="N588"/>
  <c r="AE586" l="1"/>
  <c r="AJ586"/>
  <c r="W586"/>
  <c r="U586" l="1"/>
  <c r="AI586"/>
  <c r="Y586"/>
  <c r="Z586" s="1"/>
  <c r="N586"/>
  <c r="AE584" l="1"/>
  <c r="AJ584"/>
  <c r="W584"/>
  <c r="U584" l="1"/>
  <c r="AI584"/>
  <c r="Y584"/>
  <c r="Z584" s="1"/>
  <c r="N584"/>
  <c r="AE583"/>
  <c r="AJ583"/>
  <c r="W583"/>
  <c r="U583" l="1"/>
  <c r="AI583"/>
  <c r="Y583"/>
  <c r="Z583" s="1"/>
  <c r="N583"/>
  <c r="AE582"/>
  <c r="AJ582"/>
  <c r="W582"/>
  <c r="U582" l="1"/>
  <c r="AI582"/>
  <c r="Y582"/>
  <c r="Z582" s="1"/>
  <c r="N582"/>
  <c r="AE581"/>
  <c r="AJ581"/>
  <c r="W581"/>
  <c r="U581" l="1"/>
  <c r="AI581"/>
  <c r="Y581"/>
  <c r="Z581" s="1"/>
  <c r="N581"/>
  <c r="AE578" l="1"/>
  <c r="AJ578"/>
  <c r="W578"/>
  <c r="U578" l="1"/>
  <c r="AI578"/>
  <c r="Y578"/>
  <c r="Z578" s="1"/>
  <c r="N578"/>
  <c r="AE577"/>
  <c r="AJ577"/>
  <c r="W577"/>
  <c r="U577" l="1"/>
  <c r="AI577"/>
  <c r="Y577"/>
  <c r="Z577" s="1"/>
  <c r="N577"/>
  <c r="AE576"/>
  <c r="AJ576"/>
  <c r="W576"/>
  <c r="U576" l="1"/>
  <c r="AI576"/>
  <c r="Y576"/>
  <c r="Z576" s="1"/>
  <c r="N576"/>
  <c r="AE575"/>
  <c r="AJ575"/>
  <c r="W575"/>
  <c r="U575" l="1"/>
  <c r="AI575"/>
  <c r="Y575"/>
  <c r="Z575" s="1"/>
  <c r="N575"/>
  <c r="AE574"/>
  <c r="W574"/>
  <c r="AJ574"/>
  <c r="U574" l="1"/>
  <c r="AI574"/>
  <c r="Y574"/>
  <c r="Z574" s="1"/>
  <c r="N574"/>
  <c r="AE573"/>
  <c r="AJ573"/>
  <c r="W573"/>
  <c r="U573" l="1"/>
  <c r="AI573"/>
  <c r="Y573"/>
  <c r="Z573" s="1"/>
  <c r="N573"/>
  <c r="AE572"/>
  <c r="AJ572"/>
  <c r="W572"/>
  <c r="U572" l="1"/>
  <c r="AI572"/>
  <c r="Y572"/>
  <c r="Z572" s="1"/>
  <c r="N572"/>
  <c r="AE571"/>
  <c r="AJ571"/>
  <c r="W571"/>
  <c r="U571" l="1"/>
  <c r="AI571"/>
  <c r="Y571"/>
  <c r="Z571" s="1"/>
  <c r="N571"/>
  <c r="AE569" l="1"/>
  <c r="AJ569"/>
  <c r="W569"/>
  <c r="U569" l="1"/>
  <c r="AI569"/>
  <c r="Y569"/>
  <c r="Z569" s="1"/>
  <c r="N569"/>
  <c r="AE568"/>
  <c r="W568"/>
  <c r="AJ568"/>
  <c r="U568" l="1"/>
  <c r="AI568"/>
  <c r="Y568"/>
  <c r="Z568" s="1"/>
  <c r="N568"/>
  <c r="AE567"/>
  <c r="AJ567"/>
  <c r="W567"/>
  <c r="U567" l="1"/>
  <c r="AI567"/>
  <c r="Y567"/>
  <c r="Z567" s="1"/>
  <c r="N567"/>
  <c r="AE566"/>
  <c r="W566"/>
  <c r="AJ566"/>
  <c r="U566" l="1"/>
  <c r="AI566"/>
  <c r="Y566"/>
  <c r="Z566" s="1"/>
  <c r="N566"/>
  <c r="AE565"/>
  <c r="AJ565"/>
  <c r="W565"/>
  <c r="U565" l="1"/>
  <c r="AI565"/>
  <c r="Y565"/>
  <c r="Z565" s="1"/>
  <c r="N565"/>
  <c r="AE564"/>
  <c r="AJ564"/>
  <c r="W564"/>
  <c r="U564" l="1"/>
  <c r="AI564"/>
  <c r="Y564"/>
  <c r="Z564" s="1"/>
  <c r="N564"/>
  <c r="AE560" l="1"/>
  <c r="AJ560"/>
  <c r="W560"/>
  <c r="U560" l="1"/>
  <c r="AI560"/>
  <c r="Y560"/>
  <c r="Z560" s="1"/>
  <c r="N560"/>
  <c r="AE559"/>
  <c r="AJ559"/>
  <c r="W559"/>
  <c r="U559" l="1"/>
  <c r="AI559"/>
  <c r="Y559"/>
  <c r="Z559" s="1"/>
  <c r="N559"/>
  <c r="AE558"/>
  <c r="AJ558"/>
  <c r="W558"/>
  <c r="U558" l="1"/>
  <c r="AI558"/>
  <c r="Y558"/>
  <c r="Z558" s="1"/>
  <c r="N558"/>
  <c r="AE557"/>
  <c r="AJ557"/>
  <c r="W557"/>
  <c r="U557" l="1"/>
  <c r="AI557"/>
  <c r="Y557"/>
  <c r="Z557" s="1"/>
  <c r="N557"/>
  <c r="AE553" l="1"/>
  <c r="AJ553"/>
  <c r="W553"/>
  <c r="U553" l="1"/>
  <c r="AI553"/>
  <c r="Y553"/>
  <c r="Z553" s="1"/>
  <c r="N553"/>
  <c r="AE550" l="1"/>
  <c r="AJ550"/>
  <c r="W550"/>
  <c r="U550" l="1"/>
  <c r="AI550"/>
  <c r="Y550"/>
  <c r="Z550" s="1"/>
  <c r="N550"/>
  <c r="AE549"/>
  <c r="AJ549"/>
  <c r="W549"/>
  <c r="U549" l="1"/>
  <c r="AI549"/>
  <c r="Y549"/>
  <c r="Z549" s="1"/>
  <c r="N549"/>
  <c r="AE548"/>
  <c r="AJ548"/>
  <c r="W548"/>
  <c r="U548" l="1"/>
  <c r="AI548"/>
  <c r="Y548"/>
  <c r="Z548" s="1"/>
  <c r="N548"/>
  <c r="AE547"/>
  <c r="AJ547"/>
  <c r="W547"/>
  <c r="U547" l="1"/>
  <c r="AI547"/>
  <c r="Y547"/>
  <c r="Z547" s="1"/>
  <c r="N547"/>
  <c r="AE546"/>
  <c r="AJ546"/>
  <c r="W546"/>
  <c r="U546" l="1"/>
  <c r="AI546"/>
  <c r="Y546"/>
  <c r="Z546" s="1"/>
  <c r="N546"/>
  <c r="AE545"/>
  <c r="AJ545"/>
  <c r="W545"/>
  <c r="U545" l="1"/>
  <c r="AI545"/>
  <c r="Y545"/>
  <c r="Z545" s="1"/>
  <c r="N545"/>
  <c r="AE544"/>
  <c r="AJ544"/>
  <c r="W544"/>
  <c r="U544" l="1"/>
  <c r="AI544"/>
  <c r="Y544"/>
  <c r="Z544" s="1"/>
  <c r="N544"/>
  <c r="AE543"/>
  <c r="AJ543"/>
  <c r="W543"/>
  <c r="U543" l="1"/>
  <c r="AI543"/>
  <c r="Y543"/>
  <c r="Z543" s="1"/>
  <c r="N543"/>
  <c r="AE542"/>
  <c r="AJ542"/>
  <c r="W542"/>
  <c r="U542" l="1"/>
  <c r="AI542"/>
  <c r="Y542"/>
  <c r="Z542" s="1"/>
  <c r="N542"/>
  <c r="AE541"/>
  <c r="AJ541"/>
  <c r="W541"/>
  <c r="U541" l="1"/>
  <c r="AI541"/>
  <c r="Y541"/>
  <c r="Z541" s="1"/>
  <c r="N541"/>
  <c r="AE540"/>
  <c r="AJ540"/>
  <c r="W540"/>
  <c r="U540" l="1"/>
  <c r="AI540"/>
  <c r="Y540"/>
  <c r="Z540" s="1"/>
  <c r="N540"/>
  <c r="AE539"/>
  <c r="AJ539"/>
  <c r="W539"/>
  <c r="U539" l="1"/>
  <c r="AI539"/>
  <c r="Y539"/>
  <c r="Z539" s="1"/>
  <c r="N539"/>
  <c r="AE537" l="1"/>
  <c r="AJ537"/>
  <c r="W537"/>
  <c r="U537" l="1"/>
  <c r="AI537"/>
  <c r="Y537"/>
  <c r="Z537" s="1"/>
  <c r="N537"/>
  <c r="AE535" l="1"/>
  <c r="AJ535"/>
  <c r="W535"/>
  <c r="U535" l="1"/>
  <c r="AI535"/>
  <c r="Y535"/>
  <c r="Z535" s="1"/>
  <c r="N535"/>
  <c r="AE533" l="1"/>
  <c r="AJ533"/>
  <c r="W533"/>
  <c r="U533" l="1"/>
  <c r="AI533"/>
  <c r="Y533"/>
  <c r="Z533" s="1"/>
  <c r="N533"/>
  <c r="AE532"/>
  <c r="AJ532"/>
  <c r="W532"/>
  <c r="U532" l="1"/>
  <c r="AI532"/>
  <c r="Y532"/>
  <c r="Z532" s="1"/>
  <c r="N532"/>
  <c r="AE531"/>
  <c r="AJ531"/>
  <c r="W531"/>
  <c r="U531" l="1"/>
  <c r="AI531"/>
  <c r="Y531"/>
  <c r="Z531" s="1"/>
  <c r="N531"/>
  <c r="AE530"/>
  <c r="AJ530"/>
  <c r="W530"/>
  <c r="U530" l="1"/>
  <c r="AI530"/>
  <c r="Y530"/>
  <c r="Z530" s="1"/>
  <c r="N530"/>
  <c r="AE529"/>
  <c r="AJ529"/>
  <c r="W529"/>
  <c r="U529" l="1"/>
  <c r="AI529"/>
  <c r="Y529"/>
  <c r="Z529" s="1"/>
  <c r="N529"/>
  <c r="AE528"/>
  <c r="AJ528"/>
  <c r="W528"/>
  <c r="U528" l="1"/>
  <c r="AI528"/>
  <c r="Y528"/>
  <c r="Z528" s="1"/>
  <c r="AE525"/>
  <c r="AJ525"/>
  <c r="W525"/>
  <c r="U525" l="1"/>
  <c r="AI525"/>
  <c r="Y525"/>
  <c r="Z525" s="1"/>
  <c r="N525"/>
  <c r="AE524"/>
  <c r="AJ524"/>
  <c r="W524"/>
  <c r="U524" l="1"/>
  <c r="AI524"/>
  <c r="Y524"/>
  <c r="Z524" s="1"/>
  <c r="N524"/>
  <c r="AE523"/>
  <c r="AJ523"/>
  <c r="W523"/>
  <c r="U523" l="1"/>
  <c r="AI523"/>
  <c r="Y523"/>
  <c r="Z523" s="1"/>
  <c r="N523"/>
  <c r="AE522"/>
  <c r="AJ522"/>
  <c r="W522"/>
  <c r="U522" l="1"/>
  <c r="AI522"/>
  <c r="Y522"/>
  <c r="Z522" s="1"/>
  <c r="N522"/>
  <c r="AE521"/>
  <c r="AJ521"/>
  <c r="W521"/>
  <c r="U521" l="1"/>
  <c r="AI521"/>
  <c r="Y521"/>
  <c r="Z521" s="1"/>
  <c r="N521"/>
  <c r="AE520"/>
  <c r="AJ520"/>
  <c r="W520"/>
  <c r="U520" l="1"/>
  <c r="AI520"/>
  <c r="Y520"/>
  <c r="Z520" s="1"/>
  <c r="N520"/>
  <c r="AE518" l="1"/>
  <c r="AJ518"/>
  <c r="W518"/>
  <c r="U518" l="1"/>
  <c r="AI518"/>
  <c r="Y518"/>
  <c r="Z518" s="1"/>
  <c r="N518"/>
  <c r="AE517"/>
  <c r="AJ517"/>
  <c r="W517"/>
  <c r="U517" l="1"/>
  <c r="AI517"/>
  <c r="Y517"/>
  <c r="Z517" s="1"/>
  <c r="N517"/>
  <c r="AE516"/>
  <c r="AJ516"/>
  <c r="W516"/>
  <c r="U516" l="1"/>
  <c r="AI516"/>
  <c r="Y516"/>
  <c r="Z516" s="1"/>
  <c r="N516"/>
  <c r="AE514" l="1"/>
  <c r="AJ514"/>
  <c r="W514"/>
  <c r="U514" l="1"/>
  <c r="AI514"/>
  <c r="Y514"/>
  <c r="Z514" s="1"/>
  <c r="N514"/>
  <c r="AE512" l="1"/>
  <c r="AJ512"/>
  <c r="W512"/>
  <c r="U512" l="1"/>
  <c r="AI512"/>
  <c r="Y512"/>
  <c r="Z512" s="1"/>
  <c r="N512"/>
  <c r="AE511"/>
  <c r="AJ511"/>
  <c r="W511"/>
  <c r="U511" l="1"/>
  <c r="AI511"/>
  <c r="Y511"/>
  <c r="Z511" s="1"/>
  <c r="N511"/>
  <c r="AE510"/>
  <c r="W510"/>
  <c r="AJ510"/>
  <c r="U510" l="1"/>
  <c r="AI510"/>
  <c r="Y510"/>
  <c r="Z510" s="1"/>
  <c r="N510"/>
  <c r="AE509"/>
  <c r="AJ509"/>
  <c r="W509"/>
  <c r="U509" l="1"/>
  <c r="AI509"/>
  <c r="Y509"/>
  <c r="Z509" s="1"/>
  <c r="N509"/>
  <c r="AE508"/>
  <c r="AJ508"/>
  <c r="W508"/>
  <c r="U508" l="1"/>
  <c r="AI508"/>
  <c r="Y508"/>
  <c r="Z508" s="1"/>
  <c r="N508"/>
  <c r="AE507"/>
  <c r="AJ507"/>
  <c r="W507"/>
  <c r="U507" l="1"/>
  <c r="AI507"/>
  <c r="Y507"/>
  <c r="Z507" s="1"/>
  <c r="N507"/>
  <c r="AE506"/>
  <c r="AJ506"/>
  <c r="W506"/>
  <c r="U506" l="1"/>
  <c r="AI506"/>
  <c r="Y506"/>
  <c r="Z506" s="1"/>
  <c r="N506"/>
  <c r="AE505"/>
  <c r="AJ505"/>
  <c r="W505"/>
  <c r="U505" l="1"/>
  <c r="AI505"/>
  <c r="Y505"/>
  <c r="Z505" s="1"/>
  <c r="N505"/>
  <c r="AE504" l="1"/>
  <c r="AJ504"/>
  <c r="W504"/>
  <c r="U504" l="1"/>
  <c r="AI504"/>
  <c r="Y504"/>
  <c r="Z504" s="1"/>
  <c r="N504"/>
  <c r="AE503"/>
  <c r="AJ503"/>
  <c r="W503"/>
  <c r="U503" l="1"/>
  <c r="AI503"/>
  <c r="Y503"/>
  <c r="Z503" s="1"/>
  <c r="N503"/>
  <c r="AE502"/>
  <c r="AJ502"/>
  <c r="W502"/>
  <c r="U502" l="1"/>
  <c r="AI502"/>
  <c r="Y502"/>
  <c r="Z502" s="1"/>
  <c r="N502"/>
  <c r="AE501"/>
  <c r="AJ501"/>
  <c r="W501"/>
  <c r="U501" l="1"/>
  <c r="AI501"/>
  <c r="Y501"/>
  <c r="Z501" s="1"/>
  <c r="N501"/>
  <c r="AE500"/>
  <c r="AJ500"/>
  <c r="W500"/>
  <c r="U500" l="1"/>
  <c r="AI500"/>
  <c r="Y500"/>
  <c r="Z500" s="1"/>
  <c r="N500"/>
  <c r="AE499"/>
  <c r="AJ499"/>
  <c r="W499"/>
  <c r="U499" l="1"/>
  <c r="AI499"/>
  <c r="Y499"/>
  <c r="Z499" s="1"/>
  <c r="N499"/>
  <c r="AE498"/>
  <c r="AJ498"/>
  <c r="W498"/>
  <c r="U498" l="1"/>
  <c r="AI498"/>
  <c r="Y498"/>
  <c r="Z498" s="1"/>
  <c r="N498"/>
  <c r="AE497"/>
  <c r="AJ497"/>
  <c r="W497"/>
  <c r="U497" l="1"/>
  <c r="AI497"/>
  <c r="Y497"/>
  <c r="Z497" s="1"/>
  <c r="N497"/>
  <c r="AE496"/>
  <c r="AJ496"/>
  <c r="W496"/>
  <c r="U496" l="1"/>
  <c r="AI496"/>
  <c r="Y496"/>
  <c r="Z496" s="1"/>
  <c r="N496"/>
  <c r="AE495"/>
  <c r="AJ495"/>
  <c r="W495"/>
  <c r="U495" l="1"/>
  <c r="AI495"/>
  <c r="Y495"/>
  <c r="Z495" s="1"/>
  <c r="N495"/>
  <c r="AE494"/>
  <c r="AJ494"/>
  <c r="W494"/>
  <c r="U494" l="1"/>
  <c r="AI494"/>
  <c r="Y494"/>
  <c r="Z494" s="1"/>
  <c r="N494"/>
  <c r="AE493"/>
  <c r="AJ493"/>
  <c r="W493"/>
  <c r="U493" l="1"/>
  <c r="AI493"/>
  <c r="Y493"/>
  <c r="Z493" s="1"/>
  <c r="AE490"/>
  <c r="AJ490"/>
  <c r="W490"/>
  <c r="U490" l="1"/>
  <c r="AI490"/>
  <c r="Y490"/>
  <c r="Z490" s="1"/>
  <c r="N490"/>
  <c r="AE489"/>
  <c r="AJ489"/>
  <c r="W489"/>
  <c r="U489" l="1"/>
  <c r="AI489"/>
  <c r="Y489"/>
  <c r="Z489" s="1"/>
  <c r="N489"/>
  <c r="AE488"/>
  <c r="AJ488"/>
  <c r="W488"/>
  <c r="U488" l="1"/>
  <c r="AI488"/>
  <c r="Y488"/>
  <c r="Z488" s="1"/>
  <c r="N488"/>
  <c r="AE487"/>
  <c r="AJ487"/>
  <c r="W487"/>
  <c r="U487" l="1"/>
  <c r="AI487"/>
  <c r="Y487"/>
  <c r="Z487" s="1"/>
  <c r="N487"/>
  <c r="AE485" l="1"/>
  <c r="W485"/>
  <c r="AJ485"/>
  <c r="U485" l="1"/>
  <c r="AI485"/>
  <c r="Y485"/>
  <c r="Z485" s="1"/>
  <c r="N485"/>
  <c r="AE484"/>
  <c r="AJ484"/>
  <c r="W484"/>
  <c r="U484" l="1"/>
  <c r="AI484"/>
  <c r="Y484"/>
  <c r="Z484" s="1"/>
  <c r="N484"/>
  <c r="AE483"/>
  <c r="AJ483"/>
  <c r="W483"/>
  <c r="U483" l="1"/>
  <c r="AI483"/>
  <c r="Y483"/>
  <c r="Z483" s="1"/>
  <c r="N483"/>
  <c r="AE482"/>
  <c r="AJ482"/>
  <c r="W482"/>
  <c r="U482" l="1"/>
  <c r="AI482"/>
  <c r="Y482"/>
  <c r="Z482" s="1"/>
  <c r="N482"/>
  <c r="AE481"/>
  <c r="AJ481"/>
  <c r="W481"/>
  <c r="U481" l="1"/>
  <c r="AI481"/>
  <c r="Y481"/>
  <c r="Z481" s="1"/>
  <c r="N481"/>
  <c r="AE480"/>
  <c r="AJ480"/>
  <c r="W480"/>
  <c r="U480" l="1"/>
  <c r="AI480"/>
  <c r="Y480"/>
  <c r="Z480" s="1"/>
  <c r="N480"/>
  <c r="AE479"/>
  <c r="AJ479"/>
  <c r="W479"/>
  <c r="U479" l="1"/>
  <c r="AI479"/>
  <c r="Y479"/>
  <c r="Z479" s="1"/>
  <c r="AE476"/>
  <c r="AJ476"/>
  <c r="W476"/>
  <c r="U476" l="1"/>
  <c r="AI476"/>
  <c r="Y476"/>
  <c r="Z476" s="1"/>
  <c r="N476"/>
  <c r="AE474" l="1"/>
  <c r="AJ474"/>
  <c r="W474"/>
  <c r="U474" l="1"/>
  <c r="AI474"/>
  <c r="Y474"/>
  <c r="Z474" s="1"/>
  <c r="N474"/>
  <c r="AE473"/>
  <c r="AJ473"/>
  <c r="W473"/>
  <c r="U473" l="1"/>
  <c r="AI473"/>
  <c r="Y473"/>
  <c r="Z473" s="1"/>
  <c r="N473"/>
  <c r="AE472"/>
  <c r="AJ472"/>
  <c r="W472"/>
  <c r="U472" l="1"/>
  <c r="AI472"/>
  <c r="Y472"/>
  <c r="Z472" s="1"/>
  <c r="N472"/>
  <c r="AE471"/>
  <c r="AJ471"/>
  <c r="W471"/>
  <c r="U471" l="1"/>
  <c r="AI471"/>
  <c r="Y471"/>
  <c r="Z471" s="1"/>
  <c r="N471"/>
  <c r="AE470"/>
  <c r="AJ470"/>
  <c r="W470"/>
  <c r="U470" l="1"/>
  <c r="AI470"/>
  <c r="Y470"/>
  <c r="Z470" s="1"/>
  <c r="N470"/>
  <c r="AE469"/>
  <c r="AJ469"/>
  <c r="W469"/>
  <c r="U469" l="1"/>
  <c r="AI469"/>
  <c r="Y469"/>
  <c r="Z469" s="1"/>
  <c r="N469"/>
  <c r="AE468"/>
  <c r="AJ468"/>
  <c r="W468"/>
  <c r="U468" l="1"/>
  <c r="AI468"/>
  <c r="Y468"/>
  <c r="Z468" s="1"/>
  <c r="N468"/>
  <c r="AE466" l="1"/>
  <c r="AJ466"/>
  <c r="W466"/>
  <c r="U466" l="1"/>
  <c r="AI466"/>
  <c r="Y466"/>
  <c r="Z466" s="1"/>
  <c r="N466"/>
  <c r="AE465"/>
  <c r="AJ465"/>
  <c r="W465"/>
  <c r="U465" l="1"/>
  <c r="AI465"/>
  <c r="Y465"/>
  <c r="Z465" s="1"/>
  <c r="N465"/>
  <c r="AE464"/>
  <c r="AJ464"/>
  <c r="W464"/>
  <c r="U464" l="1"/>
  <c r="AI464"/>
  <c r="Y464"/>
  <c r="Z464" s="1"/>
  <c r="N464"/>
  <c r="AE463"/>
  <c r="AJ463"/>
  <c r="W463"/>
  <c r="U463" l="1"/>
  <c r="AI463"/>
  <c r="Y463"/>
  <c r="Z463" s="1"/>
  <c r="N463"/>
  <c r="AE462"/>
  <c r="AJ462"/>
  <c r="W462"/>
  <c r="U462" l="1"/>
  <c r="AI462"/>
  <c r="Y462"/>
  <c r="Z462" s="1"/>
  <c r="N462"/>
  <c r="AE461"/>
  <c r="AJ461"/>
  <c r="W461"/>
  <c r="U461" l="1"/>
  <c r="AI461"/>
  <c r="Y461"/>
  <c r="Z461" s="1"/>
  <c r="N461"/>
  <c r="AE460"/>
  <c r="AJ460"/>
  <c r="W460"/>
  <c r="U460" l="1"/>
  <c r="AI460"/>
  <c r="Y460"/>
  <c r="Z460" s="1"/>
  <c r="N460"/>
  <c r="AE459"/>
  <c r="AJ459"/>
  <c r="W459"/>
  <c r="U459" l="1"/>
  <c r="AI459"/>
  <c r="Y459"/>
  <c r="Z459" s="1"/>
  <c r="N459"/>
  <c r="AE458"/>
  <c r="AJ458"/>
  <c r="W458"/>
  <c r="U458" l="1"/>
  <c r="AI458"/>
  <c r="Y458"/>
  <c r="Z458" s="1"/>
  <c r="N458"/>
  <c r="AE457"/>
  <c r="AJ457"/>
  <c r="W457"/>
  <c r="U457" l="1"/>
  <c r="AI457"/>
  <c r="Y457"/>
  <c r="Z457" s="1"/>
  <c r="N457"/>
  <c r="AE456"/>
  <c r="AJ456"/>
  <c r="W456"/>
  <c r="U456" l="1"/>
  <c r="AI456"/>
  <c r="Y456"/>
  <c r="Z456" s="1"/>
  <c r="N456"/>
  <c r="AE455"/>
  <c r="AJ455"/>
  <c r="W455"/>
  <c r="U455" l="1"/>
  <c r="AI455"/>
  <c r="Y455"/>
  <c r="Z455" s="1"/>
  <c r="N455"/>
  <c r="AE454"/>
  <c r="AJ454"/>
  <c r="W454"/>
  <c r="U454" l="1"/>
  <c r="AI454"/>
  <c r="Y454"/>
  <c r="Z454" s="1"/>
  <c r="N454"/>
  <c r="AE453"/>
  <c r="AJ453"/>
  <c r="W453"/>
  <c r="U453" l="1"/>
  <c r="AI453"/>
  <c r="Y453"/>
  <c r="Z453" s="1"/>
  <c r="N453"/>
  <c r="AE452"/>
  <c r="AJ452"/>
  <c r="W452"/>
  <c r="U452" l="1"/>
  <c r="AI452"/>
  <c r="Y452"/>
  <c r="Z452" s="1"/>
  <c r="N452"/>
  <c r="AE451"/>
  <c r="AJ451"/>
  <c r="W451"/>
  <c r="U451" l="1"/>
  <c r="AI451"/>
  <c r="Y451"/>
  <c r="Z451" s="1"/>
  <c r="N451"/>
  <c r="AE450"/>
  <c r="AJ450"/>
  <c r="W450"/>
  <c r="U450" l="1"/>
  <c r="AI450"/>
  <c r="Y450"/>
  <c r="Z450" s="1"/>
  <c r="N450"/>
  <c r="AE449"/>
  <c r="AJ449"/>
  <c r="W449"/>
  <c r="U449" l="1"/>
  <c r="AI449"/>
  <c r="Y449"/>
  <c r="Z449" s="1"/>
  <c r="N449"/>
  <c r="AE448"/>
  <c r="AJ448"/>
  <c r="W448"/>
  <c r="U448" l="1"/>
  <c r="AI448"/>
  <c r="Y448"/>
  <c r="Z448" s="1"/>
  <c r="N448"/>
  <c r="AE447"/>
  <c r="W447"/>
  <c r="AJ447"/>
  <c r="U447" l="1"/>
  <c r="AI447"/>
  <c r="Y447"/>
  <c r="Z447" s="1"/>
  <c r="N447"/>
  <c r="AE446"/>
  <c r="AJ446"/>
  <c r="W446"/>
  <c r="U446" l="1"/>
  <c r="AI446"/>
  <c r="Y446"/>
  <c r="Z446" s="1"/>
  <c r="N446"/>
  <c r="AE445"/>
  <c r="AJ445"/>
  <c r="W445"/>
  <c r="U445" l="1"/>
  <c r="AI445"/>
  <c r="Y445"/>
  <c r="Z445" s="1"/>
  <c r="N445"/>
  <c r="AE444"/>
  <c r="AJ444"/>
  <c r="W444"/>
  <c r="U444" l="1"/>
  <c r="AI444"/>
  <c r="Y444"/>
  <c r="Z444" s="1"/>
  <c r="N444"/>
  <c r="AE443"/>
  <c r="AJ443"/>
  <c r="W443"/>
  <c r="U443" l="1"/>
  <c r="AI443"/>
  <c r="Y443"/>
  <c r="Z443" s="1"/>
  <c r="N443"/>
  <c r="AE442"/>
  <c r="AJ442"/>
  <c r="W442"/>
  <c r="U442" l="1"/>
  <c r="AI442"/>
  <c r="Y442"/>
  <c r="Z442" s="1"/>
  <c r="N442"/>
  <c r="AE441"/>
  <c r="AJ441"/>
  <c r="W441"/>
  <c r="U441" l="1"/>
  <c r="AI441"/>
  <c r="Y441"/>
  <c r="Z441" s="1"/>
  <c r="N441"/>
  <c r="AE440"/>
  <c r="AJ440"/>
  <c r="W440"/>
  <c r="U440" l="1"/>
  <c r="AI440"/>
  <c r="Y440"/>
  <c r="Z440" s="1"/>
  <c r="N440"/>
  <c r="AE439"/>
  <c r="AJ439"/>
  <c r="W439"/>
  <c r="U439" l="1"/>
  <c r="AI439"/>
  <c r="Y439"/>
  <c r="Z439" s="1"/>
  <c r="N439"/>
  <c r="AE437" l="1"/>
  <c r="AJ437"/>
  <c r="W437"/>
  <c r="U437" l="1"/>
  <c r="AI437"/>
  <c r="Y437"/>
  <c r="Z437" s="1"/>
  <c r="N437"/>
  <c r="AE436"/>
  <c r="AJ436"/>
  <c r="W436"/>
  <c r="U436" l="1"/>
  <c r="AI436"/>
  <c r="Y436"/>
  <c r="Z436" s="1"/>
  <c r="N436"/>
  <c r="AE435"/>
  <c r="AJ435"/>
  <c r="W435"/>
  <c r="U435" l="1"/>
  <c r="AI435"/>
  <c r="Y435"/>
  <c r="Z435" s="1"/>
  <c r="N435"/>
  <c r="AE434"/>
  <c r="AJ434"/>
  <c r="W434"/>
  <c r="U434" l="1"/>
  <c r="AI434"/>
  <c r="Y434"/>
  <c r="Z434" s="1"/>
  <c r="N434"/>
  <c r="AE433"/>
  <c r="AJ433"/>
  <c r="W433"/>
  <c r="U433" l="1"/>
  <c r="AI433"/>
  <c r="Y433"/>
  <c r="Z433" s="1"/>
  <c r="N433"/>
  <c r="AE432"/>
  <c r="AJ432"/>
  <c r="W432"/>
  <c r="U432" l="1"/>
  <c r="AI432"/>
  <c r="Y432"/>
  <c r="Z432" s="1"/>
  <c r="N432"/>
  <c r="AE431"/>
  <c r="AJ431"/>
  <c r="W431"/>
  <c r="U431" l="1"/>
  <c r="AI431"/>
  <c r="Y431"/>
  <c r="Z431" s="1"/>
  <c r="AE428"/>
  <c r="AJ428"/>
  <c r="W428"/>
  <c r="U428" l="1"/>
  <c r="AI428"/>
  <c r="Y428"/>
  <c r="Z428" s="1"/>
  <c r="N428"/>
  <c r="AE427"/>
  <c r="AJ427"/>
  <c r="W427"/>
  <c r="U427" l="1"/>
  <c r="AI427"/>
  <c r="Y427"/>
  <c r="Z427" s="1"/>
  <c r="N427"/>
  <c r="AE426"/>
  <c r="AJ426"/>
  <c r="W426"/>
  <c r="U426" l="1"/>
  <c r="AI426"/>
  <c r="Y426"/>
  <c r="Z426" s="1"/>
  <c r="N426"/>
  <c r="AE425"/>
  <c r="AJ425"/>
  <c r="W425"/>
  <c r="U425" l="1"/>
  <c r="AI425"/>
  <c r="Y425"/>
  <c r="Z425" s="1"/>
  <c r="N425"/>
  <c r="AE424"/>
  <c r="AJ424"/>
  <c r="W424"/>
  <c r="U424" l="1"/>
  <c r="AI424"/>
  <c r="Y424"/>
  <c r="Z424" s="1"/>
  <c r="N424"/>
  <c r="AE423"/>
  <c r="AJ423"/>
  <c r="W423"/>
  <c r="U423" l="1"/>
  <c r="AI423"/>
  <c r="Y423"/>
  <c r="Z423" s="1"/>
  <c r="AE420"/>
  <c r="AJ420"/>
  <c r="W420"/>
  <c r="U420" l="1"/>
  <c r="AI420"/>
  <c r="Y420"/>
  <c r="Z420" s="1"/>
  <c r="N420"/>
  <c r="AE419"/>
  <c r="AJ419"/>
  <c r="W419"/>
  <c r="U419" l="1"/>
  <c r="AI419"/>
  <c r="Y419"/>
  <c r="Z419" s="1"/>
  <c r="N419"/>
  <c r="AE418"/>
  <c r="AJ418"/>
  <c r="W418"/>
  <c r="U418" l="1"/>
  <c r="AI418"/>
  <c r="Y418"/>
  <c r="Z418" s="1"/>
  <c r="N418"/>
  <c r="AE417"/>
  <c r="AJ417"/>
  <c r="W417"/>
  <c r="U417" l="1"/>
  <c r="AI417"/>
  <c r="Y417"/>
  <c r="Z417" s="1"/>
  <c r="N417"/>
  <c r="AE416"/>
  <c r="AJ416"/>
  <c r="W416"/>
  <c r="U416" l="1"/>
  <c r="AI416"/>
  <c r="Y416"/>
  <c r="Z416" s="1"/>
  <c r="AE413"/>
  <c r="AJ413"/>
  <c r="W413"/>
  <c r="U413" l="1"/>
  <c r="AI413"/>
  <c r="Y413"/>
  <c r="Z413" s="1"/>
  <c r="N413"/>
  <c r="AE412"/>
  <c r="AJ412"/>
  <c r="W412"/>
  <c r="U412" l="1"/>
  <c r="AI412"/>
  <c r="Y412"/>
  <c r="Z412" s="1"/>
  <c r="N412"/>
  <c r="AE411"/>
  <c r="AJ411"/>
  <c r="W411"/>
  <c r="U411" l="1"/>
  <c r="AI411"/>
  <c r="Y411"/>
  <c r="Z411" s="1"/>
  <c r="N411"/>
  <c r="AE410"/>
  <c r="AJ410"/>
  <c r="W410"/>
  <c r="U410" l="1"/>
  <c r="AI410"/>
  <c r="Y410"/>
  <c r="Z410" s="1"/>
  <c r="N410"/>
  <c r="AE409"/>
  <c r="AJ409"/>
  <c r="W409"/>
  <c r="U409" l="1"/>
  <c r="AI409"/>
  <c r="Y409"/>
  <c r="Z409" s="1"/>
  <c r="N409"/>
  <c r="AE408"/>
  <c r="AJ408"/>
  <c r="W408"/>
  <c r="U408" l="1"/>
  <c r="AI408"/>
  <c r="Y408"/>
  <c r="Z408" s="1"/>
  <c r="N408"/>
  <c r="AE407"/>
  <c r="W407"/>
  <c r="AJ407"/>
  <c r="U407" l="1"/>
  <c r="AI407"/>
  <c r="Y407"/>
  <c r="Z407" s="1"/>
  <c r="N407"/>
  <c r="AE406"/>
  <c r="AJ406"/>
  <c r="W406"/>
  <c r="U406" l="1"/>
  <c r="AI406"/>
  <c r="Y406"/>
  <c r="Z406" s="1"/>
  <c r="N406"/>
  <c r="AE405"/>
  <c r="AJ405"/>
  <c r="W405"/>
  <c r="U405" l="1"/>
  <c r="AI405"/>
  <c r="Y405"/>
  <c r="Z405" s="1"/>
  <c r="N405"/>
  <c r="AE404"/>
  <c r="AJ404"/>
  <c r="W404"/>
  <c r="U404" l="1"/>
  <c r="AI404"/>
  <c r="Y404"/>
  <c r="Z404" s="1"/>
  <c r="N404"/>
  <c r="AE403"/>
  <c r="AJ403"/>
  <c r="W403"/>
  <c r="U403" l="1"/>
  <c r="AI403"/>
  <c r="Y403"/>
  <c r="Z403" s="1"/>
  <c r="N403"/>
  <c r="AE402"/>
  <c r="AJ402"/>
  <c r="W402"/>
  <c r="U402" l="1"/>
  <c r="AI402"/>
  <c r="Y402"/>
  <c r="Z402" s="1"/>
  <c r="N402"/>
  <c r="AE401"/>
  <c r="AJ401"/>
  <c r="W401"/>
  <c r="U401" l="1"/>
  <c r="AI401"/>
  <c r="Y401"/>
  <c r="Z401" s="1"/>
  <c r="N401"/>
  <c r="AE400"/>
  <c r="AJ400"/>
  <c r="W400"/>
  <c r="U400" l="1"/>
  <c r="AI400"/>
  <c r="Y400"/>
  <c r="Z400" s="1"/>
  <c r="N400"/>
  <c r="AE399"/>
  <c r="AJ399"/>
  <c r="W399"/>
  <c r="U399" l="1"/>
  <c r="AI399"/>
  <c r="Y399"/>
  <c r="Z399" s="1"/>
  <c r="N399"/>
  <c r="AE397" l="1"/>
  <c r="AJ397"/>
  <c r="W397"/>
  <c r="U397" l="1"/>
  <c r="AI397"/>
  <c r="Y397"/>
  <c r="Z397" s="1"/>
  <c r="N397"/>
  <c r="AE396"/>
  <c r="AJ396"/>
  <c r="W396"/>
  <c r="U396" l="1"/>
  <c r="AI396"/>
  <c r="Y396"/>
  <c r="Z396" s="1"/>
  <c r="N396"/>
  <c r="AE395"/>
  <c r="AJ395"/>
  <c r="W395"/>
  <c r="U395" l="1"/>
  <c r="AI395"/>
  <c r="Y395"/>
  <c r="Z395" s="1"/>
  <c r="N395"/>
  <c r="AE394"/>
  <c r="AJ394"/>
  <c r="W394"/>
  <c r="U394" l="1"/>
  <c r="AI394"/>
  <c r="Y394"/>
  <c r="Z394" s="1"/>
  <c r="N394"/>
  <c r="AE393"/>
  <c r="AJ393"/>
  <c r="W393"/>
  <c r="U393" l="1"/>
  <c r="AI393"/>
  <c r="Y393"/>
  <c r="Z393" s="1"/>
  <c r="N393"/>
  <c r="AE392"/>
  <c r="W392"/>
  <c r="AJ392"/>
  <c r="U392" l="1"/>
  <c r="AI392"/>
  <c r="Y392"/>
  <c r="Z392" s="1"/>
  <c r="N392"/>
  <c r="AE391"/>
  <c r="AJ391"/>
  <c r="W391"/>
  <c r="U391" l="1"/>
  <c r="AI391"/>
  <c r="Y391"/>
  <c r="Z391" s="1"/>
  <c r="N391"/>
  <c r="AE390"/>
  <c r="W390"/>
  <c r="AJ390"/>
  <c r="U390" l="1"/>
  <c r="AI390"/>
  <c r="Y390"/>
  <c r="Z390" s="1"/>
  <c r="N390"/>
  <c r="AE389"/>
  <c r="AJ389"/>
  <c r="W389"/>
  <c r="U389" l="1"/>
  <c r="AI389"/>
  <c r="Y389"/>
  <c r="Z389" s="1"/>
  <c r="N389"/>
  <c r="AE388"/>
  <c r="AJ388"/>
  <c r="W388"/>
  <c r="U388" l="1"/>
  <c r="AI388"/>
  <c r="Y388"/>
  <c r="Z388" s="1"/>
  <c r="AE387"/>
  <c r="AJ387"/>
  <c r="W387"/>
  <c r="U387" l="1"/>
  <c r="AI387"/>
  <c r="Y387"/>
  <c r="Z387" s="1"/>
  <c r="N387"/>
  <c r="AE386"/>
  <c r="AJ386"/>
  <c r="W386"/>
  <c r="U386" l="1"/>
  <c r="AI386"/>
  <c r="Y386"/>
  <c r="Z386" s="1"/>
  <c r="N386"/>
  <c r="AE385"/>
  <c r="AJ385"/>
  <c r="W385"/>
  <c r="U385" l="1"/>
  <c r="AI385"/>
  <c r="Y385"/>
  <c r="Z385" s="1"/>
  <c r="N385"/>
  <c r="AE384"/>
  <c r="AJ384"/>
  <c r="W384"/>
  <c r="U384" l="1"/>
  <c r="AI384"/>
  <c r="Y384"/>
  <c r="Z384" s="1"/>
  <c r="N384"/>
  <c r="AE383"/>
  <c r="AJ383"/>
  <c r="W383"/>
  <c r="U383" l="1"/>
  <c r="AI383"/>
  <c r="Y383"/>
  <c r="Z383" s="1"/>
  <c r="N383"/>
  <c r="AE381" l="1"/>
  <c r="AJ381"/>
  <c r="W381"/>
  <c r="U381" l="1"/>
  <c r="AI381"/>
  <c r="Y381"/>
  <c r="Z381" s="1"/>
  <c r="N381"/>
  <c r="AE379"/>
  <c r="AJ379"/>
  <c r="W379"/>
  <c r="U379" l="1"/>
  <c r="AI379"/>
  <c r="Y379"/>
  <c r="Z379" s="1"/>
  <c r="N379"/>
  <c r="AE378"/>
  <c r="AJ378"/>
  <c r="W378"/>
  <c r="U378" l="1"/>
  <c r="AI378"/>
  <c r="Y378"/>
  <c r="Z378" s="1"/>
  <c r="N378"/>
  <c r="AE377"/>
  <c r="AJ377"/>
  <c r="W377"/>
  <c r="U377" l="1"/>
  <c r="AI377"/>
  <c r="Y377"/>
  <c r="Z377" s="1"/>
  <c r="N377"/>
  <c r="AE376"/>
  <c r="AJ376"/>
  <c r="W376"/>
  <c r="U376" l="1"/>
  <c r="AI376"/>
  <c r="Y376"/>
  <c r="Z376" s="1"/>
  <c r="N376"/>
  <c r="AE375"/>
  <c r="AJ375"/>
  <c r="W375"/>
  <c r="U375" l="1"/>
  <c r="AI375"/>
  <c r="Y375"/>
  <c r="Z375" s="1"/>
  <c r="N375"/>
  <c r="AE374"/>
  <c r="AJ374"/>
  <c r="W374"/>
  <c r="U374" l="1"/>
  <c r="AI374"/>
  <c r="Y374"/>
  <c r="Z374" s="1"/>
  <c r="N374"/>
  <c r="AE373"/>
  <c r="AJ373"/>
  <c r="W373"/>
  <c r="U373" l="1"/>
  <c r="AI373"/>
  <c r="Y373"/>
  <c r="Z373" s="1"/>
  <c r="N373"/>
  <c r="AE372"/>
  <c r="AJ372"/>
  <c r="W372"/>
  <c r="U372" l="1"/>
  <c r="AI372"/>
  <c r="Y372"/>
  <c r="Z372" s="1"/>
  <c r="N372"/>
  <c r="AE371"/>
  <c r="AJ371"/>
  <c r="W371"/>
  <c r="U371" l="1"/>
  <c r="AI371"/>
  <c r="Y371"/>
  <c r="Z371" s="1"/>
  <c r="N371"/>
  <c r="AE370"/>
  <c r="AJ370"/>
  <c r="W370"/>
  <c r="U370" l="1"/>
  <c r="AI370"/>
  <c r="Y370"/>
  <c r="Z370" s="1"/>
  <c r="N370"/>
  <c r="AE369"/>
  <c r="AJ369"/>
  <c r="W369"/>
  <c r="U369" l="1"/>
  <c r="AI369"/>
  <c r="Y369"/>
  <c r="Z369" s="1"/>
  <c r="N369"/>
  <c r="AE368"/>
  <c r="AJ368"/>
  <c r="W368"/>
  <c r="U368" l="1"/>
  <c r="AI368"/>
  <c r="Y368"/>
  <c r="Z368" s="1"/>
  <c r="N368"/>
  <c r="AE367"/>
  <c r="AJ367"/>
  <c r="W367"/>
  <c r="U367" l="1"/>
  <c r="AI367"/>
  <c r="Y367"/>
  <c r="Z367" s="1"/>
  <c r="N367"/>
  <c r="AE366"/>
  <c r="AJ366"/>
  <c r="W366"/>
  <c r="U366" l="1"/>
  <c r="AI366"/>
  <c r="Y366"/>
  <c r="Z366" s="1"/>
  <c r="N366"/>
  <c r="AE365"/>
  <c r="AJ365"/>
  <c r="W365"/>
  <c r="U365" l="1"/>
  <c r="AI365"/>
  <c r="Y365"/>
  <c r="Z365" s="1"/>
  <c r="N365"/>
  <c r="AE364"/>
  <c r="AJ364"/>
  <c r="W364"/>
  <c r="U364" l="1"/>
  <c r="AI364"/>
  <c r="Y364"/>
  <c r="Z364" s="1"/>
  <c r="N364"/>
  <c r="AE363"/>
  <c r="AJ363"/>
  <c r="W363"/>
  <c r="U363" l="1"/>
  <c r="AI363"/>
  <c r="Y363"/>
  <c r="Z363" s="1"/>
  <c r="N363"/>
  <c r="AE362"/>
  <c r="AJ362"/>
  <c r="W362"/>
  <c r="U362" l="1"/>
  <c r="AI362"/>
  <c r="Y362"/>
  <c r="Z362" s="1"/>
  <c r="N362"/>
  <c r="AE361"/>
  <c r="AJ361"/>
  <c r="W361"/>
  <c r="U361" l="1"/>
  <c r="AI361"/>
  <c r="Y361"/>
  <c r="Z361" s="1"/>
  <c r="N361"/>
  <c r="AE360"/>
  <c r="AJ360"/>
  <c r="W360"/>
  <c r="U360" l="1"/>
  <c r="AI360"/>
  <c r="Y360"/>
  <c r="Z360" s="1"/>
  <c r="N360"/>
  <c r="AE359"/>
  <c r="AJ359"/>
  <c r="W359"/>
  <c r="U359" l="1"/>
  <c r="AI359"/>
  <c r="Y359"/>
  <c r="Z359" s="1"/>
  <c r="N359"/>
  <c r="AE358"/>
  <c r="AJ358"/>
  <c r="W358"/>
  <c r="U358" l="1"/>
  <c r="AI358"/>
  <c r="Y358"/>
  <c r="Z358" s="1"/>
  <c r="N358"/>
  <c r="AE357"/>
  <c r="AJ357"/>
  <c r="W357"/>
  <c r="U357" l="1"/>
  <c r="AI357"/>
  <c r="Y357"/>
  <c r="Z357" s="1"/>
  <c r="N357"/>
  <c r="AE356"/>
  <c r="AJ356"/>
  <c r="W356"/>
  <c r="U356" l="1"/>
  <c r="AI356"/>
  <c r="Y356"/>
  <c r="Z356" s="1"/>
  <c r="N356"/>
  <c r="AE355"/>
  <c r="AJ355"/>
  <c r="W355"/>
  <c r="U355" l="1"/>
  <c r="AI355"/>
  <c r="Y355"/>
  <c r="Z355" s="1"/>
  <c r="N355"/>
  <c r="AE354"/>
  <c r="W354"/>
  <c r="AJ354"/>
  <c r="U354" l="1"/>
  <c r="AI354"/>
  <c r="Y354"/>
  <c r="Z354" s="1"/>
  <c r="N354"/>
  <c r="AE353"/>
  <c r="AJ353"/>
  <c r="W353"/>
  <c r="U353" l="1"/>
  <c r="AI353"/>
  <c r="Y353"/>
  <c r="Z353" s="1"/>
  <c r="N353"/>
  <c r="AE352"/>
  <c r="AJ352"/>
  <c r="W352"/>
  <c r="U352" l="1"/>
  <c r="AI352"/>
  <c r="Y352"/>
  <c r="Z352" s="1"/>
  <c r="N352"/>
  <c r="AE351"/>
  <c r="AJ351"/>
  <c r="W351"/>
  <c r="U351" l="1"/>
  <c r="AI351"/>
  <c r="Y351"/>
  <c r="Z351" s="1"/>
  <c r="N351"/>
  <c r="AE350"/>
  <c r="AJ350"/>
  <c r="W350"/>
  <c r="U350" l="1"/>
  <c r="AI350"/>
  <c r="Y350"/>
  <c r="Z350" s="1"/>
  <c r="N350"/>
  <c r="AE349"/>
  <c r="AJ349"/>
  <c r="W349"/>
  <c r="U349" l="1"/>
  <c r="AI349"/>
  <c r="Y349"/>
  <c r="Z349" s="1"/>
  <c r="N349"/>
  <c r="AE347" l="1"/>
  <c r="AJ347"/>
  <c r="W347"/>
  <c r="U347" l="1"/>
  <c r="AI347"/>
  <c r="Y347"/>
  <c r="Z347" s="1"/>
  <c r="N347"/>
  <c r="AE346"/>
  <c r="AJ346"/>
  <c r="W346"/>
  <c r="U346" l="1"/>
  <c r="AI346"/>
  <c r="Y346"/>
  <c r="Z346" s="1"/>
  <c r="N346"/>
  <c r="AE345"/>
  <c r="AJ345"/>
  <c r="W345"/>
  <c r="U345" l="1"/>
  <c r="AI345"/>
  <c r="Y345"/>
  <c r="Z345" s="1"/>
  <c r="N345"/>
  <c r="AE344"/>
  <c r="AJ344"/>
  <c r="W344"/>
  <c r="U344" l="1"/>
  <c r="AI344"/>
  <c r="Y344"/>
  <c r="Z344" s="1"/>
  <c r="N344"/>
  <c r="AE343"/>
  <c r="W343"/>
  <c r="AJ343"/>
  <c r="U343" l="1"/>
  <c r="AI343"/>
  <c r="Y343"/>
  <c r="Z343" s="1"/>
  <c r="N343"/>
  <c r="AE342"/>
  <c r="AJ342"/>
  <c r="W342"/>
  <c r="U342" l="1"/>
  <c r="AI342"/>
  <c r="Y342"/>
  <c r="Z342" s="1"/>
  <c r="N342"/>
  <c r="AE341"/>
  <c r="AJ341"/>
  <c r="W341"/>
  <c r="U341" l="1"/>
  <c r="AI341"/>
  <c r="Y341"/>
  <c r="Z341" s="1"/>
  <c r="N341"/>
  <c r="AE340"/>
  <c r="AJ340"/>
  <c r="W340"/>
  <c r="U340" l="1"/>
  <c r="AI340"/>
  <c r="Y340"/>
  <c r="Z340" s="1"/>
  <c r="N340"/>
  <c r="AE338" l="1"/>
  <c r="W338"/>
  <c r="AJ338"/>
  <c r="U338" l="1"/>
  <c r="AI338"/>
  <c r="Y338"/>
  <c r="Z338" s="1"/>
  <c r="N338"/>
  <c r="AE336" l="1"/>
  <c r="AJ336"/>
  <c r="W336"/>
  <c r="U336" l="1"/>
  <c r="AI336"/>
  <c r="Y336"/>
  <c r="Z336" s="1"/>
  <c r="N336"/>
  <c r="AE335"/>
  <c r="AJ335"/>
  <c r="W335"/>
  <c r="U335" l="1"/>
  <c r="AI335"/>
  <c r="Y335"/>
  <c r="Z335" s="1"/>
  <c r="N335"/>
  <c r="AE334"/>
  <c r="AJ334"/>
  <c r="W334"/>
  <c r="U334" l="1"/>
  <c r="AI334"/>
  <c r="Y334"/>
  <c r="Z334" s="1"/>
  <c r="N334"/>
  <c r="AE333"/>
  <c r="AJ333"/>
  <c r="W333"/>
  <c r="U333" l="1"/>
  <c r="AI333"/>
  <c r="Y333"/>
  <c r="Z333" s="1"/>
  <c r="N333"/>
  <c r="AE332"/>
  <c r="W332"/>
  <c r="AJ332"/>
  <c r="U332" l="1"/>
  <c r="AI332"/>
  <c r="Y332"/>
  <c r="Z332" s="1"/>
  <c r="N332"/>
  <c r="AE331"/>
  <c r="AJ331"/>
  <c r="W331"/>
  <c r="U331" l="1"/>
  <c r="AI331"/>
  <c r="Y331"/>
  <c r="Z331" s="1"/>
  <c r="N331"/>
  <c r="AE330"/>
  <c r="AJ330"/>
  <c r="W330"/>
  <c r="U330" l="1"/>
  <c r="AI330"/>
  <c r="Y330"/>
  <c r="Z330" s="1"/>
  <c r="N330"/>
  <c r="AE328" l="1"/>
  <c r="AJ328"/>
  <c r="W328"/>
  <c r="U328" l="1"/>
  <c r="AI328"/>
  <c r="Y328"/>
  <c r="Z328" s="1"/>
  <c r="N328"/>
  <c r="AE327"/>
  <c r="AJ327"/>
  <c r="W327"/>
  <c r="U327" l="1"/>
  <c r="AI327"/>
  <c r="Y327"/>
  <c r="Z327" s="1"/>
  <c r="N327"/>
  <c r="AE326"/>
  <c r="AJ326"/>
  <c r="W326"/>
  <c r="U326" l="1"/>
  <c r="AI326"/>
  <c r="Y326"/>
  <c r="Z326" s="1"/>
  <c r="N326"/>
  <c r="AE325"/>
  <c r="AJ325"/>
  <c r="W325"/>
  <c r="U325" l="1"/>
  <c r="AI325"/>
  <c r="Y325"/>
  <c r="Z325" s="1"/>
  <c r="N325"/>
  <c r="AE324"/>
  <c r="AJ324"/>
  <c r="W324"/>
  <c r="U324" l="1"/>
  <c r="AI324"/>
  <c r="Y324"/>
  <c r="Z324" s="1"/>
  <c r="N324"/>
  <c r="AE323"/>
  <c r="AJ323"/>
  <c r="W323"/>
  <c r="U323" l="1"/>
  <c r="AI323"/>
  <c r="Y323"/>
  <c r="Z323" s="1"/>
  <c r="N323"/>
  <c r="AE322"/>
  <c r="AJ322"/>
  <c r="W322"/>
  <c r="U322" l="1"/>
  <c r="AI322"/>
  <c r="Y322"/>
  <c r="Z322" s="1"/>
  <c r="N322"/>
  <c r="AE321"/>
  <c r="W321"/>
  <c r="AJ321"/>
  <c r="U321" l="1"/>
  <c r="AI321"/>
  <c r="Y321"/>
  <c r="Z321" s="1"/>
  <c r="N321"/>
  <c r="AE320"/>
  <c r="AJ320"/>
  <c r="W320"/>
  <c r="U320" l="1"/>
  <c r="AI320"/>
  <c r="Y320"/>
  <c r="Z320" s="1"/>
  <c r="N320"/>
  <c r="AE319"/>
  <c r="AJ319"/>
  <c r="W319"/>
  <c r="U319" l="1"/>
  <c r="AI319"/>
  <c r="Y319"/>
  <c r="Z319" s="1"/>
  <c r="N319"/>
  <c r="AE318"/>
  <c r="AJ318"/>
  <c r="W318"/>
  <c r="U318" l="1"/>
  <c r="AI318"/>
  <c r="Y318"/>
  <c r="Z318" s="1"/>
  <c r="N318"/>
  <c r="AE317"/>
  <c r="AJ317"/>
  <c r="W317"/>
  <c r="U317" l="1"/>
  <c r="AI317"/>
  <c r="Y317"/>
  <c r="Z317" s="1"/>
  <c r="N317"/>
  <c r="AE316"/>
  <c r="AJ316"/>
  <c r="W316"/>
  <c r="U316" l="1"/>
  <c r="AI316"/>
  <c r="Y316"/>
  <c r="Z316" s="1"/>
  <c r="N316"/>
  <c r="AE315"/>
  <c r="AJ315"/>
  <c r="W315"/>
  <c r="U315" l="1"/>
  <c r="AI315"/>
  <c r="Y315"/>
  <c r="Z315" s="1"/>
  <c r="N315"/>
  <c r="AE314"/>
  <c r="AJ314"/>
  <c r="W314"/>
  <c r="U314" l="1"/>
  <c r="AI314"/>
  <c r="Y314"/>
  <c r="Z314" s="1"/>
  <c r="N314"/>
  <c r="AE313"/>
  <c r="AJ313"/>
  <c r="W313"/>
  <c r="U313" l="1"/>
  <c r="AI313"/>
  <c r="Y313"/>
  <c r="Z313" s="1"/>
  <c r="N313"/>
  <c r="AE312"/>
  <c r="AJ312"/>
  <c r="W312"/>
  <c r="U312" l="1"/>
  <c r="AI312"/>
  <c r="Y312"/>
  <c r="Z312" s="1"/>
  <c r="N312"/>
  <c r="AE311"/>
  <c r="AJ311"/>
  <c r="W311"/>
  <c r="U311" l="1"/>
  <c r="AI311"/>
  <c r="Y311"/>
  <c r="Z311" s="1"/>
  <c r="N311"/>
  <c r="AE310"/>
  <c r="AJ310"/>
  <c r="W310"/>
  <c r="U310" l="1"/>
  <c r="AI310"/>
  <c r="Y310"/>
  <c r="Z310" s="1"/>
  <c r="N310"/>
  <c r="AE309"/>
  <c r="AJ309"/>
  <c r="W309"/>
  <c r="U309" l="1"/>
  <c r="AI309"/>
  <c r="Y309"/>
  <c r="Z309" s="1"/>
  <c r="N309"/>
  <c r="AE308"/>
  <c r="AJ308"/>
  <c r="W308"/>
  <c r="U308" l="1"/>
  <c r="AI308"/>
  <c r="Y308"/>
  <c r="Z308" s="1"/>
  <c r="N308"/>
  <c r="AE307"/>
  <c r="AJ307"/>
  <c r="W307"/>
  <c r="U307" l="1"/>
  <c r="AI307"/>
  <c r="Y307"/>
  <c r="Z307" s="1"/>
  <c r="N307"/>
  <c r="AE306"/>
  <c r="AJ306"/>
  <c r="W306"/>
  <c r="U306" l="1"/>
  <c r="AI306"/>
  <c r="Y306"/>
  <c r="Z306" s="1"/>
  <c r="N306"/>
  <c r="AE305"/>
  <c r="AJ305"/>
  <c r="W305"/>
  <c r="U305" l="1"/>
  <c r="AI305"/>
  <c r="Y305"/>
  <c r="Z305" s="1"/>
  <c r="N305"/>
  <c r="AE304"/>
  <c r="AJ304"/>
  <c r="W304"/>
  <c r="U304" l="1"/>
  <c r="AI304"/>
  <c r="Y304"/>
  <c r="Z304" s="1"/>
  <c r="N304"/>
  <c r="AE303"/>
  <c r="AJ303"/>
  <c r="W303"/>
  <c r="U303" l="1"/>
  <c r="AI303"/>
  <c r="Y303"/>
  <c r="Z303" s="1"/>
  <c r="N303"/>
  <c r="AE302"/>
  <c r="AJ302"/>
  <c r="W302"/>
  <c r="U302" l="1"/>
  <c r="AI302"/>
  <c r="Y302"/>
  <c r="Z302" s="1"/>
  <c r="N302"/>
  <c r="AE300"/>
  <c r="AJ300"/>
  <c r="W300"/>
  <c r="U300" l="1"/>
  <c r="AI300"/>
  <c r="Y300"/>
  <c r="Z300" s="1"/>
  <c r="N300"/>
  <c r="AE298" l="1"/>
  <c r="AJ298"/>
  <c r="W298"/>
  <c r="U298" l="1"/>
  <c r="AI298"/>
  <c r="Y298"/>
  <c r="Z298" s="1"/>
  <c r="N298"/>
  <c r="AE297"/>
  <c r="AJ297"/>
  <c r="W297"/>
  <c r="U297" l="1"/>
  <c r="AI297"/>
  <c r="Y297"/>
  <c r="Z297" s="1"/>
  <c r="N297"/>
  <c r="AE296"/>
  <c r="AJ296"/>
  <c r="W296"/>
  <c r="U296" l="1"/>
  <c r="AI296"/>
  <c r="Y296"/>
  <c r="Z296" s="1"/>
  <c r="N296"/>
  <c r="AE295"/>
  <c r="AJ295"/>
  <c r="W295"/>
  <c r="U295" l="1"/>
  <c r="AI295"/>
  <c r="Y295"/>
  <c r="Z295" s="1"/>
  <c r="N295"/>
  <c r="AE294"/>
  <c r="AJ294"/>
  <c r="W294"/>
  <c r="U294" l="1"/>
  <c r="AI294"/>
  <c r="Y294"/>
  <c r="Z294" s="1"/>
  <c r="N294"/>
  <c r="AE293"/>
  <c r="AJ293"/>
  <c r="W293"/>
  <c r="U293" l="1"/>
  <c r="AI293"/>
  <c r="Y293"/>
  <c r="Z293" s="1"/>
  <c r="N293"/>
  <c r="AE292"/>
  <c r="AJ292"/>
  <c r="W292"/>
  <c r="U292" l="1"/>
  <c r="AI292"/>
  <c r="Y292"/>
  <c r="Z292" s="1"/>
  <c r="N292"/>
  <c r="AE291"/>
  <c r="AJ291"/>
  <c r="W291"/>
  <c r="U291" l="1"/>
  <c r="AI291"/>
  <c r="Y291"/>
  <c r="Z291" s="1"/>
  <c r="N291"/>
  <c r="AE290"/>
  <c r="AJ290"/>
  <c r="W290"/>
  <c r="U290" l="1"/>
  <c r="AI290"/>
  <c r="Y290"/>
  <c r="Z290" s="1"/>
  <c r="N290"/>
  <c r="AE289"/>
  <c r="AJ289"/>
  <c r="W289"/>
  <c r="U289" l="1"/>
  <c r="AI289"/>
  <c r="Y289"/>
  <c r="Z289" s="1"/>
  <c r="N289"/>
  <c r="AE288"/>
  <c r="AJ288"/>
  <c r="W288"/>
  <c r="U288" l="1"/>
  <c r="AI288"/>
  <c r="Y288"/>
  <c r="Z288" s="1"/>
  <c r="AE285"/>
  <c r="AJ285"/>
  <c r="W285"/>
  <c r="U285" l="1"/>
  <c r="AI285"/>
  <c r="Y285"/>
  <c r="Z285" s="1"/>
  <c r="N285"/>
  <c r="AE284"/>
  <c r="AJ284"/>
  <c r="W284"/>
  <c r="U284" l="1"/>
  <c r="AI284"/>
  <c r="Y284"/>
  <c r="Z284" s="1"/>
  <c r="N284"/>
  <c r="AE283"/>
  <c r="AJ283"/>
  <c r="W283"/>
  <c r="U283" l="1"/>
  <c r="AI283"/>
  <c r="Y283"/>
  <c r="Z283" s="1"/>
  <c r="AE282"/>
  <c r="AJ282"/>
  <c r="W282"/>
  <c r="U282" l="1"/>
  <c r="AI282"/>
  <c r="Y282"/>
  <c r="Z282" s="1"/>
  <c r="N282"/>
  <c r="AE281"/>
  <c r="AJ281"/>
  <c r="W281"/>
  <c r="U281" l="1"/>
  <c r="AI281"/>
  <c r="Y281"/>
  <c r="Z281" s="1"/>
  <c r="N281"/>
  <c r="AE280"/>
  <c r="AJ280"/>
  <c r="W280"/>
  <c r="U280" l="1"/>
  <c r="AI280"/>
  <c r="Y280"/>
  <c r="Z280" s="1"/>
  <c r="N280"/>
  <c r="AE279"/>
  <c r="AJ279"/>
  <c r="W279"/>
  <c r="U279" l="1"/>
  <c r="AI279"/>
  <c r="Y279"/>
  <c r="Z279" s="1"/>
  <c r="N279"/>
  <c r="AE277" l="1"/>
  <c r="AJ277"/>
  <c r="W277"/>
  <c r="U277" l="1"/>
  <c r="AI277"/>
  <c r="Y277"/>
  <c r="Z277" s="1"/>
  <c r="N277"/>
  <c r="AE276"/>
  <c r="AJ276"/>
  <c r="W276"/>
  <c r="U276" l="1"/>
  <c r="AI276"/>
  <c r="Y276"/>
  <c r="Z276" s="1"/>
  <c r="N276"/>
  <c r="AE274" l="1"/>
  <c r="AJ274"/>
  <c r="W274"/>
  <c r="U274" l="1"/>
  <c r="AI274"/>
  <c r="Y274"/>
  <c r="Z274" s="1"/>
  <c r="N274"/>
  <c r="AE273"/>
  <c r="AJ273"/>
  <c r="W273"/>
  <c r="U273" l="1"/>
  <c r="AI273"/>
  <c r="Y273"/>
  <c r="Z273" s="1"/>
  <c r="N273"/>
  <c r="AE272"/>
  <c r="AJ272"/>
  <c r="W272"/>
  <c r="U272" l="1"/>
  <c r="AI272"/>
  <c r="Y272"/>
  <c r="Z272" s="1"/>
  <c r="N272"/>
  <c r="AE271"/>
  <c r="AJ271"/>
  <c r="W271"/>
  <c r="U271" l="1"/>
  <c r="AI271"/>
  <c r="Y271"/>
  <c r="Z271" s="1"/>
  <c r="N271"/>
  <c r="AE270"/>
  <c r="AJ270"/>
  <c r="W270"/>
  <c r="U270" l="1"/>
  <c r="AI270"/>
  <c r="Y270"/>
  <c r="Z270" s="1"/>
  <c r="N270"/>
  <c r="AE269"/>
  <c r="AJ269"/>
  <c r="W269"/>
  <c r="U269" l="1"/>
  <c r="AI269"/>
  <c r="Y269"/>
  <c r="Z269" s="1"/>
  <c r="N269"/>
  <c r="AE268"/>
  <c r="W268"/>
  <c r="AJ268"/>
  <c r="U268" l="1"/>
  <c r="AI268"/>
  <c r="Y268"/>
  <c r="Z268" s="1"/>
  <c r="N268"/>
  <c r="AE267"/>
  <c r="AJ267"/>
  <c r="W267"/>
  <c r="U267" l="1"/>
  <c r="AI267"/>
  <c r="Y267"/>
  <c r="Z267" s="1"/>
  <c r="N267"/>
  <c r="AE266"/>
  <c r="AJ266"/>
  <c r="W266"/>
  <c r="U266" l="1"/>
  <c r="AI266"/>
  <c r="Y266"/>
  <c r="Z266" s="1"/>
  <c r="N266"/>
  <c r="AE264" l="1"/>
  <c r="AJ264"/>
  <c r="W264"/>
  <c r="U264" l="1"/>
  <c r="AI264"/>
  <c r="Y264"/>
  <c r="Z264" s="1"/>
  <c r="N264"/>
  <c r="AE263"/>
  <c r="AJ263"/>
  <c r="W263"/>
  <c r="U263" l="1"/>
  <c r="AI263"/>
  <c r="Y263"/>
  <c r="Z263" s="1"/>
  <c r="N263"/>
  <c r="AE262"/>
  <c r="AJ262"/>
  <c r="W262"/>
  <c r="U262" l="1"/>
  <c r="AI262"/>
  <c r="Y262"/>
  <c r="Z262" s="1"/>
  <c r="N262"/>
  <c r="AE261"/>
  <c r="AJ261"/>
  <c r="W261"/>
  <c r="U261" l="1"/>
  <c r="AI261"/>
  <c r="Y261"/>
  <c r="Z261" s="1"/>
  <c r="N261"/>
  <c r="AE259" l="1"/>
  <c r="AJ259"/>
  <c r="W259"/>
  <c r="U259" l="1"/>
  <c r="AI259"/>
  <c r="Y259"/>
  <c r="Z259" s="1"/>
  <c r="N259"/>
  <c r="AE258"/>
  <c r="AJ258"/>
  <c r="W258"/>
  <c r="U258" l="1"/>
  <c r="AI258"/>
  <c r="Y258"/>
  <c r="Z258" s="1"/>
  <c r="N258"/>
  <c r="AE257"/>
  <c r="AJ257"/>
  <c r="W257"/>
  <c r="U257" l="1"/>
  <c r="AI257"/>
  <c r="Y257"/>
  <c r="Z257" s="1"/>
  <c r="N257"/>
  <c r="AE256"/>
  <c r="AJ256"/>
  <c r="W256"/>
  <c r="U256" l="1"/>
  <c r="AI256"/>
  <c r="Y256"/>
  <c r="Z256" s="1"/>
  <c r="N256"/>
  <c r="AE255" l="1"/>
  <c r="AJ255"/>
  <c r="W255"/>
  <c r="U255" l="1"/>
  <c r="AI255"/>
  <c r="Y255"/>
  <c r="Z255" s="1"/>
  <c r="N255"/>
  <c r="AE254"/>
  <c r="AJ254"/>
  <c r="W254"/>
  <c r="U254" l="1"/>
  <c r="AI254"/>
  <c r="Y254"/>
  <c r="Z254" s="1"/>
  <c r="N254"/>
  <c r="AE253"/>
  <c r="AJ253"/>
  <c r="W253"/>
  <c r="U253" l="1"/>
  <c r="AI253"/>
  <c r="Y253"/>
  <c r="Z253" s="1"/>
  <c r="N253"/>
  <c r="AE252"/>
  <c r="AJ252"/>
  <c r="W252"/>
  <c r="U252" l="1"/>
  <c r="AI252"/>
  <c r="Y252"/>
  <c r="Z252" s="1"/>
  <c r="N252"/>
  <c r="AE251"/>
  <c r="AJ251"/>
  <c r="W251"/>
  <c r="U251" l="1"/>
  <c r="AI251"/>
  <c r="Y251"/>
  <c r="Z251" s="1"/>
  <c r="N251"/>
  <c r="AE250"/>
  <c r="AJ250"/>
  <c r="W250"/>
  <c r="U250" l="1"/>
  <c r="AI250"/>
  <c r="Y250"/>
  <c r="Z250" s="1"/>
  <c r="N250"/>
  <c r="AE249"/>
  <c r="AJ249"/>
  <c r="W249"/>
  <c r="U249" l="1"/>
  <c r="AI249"/>
  <c r="Y249"/>
  <c r="Z249" s="1"/>
  <c r="N249"/>
  <c r="AE248"/>
  <c r="AJ248"/>
  <c r="W248"/>
  <c r="U248" l="1"/>
  <c r="AI248"/>
  <c r="Y248"/>
  <c r="Z248" s="1"/>
  <c r="N248"/>
  <c r="AE246" l="1"/>
  <c r="AJ246"/>
  <c r="W246"/>
  <c r="U246" l="1"/>
  <c r="AI246"/>
  <c r="Y246"/>
  <c r="Z246" s="1"/>
  <c r="N246"/>
  <c r="AE245"/>
  <c r="AJ245"/>
  <c r="W245"/>
  <c r="U245" l="1"/>
  <c r="AI245"/>
  <c r="Y245"/>
  <c r="Z245" s="1"/>
  <c r="N245"/>
  <c r="AE244"/>
  <c r="AJ244"/>
  <c r="W244"/>
  <c r="U244" l="1"/>
  <c r="AI244"/>
  <c r="Y244"/>
  <c r="Z244" s="1"/>
  <c r="AE241"/>
  <c r="AJ241"/>
  <c r="W241"/>
  <c r="U241" l="1"/>
  <c r="AI241"/>
  <c r="Y241"/>
  <c r="Z241" s="1"/>
  <c r="N241"/>
  <c r="AE240"/>
  <c r="AJ240"/>
  <c r="W240"/>
  <c r="U240" l="1"/>
  <c r="AI240"/>
  <c r="Y240"/>
  <c r="Z240" s="1"/>
  <c r="N240"/>
  <c r="AE239"/>
  <c r="AJ239"/>
  <c r="W239"/>
  <c r="U239" l="1"/>
  <c r="AI239"/>
  <c r="Y239"/>
  <c r="Z239" s="1"/>
  <c r="N239"/>
  <c r="AE238"/>
  <c r="AJ238"/>
  <c r="W238"/>
  <c r="U238" l="1"/>
  <c r="AI238"/>
  <c r="Y238"/>
  <c r="Z238" s="1"/>
  <c r="N238"/>
  <c r="AE237"/>
  <c r="AJ237"/>
  <c r="W237"/>
  <c r="U237" l="1"/>
  <c r="AI237"/>
  <c r="Y237"/>
  <c r="Z237" s="1"/>
  <c r="N237"/>
  <c r="AE236"/>
  <c r="AJ236"/>
  <c r="W236"/>
  <c r="U236" l="1"/>
  <c r="AI236"/>
  <c r="Y236"/>
  <c r="Z236" s="1"/>
  <c r="N236"/>
  <c r="AE235"/>
  <c r="AJ235"/>
  <c r="W235"/>
  <c r="U235" l="1"/>
  <c r="AI235"/>
  <c r="Y235"/>
  <c r="Z235" s="1"/>
  <c r="N235"/>
  <c r="AE234"/>
  <c r="AJ234"/>
  <c r="W234"/>
  <c r="U234" l="1"/>
  <c r="AI234"/>
  <c r="Y234"/>
  <c r="Z234" s="1"/>
  <c r="N234"/>
  <c r="AE233"/>
  <c r="AJ233"/>
  <c r="W233"/>
  <c r="U233" l="1"/>
  <c r="AI233"/>
  <c r="Y233"/>
  <c r="Z233" s="1"/>
  <c r="N233"/>
  <c r="AE232"/>
  <c r="AJ232"/>
  <c r="W232"/>
  <c r="U232" l="1"/>
  <c r="AI232"/>
  <c r="Y232"/>
  <c r="Z232" s="1"/>
  <c r="N232"/>
  <c r="AE231"/>
  <c r="AJ231"/>
  <c r="W231"/>
  <c r="U231" l="1"/>
  <c r="AI231"/>
  <c r="Y231"/>
  <c r="Z231" s="1"/>
  <c r="N231"/>
  <c r="AE230"/>
  <c r="AJ230"/>
  <c r="W230"/>
  <c r="U230" l="1"/>
  <c r="AI230"/>
  <c r="Y230"/>
  <c r="Z230" s="1"/>
  <c r="N230"/>
  <c r="AE229"/>
  <c r="AJ229"/>
  <c r="W229"/>
  <c r="U229" l="1"/>
  <c r="AI229"/>
  <c r="Y229"/>
  <c r="Z229" s="1"/>
  <c r="N229"/>
  <c r="AE228"/>
  <c r="AJ228"/>
  <c r="W228"/>
  <c r="U228" l="1"/>
  <c r="AI228"/>
  <c r="Y228"/>
  <c r="Z228" s="1"/>
  <c r="N228"/>
  <c r="AE227"/>
  <c r="AJ227"/>
  <c r="W227"/>
  <c r="U227" l="1"/>
  <c r="AI227"/>
  <c r="Y227"/>
  <c r="Z227" s="1"/>
  <c r="N227"/>
  <c r="AE226"/>
  <c r="AJ226"/>
  <c r="W226"/>
  <c r="U226" l="1"/>
  <c r="AI226"/>
  <c r="Y226"/>
  <c r="Z226" s="1"/>
  <c r="N226"/>
  <c r="AE225"/>
  <c r="AJ225"/>
  <c r="W225"/>
  <c r="U225" l="1"/>
  <c r="AI225"/>
  <c r="Y225"/>
  <c r="Z225" s="1"/>
  <c r="AE222"/>
  <c r="AJ222"/>
  <c r="W222"/>
  <c r="U222" l="1"/>
  <c r="AI222"/>
  <c r="Y222"/>
  <c r="Z222" s="1"/>
  <c r="N222"/>
  <c r="AE221"/>
  <c r="AJ221"/>
  <c r="W221"/>
  <c r="U221" l="1"/>
  <c r="AI221"/>
  <c r="Y221"/>
  <c r="Z221" s="1"/>
  <c r="N221"/>
  <c r="AE220"/>
  <c r="AJ220"/>
  <c r="W220"/>
  <c r="U220" l="1"/>
  <c r="AI220"/>
  <c r="Y220"/>
  <c r="Z220" s="1"/>
  <c r="N220"/>
  <c r="AE219"/>
  <c r="AJ219"/>
  <c r="W219"/>
  <c r="U219" l="1"/>
  <c r="AI219"/>
  <c r="Y219"/>
  <c r="Z219" s="1"/>
  <c r="N219"/>
  <c r="AE218"/>
  <c r="AJ218"/>
  <c r="W218"/>
  <c r="U218" l="1"/>
  <c r="AI218"/>
  <c r="Y218"/>
  <c r="Z218" s="1"/>
  <c r="N218"/>
  <c r="AE217"/>
  <c r="AJ217"/>
  <c r="W217"/>
  <c r="U217" l="1"/>
  <c r="AI217"/>
  <c r="Y217"/>
  <c r="Z217" s="1"/>
  <c r="N217"/>
  <c r="AE216"/>
  <c r="AJ216"/>
  <c r="W216"/>
  <c r="U216" l="1"/>
  <c r="AI216"/>
  <c r="Y216"/>
  <c r="Z216" s="1"/>
  <c r="N216"/>
  <c r="AE215"/>
  <c r="AJ215"/>
  <c r="W215"/>
  <c r="U215" l="1"/>
  <c r="AI215"/>
  <c r="Y215"/>
  <c r="Z215" s="1"/>
  <c r="N215"/>
  <c r="AE213"/>
  <c r="AJ213"/>
  <c r="W213"/>
  <c r="U213" l="1"/>
  <c r="AI213"/>
  <c r="Y213"/>
  <c r="Z213" s="1"/>
  <c r="N213"/>
  <c r="AE212"/>
  <c r="AJ212"/>
  <c r="W212"/>
  <c r="U212" l="1"/>
  <c r="AI212"/>
  <c r="Y212"/>
  <c r="Z212" s="1"/>
  <c r="N212"/>
  <c r="AE211"/>
  <c r="AJ211"/>
  <c r="W211"/>
  <c r="U211" l="1"/>
  <c r="AI211"/>
  <c r="Y211"/>
  <c r="Z211" s="1"/>
  <c r="N211"/>
  <c r="AE210"/>
  <c r="AJ210"/>
  <c r="W210"/>
  <c r="U210" l="1"/>
  <c r="AI210"/>
  <c r="Y210"/>
  <c r="Z210" s="1"/>
  <c r="N210"/>
  <c r="AE209"/>
  <c r="AJ209"/>
  <c r="W209"/>
  <c r="U209" l="1"/>
  <c r="AI209"/>
  <c r="Y209"/>
  <c r="Z209" s="1"/>
  <c r="N209"/>
  <c r="AE208"/>
  <c r="AJ208"/>
  <c r="W208"/>
  <c r="U208" l="1"/>
  <c r="AI208"/>
  <c r="Y208"/>
  <c r="Z208" s="1"/>
  <c r="N208"/>
  <c r="AE207"/>
  <c r="AJ207"/>
  <c r="W207"/>
  <c r="U207" l="1"/>
  <c r="AI207"/>
  <c r="Y207"/>
  <c r="Z207" s="1"/>
  <c r="N207"/>
  <c r="AE206"/>
  <c r="AJ206"/>
  <c r="W206"/>
  <c r="U206" l="1"/>
  <c r="AI206"/>
  <c r="Y206"/>
  <c r="Z206" s="1"/>
  <c r="N206"/>
  <c r="AE205"/>
  <c r="AJ205"/>
  <c r="W205"/>
  <c r="U205" l="1"/>
  <c r="AI205"/>
  <c r="Y205"/>
  <c r="Z205" s="1"/>
  <c r="N205"/>
  <c r="AE204"/>
  <c r="AJ204"/>
  <c r="W204"/>
  <c r="U204" l="1"/>
  <c r="AI204"/>
  <c r="Y204"/>
  <c r="Z204" s="1"/>
  <c r="N204"/>
  <c r="AE202" l="1"/>
  <c r="AJ202"/>
  <c r="W202"/>
  <c r="U202" l="1"/>
  <c r="AI202"/>
  <c r="Y202"/>
  <c r="Z202" s="1"/>
  <c r="N202"/>
  <c r="AE201"/>
  <c r="AJ201"/>
  <c r="W201"/>
  <c r="U201" l="1"/>
  <c r="AI201"/>
  <c r="Y201"/>
  <c r="Z201" s="1"/>
  <c r="N201"/>
  <c r="AE200"/>
  <c r="AJ200"/>
  <c r="W200"/>
  <c r="U200" l="1"/>
  <c r="AI200"/>
  <c r="Y200"/>
  <c r="Z200" s="1"/>
  <c r="AE198" l="1"/>
  <c r="AJ198"/>
  <c r="W198"/>
  <c r="U198" l="1"/>
  <c r="AI198"/>
  <c r="Y198"/>
  <c r="Z198" s="1"/>
  <c r="N198"/>
  <c r="AE195"/>
  <c r="AJ195"/>
  <c r="W195"/>
  <c r="U195" l="1"/>
  <c r="AI195"/>
  <c r="Y195"/>
  <c r="Z195" s="1"/>
  <c r="N195"/>
  <c r="AE194"/>
  <c r="AJ194"/>
  <c r="W194"/>
  <c r="U194" l="1"/>
  <c r="AI194"/>
  <c r="Y194"/>
  <c r="Z194" s="1"/>
  <c r="N194"/>
  <c r="AE193"/>
  <c r="AJ193"/>
  <c r="W193"/>
  <c r="U193" l="1"/>
  <c r="AI193"/>
  <c r="Y193"/>
  <c r="Z193" s="1"/>
  <c r="N193"/>
  <c r="AE192"/>
  <c r="AJ192"/>
  <c r="W192"/>
  <c r="U192" l="1"/>
  <c r="AI192"/>
  <c r="Y192"/>
  <c r="Z192" s="1"/>
  <c r="N192"/>
  <c r="AE191"/>
  <c r="AJ191"/>
  <c r="W191"/>
  <c r="U191" l="1"/>
  <c r="AI191"/>
  <c r="Y191"/>
  <c r="Z191" s="1"/>
  <c r="N191"/>
  <c r="AE190"/>
  <c r="AJ190"/>
  <c r="W190"/>
  <c r="U190" l="1"/>
  <c r="AI190"/>
  <c r="Y190"/>
  <c r="Z190" s="1"/>
  <c r="N190"/>
  <c r="AE189"/>
  <c r="AJ189"/>
  <c r="W189"/>
  <c r="U189" l="1"/>
  <c r="AI189"/>
  <c r="Y189"/>
  <c r="Z189" s="1"/>
  <c r="N189"/>
  <c r="AE188"/>
  <c r="AJ188"/>
  <c r="W188"/>
  <c r="U188" l="1"/>
  <c r="AI188"/>
  <c r="Y188"/>
  <c r="Z188" s="1"/>
  <c r="N188"/>
  <c r="AE187"/>
  <c r="AJ187"/>
  <c r="W187"/>
  <c r="U187" l="1"/>
  <c r="AI187"/>
  <c r="Y187"/>
  <c r="Z187" s="1"/>
  <c r="N187"/>
  <c r="AE186"/>
  <c r="AJ186"/>
  <c r="W186"/>
  <c r="U186" l="1"/>
  <c r="AI186"/>
  <c r="Y186"/>
  <c r="Z186" s="1"/>
  <c r="N186"/>
  <c r="AE185"/>
  <c r="AJ185"/>
  <c r="W185"/>
  <c r="U185" l="1"/>
  <c r="AI185"/>
  <c r="Y185"/>
  <c r="Z185" s="1"/>
  <c r="N185"/>
  <c r="AE184"/>
  <c r="AJ184"/>
  <c r="W184"/>
  <c r="U184" l="1"/>
  <c r="AI184"/>
  <c r="Y184"/>
  <c r="Z184" s="1"/>
  <c r="N184"/>
  <c r="AE183"/>
  <c r="AJ183"/>
  <c r="W183"/>
  <c r="U183" l="1"/>
  <c r="AI183"/>
  <c r="Y183"/>
  <c r="Z183" s="1"/>
  <c r="N183"/>
  <c r="AE182"/>
  <c r="W182"/>
  <c r="AJ182"/>
  <c r="U182" l="1"/>
  <c r="AI182"/>
  <c r="Y182"/>
  <c r="Z182" s="1"/>
  <c r="N182"/>
  <c r="AE181"/>
  <c r="AJ181"/>
  <c r="W181"/>
  <c r="U181" l="1"/>
  <c r="AI181"/>
  <c r="Y181"/>
  <c r="Z181" s="1"/>
  <c r="N181"/>
  <c r="AE180"/>
  <c r="AJ180"/>
  <c r="W180"/>
  <c r="U180" l="1"/>
  <c r="AI180"/>
  <c r="Y180"/>
  <c r="Z180" s="1"/>
  <c r="N180"/>
  <c r="AE179"/>
  <c r="AJ179"/>
  <c r="W179"/>
  <c r="U179" l="1"/>
  <c r="AI179"/>
  <c r="Y179"/>
  <c r="Z179" s="1"/>
  <c r="N179"/>
  <c r="AE178"/>
  <c r="AJ178"/>
  <c r="W178"/>
  <c r="U178" l="1"/>
  <c r="AI178"/>
  <c r="Y178"/>
  <c r="Z178" s="1"/>
  <c r="N178"/>
  <c r="AE177"/>
  <c r="AJ177"/>
  <c r="W177"/>
  <c r="U177" l="1"/>
  <c r="AI177"/>
  <c r="Y177"/>
  <c r="Z177" s="1"/>
  <c r="N177"/>
  <c r="AE176"/>
  <c r="AJ176"/>
  <c r="W176"/>
  <c r="U176" l="1"/>
  <c r="AI176"/>
  <c r="Y176"/>
  <c r="Z176" s="1"/>
  <c r="N176"/>
  <c r="AE175"/>
  <c r="AJ175"/>
  <c r="W175"/>
  <c r="U175" l="1"/>
  <c r="AI175"/>
  <c r="Y175"/>
  <c r="Z175" s="1"/>
  <c r="N175"/>
  <c r="AE174"/>
  <c r="AJ174"/>
  <c r="W174"/>
  <c r="U174" l="1"/>
  <c r="AI174"/>
  <c r="Y174"/>
  <c r="Z174" s="1"/>
  <c r="N174"/>
  <c r="AE173"/>
  <c r="AJ173"/>
  <c r="W173"/>
  <c r="U173" l="1"/>
  <c r="AI173"/>
  <c r="Y173"/>
  <c r="Z173" s="1"/>
  <c r="N173"/>
  <c r="AE172"/>
  <c r="AJ172"/>
  <c r="W172"/>
  <c r="U172" l="1"/>
  <c r="AI172"/>
  <c r="Y172"/>
  <c r="Z172" s="1"/>
  <c r="N172"/>
  <c r="AE171"/>
  <c r="AJ171"/>
  <c r="W171"/>
  <c r="U171" l="1"/>
  <c r="AI171"/>
  <c r="Y171"/>
  <c r="Z171" s="1"/>
  <c r="N171"/>
  <c r="AE170"/>
  <c r="AJ170"/>
  <c r="W170"/>
  <c r="U170" l="1"/>
  <c r="AI170"/>
  <c r="Y170"/>
  <c r="Z170" s="1"/>
  <c r="N170"/>
  <c r="AE169"/>
  <c r="AJ169"/>
  <c r="W169"/>
  <c r="U169" l="1"/>
  <c r="AI169"/>
  <c r="Y169"/>
  <c r="Z169" s="1"/>
  <c r="N169"/>
  <c r="AE168"/>
  <c r="AJ168"/>
  <c r="W168"/>
  <c r="U168" l="1"/>
  <c r="AI168"/>
  <c r="Y168"/>
  <c r="Z168" s="1"/>
  <c r="N168"/>
  <c r="AE167"/>
  <c r="AJ167"/>
  <c r="W167"/>
  <c r="U167" l="1"/>
  <c r="AI167"/>
  <c r="Y167"/>
  <c r="Z167" s="1"/>
  <c r="N167"/>
  <c r="AE166"/>
  <c r="AJ166"/>
  <c r="W166"/>
  <c r="U166" l="1"/>
  <c r="AI166"/>
  <c r="Y166"/>
  <c r="Z166" s="1"/>
  <c r="N166"/>
  <c r="AE165"/>
  <c r="AJ165"/>
  <c r="W165"/>
  <c r="U165" l="1"/>
  <c r="AI165"/>
  <c r="Y165"/>
  <c r="Z165" s="1"/>
  <c r="N165"/>
  <c r="AE164"/>
  <c r="AJ164"/>
  <c r="W164"/>
  <c r="U164" l="1"/>
  <c r="AI164"/>
  <c r="Y164"/>
  <c r="Z164" s="1"/>
  <c r="N164"/>
  <c r="AE163"/>
  <c r="W163"/>
  <c r="AJ163"/>
  <c r="U163" l="1"/>
  <c r="AI163"/>
  <c r="Y163"/>
  <c r="Z163" s="1"/>
  <c r="N163"/>
  <c r="AE162"/>
  <c r="AJ162"/>
  <c r="W162"/>
  <c r="U162" l="1"/>
  <c r="AI162"/>
  <c r="Y162"/>
  <c r="Z162" s="1"/>
  <c r="N162"/>
  <c r="AE161"/>
  <c r="AJ161"/>
  <c r="W161"/>
  <c r="U161" l="1"/>
  <c r="AI161"/>
  <c r="Y161"/>
  <c r="Z161" s="1"/>
  <c r="N161"/>
  <c r="AE160"/>
  <c r="AJ160"/>
  <c r="W160"/>
  <c r="U160" l="1"/>
  <c r="AI160"/>
  <c r="Y160"/>
  <c r="Z160" s="1"/>
  <c r="N160"/>
  <c r="AE159"/>
  <c r="AJ159"/>
  <c r="W159"/>
  <c r="U159" l="1"/>
  <c r="AI159"/>
  <c r="Y159"/>
  <c r="Z159" s="1"/>
  <c r="N159"/>
  <c r="AE158"/>
  <c r="AJ158"/>
  <c r="W158"/>
  <c r="U158" l="1"/>
  <c r="AI158"/>
  <c r="Y158"/>
  <c r="Z158" s="1"/>
  <c r="N158"/>
  <c r="AE157"/>
  <c r="AJ157"/>
  <c r="W157"/>
  <c r="U157" l="1"/>
  <c r="AI157"/>
  <c r="Y157"/>
  <c r="Z157" s="1"/>
  <c r="N157"/>
  <c r="AE156"/>
  <c r="AJ156"/>
  <c r="W156"/>
  <c r="U156" l="1"/>
  <c r="AI156"/>
  <c r="Y156"/>
  <c r="Z156" s="1"/>
  <c r="N156"/>
  <c r="AE155"/>
  <c r="AJ155"/>
  <c r="W155"/>
  <c r="U155" l="1"/>
  <c r="AI155"/>
  <c r="Y155"/>
  <c r="Z155" s="1"/>
  <c r="N155"/>
  <c r="AE154"/>
  <c r="AJ154"/>
  <c r="W154"/>
  <c r="U154" l="1"/>
  <c r="AI154"/>
  <c r="Y154"/>
  <c r="Z154" s="1"/>
  <c r="N154"/>
  <c r="AE153"/>
  <c r="AJ153"/>
  <c r="W153"/>
  <c r="U153" l="1"/>
  <c r="AI153"/>
  <c r="Y153"/>
  <c r="Z153" s="1"/>
  <c r="N153"/>
  <c r="AE152"/>
  <c r="AJ152"/>
  <c r="W152"/>
  <c r="U152" l="1"/>
  <c r="AI152"/>
  <c r="Y152"/>
  <c r="Z152" s="1"/>
  <c r="N152"/>
  <c r="AE150" l="1"/>
  <c r="AJ150"/>
  <c r="W150"/>
  <c r="U150" l="1"/>
  <c r="AI150"/>
  <c r="Y150"/>
  <c r="Z150" s="1"/>
  <c r="N150"/>
  <c r="AE149"/>
  <c r="AJ149"/>
  <c r="W149"/>
  <c r="U149" l="1"/>
  <c r="AI149"/>
  <c r="Y149"/>
  <c r="Z149" s="1"/>
  <c r="N149"/>
  <c r="AE148"/>
  <c r="AJ148"/>
  <c r="W148"/>
  <c r="U148" l="1"/>
  <c r="AI148"/>
  <c r="Y148"/>
  <c r="Z148" s="1"/>
  <c r="N148"/>
  <c r="AE147"/>
  <c r="AJ147"/>
  <c r="W147"/>
  <c r="U147" l="1"/>
  <c r="AI147"/>
  <c r="Y147"/>
  <c r="Z147" s="1"/>
  <c r="N147"/>
  <c r="AE146"/>
  <c r="AJ146"/>
  <c r="W146"/>
  <c r="U146" l="1"/>
  <c r="AI146"/>
  <c r="Y146"/>
  <c r="Z146" s="1"/>
  <c r="N146"/>
  <c r="AE145"/>
  <c r="AJ145"/>
  <c r="W145"/>
  <c r="U145" l="1"/>
  <c r="AI145"/>
  <c r="Y145"/>
  <c r="Z145" s="1"/>
  <c r="N145"/>
  <c r="AE144"/>
  <c r="AJ144"/>
  <c r="W144"/>
  <c r="U144" l="1"/>
  <c r="AI144"/>
  <c r="Y144"/>
  <c r="Z144" s="1"/>
  <c r="N144"/>
  <c r="AE143"/>
  <c r="AJ143"/>
  <c r="W143"/>
  <c r="U143" l="1"/>
  <c r="AI143"/>
  <c r="Y143"/>
  <c r="Z143" s="1"/>
  <c r="N143"/>
  <c r="AE142"/>
  <c r="AJ142"/>
  <c r="W142"/>
  <c r="U142" l="1"/>
  <c r="AI142"/>
  <c r="Y142"/>
  <c r="Z142" s="1"/>
  <c r="N142"/>
  <c r="AE141"/>
  <c r="AJ141"/>
  <c r="W141"/>
  <c r="U141" l="1"/>
  <c r="AI141"/>
  <c r="Y141"/>
  <c r="Z141" s="1"/>
  <c r="N141"/>
  <c r="AE140"/>
  <c r="AJ140"/>
  <c r="W140"/>
  <c r="U140" l="1"/>
  <c r="AI140"/>
  <c r="Y140"/>
  <c r="Z140" s="1"/>
  <c r="N140"/>
  <c r="AE139"/>
  <c r="AJ139"/>
  <c r="W139"/>
  <c r="U139" l="1"/>
  <c r="AI139"/>
  <c r="Y139"/>
  <c r="Z139" s="1"/>
  <c r="N139"/>
  <c r="AE138"/>
  <c r="W138"/>
  <c r="AJ138"/>
  <c r="U138" l="1"/>
  <c r="AI138"/>
  <c r="Y138"/>
  <c r="Z138" s="1"/>
  <c r="N138"/>
  <c r="AE137"/>
  <c r="AJ137"/>
  <c r="W137"/>
  <c r="U137" l="1"/>
  <c r="AI137"/>
  <c r="Y137"/>
  <c r="Z137" s="1"/>
  <c r="N137"/>
  <c r="AE136"/>
  <c r="AJ136"/>
  <c r="W136"/>
  <c r="U136" l="1"/>
  <c r="AI136"/>
  <c r="Y136"/>
  <c r="Z136" s="1"/>
  <c r="N136"/>
  <c r="AE135"/>
  <c r="AJ135"/>
  <c r="W135"/>
  <c r="U135" l="1"/>
  <c r="AI135"/>
  <c r="Y135"/>
  <c r="Z135" s="1"/>
  <c r="N135"/>
  <c r="AE134"/>
  <c r="AJ134"/>
  <c r="W134"/>
  <c r="U134" l="1"/>
  <c r="AI134"/>
  <c r="Y134"/>
  <c r="Z134" s="1"/>
  <c r="N134"/>
  <c r="AE133"/>
  <c r="AJ133"/>
  <c r="W133"/>
  <c r="U133" l="1"/>
  <c r="AI133"/>
  <c r="Y133"/>
  <c r="Z133" s="1"/>
  <c r="N133"/>
  <c r="AE132"/>
  <c r="AJ132"/>
  <c r="W132"/>
  <c r="U132" l="1"/>
  <c r="AI132"/>
  <c r="Y132"/>
  <c r="Z132" s="1"/>
  <c r="N132"/>
  <c r="AE131"/>
  <c r="W131"/>
  <c r="AJ131"/>
  <c r="U131" l="1"/>
  <c r="AI131"/>
  <c r="Y131"/>
  <c r="Z131" s="1"/>
  <c r="N131"/>
  <c r="AE130"/>
  <c r="AJ130"/>
  <c r="W130"/>
  <c r="U130" l="1"/>
  <c r="AI130"/>
  <c r="Y130"/>
  <c r="Z130" s="1"/>
  <c r="N130"/>
  <c r="AE129"/>
  <c r="AJ129"/>
  <c r="W129"/>
  <c r="U129" l="1"/>
  <c r="AI129"/>
  <c r="Y129"/>
  <c r="Z129" s="1"/>
  <c r="N129"/>
  <c r="AE128"/>
  <c r="AJ128"/>
  <c r="W128"/>
  <c r="U128" l="1"/>
  <c r="AI128"/>
  <c r="Y128"/>
  <c r="Z128" s="1"/>
  <c r="AE125"/>
  <c r="AJ125"/>
  <c r="W125"/>
  <c r="U125" l="1"/>
  <c r="AI125"/>
  <c r="Y125"/>
  <c r="Z125" s="1"/>
  <c r="N125"/>
  <c r="AE124"/>
  <c r="AJ124"/>
  <c r="W124"/>
  <c r="U124" l="1"/>
  <c r="AI124"/>
  <c r="Y124"/>
  <c r="Z124" s="1"/>
  <c r="N124"/>
  <c r="AE123"/>
  <c r="AJ123"/>
  <c r="W123"/>
  <c r="U123" l="1"/>
  <c r="AI123"/>
  <c r="Y123"/>
  <c r="Z123" s="1"/>
  <c r="N123"/>
  <c r="AE122"/>
  <c r="AJ122"/>
  <c r="W122"/>
  <c r="U122" l="1"/>
  <c r="AI122"/>
  <c r="Y122"/>
  <c r="Z122" s="1"/>
  <c r="N122"/>
  <c r="AE121"/>
  <c r="AJ121"/>
  <c r="W121"/>
  <c r="U121" l="1"/>
  <c r="AI121"/>
  <c r="Y121"/>
  <c r="Z121" s="1"/>
  <c r="N121"/>
  <c r="AE120"/>
  <c r="AJ120"/>
  <c r="W120"/>
  <c r="U120" l="1"/>
  <c r="AI120"/>
  <c r="Y120"/>
  <c r="Z120" s="1"/>
  <c r="N120"/>
  <c r="AE119"/>
  <c r="AJ119"/>
  <c r="W119"/>
  <c r="U119" l="1"/>
  <c r="AI119"/>
  <c r="Y119"/>
  <c r="Z119" s="1"/>
  <c r="N119"/>
  <c r="AE118"/>
  <c r="AJ118"/>
  <c r="W118"/>
  <c r="U118" l="1"/>
  <c r="AI118"/>
  <c r="Y118"/>
  <c r="Z118" s="1"/>
  <c r="N118"/>
  <c r="AE117"/>
  <c r="AJ117"/>
  <c r="W117"/>
  <c r="U117" l="1"/>
  <c r="AI117"/>
  <c r="Y117"/>
  <c r="Z117" s="1"/>
  <c r="N117"/>
  <c r="AE116"/>
  <c r="W116"/>
  <c r="AJ116"/>
  <c r="U116" l="1"/>
  <c r="AI116"/>
  <c r="Y116"/>
  <c r="Z116" s="1"/>
  <c r="N116"/>
  <c r="AE115"/>
  <c r="AJ115"/>
  <c r="W115"/>
  <c r="U115" l="1"/>
  <c r="AI115"/>
  <c r="Y115"/>
  <c r="Z115" s="1"/>
  <c r="N115"/>
  <c r="AE114"/>
  <c r="AJ114"/>
  <c r="W114"/>
  <c r="U114" l="1"/>
  <c r="AI114"/>
  <c r="Y114"/>
  <c r="Z114" s="1"/>
  <c r="N114"/>
  <c r="AE113"/>
  <c r="AJ113"/>
  <c r="W113"/>
  <c r="U113" l="1"/>
  <c r="AI113"/>
  <c r="Y113"/>
  <c r="Z113" s="1"/>
  <c r="N113"/>
  <c r="AE112"/>
  <c r="AJ112"/>
  <c r="W112"/>
  <c r="U112" l="1"/>
  <c r="AI112"/>
  <c r="Y112"/>
  <c r="Z112" s="1"/>
  <c r="N112"/>
  <c r="AE111"/>
  <c r="AJ111"/>
  <c r="W111"/>
  <c r="U111" l="1"/>
  <c r="AI111"/>
  <c r="Y111"/>
  <c r="Z111" s="1"/>
  <c r="N111"/>
  <c r="AE110"/>
  <c r="W110"/>
  <c r="AJ110"/>
  <c r="U110" l="1"/>
  <c r="AI110"/>
  <c r="Y110"/>
  <c r="Z110" s="1"/>
  <c r="N110"/>
  <c r="AE108" l="1"/>
  <c r="AJ108"/>
  <c r="W108"/>
  <c r="U108" l="1"/>
  <c r="AI108"/>
  <c r="Y108"/>
  <c r="Z108" s="1"/>
  <c r="N108"/>
  <c r="AE107"/>
  <c r="AJ107"/>
  <c r="W107"/>
  <c r="U107" l="1"/>
  <c r="AI107"/>
  <c r="Y107"/>
  <c r="Z107" s="1"/>
  <c r="N107"/>
  <c r="AE106"/>
  <c r="AJ106"/>
  <c r="W106"/>
  <c r="U106" l="1"/>
  <c r="AI106"/>
  <c r="Y106"/>
  <c r="Z106" s="1"/>
  <c r="N106"/>
  <c r="AE105"/>
  <c r="AJ105"/>
  <c r="W105"/>
  <c r="U105" l="1"/>
  <c r="AI105"/>
  <c r="Y105"/>
  <c r="Z105" s="1"/>
  <c r="N105"/>
  <c r="AE104"/>
  <c r="AJ104"/>
  <c r="W104"/>
  <c r="U104" l="1"/>
  <c r="AI104"/>
  <c r="Y104"/>
  <c r="Z104" s="1"/>
  <c r="N104"/>
  <c r="AE103"/>
  <c r="AJ103"/>
  <c r="W103"/>
  <c r="U103" l="1"/>
  <c r="AI103"/>
  <c r="Y103"/>
  <c r="Z103" s="1"/>
  <c r="N103"/>
  <c r="AE102"/>
  <c r="AJ102"/>
  <c r="W102"/>
  <c r="U102" l="1"/>
  <c r="AI102"/>
  <c r="Y102"/>
  <c r="Z102" s="1"/>
  <c r="N102"/>
  <c r="AE101"/>
  <c r="AJ101"/>
  <c r="W101"/>
  <c r="U101" l="1"/>
  <c r="AI101"/>
  <c r="Y101"/>
  <c r="Z101" s="1"/>
  <c r="N101"/>
  <c r="AE100"/>
  <c r="AJ100"/>
  <c r="W100"/>
  <c r="U100" l="1"/>
  <c r="AI100"/>
  <c r="Y100"/>
  <c r="Z100" s="1"/>
  <c r="N100"/>
  <c r="AE99"/>
  <c r="AJ99"/>
  <c r="W99"/>
  <c r="U99" l="1"/>
  <c r="AI99"/>
  <c r="Y99"/>
  <c r="Z99" s="1"/>
  <c r="N99"/>
  <c r="AE98"/>
  <c r="AJ98"/>
  <c r="W98"/>
  <c r="U98" l="1"/>
  <c r="AI98"/>
  <c r="Y98"/>
  <c r="Z98" s="1"/>
  <c r="N98"/>
  <c r="AE97"/>
  <c r="AJ97"/>
  <c r="W97"/>
  <c r="U97" l="1"/>
  <c r="AI97"/>
  <c r="Y97"/>
  <c r="Z97" s="1"/>
  <c r="N97"/>
  <c r="AE96"/>
  <c r="AJ96"/>
  <c r="W96"/>
  <c r="U96" l="1"/>
  <c r="AI96"/>
  <c r="Y96"/>
  <c r="Z96" s="1"/>
  <c r="N96"/>
  <c r="AE95"/>
  <c r="W95"/>
  <c r="AJ95"/>
  <c r="U95" l="1"/>
  <c r="AI95"/>
  <c r="Y95"/>
  <c r="Z95" s="1"/>
  <c r="N95"/>
  <c r="AE94"/>
  <c r="AJ94"/>
  <c r="W94"/>
  <c r="U94" l="1"/>
  <c r="AI94"/>
  <c r="Y94"/>
  <c r="Z94" s="1"/>
  <c r="N94"/>
  <c r="AE93"/>
  <c r="AJ93"/>
  <c r="W93"/>
  <c r="U93" l="1"/>
  <c r="AI93"/>
  <c r="Y93"/>
  <c r="Z93" s="1"/>
  <c r="N93"/>
  <c r="AE92"/>
  <c r="AJ92"/>
  <c r="W92"/>
  <c r="U92" l="1"/>
  <c r="AI92"/>
  <c r="Y92"/>
  <c r="Z92" s="1"/>
  <c r="N92"/>
  <c r="AE91"/>
  <c r="AJ91"/>
  <c r="W91"/>
  <c r="U91" l="1"/>
  <c r="AI91"/>
  <c r="Y91"/>
  <c r="Z91" s="1"/>
  <c r="N91"/>
  <c r="AE90"/>
  <c r="AJ90"/>
  <c r="W90"/>
  <c r="U90" l="1"/>
  <c r="AI90"/>
  <c r="Y90"/>
  <c r="Z90" s="1"/>
  <c r="N90"/>
  <c r="AE89"/>
  <c r="AJ89"/>
  <c r="W89"/>
  <c r="U89" l="1"/>
  <c r="AI89"/>
  <c r="Y89"/>
  <c r="Z89" s="1"/>
  <c r="N89"/>
  <c r="AE88"/>
  <c r="AJ88"/>
  <c r="W88"/>
  <c r="U88" l="1"/>
  <c r="AI88"/>
  <c r="Y88"/>
  <c r="Z88" s="1"/>
  <c r="N88"/>
  <c r="AE87"/>
  <c r="W87"/>
  <c r="AJ87"/>
  <c r="U87" l="1"/>
  <c r="AI87"/>
  <c r="Y87"/>
  <c r="Z87" s="1"/>
  <c r="N87"/>
  <c r="AE86"/>
  <c r="AJ86"/>
  <c r="W86"/>
  <c r="U86" l="1"/>
  <c r="AI86"/>
  <c r="Y86"/>
  <c r="Z86" s="1"/>
  <c r="N86"/>
  <c r="AE85"/>
  <c r="AJ85"/>
  <c r="W85"/>
  <c r="U85" l="1"/>
  <c r="AI85"/>
  <c r="Y85"/>
  <c r="Z85" s="1"/>
  <c r="N85"/>
  <c r="AE84"/>
  <c r="AJ84"/>
  <c r="W84"/>
  <c r="U84" l="1"/>
  <c r="AI84"/>
  <c r="Y84"/>
  <c r="Z84" s="1"/>
  <c r="N84"/>
  <c r="AE83"/>
  <c r="AJ83"/>
  <c r="W83"/>
  <c r="U83" l="1"/>
  <c r="AI83"/>
  <c r="Y83"/>
  <c r="Z83" s="1"/>
  <c r="N83"/>
  <c r="AE82"/>
  <c r="AJ82"/>
  <c r="W82"/>
  <c r="U82" l="1"/>
  <c r="AI82"/>
  <c r="Y82"/>
  <c r="Z82" s="1"/>
  <c r="N82"/>
  <c r="AE81"/>
  <c r="AJ81"/>
  <c r="W81"/>
  <c r="U81" l="1"/>
  <c r="AI81"/>
  <c r="Y81"/>
  <c r="Z81" s="1"/>
  <c r="N81"/>
  <c r="AE80"/>
  <c r="AJ80"/>
  <c r="W80"/>
  <c r="U80" l="1"/>
  <c r="AI80"/>
  <c r="Y80"/>
  <c r="Z80" s="1"/>
  <c r="N80"/>
  <c r="AE79"/>
  <c r="AJ79"/>
  <c r="W79"/>
  <c r="U79" l="1"/>
  <c r="AI79"/>
  <c r="Y79"/>
  <c r="Z79" s="1"/>
  <c r="N79"/>
  <c r="AE78"/>
  <c r="AJ78"/>
  <c r="W78"/>
  <c r="U78" l="1"/>
  <c r="AI78"/>
  <c r="Y78"/>
  <c r="Z78" s="1"/>
  <c r="N78"/>
  <c r="AE77"/>
  <c r="AJ77"/>
  <c r="W77"/>
  <c r="U77" l="1"/>
  <c r="AI77"/>
  <c r="Y77"/>
  <c r="Z77" s="1"/>
  <c r="N77"/>
  <c r="AE76"/>
  <c r="AJ76"/>
  <c r="W76"/>
  <c r="U76" l="1"/>
  <c r="AI76"/>
  <c r="Y76"/>
  <c r="Z76" s="1"/>
  <c r="N76"/>
  <c r="AE75"/>
  <c r="AJ75"/>
  <c r="W75"/>
  <c r="U75" l="1"/>
  <c r="AI75"/>
  <c r="Y75"/>
  <c r="Z75" s="1"/>
  <c r="N75"/>
  <c r="AE74"/>
  <c r="AJ74"/>
  <c r="W74"/>
  <c r="U74" l="1"/>
  <c r="AI74"/>
  <c r="Y74"/>
  <c r="Z74" s="1"/>
  <c r="N74"/>
  <c r="AE73"/>
  <c r="W73"/>
  <c r="AJ73"/>
  <c r="U73" l="1"/>
  <c r="AI73"/>
  <c r="Y73"/>
  <c r="Z73" s="1"/>
  <c r="N73"/>
  <c r="AE72"/>
  <c r="AJ72"/>
  <c r="W72"/>
  <c r="U72" l="1"/>
  <c r="AI72"/>
  <c r="Y72"/>
  <c r="Z72" s="1"/>
  <c r="N72"/>
  <c r="AE71"/>
  <c r="AJ71"/>
  <c r="W71"/>
  <c r="U71" l="1"/>
  <c r="AI71"/>
  <c r="Y71"/>
  <c r="Z71" s="1"/>
  <c r="N71"/>
  <c r="AE70"/>
  <c r="AJ70"/>
  <c r="W70"/>
  <c r="U70" l="1"/>
  <c r="AI70"/>
  <c r="Y70"/>
  <c r="Z70" s="1"/>
  <c r="AJ67"/>
  <c r="W67"/>
  <c r="U67" l="1"/>
  <c r="AI67"/>
  <c r="Y67"/>
  <c r="N67"/>
  <c r="AJ66"/>
  <c r="W66"/>
  <c r="U66" l="1"/>
  <c r="AI66"/>
  <c r="Y66"/>
  <c r="N66"/>
  <c r="AJ65"/>
  <c r="W65"/>
  <c r="U65" l="1"/>
  <c r="AI65"/>
  <c r="Y65"/>
  <c r="N65"/>
  <c r="W64"/>
  <c r="AJ64"/>
  <c r="U64" l="1"/>
  <c r="AI64"/>
  <c r="Y64"/>
  <c r="N64"/>
  <c r="AJ63"/>
  <c r="W63"/>
  <c r="U63" l="1"/>
  <c r="AI63"/>
  <c r="Y63"/>
  <c r="N63"/>
  <c r="AJ62"/>
  <c r="W62"/>
  <c r="U62" l="1"/>
  <c r="AI62"/>
  <c r="Y62"/>
  <c r="N62"/>
  <c r="AJ61"/>
  <c r="W61"/>
  <c r="U61" l="1"/>
  <c r="AI61"/>
  <c r="Y61"/>
  <c r="N61"/>
  <c r="AJ60"/>
  <c r="W60"/>
  <c r="U60" l="1"/>
  <c r="AI60"/>
  <c r="Y60"/>
  <c r="N60"/>
  <c r="W59"/>
  <c r="AJ59"/>
  <c r="U59" l="1"/>
  <c r="AI59"/>
  <c r="Y59"/>
  <c r="N59"/>
  <c r="AJ58"/>
  <c r="W58"/>
  <c r="U58" l="1"/>
  <c r="AI58"/>
  <c r="Y58"/>
  <c r="N58"/>
  <c r="AJ56"/>
  <c r="W56"/>
  <c r="U56" l="1"/>
  <c r="AI56"/>
  <c r="Y56"/>
  <c r="N56"/>
  <c r="AJ55"/>
  <c r="W55"/>
  <c r="U55" l="1"/>
  <c r="AI55"/>
  <c r="Y55"/>
  <c r="N55"/>
  <c r="AJ54"/>
  <c r="W54"/>
  <c r="U54" l="1"/>
  <c r="AI54"/>
  <c r="Y54"/>
  <c r="N54"/>
  <c r="AJ53"/>
  <c r="W53"/>
  <c r="U53" l="1"/>
  <c r="AI53"/>
  <c r="Y53"/>
  <c r="N53"/>
  <c r="AJ52"/>
  <c r="W52"/>
  <c r="U52" l="1"/>
  <c r="AI52"/>
  <c r="Y52"/>
  <c r="AJ51"/>
  <c r="W51"/>
  <c r="U51" l="1"/>
  <c r="AI51"/>
  <c r="Y51"/>
  <c r="N51"/>
  <c r="AJ50"/>
  <c r="W50"/>
  <c r="U50" l="1"/>
  <c r="AI50"/>
  <c r="Y50"/>
  <c r="N50"/>
  <c r="AJ49"/>
  <c r="W49"/>
  <c r="U49" l="1"/>
  <c r="AI49"/>
  <c r="Y49"/>
  <c r="N49"/>
  <c r="AJ48"/>
  <c r="W48"/>
  <c r="U48" l="1"/>
  <c r="AI48"/>
  <c r="Y48"/>
  <c r="N48"/>
  <c r="AJ47"/>
  <c r="W47"/>
  <c r="U47" l="1"/>
  <c r="AI47"/>
  <c r="Y47"/>
  <c r="N47"/>
  <c r="W46"/>
  <c r="AJ46"/>
  <c r="U46" l="1"/>
  <c r="AI46"/>
  <c r="Y46"/>
  <c r="N46"/>
  <c r="AJ45"/>
  <c r="W45"/>
  <c r="U45" l="1"/>
  <c r="AI45"/>
  <c r="Y45"/>
  <c r="N45"/>
  <c r="AJ44"/>
  <c r="W44"/>
  <c r="U44" l="1"/>
  <c r="AI44"/>
  <c r="Y44"/>
  <c r="N44"/>
  <c r="AJ43"/>
  <c r="W43"/>
  <c r="U43" l="1"/>
  <c r="AI43"/>
  <c r="Y43"/>
  <c r="N43"/>
  <c r="AJ42"/>
  <c r="W42"/>
  <c r="U42" l="1"/>
  <c r="AI42"/>
  <c r="Y42"/>
  <c r="AJ39"/>
  <c r="W39"/>
  <c r="U39" l="1"/>
  <c r="AI39"/>
  <c r="Y39"/>
  <c r="N39"/>
  <c r="AJ38"/>
  <c r="W38"/>
  <c r="U38" l="1"/>
  <c r="AI38"/>
  <c r="Y38"/>
  <c r="N38"/>
  <c r="AJ37"/>
  <c r="W37"/>
  <c r="U37" l="1"/>
  <c r="AI37"/>
  <c r="Y37"/>
  <c r="N37"/>
  <c r="W36"/>
  <c r="AJ36"/>
  <c r="U36" l="1"/>
  <c r="AI36"/>
  <c r="Y36"/>
  <c r="N36"/>
  <c r="AJ34"/>
  <c r="W34"/>
  <c r="U34" l="1"/>
  <c r="AI34"/>
  <c r="Y34"/>
  <c r="N34"/>
  <c r="AJ33"/>
  <c r="W33"/>
  <c r="U33" l="1"/>
  <c r="AI33"/>
  <c r="Y33"/>
  <c r="N33"/>
  <c r="AJ32"/>
  <c r="W32"/>
  <c r="U32" l="1"/>
  <c r="AI32"/>
  <c r="Y32"/>
  <c r="N32"/>
  <c r="AJ31"/>
  <c r="W31"/>
  <c r="U31" l="1"/>
  <c r="AI31"/>
  <c r="Y31"/>
  <c r="N31"/>
  <c r="AJ30"/>
  <c r="W30"/>
  <c r="U30" l="1"/>
  <c r="AI30"/>
  <c r="Y30"/>
  <c r="N30"/>
  <c r="AJ29"/>
  <c r="W29"/>
  <c r="U29" l="1"/>
  <c r="AI29"/>
  <c r="Y29"/>
  <c r="N29"/>
  <c r="AJ28"/>
  <c r="W28"/>
  <c r="U28" l="1"/>
  <c r="AI28"/>
  <c r="Y28"/>
  <c r="N28"/>
  <c r="AJ27"/>
  <c r="W27"/>
  <c r="U27" l="1"/>
  <c r="AI27"/>
  <c r="Y27"/>
  <c r="N27"/>
  <c r="AJ26"/>
  <c r="W26"/>
  <c r="U26" l="1"/>
  <c r="AI26"/>
  <c r="Y26"/>
  <c r="N26"/>
  <c r="AJ25"/>
  <c r="W25"/>
  <c r="U25" l="1"/>
  <c r="AI25"/>
  <c r="Y25"/>
  <c r="N25"/>
  <c r="AJ24"/>
  <c r="W24"/>
  <c r="U24" l="1"/>
  <c r="AI24"/>
  <c r="Y24"/>
  <c r="N24"/>
  <c r="AJ23"/>
  <c r="W23"/>
  <c r="U23" l="1"/>
  <c r="AI23"/>
  <c r="Y23"/>
  <c r="N23"/>
  <c r="AJ22"/>
  <c r="W22"/>
  <c r="U22" l="1"/>
  <c r="AI22"/>
  <c r="Y22"/>
  <c r="N22"/>
  <c r="AJ21"/>
  <c r="W21"/>
  <c r="U21" l="1"/>
  <c r="AI21"/>
  <c r="Y21"/>
  <c r="N21"/>
  <c r="AJ20"/>
  <c r="W20"/>
  <c r="U20" l="1"/>
  <c r="AI20"/>
  <c r="Y20"/>
  <c r="N20"/>
  <c r="AJ19"/>
  <c r="W19"/>
  <c r="U19" l="1"/>
  <c r="AI19"/>
  <c r="Y19"/>
  <c r="N19"/>
  <c r="AJ18"/>
  <c r="W18"/>
  <c r="U18" l="1"/>
  <c r="AI18"/>
  <c r="Y18"/>
  <c r="N18"/>
  <c r="AJ17"/>
  <c r="W17"/>
  <c r="U17" l="1"/>
  <c r="AI17"/>
  <c r="Y17"/>
  <c r="N17"/>
  <c r="AJ16"/>
  <c r="W16"/>
  <c r="U16" l="1"/>
  <c r="AI16"/>
  <c r="Y16"/>
  <c r="N16"/>
  <c r="AJ15"/>
  <c r="W15"/>
  <c r="U15" l="1"/>
  <c r="AI15"/>
  <c r="Y15"/>
  <c r="N15"/>
  <c r="AJ14"/>
  <c r="W14"/>
  <c r="U14" l="1"/>
  <c r="AI14"/>
  <c r="Y14"/>
  <c r="N14"/>
  <c r="AJ13"/>
  <c r="W13"/>
  <c r="U13" l="1"/>
  <c r="AI13"/>
  <c r="Y13"/>
  <c r="N13"/>
  <c r="AJ10"/>
  <c r="W10"/>
  <c r="U10" l="1"/>
  <c r="AI10"/>
  <c r="Y10"/>
  <c r="N10"/>
  <c r="AJ9"/>
  <c r="W9"/>
  <c r="U9" l="1"/>
  <c r="AI9"/>
  <c r="Y9"/>
  <c r="N9"/>
  <c r="AJ8"/>
  <c r="W8"/>
  <c r="U8" l="1"/>
  <c r="AI8"/>
  <c r="Y8"/>
  <c r="N8"/>
  <c r="AJ7"/>
  <c r="W7"/>
  <c r="U7" l="1"/>
  <c r="AI7"/>
  <c r="Y7"/>
  <c r="N7"/>
  <c r="AJ6"/>
  <c r="W6"/>
  <c r="U6" l="1"/>
  <c r="AI6"/>
  <c r="Y6"/>
  <c r="N6"/>
  <c r="AJ5"/>
  <c r="W5"/>
  <c r="U5" l="1"/>
  <c r="AI5"/>
  <c r="Y5"/>
  <c r="N5"/>
  <c r="AJ4"/>
  <c r="W4"/>
  <c r="U4" l="1"/>
  <c r="AI4"/>
  <c r="Y4"/>
  <c r="AE1"/>
  <c r="W1"/>
  <c r="Y1" l="1"/>
  <c r="Z1" s="1"/>
  <c r="N1"/>
  <c r="N19" i="28" l="1"/>
  <c r="AE82" l="1"/>
  <c r="Y82" l="1"/>
  <c r="Z82" s="1"/>
  <c r="N82"/>
  <c r="N26" l="1"/>
  <c r="AJ26"/>
  <c r="W26"/>
  <c r="AI26" l="1"/>
  <c r="U26"/>
  <c r="AG26"/>
  <c r="Y26"/>
  <c r="Z26" s="1"/>
  <c r="AE86" l="1"/>
  <c r="Y86" l="1"/>
  <c r="Z86" s="1"/>
  <c r="N86"/>
  <c r="AE84" l="1"/>
  <c r="Y84" l="1"/>
  <c r="Z84" s="1"/>
  <c r="N84"/>
  <c r="AE83"/>
  <c r="Y83" l="1"/>
  <c r="Z83" s="1"/>
  <c r="N83"/>
  <c r="AE85" l="1"/>
  <c r="Y85" l="1"/>
  <c r="Z85" s="1"/>
  <c r="N85"/>
  <c r="AJ15"/>
  <c r="W123" i="22"/>
  <c r="AI15" i="28" l="1"/>
  <c r="AJ16"/>
  <c r="AI16" l="1"/>
  <c r="W15"/>
  <c r="U15" l="1"/>
  <c r="Y15"/>
  <c r="Z15" s="1"/>
  <c r="N15"/>
  <c r="AE87" l="1"/>
  <c r="Y87" l="1"/>
  <c r="Z87" s="1"/>
  <c r="N87"/>
  <c r="AJ14"/>
  <c r="AI14" l="1"/>
  <c r="W14"/>
  <c r="U14" l="1"/>
  <c r="Y14"/>
  <c r="Z14" s="1"/>
  <c r="N14"/>
  <c r="AJ40"/>
  <c r="AJ30"/>
  <c r="AJ35"/>
  <c r="AJ42"/>
  <c r="AJ23"/>
  <c r="AJ22"/>
  <c r="AJ32"/>
  <c r="AJ34"/>
  <c r="AJ12"/>
  <c r="AJ29"/>
  <c r="AJ25"/>
  <c r="AJ41"/>
  <c r="AJ11"/>
  <c r="AJ19"/>
  <c r="AJ33"/>
  <c r="AJ21"/>
  <c r="AJ24"/>
  <c r="AJ38"/>
  <c r="AJ20"/>
  <c r="AJ27"/>
  <c r="AJ39"/>
  <c r="AJ36"/>
  <c r="AJ28"/>
  <c r="AI34" l="1"/>
  <c r="AI39"/>
  <c r="AI12"/>
  <c r="AI42"/>
  <c r="AI27"/>
  <c r="AI28"/>
  <c r="AI33"/>
  <c r="AI20"/>
  <c r="AI38"/>
  <c r="AI22"/>
  <c r="AI40"/>
  <c r="AI21"/>
  <c r="AI32"/>
  <c r="AI36"/>
  <c r="AI23"/>
  <c r="AI11"/>
  <c r="AI19"/>
  <c r="AI29"/>
  <c r="AI30"/>
  <c r="AI35"/>
  <c r="AI24"/>
  <c r="AI25"/>
  <c r="AI41"/>
  <c r="N16" l="1"/>
  <c r="N23"/>
  <c r="N25"/>
  <c r="N11"/>
  <c r="N30"/>
  <c r="N33"/>
  <c r="N24"/>
  <c r="N32"/>
  <c r="N21"/>
  <c r="N20"/>
  <c r="N29"/>
  <c r="N28"/>
  <c r="N39"/>
  <c r="N22"/>
  <c r="N27"/>
  <c r="N34"/>
  <c r="N12"/>
  <c r="N40"/>
  <c r="N41"/>
  <c r="N36"/>
  <c r="N38"/>
  <c r="N35"/>
  <c r="N42"/>
  <c r="N88"/>
  <c r="N89"/>
  <c r="N90"/>
  <c r="N91"/>
  <c r="N92"/>
  <c r="N93"/>
  <c r="N94"/>
  <c r="N95"/>
  <c r="N96"/>
  <c r="N97"/>
  <c r="N98"/>
  <c r="N99"/>
  <c r="N100"/>
  <c r="N101"/>
  <c r="N102"/>
  <c r="N103"/>
  <c r="N104"/>
  <c r="N10"/>
  <c r="AE89" l="1"/>
  <c r="Y89" l="1"/>
  <c r="Z89" s="1"/>
  <c r="AE88"/>
  <c r="Y88" l="1"/>
  <c r="Z88" s="1"/>
  <c r="AE93" l="1"/>
  <c r="Y93" l="1"/>
  <c r="Z93" s="1"/>
  <c r="AE92" l="1"/>
  <c r="Y92" l="1"/>
  <c r="Z92" s="1"/>
  <c r="AE91"/>
  <c r="Y91" l="1"/>
  <c r="Z91" s="1"/>
  <c r="AE90"/>
  <c r="Y90" l="1"/>
  <c r="Z90" s="1"/>
  <c r="X3" i="22"/>
  <c r="W3"/>
  <c r="AE40"/>
  <c r="W40"/>
  <c r="Y3" l="1"/>
  <c r="Z3" s="1"/>
  <c r="AB3"/>
  <c r="Y40"/>
  <c r="Z40" s="1"/>
  <c r="N40"/>
  <c r="X7"/>
  <c r="W7"/>
  <c r="AC3" l="1"/>
  <c r="AB7"/>
  <c r="Y7"/>
  <c r="Z7" s="1"/>
  <c r="AC7" l="1"/>
  <c r="X119" l="1"/>
  <c r="X118"/>
  <c r="X117"/>
  <c r="X35" i="28"/>
  <c r="X23"/>
  <c r="X25" i="22"/>
  <c r="X24"/>
  <c r="X23"/>
  <c r="X22"/>
  <c r="X21"/>
  <c r="X20"/>
  <c r="AE44"/>
  <c r="X44" l="1"/>
  <c r="W44"/>
  <c r="Y44" l="1"/>
  <c r="Z44" s="1"/>
  <c r="N44"/>
  <c r="W24" i="28"/>
  <c r="U24" l="1"/>
  <c r="AG24"/>
  <c r="Y24"/>
  <c r="Z24" s="1"/>
  <c r="W22"/>
  <c r="U22" l="1"/>
  <c r="AG22"/>
  <c r="Y22"/>
  <c r="Z22" s="1"/>
  <c r="AE95" l="1"/>
  <c r="Y95" l="1"/>
  <c r="Z95" s="1"/>
  <c r="AE94"/>
  <c r="Y94" l="1"/>
  <c r="Z94" s="1"/>
  <c r="AE97" l="1"/>
  <c r="Y97" l="1"/>
  <c r="Z97" s="1"/>
  <c r="AE96"/>
  <c r="Y96" l="1"/>
  <c r="Z96" s="1"/>
  <c r="AE98" l="1"/>
  <c r="Y98" l="1"/>
  <c r="Z98" s="1"/>
  <c r="X41" i="22" l="1"/>
  <c r="W41"/>
  <c r="Y41" l="1"/>
  <c r="Z41" s="1"/>
  <c r="AB41"/>
  <c r="AE99" i="28"/>
  <c r="AC41" i="22" l="1"/>
  <c r="Y99" i="28"/>
  <c r="Z99" s="1"/>
  <c r="AE71" i="22" l="1"/>
  <c r="W71"/>
  <c r="Y71" l="1"/>
  <c r="Z71" s="1"/>
  <c r="N71"/>
  <c r="X45"/>
  <c r="W45"/>
  <c r="Y45" l="1"/>
  <c r="Z45" s="1"/>
  <c r="AB45"/>
  <c r="W30" i="28"/>
  <c r="U30" l="1"/>
  <c r="AC45" i="22"/>
  <c r="AG30" i="28"/>
  <c r="Y30"/>
  <c r="Z30" s="1"/>
  <c r="AE101" l="1"/>
  <c r="Y101" l="1"/>
  <c r="Z101" s="1"/>
  <c r="AE100" l="1"/>
  <c r="Y100" l="1"/>
  <c r="Z100" s="1"/>
  <c r="AE87" i="22" l="1"/>
  <c r="W87"/>
  <c r="Y87" l="1"/>
  <c r="Z87" s="1"/>
  <c r="N87"/>
  <c r="AG53" i="28"/>
  <c r="AG52"/>
  <c r="AG51"/>
  <c r="AG50"/>
  <c r="AG49"/>
  <c r="AE66" i="22"/>
  <c r="W66"/>
  <c r="Y66" l="1"/>
  <c r="Z66" s="1"/>
  <c r="N66"/>
  <c r="W27" i="28"/>
  <c r="U27" l="1"/>
  <c r="AG27"/>
  <c r="Y27"/>
  <c r="Z27" s="1"/>
  <c r="AE102" l="1"/>
  <c r="Y102" l="1"/>
  <c r="Z102" s="1"/>
  <c r="AE103"/>
  <c r="Y103" l="1"/>
  <c r="Z103" s="1"/>
  <c r="AE104"/>
  <c r="Y104" l="1"/>
  <c r="Z104" s="1"/>
  <c r="X88" i="22" l="1"/>
  <c r="W88"/>
  <c r="AE29"/>
  <c r="W29"/>
  <c r="Y88" l="1"/>
  <c r="Z88" s="1"/>
  <c r="AB88"/>
  <c r="Y29"/>
  <c r="Z29" s="1"/>
  <c r="N29"/>
  <c r="AE105" i="28"/>
  <c r="AC88" i="22" l="1"/>
  <c r="Y105" i="28"/>
  <c r="Z105" s="1"/>
  <c r="N105"/>
  <c r="X13" i="22" l="1"/>
  <c r="X12"/>
  <c r="X11"/>
  <c r="X10"/>
  <c r="X19" i="28"/>
  <c r="AE109" l="1"/>
  <c r="Y109" l="1"/>
  <c r="Z109" s="1"/>
  <c r="N109"/>
  <c r="AE108"/>
  <c r="Y108" l="1"/>
  <c r="Z108" s="1"/>
  <c r="N108"/>
  <c r="AE107"/>
  <c r="Y107" l="1"/>
  <c r="Z107" s="1"/>
  <c r="N107"/>
  <c r="AE106"/>
  <c r="Y106" l="1"/>
  <c r="Z106" s="1"/>
  <c r="N106"/>
  <c r="X113" i="22" l="1"/>
  <c r="X112"/>
  <c r="X111"/>
  <c r="X41" i="28"/>
  <c r="AE110" l="1"/>
  <c r="Y110" l="1"/>
  <c r="Z110" s="1"/>
  <c r="N110"/>
  <c r="AE111" l="1"/>
  <c r="Y111" l="1"/>
  <c r="Z111" s="1"/>
  <c r="N111"/>
  <c r="AE113" l="1"/>
  <c r="Y113" l="1"/>
  <c r="Z113" s="1"/>
  <c r="N113"/>
  <c r="K15" i="21" l="1"/>
  <c r="L15" s="1"/>
  <c r="M14"/>
  <c r="M15" s="1"/>
  <c r="N14" l="1"/>
  <c r="N15" s="1"/>
  <c r="L14"/>
  <c r="AE112" i="28" l="1"/>
  <c r="Y112" l="1"/>
  <c r="Z112" s="1"/>
  <c r="N112"/>
  <c r="AE114" l="1"/>
  <c r="Y114" l="1"/>
  <c r="Z114" s="1"/>
  <c r="N114"/>
  <c r="X102" i="22" l="1"/>
  <c r="X101"/>
  <c r="X100"/>
  <c r="X36" i="28"/>
  <c r="AE115" l="1"/>
  <c r="Y115" l="1"/>
  <c r="Z115" s="1"/>
  <c r="N115"/>
  <c r="AE16" l="1"/>
  <c r="W16"/>
  <c r="U16" l="1"/>
  <c r="Y16"/>
  <c r="Z16" s="1"/>
  <c r="X26" i="22" l="1"/>
  <c r="AE25"/>
  <c r="W25"/>
  <c r="Y25" l="1"/>
  <c r="Z25" s="1"/>
  <c r="N25"/>
  <c r="AE24"/>
  <c r="W24"/>
  <c r="Y24" l="1"/>
  <c r="Z24" s="1"/>
  <c r="N24"/>
  <c r="AE23"/>
  <c r="W23"/>
  <c r="Y23" l="1"/>
  <c r="Z23" s="1"/>
  <c r="N23"/>
  <c r="AE22"/>
  <c r="W22"/>
  <c r="Y22" l="1"/>
  <c r="Z22" s="1"/>
  <c r="N22"/>
  <c r="AE21"/>
  <c r="W21"/>
  <c r="Y21" l="1"/>
  <c r="Z21" s="1"/>
  <c r="N21"/>
  <c r="AE20"/>
  <c r="W20"/>
  <c r="W26" l="1"/>
  <c r="Y20"/>
  <c r="Z20" s="1"/>
  <c r="N20"/>
  <c r="Y26" l="1"/>
  <c r="AB26"/>
  <c r="AC26" l="1"/>
  <c r="Z26"/>
  <c r="AE118" i="28" l="1"/>
  <c r="Y118" l="1"/>
  <c r="Z118" s="1"/>
  <c r="N118"/>
  <c r="AE116" l="1"/>
  <c r="Y116" l="1"/>
  <c r="Z116" s="1"/>
  <c r="N116"/>
  <c r="W10"/>
  <c r="U10" l="1"/>
  <c r="Y10"/>
  <c r="Z10" s="1"/>
  <c r="AE123" l="1"/>
  <c r="Y123" l="1"/>
  <c r="Z123" s="1"/>
  <c r="N123"/>
  <c r="AE122" l="1"/>
  <c r="Y122" l="1"/>
  <c r="Z122" s="1"/>
  <c r="N122"/>
  <c r="AE121" l="1"/>
  <c r="Y121" l="1"/>
  <c r="Z121" s="1"/>
  <c r="N121"/>
  <c r="AE120"/>
  <c r="Y120" l="1"/>
  <c r="Z120" s="1"/>
  <c r="N120"/>
  <c r="AE119"/>
  <c r="Y119" l="1"/>
  <c r="Z119" s="1"/>
  <c r="N119"/>
  <c r="J28" i="21" l="1"/>
  <c r="I28"/>
  <c r="O28" s="1"/>
  <c r="K17"/>
  <c r="M17"/>
  <c r="N17" l="1"/>
  <c r="L17"/>
  <c r="X168" i="22" l="1"/>
  <c r="W168"/>
  <c r="AE167"/>
  <c r="Y167"/>
  <c r="Z167" s="1"/>
  <c r="N167"/>
  <c r="Y168" l="1"/>
  <c r="Z168" s="1"/>
  <c r="AB168"/>
  <c r="AC168" l="1"/>
  <c r="AE124" i="28" l="1"/>
  <c r="Y124" l="1"/>
  <c r="Z124" s="1"/>
  <c r="N124"/>
  <c r="AE127" l="1"/>
  <c r="Y127" l="1"/>
  <c r="Z127" s="1"/>
  <c r="N127"/>
  <c r="AE117"/>
  <c r="Y117" l="1"/>
  <c r="Z117" s="1"/>
  <c r="N117"/>
  <c r="AE125"/>
  <c r="Y125" l="1"/>
  <c r="Z125" s="1"/>
  <c r="N125"/>
  <c r="AE129" l="1"/>
  <c r="Y129" l="1"/>
  <c r="Z129" s="1"/>
  <c r="N129"/>
  <c r="AE128"/>
  <c r="Y128" l="1"/>
  <c r="Z128" s="1"/>
  <c r="N128"/>
  <c r="AE126"/>
  <c r="Y126" l="1"/>
  <c r="Z126" s="1"/>
  <c r="N126"/>
  <c r="AE130" l="1"/>
  <c r="Y130" l="1"/>
  <c r="Z130" s="1"/>
  <c r="N130"/>
  <c r="AE133"/>
  <c r="Y133" l="1"/>
  <c r="Z133" s="1"/>
  <c r="N133"/>
  <c r="AE132" l="1"/>
  <c r="Y132" l="1"/>
  <c r="Z132" s="1"/>
  <c r="N132"/>
  <c r="AE112" i="22"/>
  <c r="X72"/>
  <c r="W72"/>
  <c r="Y72" l="1"/>
  <c r="Z72" s="1"/>
  <c r="AB72"/>
  <c r="AE48"/>
  <c r="W48"/>
  <c r="AC72" l="1"/>
  <c r="Y48"/>
  <c r="Z48" s="1"/>
  <c r="N48"/>
  <c r="AE130" l="1"/>
  <c r="W130"/>
  <c r="Y130" l="1"/>
  <c r="Z130" s="1"/>
  <c r="N130"/>
  <c r="AE129"/>
  <c r="W129"/>
  <c r="Y129" l="1"/>
  <c r="Z129" s="1"/>
  <c r="N129"/>
  <c r="AE128"/>
  <c r="X128"/>
  <c r="W128"/>
  <c r="Y128" l="1"/>
  <c r="Z128" s="1"/>
  <c r="N128"/>
  <c r="AE127"/>
  <c r="X127"/>
  <c r="X131" s="1"/>
  <c r="W127"/>
  <c r="Y127" l="1"/>
  <c r="Z127" s="1"/>
  <c r="N127"/>
  <c r="AE126"/>
  <c r="W126"/>
  <c r="Y126" l="1"/>
  <c r="Z126" s="1"/>
  <c r="N126"/>
  <c r="AE125"/>
  <c r="W125"/>
  <c r="Y125" l="1"/>
  <c r="Z125" s="1"/>
  <c r="N125"/>
  <c r="AE124"/>
  <c r="W124"/>
  <c r="Y124" l="1"/>
  <c r="Z124" s="1"/>
  <c r="N124"/>
  <c r="AE123"/>
  <c r="W131" l="1"/>
  <c r="Y123"/>
  <c r="Z123" s="1"/>
  <c r="N123"/>
  <c r="AB131" l="1"/>
  <c r="Y131"/>
  <c r="W38" i="28"/>
  <c r="U38" l="1"/>
  <c r="AC131" i="22"/>
  <c r="Z131"/>
  <c r="AG38" i="28"/>
  <c r="Y38"/>
  <c r="Z38" s="1"/>
  <c r="W32"/>
  <c r="U32" l="1"/>
  <c r="AG32"/>
  <c r="Y32"/>
  <c r="Z32" s="1"/>
  <c r="AE131" l="1"/>
  <c r="Y131" l="1"/>
  <c r="Z131" s="1"/>
  <c r="N131"/>
  <c r="AE134" l="1"/>
  <c r="Y134" l="1"/>
  <c r="Z134" s="1"/>
  <c r="N134"/>
  <c r="AE137" l="1"/>
  <c r="Y137" l="1"/>
  <c r="Z137" s="1"/>
  <c r="N137"/>
  <c r="AE136"/>
  <c r="Y136" l="1"/>
  <c r="Z136" s="1"/>
  <c r="N136"/>
  <c r="AE135"/>
  <c r="Y135" l="1"/>
  <c r="Z135" s="1"/>
  <c r="N135"/>
  <c r="AE159" i="22"/>
  <c r="Y159" l="1"/>
  <c r="Z159" s="1"/>
  <c r="N159"/>
  <c r="AE141" i="28" l="1"/>
  <c r="Y141" l="1"/>
  <c r="Z141" s="1"/>
  <c r="N141"/>
  <c r="AE140" l="1"/>
  <c r="Y140" l="1"/>
  <c r="Z140" s="1"/>
  <c r="N140"/>
  <c r="W112" i="22"/>
  <c r="Y112" l="1"/>
  <c r="Z112" s="1"/>
  <c r="N112"/>
  <c r="AE143" i="28" l="1"/>
  <c r="Y143" l="1"/>
  <c r="Z143" s="1"/>
  <c r="N143"/>
  <c r="AE142"/>
  <c r="Y142" l="1"/>
  <c r="Z142" s="1"/>
  <c r="N142"/>
  <c r="AE139"/>
  <c r="Y139" l="1"/>
  <c r="Z139" s="1"/>
  <c r="N139"/>
  <c r="AE138"/>
  <c r="Y138" l="1"/>
  <c r="Z138" s="1"/>
  <c r="N138"/>
  <c r="AE33" i="22" l="1"/>
  <c r="W33"/>
  <c r="Y33" l="1"/>
  <c r="Z33" s="1"/>
  <c r="N33"/>
  <c r="W178"/>
  <c r="AE174"/>
  <c r="X174"/>
  <c r="Y174" s="1"/>
  <c r="Z174" s="1"/>
  <c r="N174"/>
  <c r="AE173"/>
  <c r="X173"/>
  <c r="Y173" s="1"/>
  <c r="Z173" s="1"/>
  <c r="N173"/>
  <c r="AE172"/>
  <c r="X172"/>
  <c r="Y172" s="1"/>
  <c r="Z172" s="1"/>
  <c r="N172"/>
  <c r="AE171"/>
  <c r="X171"/>
  <c r="Y171" s="1"/>
  <c r="Z171" s="1"/>
  <c r="N171"/>
  <c r="AE144" i="28" l="1"/>
  <c r="Y144" l="1"/>
  <c r="Z144" s="1"/>
  <c r="N144"/>
  <c r="AE145"/>
  <c r="Y145" l="1"/>
  <c r="Z145" s="1"/>
  <c r="N145"/>
  <c r="AE146" l="1"/>
  <c r="Y146" l="1"/>
  <c r="Z146" s="1"/>
  <c r="N146"/>
  <c r="AE147"/>
  <c r="Y147" l="1"/>
  <c r="Z147" s="1"/>
  <c r="N147"/>
  <c r="AE148"/>
  <c r="Y148" l="1"/>
  <c r="Z148" s="1"/>
  <c r="N148"/>
  <c r="X28" l="1"/>
  <c r="AE177" i="22"/>
  <c r="X177"/>
  <c r="Y177" s="1"/>
  <c r="Z177" s="1"/>
  <c r="N177"/>
  <c r="AE176"/>
  <c r="X176"/>
  <c r="Y176" s="1"/>
  <c r="Z176" s="1"/>
  <c r="N176"/>
  <c r="AE175"/>
  <c r="X175"/>
  <c r="N175"/>
  <c r="X178" l="1"/>
  <c r="AB178" s="1"/>
  <c r="Y175"/>
  <c r="Z175" s="1"/>
  <c r="Y178" l="1"/>
  <c r="Z178" s="1"/>
  <c r="AC178" l="1"/>
  <c r="K18" i="21" l="1"/>
  <c r="M18"/>
  <c r="K19"/>
  <c r="M19"/>
  <c r="L18" l="1"/>
  <c r="N18"/>
  <c r="N19"/>
  <c r="AE149" i="28" l="1"/>
  <c r="Y149" l="1"/>
  <c r="Z149" s="1"/>
  <c r="N149"/>
  <c r="L3" i="85" l="1"/>
  <c r="L4"/>
  <c r="L5"/>
  <c r="L6"/>
  <c r="L7"/>
  <c r="L8"/>
  <c r="L9"/>
  <c r="L10"/>
  <c r="L11"/>
  <c r="L12"/>
  <c r="L13"/>
  <c r="L14"/>
  <c r="L15"/>
  <c r="L16"/>
  <c r="L17"/>
  <c r="L18"/>
  <c r="L19"/>
  <c r="L20"/>
  <c r="L2"/>
  <c r="E11"/>
  <c r="E2"/>
  <c r="E4"/>
  <c r="E5"/>
  <c r="E6"/>
  <c r="E7"/>
  <c r="E8"/>
  <c r="E9"/>
  <c r="E10"/>
  <c r="E12"/>
  <c r="E13"/>
  <c r="E14"/>
  <c r="E15"/>
  <c r="E16"/>
  <c r="E17"/>
  <c r="E18"/>
  <c r="E19"/>
  <c r="E20"/>
  <c r="E21"/>
  <c r="E22"/>
  <c r="E23"/>
  <c r="E24"/>
  <c r="E25"/>
  <c r="E31"/>
  <c r="E26"/>
  <c r="E27"/>
  <c r="E28"/>
  <c r="E29"/>
  <c r="E30"/>
  <c r="E3"/>
  <c r="AE150" i="28" l="1"/>
  <c r="Y150" l="1"/>
  <c r="Z150" s="1"/>
  <c r="N150"/>
  <c r="AE154" l="1"/>
  <c r="Y154" l="1"/>
  <c r="Z154" s="1"/>
  <c r="N154"/>
  <c r="AE153"/>
  <c r="Y153" l="1"/>
  <c r="Z153" s="1"/>
  <c r="N153"/>
  <c r="AE152"/>
  <c r="Y152" l="1"/>
  <c r="Z152" s="1"/>
  <c r="N152"/>
  <c r="AE151"/>
  <c r="Y151" l="1"/>
  <c r="Z151" s="1"/>
  <c r="N151"/>
  <c r="AE155" l="1"/>
  <c r="Y155" l="1"/>
  <c r="Z155" s="1"/>
  <c r="N155"/>
  <c r="X52" i="22"/>
  <c r="X51"/>
  <c r="X50"/>
  <c r="X49"/>
  <c r="AE160" i="28" l="1"/>
  <c r="Y160" l="1"/>
  <c r="Z160" s="1"/>
  <c r="N160"/>
  <c r="AE158" l="1"/>
  <c r="Y158" l="1"/>
  <c r="Z158" s="1"/>
  <c r="N158"/>
  <c r="AE157"/>
  <c r="Y157" l="1"/>
  <c r="Z157" s="1"/>
  <c r="N157"/>
  <c r="AE156"/>
  <c r="Y156" l="1"/>
  <c r="Z156" s="1"/>
  <c r="N156"/>
  <c r="AE161" l="1"/>
  <c r="Y161" l="1"/>
  <c r="Z161" s="1"/>
  <c r="N161"/>
  <c r="AE159"/>
  <c r="Y159" l="1"/>
  <c r="Z159" s="1"/>
  <c r="N159"/>
  <c r="AE162" l="1"/>
  <c r="Y162" l="1"/>
  <c r="Z162" s="1"/>
  <c r="N162"/>
  <c r="AE165" l="1"/>
  <c r="Y165" l="1"/>
  <c r="Z165" s="1"/>
  <c r="N165"/>
  <c r="AE164"/>
  <c r="Y164" l="1"/>
  <c r="Z164" s="1"/>
  <c r="N164"/>
  <c r="AE163"/>
  <c r="Y163" l="1"/>
  <c r="Z163" s="1"/>
  <c r="N163"/>
  <c r="AE166" l="1"/>
  <c r="Y166" l="1"/>
  <c r="Z166" s="1"/>
  <c r="N166"/>
  <c r="AE167"/>
  <c r="Y167" l="1"/>
  <c r="Z167" s="1"/>
  <c r="N167"/>
  <c r="AE168" l="1"/>
  <c r="Y168" l="1"/>
  <c r="Z168" s="1"/>
  <c r="N168"/>
  <c r="AE169" l="1"/>
  <c r="Y169" l="1"/>
  <c r="Z169" s="1"/>
  <c r="N169"/>
  <c r="X158" i="22" l="1"/>
  <c r="X67"/>
  <c r="X68" s="1"/>
  <c r="AE83"/>
  <c r="X83"/>
  <c r="W83"/>
  <c r="Y83" l="1"/>
  <c r="Z83" s="1"/>
  <c r="N83"/>
  <c r="AE82"/>
  <c r="X82"/>
  <c r="X84" s="1"/>
  <c r="W82"/>
  <c r="W84" l="1"/>
  <c r="Y82"/>
  <c r="Z82" s="1"/>
  <c r="N82"/>
  <c r="Y84" l="1"/>
  <c r="AB84"/>
  <c r="Z84" l="1"/>
  <c r="AC84"/>
  <c r="AE113"/>
  <c r="W113"/>
  <c r="Y113" l="1"/>
  <c r="Z113" s="1"/>
  <c r="N113"/>
  <c r="AE111"/>
  <c r="X114"/>
  <c r="W111"/>
  <c r="W114" l="1"/>
  <c r="Y111"/>
  <c r="Z111" s="1"/>
  <c r="N111"/>
  <c r="X36"/>
  <c r="X35"/>
  <c r="X34"/>
  <c r="AE36"/>
  <c r="W36"/>
  <c r="X37" l="1"/>
  <c r="Y114"/>
  <c r="AB114"/>
  <c r="Y36"/>
  <c r="Z36" s="1"/>
  <c r="N36"/>
  <c r="AE35"/>
  <c r="W35"/>
  <c r="Z114" l="1"/>
  <c r="AC114"/>
  <c r="Y35"/>
  <c r="Z35" s="1"/>
  <c r="N35"/>
  <c r="AE34"/>
  <c r="W34"/>
  <c r="W37" l="1"/>
  <c r="Y34"/>
  <c r="Z34" s="1"/>
  <c r="N34"/>
  <c r="Y37" l="1"/>
  <c r="AB37"/>
  <c r="Z37" l="1"/>
  <c r="AC37"/>
  <c r="AE170" i="28" l="1"/>
  <c r="Y170" l="1"/>
  <c r="Z170" s="1"/>
  <c r="N170"/>
  <c r="X160" i="22" l="1"/>
  <c r="AE67" l="1"/>
  <c r="W67"/>
  <c r="W68" l="1"/>
  <c r="Y67"/>
  <c r="Z67" s="1"/>
  <c r="N67"/>
  <c r="AB68" l="1"/>
  <c r="Y68"/>
  <c r="AC68" l="1"/>
  <c r="Z68"/>
  <c r="AE171" i="28" l="1"/>
  <c r="Y171" l="1"/>
  <c r="Z171" s="1"/>
  <c r="N171"/>
  <c r="AE172"/>
  <c r="Y172" l="1"/>
  <c r="Z172" s="1"/>
  <c r="N172"/>
  <c r="AE173"/>
  <c r="Y173" l="1"/>
  <c r="Z173" s="1"/>
  <c r="N173"/>
  <c r="AE175"/>
  <c r="X163" i="22" l="1"/>
  <c r="X162"/>
  <c r="X107"/>
  <c r="X106"/>
  <c r="X78"/>
  <c r="X77"/>
  <c r="X76"/>
  <c r="X75"/>
  <c r="X40" i="28"/>
  <c r="X20"/>
  <c r="X187" i="22" l="1"/>
  <c r="W187"/>
  <c r="AE181"/>
  <c r="Y181" l="1"/>
  <c r="Z181" s="1"/>
  <c r="N181"/>
  <c r="W41" i="28"/>
  <c r="U41" l="1"/>
  <c r="Y41"/>
  <c r="Z41" s="1"/>
  <c r="AG41"/>
  <c r="W28"/>
  <c r="U28" l="1"/>
  <c r="Y28"/>
  <c r="Z28" s="1"/>
  <c r="AG28"/>
  <c r="W25"/>
  <c r="U25" l="1"/>
  <c r="Y25"/>
  <c r="Z25" s="1"/>
  <c r="AG25"/>
  <c r="N175"/>
  <c r="AE160" i="22"/>
  <c r="Y175" i="28" l="1"/>
  <c r="Z175" s="1"/>
  <c r="Y160" i="22"/>
  <c r="Z160" s="1"/>
  <c r="N160"/>
  <c r="AE91"/>
  <c r="X91"/>
  <c r="X92" s="1"/>
  <c r="W91"/>
  <c r="Y91" l="1"/>
  <c r="Z91" s="1"/>
  <c r="W92"/>
  <c r="N91"/>
  <c r="X39" i="28"/>
  <c r="Y92" i="22" l="1"/>
  <c r="AB92"/>
  <c r="W11" i="28"/>
  <c r="U11" l="1"/>
  <c r="AC92" i="22"/>
  <c r="Z92"/>
  <c r="Y11" i="28"/>
  <c r="Z11" s="1"/>
  <c r="AE176" l="1"/>
  <c r="Y176" l="1"/>
  <c r="Z176" s="1"/>
  <c r="N176"/>
  <c r="W39"/>
  <c r="U39" l="1"/>
  <c r="AG39"/>
  <c r="Y39"/>
  <c r="Z39" s="1"/>
  <c r="AE174" l="1"/>
  <c r="Y174" l="1"/>
  <c r="Z174" s="1"/>
  <c r="N174"/>
  <c r="AE178"/>
  <c r="Y178" l="1"/>
  <c r="Z178" s="1"/>
  <c r="N178"/>
  <c r="AE177"/>
  <c r="Y177" l="1"/>
  <c r="Z177" s="1"/>
  <c r="N177"/>
  <c r="X146" i="22" l="1"/>
  <c r="X145"/>
  <c r="X144"/>
  <c r="X143"/>
  <c r="X142"/>
  <c r="X141"/>
  <c r="G23" i="85"/>
  <c r="N12"/>
  <c r="G16"/>
  <c r="G9"/>
  <c r="G17"/>
  <c r="T7"/>
  <c r="G6"/>
  <c r="N4"/>
  <c r="N19"/>
  <c r="N14"/>
  <c r="G8"/>
  <c r="G12"/>
  <c r="T2"/>
  <c r="G14"/>
  <c r="G24"/>
  <c r="G10"/>
  <c r="N11"/>
  <c r="G30"/>
  <c r="G18"/>
  <c r="T6"/>
  <c r="G29"/>
  <c r="G4"/>
  <c r="N15"/>
  <c r="T10"/>
  <c r="N8"/>
  <c r="G13"/>
  <c r="N10"/>
  <c r="N16"/>
  <c r="N13"/>
  <c r="N9"/>
  <c r="N6"/>
  <c r="N17"/>
  <c r="G20"/>
  <c r="G15"/>
  <c r="N18"/>
  <c r="N5"/>
  <c r="T4"/>
  <c r="G26"/>
  <c r="T3"/>
  <c r="N3"/>
  <c r="G3"/>
  <c r="G28"/>
  <c r="T9"/>
  <c r="G5"/>
  <c r="N20"/>
  <c r="G27"/>
  <c r="T5"/>
  <c r="G22"/>
  <c r="G7"/>
  <c r="G25"/>
  <c r="G19"/>
  <c r="G21"/>
  <c r="N7"/>
  <c r="AE183" i="22" l="1"/>
  <c r="Y183" l="1"/>
  <c r="Z183" s="1"/>
  <c r="N183"/>
  <c r="AE182"/>
  <c r="Y182" l="1"/>
  <c r="Z182" s="1"/>
  <c r="N182"/>
  <c r="AE184" l="1"/>
  <c r="Y184" l="1"/>
  <c r="Z184" s="1"/>
  <c r="N184"/>
  <c r="X103" l="1"/>
  <c r="AE102"/>
  <c r="W102"/>
  <c r="Y102" l="1"/>
  <c r="Z102" s="1"/>
  <c r="N102"/>
  <c r="AE101"/>
  <c r="W101"/>
  <c r="Y101" l="1"/>
  <c r="Z101" s="1"/>
  <c r="N101"/>
  <c r="AE100"/>
  <c r="W100"/>
  <c r="W103" l="1"/>
  <c r="Y100"/>
  <c r="Z100" s="1"/>
  <c r="N100"/>
  <c r="Y103" l="1"/>
  <c r="AB103"/>
  <c r="X79"/>
  <c r="AE78"/>
  <c r="W78"/>
  <c r="AC103" l="1"/>
  <c r="Z103"/>
  <c r="Y78"/>
  <c r="Z78" s="1"/>
  <c r="N78"/>
  <c r="AE77"/>
  <c r="W77"/>
  <c r="Y77" l="1"/>
  <c r="Z77" s="1"/>
  <c r="N77"/>
  <c r="AE76"/>
  <c r="W76"/>
  <c r="Y76" l="1"/>
  <c r="Z76" s="1"/>
  <c r="N76"/>
  <c r="AE75"/>
  <c r="W75"/>
  <c r="W79" l="1"/>
  <c r="Y75"/>
  <c r="Z75" s="1"/>
  <c r="N75"/>
  <c r="Y79" l="1"/>
  <c r="AB79"/>
  <c r="AC79" l="1"/>
  <c r="Z79"/>
  <c r="W20" i="28"/>
  <c r="U20" l="1"/>
  <c r="AG20"/>
  <c r="Y20"/>
  <c r="Z20" s="1"/>
  <c r="AE179" l="1"/>
  <c r="Y179" l="1"/>
  <c r="Z179" s="1"/>
  <c r="N179"/>
  <c r="AE186" i="22" l="1"/>
  <c r="Y186" l="1"/>
  <c r="Z186" s="1"/>
  <c r="N186"/>
  <c r="AE185"/>
  <c r="AB188" l="1"/>
  <c r="Y185"/>
  <c r="Z185" s="1"/>
  <c r="N185"/>
  <c r="Y187" l="1"/>
  <c r="AB187"/>
  <c r="X120"/>
  <c r="AE119"/>
  <c r="W119"/>
  <c r="Z187" l="1"/>
  <c r="AC187"/>
  <c r="Y119"/>
  <c r="Z119" s="1"/>
  <c r="N119"/>
  <c r="AE118"/>
  <c r="W118"/>
  <c r="Y118" l="1"/>
  <c r="Z118" s="1"/>
  <c r="N118"/>
  <c r="AE117"/>
  <c r="W117"/>
  <c r="W120" l="1"/>
  <c r="Y117"/>
  <c r="Z117" s="1"/>
  <c r="N117"/>
  <c r="X147"/>
  <c r="AE146"/>
  <c r="W146"/>
  <c r="Y120" l="1"/>
  <c r="AB120"/>
  <c r="Y146"/>
  <c r="Z146" s="1"/>
  <c r="N146"/>
  <c r="AE145"/>
  <c r="W145"/>
  <c r="Z120" l="1"/>
  <c r="AC120"/>
  <c r="Y145"/>
  <c r="Z145" s="1"/>
  <c r="N145"/>
  <c r="AE144"/>
  <c r="W144"/>
  <c r="Y144" l="1"/>
  <c r="Z144" s="1"/>
  <c r="N144"/>
  <c r="AE143"/>
  <c r="W143"/>
  <c r="Y143" l="1"/>
  <c r="Z143" s="1"/>
  <c r="N143"/>
  <c r="AE142"/>
  <c r="W142"/>
  <c r="Y142" l="1"/>
  <c r="Z142" s="1"/>
  <c r="N142"/>
  <c r="AE141"/>
  <c r="W141"/>
  <c r="W147" l="1"/>
  <c r="Y141"/>
  <c r="Z141" s="1"/>
  <c r="N141"/>
  <c r="Y147" l="1"/>
  <c r="AB147"/>
  <c r="Z147" l="1"/>
  <c r="AC147"/>
  <c r="K20" i="21" l="1"/>
  <c r="M20"/>
  <c r="N20" l="1"/>
  <c r="L20"/>
  <c r="N163" i="22" l="1"/>
  <c r="N162"/>
  <c r="N158" l="1"/>
  <c r="N62"/>
  <c r="N61"/>
  <c r="N60"/>
  <c r="N56"/>
  <c r="N11"/>
  <c r="N12"/>
  <c r="N13"/>
  <c r="N10"/>
  <c r="N107"/>
  <c r="N106"/>
  <c r="N96"/>
  <c r="N95"/>
  <c r="N161"/>
  <c r="N50"/>
  <c r="N51"/>
  <c r="N52"/>
  <c r="N49"/>
  <c r="N135"/>
  <c r="N136"/>
  <c r="N137"/>
  <c r="N134"/>
  <c r="X161" l="1"/>
  <c r="X164" s="1"/>
  <c r="W36" i="28"/>
  <c r="U36" l="1"/>
  <c r="AG36"/>
  <c r="Y36"/>
  <c r="Z36" s="1"/>
  <c r="X29" l="1"/>
  <c r="X62" i="22"/>
  <c r="X61"/>
  <c r="X60"/>
  <c r="X56"/>
  <c r="X21" i="28"/>
  <c r="X42" l="1"/>
  <c r="W42"/>
  <c r="U42" l="1"/>
  <c r="Y42"/>
  <c r="Z42" s="1"/>
  <c r="AG42"/>
  <c r="X137" i="22" l="1"/>
  <c r="X136"/>
  <c r="X135"/>
  <c r="X134"/>
  <c r="AE180" i="28" l="1"/>
  <c r="Y180" l="1"/>
  <c r="Z180" s="1"/>
  <c r="N180"/>
  <c r="X17" i="22" l="1"/>
  <c r="AE158"/>
  <c r="W17" l="1"/>
  <c r="Y158"/>
  <c r="Z158" s="1"/>
  <c r="X97"/>
  <c r="W95"/>
  <c r="Y17" l="1"/>
  <c r="AB17"/>
  <c r="Y95"/>
  <c r="Z95" s="1"/>
  <c r="X108"/>
  <c r="W107"/>
  <c r="Z17" l="1"/>
  <c r="AC17"/>
  <c r="Y107"/>
  <c r="Z107" s="1"/>
  <c r="W106"/>
  <c r="W108" l="1"/>
  <c r="Y106"/>
  <c r="Z106" s="1"/>
  <c r="W40" i="28"/>
  <c r="U40" l="1"/>
  <c r="Y108" i="22"/>
  <c r="AB108"/>
  <c r="Y40" i="28"/>
  <c r="Z40" s="1"/>
  <c r="AG40"/>
  <c r="Z108" i="22" l="1"/>
  <c r="AC108"/>
  <c r="W34" i="28"/>
  <c r="U34" l="1"/>
  <c r="AG34"/>
  <c r="Y34"/>
  <c r="Z34" s="1"/>
  <c r="W35"/>
  <c r="U35" l="1"/>
  <c r="Y35"/>
  <c r="Z35" s="1"/>
  <c r="AG35"/>
  <c r="X138" i="22" l="1"/>
  <c r="AE137"/>
  <c r="W137"/>
  <c r="Y137" l="1"/>
  <c r="Z137" s="1"/>
  <c r="AE136"/>
  <c r="W136"/>
  <c r="Y136" l="1"/>
  <c r="Z136" s="1"/>
  <c r="AE135"/>
  <c r="W135"/>
  <c r="Y135" l="1"/>
  <c r="Z135" s="1"/>
  <c r="AE134"/>
  <c r="W134"/>
  <c r="W138" l="1"/>
  <c r="Y134"/>
  <c r="Z134" s="1"/>
  <c r="W96"/>
  <c r="W97" l="1"/>
  <c r="Y138"/>
  <c r="AB138"/>
  <c r="Y96"/>
  <c r="Z96" s="1"/>
  <c r="AC138" l="1"/>
  <c r="Z138"/>
  <c r="Y97"/>
  <c r="AB97"/>
  <c r="Z97" l="1"/>
  <c r="AC97"/>
  <c r="X63" l="1"/>
  <c r="AE62"/>
  <c r="W62"/>
  <c r="Y62" l="1"/>
  <c r="Z62" s="1"/>
  <c r="AE61"/>
  <c r="W61"/>
  <c r="Y61" l="1"/>
  <c r="Z61" s="1"/>
  <c r="AE60"/>
  <c r="W60"/>
  <c r="W63" l="1"/>
  <c r="Y60"/>
  <c r="Z60" s="1"/>
  <c r="X57"/>
  <c r="AE56"/>
  <c r="W56"/>
  <c r="Y63" l="1"/>
  <c r="AB63"/>
  <c r="Y56"/>
  <c r="Z56" s="1"/>
  <c r="W57"/>
  <c r="AE13"/>
  <c r="W13"/>
  <c r="AC63" l="1"/>
  <c r="Z63"/>
  <c r="Y57"/>
  <c r="AB57"/>
  <c r="Y13"/>
  <c r="Z13" s="1"/>
  <c r="AE12"/>
  <c r="W12"/>
  <c r="AC57" l="1"/>
  <c r="Z57"/>
  <c r="Y12"/>
  <c r="Z12" s="1"/>
  <c r="AE11"/>
  <c r="W11"/>
  <c r="Y11" l="1"/>
  <c r="Z11" s="1"/>
  <c r="AE10"/>
  <c r="X14"/>
  <c r="W10"/>
  <c r="W14" l="1"/>
  <c r="Y10"/>
  <c r="Z10" s="1"/>
  <c r="W29" i="28"/>
  <c r="U29" l="1"/>
  <c r="Y14" i="22"/>
  <c r="AB14"/>
  <c r="AG29" i="28"/>
  <c r="Y29"/>
  <c r="Z29" s="1"/>
  <c r="W21"/>
  <c r="U21" l="1"/>
  <c r="Z14" i="22"/>
  <c r="AC14"/>
  <c r="Y21" i="28"/>
  <c r="Z21" s="1"/>
  <c r="AG21"/>
  <c r="W19"/>
  <c r="U19" l="1"/>
  <c r="Y19"/>
  <c r="Z19" s="1"/>
  <c r="AG19"/>
  <c r="W12"/>
  <c r="U12" l="1"/>
  <c r="Y12"/>
  <c r="Z12" s="1"/>
  <c r="AE161" i="22"/>
  <c r="Y161" l="1"/>
  <c r="Z161" s="1"/>
  <c r="Y164" l="1"/>
  <c r="AB164"/>
  <c r="Z164" l="1"/>
  <c r="AC164"/>
  <c r="W194" l="1"/>
  <c r="X194" l="1"/>
  <c r="AB195" s="1"/>
  <c r="AE191"/>
  <c r="Y191" l="1"/>
  <c r="Z191" s="1"/>
  <c r="N191"/>
  <c r="AE192" l="1"/>
  <c r="Y192" l="1"/>
  <c r="Z192" s="1"/>
  <c r="N192"/>
  <c r="Y194" l="1"/>
  <c r="Z194" s="1"/>
  <c r="AB194"/>
  <c r="AC194" l="1"/>
  <c r="AE193" l="1"/>
  <c r="Y193"/>
  <c r="Z193" s="1"/>
  <c r="V193"/>
  <c r="N193"/>
  <c r="AE181" i="28" l="1"/>
  <c r="Y181" l="1"/>
  <c r="Z181" s="1"/>
  <c r="N181"/>
  <c r="N184" l="1"/>
  <c r="K21" i="21" l="1"/>
  <c r="M21"/>
  <c r="N21" l="1"/>
  <c r="L21"/>
  <c r="X258" i="22"/>
  <c r="W258"/>
  <c r="AE198"/>
  <c r="Y198"/>
  <c r="Z198" s="1"/>
  <c r="N198"/>
  <c r="AE199"/>
  <c r="Y199"/>
  <c r="Z199" s="1"/>
  <c r="N199"/>
  <c r="AE200"/>
  <c r="Y200"/>
  <c r="Z200" s="1"/>
  <c r="N200"/>
  <c r="AE202" l="1"/>
  <c r="Y202"/>
  <c r="Z202" s="1"/>
  <c r="V202"/>
  <c r="N202"/>
  <c r="AE201"/>
  <c r="Y201"/>
  <c r="Z201" s="1"/>
  <c r="V201"/>
  <c r="N201"/>
  <c r="AE203" l="1"/>
  <c r="Y203" l="1"/>
  <c r="Z203" s="1"/>
  <c r="N203"/>
  <c r="AE182" i="28" l="1"/>
  <c r="Y182" l="1"/>
  <c r="Z182" s="1"/>
  <c r="N182"/>
  <c r="AE204" i="22" l="1"/>
  <c r="Y204" l="1"/>
  <c r="Z204" s="1"/>
  <c r="N204"/>
  <c r="W33" i="28"/>
  <c r="U33" l="1"/>
  <c r="Y33"/>
  <c r="AG33"/>
  <c r="AE205" i="22"/>
  <c r="Z33" i="28" l="1"/>
  <c r="Y205" i="22"/>
  <c r="Z205" s="1"/>
  <c r="V205"/>
  <c r="N205"/>
  <c r="AE183" i="28" l="1"/>
  <c r="Y183" l="1"/>
  <c r="Z183" s="1"/>
  <c r="N183"/>
  <c r="AE184"/>
  <c r="Y184" l="1"/>
  <c r="Z184" s="1"/>
  <c r="W23"/>
  <c r="U23" l="1"/>
  <c r="Y23"/>
  <c r="Z23" s="1"/>
  <c r="AG23"/>
  <c r="AG43" s="1"/>
  <c r="AG44" l="1"/>
  <c r="AE162" i="22" l="1"/>
  <c r="Y162" l="1"/>
  <c r="Z162" s="1"/>
  <c r="X53" l="1"/>
  <c r="M22" i="21" l="1"/>
  <c r="AE207" i="22"/>
  <c r="Y207" l="1"/>
  <c r="Z207" s="1"/>
  <c r="N207"/>
  <c r="AE208"/>
  <c r="Y208"/>
  <c r="Z208" s="1"/>
  <c r="N208"/>
  <c r="AE209"/>
  <c r="Y209" l="1"/>
  <c r="Z209" s="1"/>
  <c r="N209"/>
  <c r="AB258"/>
  <c r="AE210"/>
  <c r="Y210" l="1"/>
  <c r="Z210" s="1"/>
  <c r="N210"/>
  <c r="X30"/>
  <c r="W30" l="1"/>
  <c r="AB30" s="1"/>
  <c r="Y30" l="1"/>
  <c r="AC30" l="1"/>
  <c r="Z30"/>
  <c r="AB259" l="1"/>
  <c r="AE211" l="1"/>
  <c r="Y211" l="1"/>
  <c r="Z211" s="1"/>
  <c r="N211"/>
  <c r="AE163"/>
  <c r="AE212"/>
  <c r="Y212"/>
  <c r="Z212" s="1"/>
  <c r="N212"/>
  <c r="AE213" l="1"/>
  <c r="Y213"/>
  <c r="Z213" s="1"/>
  <c r="N213"/>
  <c r="Y163" l="1"/>
  <c r="Z163" s="1"/>
  <c r="AE214" l="1"/>
  <c r="Y214"/>
  <c r="Z214" s="1"/>
  <c r="N214"/>
  <c r="AE215"/>
  <c r="Y215"/>
  <c r="Z215" s="1"/>
  <c r="N215"/>
  <c r="AE218" l="1"/>
  <c r="Y218"/>
  <c r="Z218" s="1"/>
  <c r="N218"/>
  <c r="AE221"/>
  <c r="Y221"/>
  <c r="Z221" s="1"/>
  <c r="N221"/>
  <c r="AE220"/>
  <c r="Y220"/>
  <c r="Z220" s="1"/>
  <c r="N220"/>
  <c r="AE219"/>
  <c r="Y219"/>
  <c r="Z219" s="1"/>
  <c r="N219"/>
  <c r="AE222"/>
  <c r="Y222"/>
  <c r="Z222" s="1"/>
  <c r="N222"/>
  <c r="AE224"/>
  <c r="Y224"/>
  <c r="Z224" s="1"/>
  <c r="N224"/>
  <c r="AE223"/>
  <c r="Y223"/>
  <c r="Z223" s="1"/>
  <c r="N223"/>
  <c r="AE225"/>
  <c r="Y225"/>
  <c r="Z225" s="1"/>
  <c r="N225"/>
  <c r="AE206" l="1"/>
  <c r="Y206" l="1"/>
  <c r="Z206" s="1"/>
  <c r="N206"/>
  <c r="AE226" l="1"/>
  <c r="Y226"/>
  <c r="Z226" s="1"/>
  <c r="N226"/>
  <c r="AE228"/>
  <c r="Y228"/>
  <c r="Z228" s="1"/>
  <c r="N228"/>
  <c r="AE227"/>
  <c r="Y227"/>
  <c r="Z227" s="1"/>
  <c r="N227"/>
  <c r="AE217" l="1"/>
  <c r="AE216"/>
  <c r="Y216" l="1"/>
  <c r="Z216" s="1"/>
  <c r="N216"/>
  <c r="Y217" l="1"/>
  <c r="Z217" s="1"/>
  <c r="N217"/>
  <c r="AE231" l="1"/>
  <c r="Y231"/>
  <c r="Z231" s="1"/>
  <c r="V231"/>
  <c r="N231"/>
  <c r="AE230"/>
  <c r="Y230"/>
  <c r="Z230" s="1"/>
  <c r="V230"/>
  <c r="N230"/>
  <c r="AE229"/>
  <c r="Y229"/>
  <c r="Z229" s="1"/>
  <c r="V229"/>
  <c r="N229"/>
  <c r="AE235" l="1"/>
  <c r="Y235"/>
  <c r="Z235" s="1"/>
  <c r="N235"/>
  <c r="AE234"/>
  <c r="Y234"/>
  <c r="Z234" s="1"/>
  <c r="N234"/>
  <c r="AE233"/>
  <c r="Y233"/>
  <c r="Z233" s="1"/>
  <c r="N233"/>
  <c r="AE232"/>
  <c r="Y232"/>
  <c r="Z232" s="1"/>
  <c r="N232"/>
  <c r="AE236" l="1"/>
  <c r="Y236"/>
  <c r="Z236" s="1"/>
  <c r="V236"/>
  <c r="N236"/>
  <c r="AE238"/>
  <c r="Y238"/>
  <c r="Z238" s="1"/>
  <c r="N238"/>
  <c r="AE237"/>
  <c r="Y237"/>
  <c r="Z237" s="1"/>
  <c r="N237"/>
  <c r="AE240"/>
  <c r="Y240"/>
  <c r="Z240" s="1"/>
  <c r="V240"/>
  <c r="N240"/>
  <c r="AE239"/>
  <c r="Y239"/>
  <c r="Z239" s="1"/>
  <c r="V239"/>
  <c r="N239"/>
  <c r="AE244" l="1"/>
  <c r="Y244"/>
  <c r="Z244" s="1"/>
  <c r="N244"/>
  <c r="AE243"/>
  <c r="Y243"/>
  <c r="Z243" s="1"/>
  <c r="N243"/>
  <c r="AE242"/>
  <c r="Y242"/>
  <c r="Z242" s="1"/>
  <c r="N242"/>
  <c r="AE241"/>
  <c r="Y241"/>
  <c r="Z241" s="1"/>
  <c r="N241"/>
  <c r="AE247"/>
  <c r="Y247"/>
  <c r="Z247" s="1"/>
  <c r="N247"/>
  <c r="AE246"/>
  <c r="Y246"/>
  <c r="Z246" s="1"/>
  <c r="N246"/>
  <c r="AE245"/>
  <c r="Y245"/>
  <c r="Z245" s="1"/>
  <c r="N245"/>
  <c r="AE250"/>
  <c r="Y250"/>
  <c r="Z250" s="1"/>
  <c r="V250"/>
  <c r="N250"/>
  <c r="AE249"/>
  <c r="Y249"/>
  <c r="Z249" s="1"/>
  <c r="V249"/>
  <c r="N249"/>
  <c r="AE248"/>
  <c r="Y248"/>
  <c r="Z248" s="1"/>
  <c r="V248"/>
  <c r="N248"/>
  <c r="AE252"/>
  <c r="Y252"/>
  <c r="Z252" s="1"/>
  <c r="N252"/>
  <c r="AE251"/>
  <c r="Y251"/>
  <c r="Z251" s="1"/>
  <c r="N251"/>
  <c r="AE185" i="28" l="1"/>
  <c r="Y185" l="1"/>
  <c r="Z185" s="1"/>
  <c r="N185"/>
  <c r="Y258" i="22" l="1"/>
  <c r="Z258" s="1"/>
  <c r="AC258" l="1"/>
  <c r="AE186" i="28" l="1"/>
  <c r="Y186" l="1"/>
  <c r="Z186" s="1"/>
  <c r="N186"/>
  <c r="AE187"/>
  <c r="Y187" l="1"/>
  <c r="Z187" s="1"/>
  <c r="N187"/>
  <c r="AE188"/>
  <c r="Y188" l="1"/>
  <c r="Z188" s="1"/>
  <c r="N188"/>
  <c r="AE253" i="22" l="1"/>
  <c r="Y253" l="1"/>
  <c r="Z253" s="1"/>
  <c r="N253"/>
  <c r="K22" i="21" l="1"/>
  <c r="N22" l="1"/>
  <c r="L22"/>
  <c r="AE254" i="22" l="1"/>
  <c r="Y254" l="1"/>
  <c r="N254"/>
  <c r="Z254" l="1"/>
  <c r="AE255" l="1"/>
  <c r="Y255" l="1"/>
  <c r="N255"/>
  <c r="Z255" l="1"/>
  <c r="N193" i="28" l="1"/>
  <c r="AE189" l="1"/>
  <c r="Y189" l="1"/>
  <c r="Z189" s="1"/>
  <c r="N189"/>
  <c r="AE190" l="1"/>
  <c r="Y190" l="1"/>
  <c r="Z190" s="1"/>
  <c r="N190"/>
  <c r="AE257" i="22" l="1"/>
  <c r="Y257" l="1"/>
  <c r="Z257" s="1"/>
  <c r="N257"/>
  <c r="AE262" l="1"/>
  <c r="Y262"/>
  <c r="Z262" s="1"/>
  <c r="V262"/>
  <c r="N262"/>
  <c r="AE256" l="1"/>
  <c r="N256"/>
  <c r="V256" l="1"/>
  <c r="Y256"/>
  <c r="Z256" s="1"/>
  <c r="AE264" l="1"/>
  <c r="Y264"/>
  <c r="Z264" s="1"/>
  <c r="V264"/>
  <c r="N264"/>
  <c r="AE263"/>
  <c r="Y263"/>
  <c r="V263"/>
  <c r="N263"/>
  <c r="AE265"/>
  <c r="Y265"/>
  <c r="Z265" s="1"/>
  <c r="V265"/>
  <c r="N265"/>
  <c r="Z263" l="1"/>
  <c r="X268" l="1"/>
  <c r="X267"/>
  <c r="AE269"/>
  <c r="Y269" l="1"/>
  <c r="V269"/>
  <c r="N269"/>
  <c r="Z269" l="1"/>
  <c r="AE267"/>
  <c r="Y267" l="1"/>
  <c r="V267"/>
  <c r="N267"/>
  <c r="Z267" l="1"/>
  <c r="AE276"/>
  <c r="X276"/>
  <c r="Y276" s="1"/>
  <c r="Z276" s="1"/>
  <c r="V276"/>
  <c r="N276"/>
  <c r="AE275"/>
  <c r="X275"/>
  <c r="Y275" s="1"/>
  <c r="Z275" s="1"/>
  <c r="V275"/>
  <c r="N275"/>
  <c r="AE274"/>
  <c r="X274"/>
  <c r="V274"/>
  <c r="N274"/>
  <c r="AE273"/>
  <c r="Y273"/>
  <c r="Z273" s="1"/>
  <c r="V273"/>
  <c r="N273"/>
  <c r="AE272"/>
  <c r="Y272"/>
  <c r="Z272" s="1"/>
  <c r="V272"/>
  <c r="N272"/>
  <c r="Y274" l="1"/>
  <c r="Z274" s="1"/>
  <c r="AE49" l="1"/>
  <c r="W49"/>
  <c r="Y49" l="1"/>
  <c r="Z49" l="1"/>
  <c r="AE191" i="28" l="1"/>
  <c r="Y191" l="1"/>
  <c r="Z191" s="1"/>
  <c r="N191"/>
  <c r="AE192"/>
  <c r="Y192" l="1"/>
  <c r="Z192" s="1"/>
  <c r="N192"/>
  <c r="AE268" i="22" l="1"/>
  <c r="Y268" l="1"/>
  <c r="V268"/>
  <c r="N268"/>
  <c r="Z268" l="1"/>
  <c r="AE281" l="1"/>
  <c r="Y281" l="1"/>
  <c r="V281"/>
  <c r="N281"/>
  <c r="AE282"/>
  <c r="Z281" l="1"/>
  <c r="Y282"/>
  <c r="Z282" s="1"/>
  <c r="V282"/>
  <c r="N282"/>
  <c r="AE286"/>
  <c r="Y286"/>
  <c r="Z286" s="1"/>
  <c r="V286"/>
  <c r="N286"/>
  <c r="AE285"/>
  <c r="Y285"/>
  <c r="Z285" s="1"/>
  <c r="V285"/>
  <c r="N285"/>
  <c r="AE287"/>
  <c r="Y287"/>
  <c r="Z287" s="1"/>
  <c r="V287"/>
  <c r="N287"/>
  <c r="AE50" l="1"/>
  <c r="W50"/>
  <c r="Y50" l="1"/>
  <c r="AE288"/>
  <c r="Y288"/>
  <c r="Z288" s="1"/>
  <c r="V288"/>
  <c r="N288"/>
  <c r="Z50" l="1"/>
  <c r="AE291" l="1"/>
  <c r="X291"/>
  <c r="Y291" s="1"/>
  <c r="Z291" s="1"/>
  <c r="V291"/>
  <c r="N291"/>
  <c r="AE290"/>
  <c r="Y290"/>
  <c r="Z290" s="1"/>
  <c r="V290"/>
  <c r="N290"/>
  <c r="AE289"/>
  <c r="Y289"/>
  <c r="V289"/>
  <c r="N289"/>
  <c r="AE293"/>
  <c r="Z289" l="1"/>
  <c r="Y293"/>
  <c r="Z293" s="1"/>
  <c r="V293"/>
  <c r="N293"/>
  <c r="AE292"/>
  <c r="Y292" l="1"/>
  <c r="V292"/>
  <c r="N292"/>
  <c r="Z292" l="1"/>
  <c r="W302" l="1"/>
  <c r="W301"/>
  <c r="W300"/>
  <c r="W299"/>
  <c r="AE270"/>
  <c r="W323" l="1"/>
  <c r="Y270"/>
  <c r="V270"/>
  <c r="N270"/>
  <c r="Z270" l="1"/>
  <c r="AE193" i="28" l="1"/>
  <c r="Y193" l="1"/>
  <c r="Z193" s="1"/>
  <c r="AE51" i="22" l="1"/>
  <c r="W51"/>
  <c r="Y51" l="1"/>
  <c r="AE303"/>
  <c r="Y303"/>
  <c r="Z303" s="1"/>
  <c r="V303"/>
  <c r="N303"/>
  <c r="Z51" l="1"/>
  <c r="AE266" l="1"/>
  <c r="N266"/>
  <c r="AE284"/>
  <c r="N284"/>
  <c r="AE283"/>
  <c r="N283"/>
  <c r="AE280"/>
  <c r="X280"/>
  <c r="N280"/>
  <c r="AE279"/>
  <c r="X279"/>
  <c r="N279"/>
  <c r="AE278"/>
  <c r="X278"/>
  <c r="N278"/>
  <c r="AE277"/>
  <c r="X277"/>
  <c r="N277"/>
  <c r="AE302"/>
  <c r="X302"/>
  <c r="N302"/>
  <c r="AE301"/>
  <c r="X301"/>
  <c r="N301"/>
  <c r="AE300"/>
  <c r="X300"/>
  <c r="N300"/>
  <c r="AE299"/>
  <c r="X299"/>
  <c r="N299"/>
  <c r="AE298"/>
  <c r="X298"/>
  <c r="N298"/>
  <c r="AE297"/>
  <c r="N297"/>
  <c r="AE296"/>
  <c r="N296"/>
  <c r="AE295"/>
  <c r="X295"/>
  <c r="N295"/>
  <c r="AE294"/>
  <c r="X294"/>
  <c r="N294"/>
  <c r="AE271"/>
  <c r="N271"/>
  <c r="AE52"/>
  <c r="W52"/>
  <c r="W53" l="1"/>
  <c r="X323"/>
  <c r="AB324" s="1"/>
  <c r="V299"/>
  <c r="Y299"/>
  <c r="Z299" s="1"/>
  <c r="V295"/>
  <c r="Y295"/>
  <c r="Z295" s="1"/>
  <c r="V301"/>
  <c r="Y301"/>
  <c r="Z301" s="1"/>
  <c r="Y280"/>
  <c r="Z280" s="1"/>
  <c r="V280"/>
  <c r="V296"/>
  <c r="Y296"/>
  <c r="Z296" s="1"/>
  <c r="Y302"/>
  <c r="Z302" s="1"/>
  <c r="V302"/>
  <c r="V266"/>
  <c r="Y266"/>
  <c r="V297"/>
  <c r="Y297"/>
  <c r="Z297" s="1"/>
  <c r="V283"/>
  <c r="Y283"/>
  <c r="Y52"/>
  <c r="V271"/>
  <c r="Y271"/>
  <c r="Y298"/>
  <c r="Z298" s="1"/>
  <c r="V298"/>
  <c r="V277"/>
  <c r="Y277"/>
  <c r="V284"/>
  <c r="Y284"/>
  <c r="Z284" s="1"/>
  <c r="V278"/>
  <c r="Y278"/>
  <c r="Z278" s="1"/>
  <c r="Y294"/>
  <c r="V294"/>
  <c r="Y300"/>
  <c r="Z300" s="1"/>
  <c r="V300"/>
  <c r="Y279"/>
  <c r="Z279" s="1"/>
  <c r="V279"/>
  <c r="Y53" l="1"/>
  <c r="AB53"/>
  <c r="Z266"/>
  <c r="Z277"/>
  <c r="Z283"/>
  <c r="Z52"/>
  <c r="Z294"/>
  <c r="Z271"/>
  <c r="AC53" l="1"/>
  <c r="Z53"/>
  <c r="AE322" l="1"/>
  <c r="Y322"/>
  <c r="V322"/>
  <c r="N322"/>
  <c r="AE321"/>
  <c r="Y321"/>
  <c r="Z321" s="1"/>
  <c r="V321"/>
  <c r="N321"/>
  <c r="AE320"/>
  <c r="Y320"/>
  <c r="Z320" s="1"/>
  <c r="V320"/>
  <c r="N320"/>
  <c r="AE319"/>
  <c r="Y319"/>
  <c r="Z319" s="1"/>
  <c r="V319"/>
  <c r="N319"/>
  <c r="AE318"/>
  <c r="Y318"/>
  <c r="Z318" s="1"/>
  <c r="V318"/>
  <c r="N318"/>
  <c r="AE317"/>
  <c r="Y317"/>
  <c r="Z317" s="1"/>
  <c r="V317"/>
  <c r="N317"/>
  <c r="AE316"/>
  <c r="Y316"/>
  <c r="Z316" s="1"/>
  <c r="V316"/>
  <c r="N316"/>
  <c r="AE315"/>
  <c r="Y315"/>
  <c r="Z315" s="1"/>
  <c r="V315"/>
  <c r="N315"/>
  <c r="AE314"/>
  <c r="Y314"/>
  <c r="Z314" s="1"/>
  <c r="V314"/>
  <c r="N314"/>
  <c r="AE313"/>
  <c r="Y313"/>
  <c r="Z313" s="1"/>
  <c r="V313"/>
  <c r="N313"/>
  <c r="AE312"/>
  <c r="Y312"/>
  <c r="Z312" s="1"/>
  <c r="V312"/>
  <c r="N312"/>
  <c r="AE311"/>
  <c r="Y311"/>
  <c r="Z311" s="1"/>
  <c r="V311"/>
  <c r="N311"/>
  <c r="AE310"/>
  <c r="Y310"/>
  <c r="Z310" s="1"/>
  <c r="V310"/>
  <c r="N310"/>
  <c r="AE309"/>
  <c r="Y309"/>
  <c r="Z309" s="1"/>
  <c r="V309"/>
  <c r="N309"/>
  <c r="AE308"/>
  <c r="Y308"/>
  <c r="Z308" s="1"/>
  <c r="V308"/>
  <c r="N308"/>
  <c r="AE307"/>
  <c r="Y307"/>
  <c r="Z307" s="1"/>
  <c r="V307"/>
  <c r="N307"/>
  <c r="AE306"/>
  <c r="Y306"/>
  <c r="Z306" s="1"/>
  <c r="V306"/>
  <c r="N306"/>
  <c r="AE305"/>
  <c r="Y305"/>
  <c r="Z305" s="1"/>
  <c r="V305"/>
  <c r="N305"/>
  <c r="AE304"/>
  <c r="Y304"/>
  <c r="V304"/>
  <c r="N304"/>
  <c r="Y323" l="1"/>
  <c r="Z323" s="1"/>
  <c r="Z322"/>
  <c r="AB323"/>
  <c r="Z304"/>
  <c r="AC323" l="1"/>
  <c r="K23" i="21" l="1"/>
  <c r="M23"/>
  <c r="N23" l="1"/>
  <c r="L23"/>
  <c r="AE352" i="22" l="1"/>
  <c r="Y352"/>
  <c r="Z352" s="1"/>
  <c r="V352"/>
  <c r="N352"/>
  <c r="AE351"/>
  <c r="Y351"/>
  <c r="Z351" s="1"/>
  <c r="V351"/>
  <c r="N351"/>
  <c r="AE350"/>
  <c r="Y350"/>
  <c r="Z350" s="1"/>
  <c r="V350"/>
  <c r="N350"/>
  <c r="AE349"/>
  <c r="Y349"/>
  <c r="Z349" s="1"/>
  <c r="V349"/>
  <c r="N349"/>
  <c r="AE348"/>
  <c r="Y348"/>
  <c r="Z348" s="1"/>
  <c r="V348"/>
  <c r="N348"/>
  <c r="AE347"/>
  <c r="X347"/>
  <c r="W347"/>
  <c r="V347" s="1"/>
  <c r="N347"/>
  <c r="AE346"/>
  <c r="X346"/>
  <c r="W346"/>
  <c r="N346"/>
  <c r="AE345"/>
  <c r="Y345"/>
  <c r="Z345" s="1"/>
  <c r="V345"/>
  <c r="N345"/>
  <c r="AE344"/>
  <c r="Y344"/>
  <c r="Z344" s="1"/>
  <c r="V344"/>
  <c r="N344"/>
  <c r="AE343"/>
  <c r="X343"/>
  <c r="Y343" s="1"/>
  <c r="Z343" s="1"/>
  <c r="V343"/>
  <c r="N343"/>
  <c r="AE342"/>
  <c r="Y342"/>
  <c r="Z342" s="1"/>
  <c r="V342"/>
  <c r="N342"/>
  <c r="AE341"/>
  <c r="Y341"/>
  <c r="Z341" s="1"/>
  <c r="V341"/>
  <c r="N341"/>
  <c r="AE340"/>
  <c r="Y340"/>
  <c r="Z340" s="1"/>
  <c r="V340"/>
  <c r="N340"/>
  <c r="AE339"/>
  <c r="Y339"/>
  <c r="Z339" s="1"/>
  <c r="V339"/>
  <c r="N339"/>
  <c r="AE338"/>
  <c r="Y338"/>
  <c r="Z338" s="1"/>
  <c r="V338"/>
  <c r="N338"/>
  <c r="AE337"/>
  <c r="Y337"/>
  <c r="Z337" s="1"/>
  <c r="V337"/>
  <c r="N337"/>
  <c r="AE336"/>
  <c r="Y336"/>
  <c r="Z336" s="1"/>
  <c r="V336"/>
  <c r="N336"/>
  <c r="AE335"/>
  <c r="Y335"/>
  <c r="Z335" s="1"/>
  <c r="V335"/>
  <c r="N335"/>
  <c r="AE334"/>
  <c r="Y334"/>
  <c r="Z334" s="1"/>
  <c r="V334"/>
  <c r="N334"/>
  <c r="AE333"/>
  <c r="Y333"/>
  <c r="Z333" s="1"/>
  <c r="V333"/>
  <c r="N333"/>
  <c r="AE332"/>
  <c r="Y332"/>
  <c r="Z332" s="1"/>
  <c r="V332"/>
  <c r="N332"/>
  <c r="AE331"/>
  <c r="Y331"/>
  <c r="Z331" s="1"/>
  <c r="V331"/>
  <c r="N331"/>
  <c r="AE330"/>
  <c r="Y330"/>
  <c r="Z330" s="1"/>
  <c r="V330"/>
  <c r="N330"/>
  <c r="AE329"/>
  <c r="Y329"/>
  <c r="Z329" s="1"/>
  <c r="V329"/>
  <c r="N329"/>
  <c r="AE328"/>
  <c r="Y328"/>
  <c r="Z328" s="1"/>
  <c r="V328"/>
  <c r="N328"/>
  <c r="AE327"/>
  <c r="Y327"/>
  <c r="Z327" s="1"/>
  <c r="V327"/>
  <c r="N327"/>
  <c r="Y347" l="1"/>
  <c r="Z347" s="1"/>
  <c r="W353"/>
  <c r="X353"/>
  <c r="Y346"/>
  <c r="Z346" s="1"/>
  <c r="V346"/>
  <c r="AB354" l="1"/>
  <c r="AB353"/>
  <c r="Y353"/>
  <c r="AC353" l="1"/>
  <c r="Z353"/>
  <c r="AE194" i="28" l="1"/>
  <c r="Y194" l="1"/>
  <c r="Z194" s="1"/>
  <c r="V194"/>
  <c r="N194"/>
  <c r="AE200" l="1"/>
  <c r="AE74"/>
  <c r="M25" i="21" l="1"/>
  <c r="M26"/>
  <c r="M27"/>
  <c r="M24"/>
  <c r="M28" l="1"/>
  <c r="AE195" i="28"/>
  <c r="V200" l="1"/>
  <c r="Y200"/>
  <c r="Z200" s="1"/>
  <c r="Y195"/>
  <c r="Z195" s="1"/>
  <c r="V195"/>
  <c r="N195"/>
  <c r="K24" i="21" l="1"/>
  <c r="K25"/>
  <c r="K26"/>
  <c r="C77"/>
  <c r="B77"/>
  <c r="D76"/>
  <c r="E76" s="1"/>
  <c r="D75"/>
  <c r="E75" s="1"/>
  <c r="D74"/>
  <c r="D73"/>
  <c r="E73" s="1"/>
  <c r="D72"/>
  <c r="E72" s="1"/>
  <c r="D71"/>
  <c r="E71" s="1"/>
  <c r="C68"/>
  <c r="B68"/>
  <c r="D67"/>
  <c r="E67" s="1"/>
  <c r="D68" l="1"/>
  <c r="E68" s="1"/>
  <c r="L26"/>
  <c r="N26"/>
  <c r="L25"/>
  <c r="N25"/>
  <c r="L24"/>
  <c r="N24"/>
  <c r="D77"/>
  <c r="E77" s="1"/>
  <c r="E74"/>
  <c r="AE196" i="28" l="1"/>
  <c r="Y196" l="1"/>
  <c r="Z196" s="1"/>
  <c r="V196"/>
  <c r="N196"/>
  <c r="AE197"/>
  <c r="Y197" l="1"/>
  <c r="Z197" s="1"/>
  <c r="V197"/>
  <c r="N197"/>
  <c r="AE198" l="1"/>
  <c r="Y198" l="1"/>
  <c r="Z198" s="1"/>
  <c r="V198"/>
  <c r="N198"/>
  <c r="AE199" l="1"/>
  <c r="Y199" l="1"/>
  <c r="Z199" s="1"/>
  <c r="V199"/>
  <c r="N199"/>
  <c r="AE201" l="1"/>
  <c r="Y201" l="1"/>
  <c r="Z201" s="1"/>
  <c r="V201"/>
  <c r="N201"/>
  <c r="AE202" l="1"/>
  <c r="Y202" l="1"/>
  <c r="Z202" s="1"/>
  <c r="V202"/>
  <c r="N202"/>
  <c r="W374" i="22" l="1"/>
  <c r="AE373"/>
  <c r="Y373"/>
  <c r="Z373" s="1"/>
  <c r="V373"/>
  <c r="N373"/>
  <c r="AE372"/>
  <c r="Y372"/>
  <c r="Z372" s="1"/>
  <c r="V372"/>
  <c r="N372"/>
  <c r="AE371"/>
  <c r="X371"/>
  <c r="Y371" s="1"/>
  <c r="Z371" s="1"/>
  <c r="V371"/>
  <c r="N371"/>
  <c r="AE370"/>
  <c r="X370"/>
  <c r="Y370" s="1"/>
  <c r="Z370" s="1"/>
  <c r="V370"/>
  <c r="N370"/>
  <c r="AE369"/>
  <c r="X369"/>
  <c r="Y369" s="1"/>
  <c r="Z369" s="1"/>
  <c r="V369"/>
  <c r="N369"/>
  <c r="AE368"/>
  <c r="X368"/>
  <c r="Y368" s="1"/>
  <c r="Z368" s="1"/>
  <c r="V368"/>
  <c r="N368"/>
  <c r="AE367"/>
  <c r="Y367"/>
  <c r="Z367" s="1"/>
  <c r="V367"/>
  <c r="N367"/>
  <c r="AE366"/>
  <c r="Y366"/>
  <c r="Z366" s="1"/>
  <c r="V366"/>
  <c r="N366"/>
  <c r="AE365"/>
  <c r="Y365"/>
  <c r="Z365" s="1"/>
  <c r="V365"/>
  <c r="N365"/>
  <c r="AE364"/>
  <c r="Y364"/>
  <c r="Z364" s="1"/>
  <c r="V364"/>
  <c r="N364"/>
  <c r="AE363"/>
  <c r="Y363"/>
  <c r="Z363" s="1"/>
  <c r="V363"/>
  <c r="N363"/>
  <c r="AE362"/>
  <c r="Y362"/>
  <c r="Z362" s="1"/>
  <c r="V362"/>
  <c r="N362"/>
  <c r="AE361"/>
  <c r="Y361"/>
  <c r="Z361" s="1"/>
  <c r="V361"/>
  <c r="N361"/>
  <c r="AE360"/>
  <c r="Y360"/>
  <c r="Z360" s="1"/>
  <c r="V360"/>
  <c r="N360"/>
  <c r="AE359"/>
  <c r="Y359"/>
  <c r="Z359" s="1"/>
  <c r="V359"/>
  <c r="N359"/>
  <c r="AE358"/>
  <c r="Y358"/>
  <c r="Z358" s="1"/>
  <c r="V358"/>
  <c r="N358"/>
  <c r="AE357"/>
  <c r="Y357"/>
  <c r="Z357" s="1"/>
  <c r="V357"/>
  <c r="N357"/>
  <c r="Y374" l="1"/>
  <c r="X374"/>
  <c r="AB374" s="1"/>
  <c r="AB375" l="1"/>
  <c r="AC374"/>
  <c r="Z374"/>
  <c r="AE203" i="28" l="1"/>
  <c r="Y203" l="1"/>
  <c r="Z203" s="1"/>
  <c r="V203"/>
  <c r="N203"/>
  <c r="V208" l="1"/>
  <c r="N208"/>
  <c r="X399" i="22" l="1"/>
  <c r="W399"/>
  <c r="AE398"/>
  <c r="Y398"/>
  <c r="Z398" s="1"/>
  <c r="V398"/>
  <c r="N398"/>
  <c r="AE397"/>
  <c r="Y397"/>
  <c r="Z397" s="1"/>
  <c r="V397"/>
  <c r="N397"/>
  <c r="AE396"/>
  <c r="Y396"/>
  <c r="Z396" s="1"/>
  <c r="V396"/>
  <c r="N396"/>
  <c r="AE395"/>
  <c r="Y395"/>
  <c r="Z395" s="1"/>
  <c r="V395"/>
  <c r="N395"/>
  <c r="AE394"/>
  <c r="Y394"/>
  <c r="Z394" s="1"/>
  <c r="V394"/>
  <c r="N394"/>
  <c r="AE393"/>
  <c r="Y393"/>
  <c r="Z393" s="1"/>
  <c r="V393"/>
  <c r="N393"/>
  <c r="AE392"/>
  <c r="Y392"/>
  <c r="Z392" s="1"/>
  <c r="V392"/>
  <c r="N392"/>
  <c r="AE391"/>
  <c r="Y391"/>
  <c r="Z391" s="1"/>
  <c r="V391"/>
  <c r="N391"/>
  <c r="AE390"/>
  <c r="Y390"/>
  <c r="Z390" s="1"/>
  <c r="V390"/>
  <c r="N390"/>
  <c r="AE389"/>
  <c r="Y389"/>
  <c r="Z389" s="1"/>
  <c r="V389"/>
  <c r="N389"/>
  <c r="AE388"/>
  <c r="Y388"/>
  <c r="Z388" s="1"/>
  <c r="V388"/>
  <c r="N388"/>
  <c r="AE387"/>
  <c r="Y387"/>
  <c r="Z387" s="1"/>
  <c r="V387"/>
  <c r="N387"/>
  <c r="AE386"/>
  <c r="Y386"/>
  <c r="Z386" s="1"/>
  <c r="V386"/>
  <c r="N386"/>
  <c r="AE385"/>
  <c r="Y385"/>
  <c r="Z385" s="1"/>
  <c r="V385"/>
  <c r="N385"/>
  <c r="AE384"/>
  <c r="Y384"/>
  <c r="Z384" s="1"/>
  <c r="V384"/>
  <c r="N384"/>
  <c r="AE383"/>
  <c r="Y383"/>
  <c r="Z383" s="1"/>
  <c r="V383"/>
  <c r="N383"/>
  <c r="AE382"/>
  <c r="Y382"/>
  <c r="Z382" s="1"/>
  <c r="V382"/>
  <c r="N382"/>
  <c r="AE381"/>
  <c r="Y381"/>
  <c r="Z381" s="1"/>
  <c r="V381"/>
  <c r="N381"/>
  <c r="AE380"/>
  <c r="Y380"/>
  <c r="Z380" s="1"/>
  <c r="V380"/>
  <c r="N380"/>
  <c r="AE379"/>
  <c r="Y379"/>
  <c r="Z379" s="1"/>
  <c r="V379"/>
  <c r="N379"/>
  <c r="AE378"/>
  <c r="Y378"/>
  <c r="Z378" s="1"/>
  <c r="V378"/>
  <c r="N378"/>
  <c r="AB399" l="1"/>
  <c r="Y399"/>
  <c r="Z399" s="1"/>
  <c r="AC399" l="1"/>
  <c r="AE204" i="28" l="1"/>
  <c r="Y204" l="1"/>
  <c r="Z204" s="1"/>
  <c r="V204"/>
  <c r="N204"/>
  <c r="AE205"/>
  <c r="Y205" l="1"/>
  <c r="Z205" s="1"/>
  <c r="V205"/>
  <c r="N205"/>
  <c r="AE206"/>
  <c r="Y206" l="1"/>
  <c r="Z206" s="1"/>
  <c r="V206"/>
  <c r="N206"/>
  <c r="AE207" l="1"/>
  <c r="Y207" l="1"/>
  <c r="Z207" s="1"/>
  <c r="V207"/>
  <c r="N207"/>
  <c r="AE209"/>
  <c r="Y209" l="1"/>
  <c r="Z209" s="1"/>
  <c r="V209"/>
  <c r="N209"/>
  <c r="AE208" l="1"/>
  <c r="Y208" l="1"/>
  <c r="Z208" s="1"/>
  <c r="AE210" l="1"/>
  <c r="Y210" l="1"/>
  <c r="Z210" s="1"/>
  <c r="V210"/>
  <c r="N210"/>
  <c r="AE212" l="1"/>
  <c r="Y212" l="1"/>
  <c r="Z212" s="1"/>
  <c r="V212"/>
  <c r="N212"/>
  <c r="AE211" l="1"/>
  <c r="Y211" l="1"/>
  <c r="Z211" s="1"/>
  <c r="V211"/>
  <c r="N211"/>
  <c r="AE213" l="1"/>
  <c r="Y213" l="1"/>
  <c r="Z213" s="1"/>
  <c r="V213"/>
  <c r="N213"/>
  <c r="AE214" l="1"/>
  <c r="Y214" l="1"/>
  <c r="Z214" s="1"/>
  <c r="V214"/>
  <c r="N214"/>
  <c r="AE215" l="1"/>
  <c r="Y215" l="1"/>
  <c r="Z215" s="1"/>
  <c r="V215"/>
  <c r="N215"/>
  <c r="AE216"/>
  <c r="Y216" l="1"/>
  <c r="Z216" s="1"/>
  <c r="V216"/>
  <c r="N216"/>
  <c r="AE217"/>
  <c r="Y217" l="1"/>
  <c r="Z217" s="1"/>
  <c r="V217"/>
  <c r="N217"/>
  <c r="AE218"/>
  <c r="Y218" l="1"/>
  <c r="Z218" s="1"/>
  <c r="V218"/>
  <c r="N218"/>
  <c r="K27" i="21" l="1"/>
  <c r="K28" s="1"/>
  <c r="L27" l="1"/>
  <c r="N27"/>
  <c r="N28" s="1"/>
  <c r="L28" l="1"/>
  <c r="X405" i="22" l="1"/>
  <c r="W405"/>
  <c r="AE404"/>
  <c r="Y404"/>
  <c r="Z404" s="1"/>
  <c r="V404"/>
  <c r="N404"/>
  <c r="AE403"/>
  <c r="Y403"/>
  <c r="Z403" s="1"/>
  <c r="V403"/>
  <c r="N403"/>
  <c r="AE402"/>
  <c r="Y402"/>
  <c r="Z402" s="1"/>
  <c r="V402"/>
  <c r="N402"/>
  <c r="AB405" l="1"/>
  <c r="Y405"/>
  <c r="Z405" s="1"/>
  <c r="AC405" l="1"/>
  <c r="Y229" i="28" l="1"/>
  <c r="Z229" s="1"/>
  <c r="AE229"/>
  <c r="AE219" l="1"/>
  <c r="Y219" l="1"/>
  <c r="Z219" s="1"/>
  <c r="V219"/>
  <c r="N219"/>
  <c r="AE220" l="1"/>
  <c r="Y220" l="1"/>
  <c r="Z220" s="1"/>
  <c r="V220"/>
  <c r="N220"/>
  <c r="AE221" l="1"/>
  <c r="Y221" l="1"/>
  <c r="Z221" s="1"/>
  <c r="V221"/>
  <c r="N221"/>
  <c r="AE222" l="1"/>
  <c r="Y222" l="1"/>
  <c r="Z222" s="1"/>
  <c r="V222"/>
  <c r="N222"/>
  <c r="AE225" l="1"/>
  <c r="Y225" l="1"/>
  <c r="Z225" s="1"/>
  <c r="V225"/>
  <c r="N225"/>
  <c r="AE224" l="1"/>
  <c r="Y224" l="1"/>
  <c r="Z224" s="1"/>
  <c r="V224"/>
  <c r="N224"/>
  <c r="AE223"/>
  <c r="Y223" l="1"/>
  <c r="Z223" s="1"/>
  <c r="V223"/>
  <c r="N223"/>
  <c r="AE230" l="1"/>
  <c r="Y230" l="1"/>
  <c r="Z230" s="1"/>
  <c r="V230"/>
  <c r="N230"/>
  <c r="V229" l="1"/>
  <c r="N229"/>
  <c r="AE226" l="1"/>
  <c r="Y226" l="1"/>
  <c r="Z226" s="1"/>
  <c r="V226"/>
  <c r="N226"/>
  <c r="AE234" l="1"/>
  <c r="Y234" l="1"/>
  <c r="Z234" s="1"/>
  <c r="V234"/>
  <c r="N234"/>
  <c r="AE228" l="1"/>
  <c r="Y228" l="1"/>
  <c r="Z228" s="1"/>
  <c r="V228"/>
  <c r="N228"/>
  <c r="AE227"/>
  <c r="Y227" l="1"/>
  <c r="Z227" s="1"/>
  <c r="V227"/>
  <c r="N227"/>
  <c r="AE231" l="1"/>
  <c r="Y231" l="1"/>
  <c r="Z231" s="1"/>
  <c r="V231"/>
  <c r="N231"/>
  <c r="AE232"/>
  <c r="Y232" l="1"/>
  <c r="Z232" s="1"/>
  <c r="V232"/>
  <c r="N232"/>
  <c r="AE233"/>
  <c r="Y233" l="1"/>
  <c r="Z233" s="1"/>
  <c r="V233"/>
  <c r="N233"/>
  <c r="AE235"/>
  <c r="Y235" l="1"/>
  <c r="Z235" s="1"/>
  <c r="V235"/>
  <c r="N235"/>
  <c r="AE236"/>
  <c r="Y236" l="1"/>
  <c r="Z236" s="1"/>
  <c r="V236"/>
  <c r="N236"/>
  <c r="AE237"/>
  <c r="Y237" l="1"/>
  <c r="Z237" s="1"/>
  <c r="V237"/>
  <c r="N237"/>
  <c r="AE239" l="1"/>
  <c r="Y239" l="1"/>
  <c r="Z239" s="1"/>
  <c r="V239"/>
  <c r="N239"/>
  <c r="AE238" l="1"/>
  <c r="Y238" l="1"/>
  <c r="Z238" s="1"/>
  <c r="V238"/>
  <c r="N238"/>
  <c r="AE241" l="1"/>
  <c r="Y241" l="1"/>
  <c r="Z241" s="1"/>
  <c r="V241"/>
  <c r="N241"/>
  <c r="AE240" l="1"/>
  <c r="Y240" l="1"/>
  <c r="Z240" s="1"/>
  <c r="V240"/>
  <c r="N240"/>
  <c r="V255"/>
  <c r="N255"/>
  <c r="AE245" l="1"/>
  <c r="Y245" l="1"/>
  <c r="Z245" s="1"/>
  <c r="V245"/>
  <c r="N245"/>
  <c r="AE243" l="1"/>
  <c r="Y243" l="1"/>
  <c r="Z243" s="1"/>
  <c r="V243"/>
  <c r="N243"/>
  <c r="AE242" l="1"/>
  <c r="Y242" l="1"/>
  <c r="Z242" s="1"/>
  <c r="V242"/>
  <c r="N242"/>
  <c r="AE247" l="1"/>
  <c r="Y247" l="1"/>
  <c r="Z247" s="1"/>
  <c r="V247"/>
  <c r="N247"/>
  <c r="AE244" l="1"/>
  <c r="Y244" l="1"/>
  <c r="Z244" s="1"/>
  <c r="V244"/>
  <c r="N244"/>
  <c r="AE246" l="1"/>
  <c r="Y246" l="1"/>
  <c r="Z246" s="1"/>
  <c r="V246"/>
  <c r="N246"/>
  <c r="AE248" l="1"/>
  <c r="Y248" l="1"/>
  <c r="Z248" s="1"/>
  <c r="V248"/>
  <c r="N248"/>
  <c r="AE249" l="1"/>
  <c r="Y249" l="1"/>
  <c r="Z249" s="1"/>
  <c r="V249"/>
  <c r="N249"/>
  <c r="AE250"/>
  <c r="Y250" l="1"/>
  <c r="Z250" s="1"/>
  <c r="V250"/>
  <c r="N250"/>
  <c r="AE251" l="1"/>
  <c r="Y251" l="1"/>
  <c r="Z251" s="1"/>
  <c r="V251"/>
  <c r="N251"/>
  <c r="AE252" l="1"/>
  <c r="Y252" l="1"/>
  <c r="Z252" s="1"/>
  <c r="V252"/>
  <c r="N252"/>
  <c r="AE253" l="1"/>
  <c r="Y253" l="1"/>
  <c r="Z253" s="1"/>
  <c r="V253"/>
  <c r="N253"/>
  <c r="AE254"/>
  <c r="Y254" l="1"/>
  <c r="Z254" s="1"/>
  <c r="V254"/>
  <c r="N254"/>
  <c r="AE255"/>
  <c r="Y255" l="1"/>
  <c r="Z255" s="1"/>
  <c r="AE256"/>
  <c r="Y256" l="1"/>
  <c r="Z256" s="1"/>
  <c r="V256"/>
  <c r="N256"/>
  <c r="Y262" l="1"/>
  <c r="Z262" s="1"/>
  <c r="AE262"/>
  <c r="AE257" l="1"/>
  <c r="Y257" l="1"/>
  <c r="Z257" s="1"/>
  <c r="V257"/>
  <c r="N257"/>
  <c r="AE258" l="1"/>
  <c r="Y258" l="1"/>
  <c r="Z258" s="1"/>
  <c r="V258"/>
  <c r="N258"/>
  <c r="AE259" l="1"/>
  <c r="Y259" l="1"/>
  <c r="Z259" s="1"/>
  <c r="V259"/>
  <c r="N259"/>
  <c r="AE260" l="1"/>
  <c r="Y260" l="1"/>
  <c r="Z260" s="1"/>
  <c r="V260"/>
  <c r="N260"/>
  <c r="V270" l="1"/>
  <c r="N270"/>
  <c r="AE261"/>
  <c r="Y261" l="1"/>
  <c r="Z261" s="1"/>
  <c r="V261"/>
  <c r="N261"/>
  <c r="V262" l="1"/>
  <c r="N262"/>
  <c r="AE263" l="1"/>
  <c r="Y263" l="1"/>
  <c r="Z263" s="1"/>
  <c r="V263"/>
  <c r="N263"/>
  <c r="AE264" l="1"/>
  <c r="Y264" l="1"/>
  <c r="Z264" s="1"/>
  <c r="V264"/>
  <c r="N264"/>
  <c r="AE265"/>
  <c r="Y265" l="1"/>
  <c r="Z265" s="1"/>
  <c r="V265"/>
  <c r="N265"/>
  <c r="AE266" l="1"/>
  <c r="Y266" l="1"/>
  <c r="Z266" s="1"/>
  <c r="V266"/>
  <c r="N266"/>
  <c r="AE267" l="1"/>
  <c r="Y267" l="1"/>
  <c r="Z267" s="1"/>
  <c r="V267"/>
  <c r="N267"/>
  <c r="AE269"/>
  <c r="Y269" l="1"/>
  <c r="Z269" s="1"/>
  <c r="V269"/>
  <c r="N269"/>
  <c r="AE268" l="1"/>
  <c r="Y268" l="1"/>
  <c r="Z268" s="1"/>
  <c r="V268"/>
  <c r="N268"/>
  <c r="AE270" l="1"/>
  <c r="Y270" l="1"/>
  <c r="Z270" s="1"/>
  <c r="AE271" l="1"/>
  <c r="Y271" l="1"/>
  <c r="Z271" s="1"/>
  <c r="V271"/>
  <c r="N271"/>
  <c r="AE272" l="1"/>
  <c r="Y272" l="1"/>
  <c r="Z272" s="1"/>
  <c r="V272"/>
  <c r="N272"/>
  <c r="AE273" l="1"/>
  <c r="Y273" l="1"/>
  <c r="Z273" s="1"/>
  <c r="V273"/>
  <c r="N273"/>
  <c r="AE274" l="1"/>
  <c r="Y274" l="1"/>
  <c r="Z274" s="1"/>
  <c r="V274"/>
  <c r="N274"/>
  <c r="AE275" l="1"/>
  <c r="Y275" l="1"/>
  <c r="Z275" s="1"/>
  <c r="V275"/>
  <c r="N275"/>
  <c r="AE278" l="1"/>
  <c r="Y278" l="1"/>
  <c r="Z278" s="1"/>
  <c r="V278"/>
  <c r="N278"/>
  <c r="AE279" l="1"/>
  <c r="Y279" l="1"/>
  <c r="Z279" s="1"/>
  <c r="V279"/>
  <c r="N279"/>
  <c r="AE276"/>
  <c r="N276"/>
  <c r="AE277"/>
  <c r="N277"/>
  <c r="V276" l="1"/>
  <c r="Y276"/>
  <c r="Z276" s="1"/>
  <c r="V277"/>
  <c r="Y277"/>
  <c r="Z277" s="1"/>
  <c r="AE283" l="1"/>
  <c r="Y283" l="1"/>
  <c r="Z283" s="1"/>
  <c r="V283"/>
  <c r="N283"/>
  <c r="AE280" l="1"/>
  <c r="V280" l="1"/>
  <c r="Y280"/>
  <c r="Z280" s="1"/>
  <c r="N280"/>
  <c r="AE281"/>
  <c r="Y281" l="1"/>
  <c r="Z281" s="1"/>
  <c r="V281"/>
  <c r="N281"/>
  <c r="AE282" l="1"/>
  <c r="Y282" l="1"/>
  <c r="Z282" s="1"/>
  <c r="V282"/>
  <c r="N282"/>
  <c r="AE288" l="1"/>
  <c r="Y288"/>
  <c r="Z288" s="1"/>
  <c r="V288"/>
  <c r="N288"/>
  <c r="AE287"/>
  <c r="Y287"/>
  <c r="Z287" s="1"/>
  <c r="V287"/>
  <c r="N287"/>
  <c r="AE286"/>
  <c r="Y286"/>
  <c r="Z286" s="1"/>
  <c r="V286"/>
  <c r="N286"/>
  <c r="AE284" l="1"/>
  <c r="Y284" l="1"/>
  <c r="Z284" s="1"/>
  <c r="V284"/>
  <c r="N284"/>
  <c r="AE285" l="1"/>
  <c r="Y285" l="1"/>
  <c r="Z285" s="1"/>
  <c r="V285"/>
  <c r="N285"/>
  <c r="N290" l="1"/>
  <c r="N292"/>
  <c r="N291"/>
  <c r="N289"/>
  <c r="AE289" l="1"/>
  <c r="Y289" l="1"/>
  <c r="Z289" s="1"/>
  <c r="V289"/>
  <c r="AE290" l="1"/>
  <c r="Y290" l="1"/>
  <c r="Z290" s="1"/>
  <c r="V290"/>
  <c r="AE292"/>
  <c r="Y292" l="1"/>
  <c r="Z292" s="1"/>
  <c r="V292"/>
  <c r="AE291" l="1"/>
  <c r="V291" l="1"/>
  <c r="Y291"/>
  <c r="Z291" s="1"/>
  <c r="AE293" l="1"/>
  <c r="Y293" l="1"/>
  <c r="Z293" s="1"/>
  <c r="V293"/>
  <c r="N293"/>
  <c r="AE294" l="1"/>
  <c r="Y294" l="1"/>
  <c r="Z294" s="1"/>
  <c r="V294"/>
  <c r="N294"/>
  <c r="AE296" l="1"/>
  <c r="Y296" l="1"/>
  <c r="Z296" s="1"/>
  <c r="V296"/>
  <c r="N296"/>
  <c r="AE295" l="1"/>
  <c r="Y295" l="1"/>
  <c r="Z295" s="1"/>
  <c r="V295"/>
  <c r="N295"/>
  <c r="AE297" l="1"/>
  <c r="N297"/>
  <c r="AE298"/>
  <c r="N298"/>
  <c r="AE299"/>
  <c r="N299"/>
  <c r="V297" l="1"/>
  <c r="Y297"/>
  <c r="Z297" s="1"/>
  <c r="V298"/>
  <c r="Y298"/>
  <c r="Z298" s="1"/>
  <c r="V299"/>
  <c r="Y299"/>
  <c r="Z299" s="1"/>
  <c r="AE300" l="1"/>
  <c r="Y300" l="1"/>
  <c r="Z300" s="1"/>
  <c r="V300"/>
  <c r="N300"/>
  <c r="AE301" l="1"/>
  <c r="Y301" l="1"/>
  <c r="Z301" s="1"/>
  <c r="V301"/>
  <c r="N301"/>
  <c r="AE302" l="1"/>
  <c r="Y302" l="1"/>
  <c r="Z302" s="1"/>
  <c r="V302"/>
  <c r="N302"/>
  <c r="V305" l="1"/>
  <c r="Y303"/>
  <c r="Z303" s="1"/>
  <c r="V303"/>
  <c r="AE303"/>
  <c r="N303" l="1"/>
  <c r="AE304"/>
  <c r="Y304" l="1"/>
  <c r="Z304" s="1"/>
  <c r="V304"/>
  <c r="N304"/>
  <c r="AE305"/>
  <c r="Y305" l="1"/>
  <c r="Z305" s="1"/>
  <c r="N305"/>
  <c r="AE306"/>
  <c r="Y306" l="1"/>
  <c r="Z306" s="1"/>
  <c r="V306"/>
  <c r="N306"/>
  <c r="AE307" l="1"/>
  <c r="Y307" l="1"/>
  <c r="Z307" s="1"/>
  <c r="V307"/>
  <c r="N307"/>
  <c r="AE308"/>
  <c r="Y308" l="1"/>
  <c r="Z308" s="1"/>
  <c r="V308"/>
  <c r="N308"/>
  <c r="AE309" l="1"/>
  <c r="Y309" l="1"/>
  <c r="Z309" s="1"/>
  <c r="V309"/>
  <c r="N309"/>
  <c r="X419" i="22" l="1"/>
  <c r="W419"/>
  <c r="Y419" l="1"/>
  <c r="Z419" s="1"/>
  <c r="AE409" l="1"/>
  <c r="Y409" l="1"/>
  <c r="Z409" s="1"/>
  <c r="V409"/>
  <c r="N409"/>
  <c r="AE408" l="1"/>
  <c r="Y408" l="1"/>
  <c r="Z408" s="1"/>
  <c r="V408"/>
  <c r="N408"/>
  <c r="AE418"/>
  <c r="Y418" l="1"/>
  <c r="Z418" s="1"/>
  <c r="V418"/>
  <c r="N418"/>
  <c r="AE310" i="28" l="1"/>
  <c r="Y310" l="1"/>
  <c r="Z310" s="1"/>
  <c r="V310"/>
  <c r="N310"/>
  <c r="Y569" i="22" l="1"/>
  <c r="V569"/>
  <c r="N569"/>
  <c r="AE568"/>
  <c r="Y568" l="1"/>
  <c r="Z568" s="1"/>
  <c r="V568" l="1"/>
  <c r="N568"/>
  <c r="AE567" l="1"/>
  <c r="Y567"/>
  <c r="Z567" l="1"/>
  <c r="V567"/>
  <c r="N567"/>
  <c r="AE566"/>
  <c r="Y566"/>
  <c r="V566"/>
  <c r="N566"/>
  <c r="AE565"/>
  <c r="Z566" l="1"/>
  <c r="Y565"/>
  <c r="Z565" s="1"/>
  <c r="V565" l="1"/>
  <c r="N565"/>
  <c r="AE564"/>
  <c r="Y564" l="1"/>
  <c r="Z564" s="1"/>
  <c r="V564"/>
  <c r="N564"/>
  <c r="AE563"/>
  <c r="Y563" l="1"/>
  <c r="Y570" s="1"/>
  <c r="Z569" s="1"/>
  <c r="V563"/>
  <c r="Z563" l="1"/>
  <c r="N563"/>
  <c r="W561" l="1"/>
  <c r="AE560"/>
  <c r="X560" l="1"/>
  <c r="Y560" s="1"/>
  <c r="Z560" s="1"/>
  <c r="V560"/>
  <c r="N560"/>
  <c r="AE559"/>
  <c r="X559" l="1"/>
  <c r="Y559" s="1"/>
  <c r="Z559" s="1"/>
  <c r="V559"/>
  <c r="N559"/>
  <c r="AE558"/>
  <c r="X558"/>
  <c r="Y558" s="1"/>
  <c r="Z558" s="1"/>
  <c r="V558"/>
  <c r="N558"/>
  <c r="AE557"/>
  <c r="X557"/>
  <c r="Y557" s="1"/>
  <c r="V557"/>
  <c r="N557"/>
  <c r="AE556"/>
  <c r="Z557" l="1"/>
  <c r="X556"/>
  <c r="Y556" s="1"/>
  <c r="Z556" s="1"/>
  <c r="V556"/>
  <c r="N556"/>
  <c r="AE555"/>
  <c r="X555"/>
  <c r="Y555" s="1"/>
  <c r="Z555" s="1"/>
  <c r="V555"/>
  <c r="N555"/>
  <c r="AE554"/>
  <c r="Y554"/>
  <c r="V554"/>
  <c r="N554"/>
  <c r="W552"/>
  <c r="AE551"/>
  <c r="X551"/>
  <c r="Y551" s="1"/>
  <c r="Z551" s="1"/>
  <c r="V551"/>
  <c r="N551"/>
  <c r="AE550"/>
  <c r="Z554" l="1"/>
  <c r="Y561"/>
  <c r="X550"/>
  <c r="Y550" s="1"/>
  <c r="Z550" s="1"/>
  <c r="V550"/>
  <c r="N550"/>
  <c r="AE549"/>
  <c r="X561" l="1"/>
  <c r="Z561" s="1"/>
  <c r="X549"/>
  <c r="Y549" s="1"/>
  <c r="Z549" s="1"/>
  <c r="V549"/>
  <c r="N549"/>
  <c r="X547" l="1"/>
  <c r="W547"/>
  <c r="AE546"/>
  <c r="Y546" l="1"/>
  <c r="Z546" s="1"/>
  <c r="V546"/>
  <c r="N546"/>
  <c r="AE545"/>
  <c r="Y545" l="1"/>
  <c r="V545"/>
  <c r="N545"/>
  <c r="W543"/>
  <c r="AE542"/>
  <c r="Y542"/>
  <c r="V542"/>
  <c r="N542"/>
  <c r="AE541"/>
  <c r="Y541"/>
  <c r="Z541" s="1"/>
  <c r="V541"/>
  <c r="N541"/>
  <c r="AE540"/>
  <c r="Y547" l="1"/>
  <c r="Z547" s="1"/>
  <c r="Z545"/>
  <c r="Z542"/>
  <c r="Y540"/>
  <c r="Z540" s="1"/>
  <c r="V540"/>
  <c r="N540"/>
  <c r="AE539" l="1"/>
  <c r="Y539" l="1"/>
  <c r="Z539" s="1"/>
  <c r="V539"/>
  <c r="N539"/>
  <c r="AE538"/>
  <c r="Y538" l="1"/>
  <c r="Z538" s="1"/>
  <c r="V538"/>
  <c r="N538"/>
  <c r="AE537" l="1"/>
  <c r="Y537" l="1"/>
  <c r="Z537" s="1"/>
  <c r="V537"/>
  <c r="N537"/>
  <c r="AE536"/>
  <c r="X536" l="1"/>
  <c r="Y536" s="1"/>
  <c r="Z536" s="1"/>
  <c r="V536"/>
  <c r="N536"/>
  <c r="AE535" l="1"/>
  <c r="X535" l="1"/>
  <c r="V535"/>
  <c r="N535"/>
  <c r="AE534" l="1"/>
  <c r="X534" l="1"/>
  <c r="Y534" s="1"/>
  <c r="Z534" s="1"/>
  <c r="V534"/>
  <c r="N534"/>
  <c r="AE533" l="1"/>
  <c r="X533" l="1"/>
  <c r="Y533" s="1"/>
  <c r="Z533" s="1"/>
  <c r="V533"/>
  <c r="N533"/>
  <c r="X531" l="1"/>
  <c r="W531"/>
  <c r="AE530"/>
  <c r="Y530" l="1"/>
  <c r="Z530" s="1"/>
  <c r="V530"/>
  <c r="N530"/>
  <c r="AE529"/>
  <c r="Y529" l="1"/>
  <c r="Z529" s="1"/>
  <c r="V529"/>
  <c r="N529"/>
  <c r="AE528"/>
  <c r="Y528" l="1"/>
  <c r="Z528" s="1"/>
  <c r="V528"/>
  <c r="N528"/>
  <c r="AE527"/>
  <c r="Y527" l="1"/>
  <c r="Z527" s="1"/>
  <c r="V527"/>
  <c r="N527"/>
  <c r="AE526"/>
  <c r="Y526" l="1"/>
  <c r="Z526" s="1"/>
  <c r="V526"/>
  <c r="N526"/>
  <c r="AE525"/>
  <c r="Y525"/>
  <c r="Z525" s="1"/>
  <c r="V525"/>
  <c r="N525"/>
  <c r="AE524"/>
  <c r="Y524" l="1"/>
  <c r="Z524" s="1"/>
  <c r="V524"/>
  <c r="N524"/>
  <c r="AE523"/>
  <c r="Y523" l="1"/>
  <c r="Z523" s="1"/>
  <c r="V523"/>
  <c r="N523"/>
  <c r="AE522"/>
  <c r="Y522" l="1"/>
  <c r="Z522" s="1"/>
  <c r="V522"/>
  <c r="N522"/>
  <c r="AE521"/>
  <c r="Y521" l="1"/>
  <c r="Z521" s="1"/>
  <c r="V521"/>
  <c r="N521"/>
  <c r="X519" l="1"/>
  <c r="W519"/>
  <c r="AE518"/>
  <c r="Y519" l="1"/>
  <c r="Z519" s="1"/>
  <c r="Y518"/>
  <c r="Z518" s="1"/>
  <c r="V518"/>
  <c r="N518"/>
  <c r="AE517"/>
  <c r="Y517" l="1"/>
  <c r="Z517" s="1"/>
  <c r="V517"/>
  <c r="N517"/>
  <c r="AE516"/>
  <c r="Y516" l="1"/>
  <c r="Z516" s="1"/>
  <c r="V516"/>
  <c r="N516"/>
  <c r="AE515"/>
  <c r="Y515" l="1"/>
  <c r="Z515" s="1"/>
  <c r="V515"/>
  <c r="N515"/>
  <c r="AE514" l="1"/>
  <c r="Y514" l="1"/>
  <c r="Z514" s="1"/>
  <c r="V514"/>
  <c r="N514"/>
  <c r="AE513" l="1"/>
  <c r="Y513" l="1"/>
  <c r="Z513" s="1"/>
  <c r="V513"/>
  <c r="N513"/>
  <c r="W511" l="1"/>
  <c r="AE510"/>
  <c r="Y510" l="1"/>
  <c r="Z510" s="1"/>
  <c r="V510"/>
  <c r="N510"/>
  <c r="AE509"/>
  <c r="X509" l="1"/>
  <c r="Y509" s="1"/>
  <c r="Z509" s="1"/>
  <c r="V509"/>
  <c r="N509"/>
  <c r="AE508"/>
  <c r="Y508" l="1"/>
  <c r="Z508" s="1"/>
  <c r="V508"/>
  <c r="N508"/>
  <c r="AE507"/>
  <c r="Y507" l="1"/>
  <c r="Z507" s="1"/>
  <c r="V507"/>
  <c r="N507"/>
  <c r="AE506"/>
  <c r="Y506" l="1"/>
  <c r="Z506" s="1"/>
  <c r="V506"/>
  <c r="N506"/>
  <c r="AE505"/>
  <c r="X505" l="1"/>
  <c r="Y505" s="1"/>
  <c r="Z505" s="1"/>
  <c r="V505"/>
  <c r="N505"/>
  <c r="X503" l="1"/>
  <c r="W503"/>
  <c r="AE502"/>
  <c r="Y502" l="1"/>
  <c r="Z502" s="1"/>
  <c r="V502"/>
  <c r="N502"/>
  <c r="AE501"/>
  <c r="Y501" l="1"/>
  <c r="Z501" s="1"/>
  <c r="V501"/>
  <c r="N501"/>
  <c r="AE500" l="1"/>
  <c r="Y500" l="1"/>
  <c r="Z500" s="1"/>
  <c r="V500"/>
  <c r="N500"/>
  <c r="X498"/>
  <c r="W498" l="1"/>
  <c r="Y498" s="1"/>
  <c r="Z498" s="1"/>
  <c r="AE497"/>
  <c r="Y497" l="1"/>
  <c r="Z497" s="1"/>
  <c r="V497"/>
  <c r="N497"/>
  <c r="AE496" l="1"/>
  <c r="Y496" l="1"/>
  <c r="Z496" s="1"/>
  <c r="V496"/>
  <c r="N496"/>
  <c r="AE495"/>
  <c r="Y495" l="1"/>
  <c r="Z495" s="1"/>
  <c r="V495"/>
  <c r="N495"/>
  <c r="AE494"/>
  <c r="Y494" l="1"/>
  <c r="Z494" s="1"/>
  <c r="V494"/>
  <c r="N494"/>
  <c r="AE493" l="1"/>
  <c r="Y493" l="1"/>
  <c r="Z493" s="1"/>
  <c r="V493"/>
  <c r="N493"/>
  <c r="X491" l="1"/>
  <c r="W491"/>
  <c r="AE490"/>
  <c r="Y491" l="1"/>
  <c r="Z491" s="1"/>
  <c r="Y490"/>
  <c r="Z490" s="1"/>
  <c r="AE489"/>
  <c r="Y489"/>
  <c r="Z489" s="1"/>
  <c r="AE488"/>
  <c r="Y488"/>
  <c r="Z488" s="1"/>
  <c r="AE487"/>
  <c r="Y487"/>
  <c r="AE486"/>
  <c r="Y486"/>
  <c r="W484"/>
  <c r="Z487" l="1"/>
  <c r="Z486"/>
  <c r="AE483"/>
  <c r="Y483" l="1"/>
  <c r="Z483" s="1"/>
  <c r="V483"/>
  <c r="N483"/>
  <c r="AE482" l="1"/>
  <c r="X482" l="1"/>
  <c r="Y482" s="1"/>
  <c r="Z482" s="1"/>
  <c r="V482"/>
  <c r="N482"/>
  <c r="X480" l="1"/>
  <c r="W480"/>
  <c r="AE479"/>
  <c r="Y479" l="1"/>
  <c r="Z479" s="1"/>
  <c r="V479"/>
  <c r="N479"/>
  <c r="AE478"/>
  <c r="Y478"/>
  <c r="V478"/>
  <c r="N478"/>
  <c r="AE477"/>
  <c r="Z478" l="1"/>
  <c r="Y477"/>
  <c r="Z477" s="1"/>
  <c r="V477"/>
  <c r="N477"/>
  <c r="AE476"/>
  <c r="Y476" l="1"/>
  <c r="Z476" s="1"/>
  <c r="V476"/>
  <c r="N476"/>
  <c r="X474"/>
  <c r="W474"/>
  <c r="AE473"/>
  <c r="Y474" l="1"/>
  <c r="Z474" s="1"/>
  <c r="Y473"/>
  <c r="Z473" s="1"/>
  <c r="V473"/>
  <c r="N473"/>
  <c r="AE472"/>
  <c r="Y472"/>
  <c r="V472"/>
  <c r="N472"/>
  <c r="Z472" l="1"/>
  <c r="W470"/>
  <c r="AE469"/>
  <c r="Y469" l="1"/>
  <c r="Z469" s="1"/>
  <c r="V469"/>
  <c r="N469"/>
  <c r="AE468"/>
  <c r="Y468" l="1"/>
  <c r="Z468" s="1"/>
  <c r="V468"/>
  <c r="N468"/>
  <c r="AE467"/>
  <c r="X467" l="1"/>
  <c r="Y467" s="1"/>
  <c r="Z467" s="1"/>
  <c r="V467"/>
  <c r="N467"/>
  <c r="AE466"/>
  <c r="X466" l="1"/>
  <c r="Y466" s="1"/>
  <c r="Z466" s="1"/>
  <c r="V466"/>
  <c r="N466"/>
  <c r="X464"/>
  <c r="W464"/>
  <c r="AE463"/>
  <c r="Y464" l="1"/>
  <c r="Z464" s="1"/>
  <c r="Y463"/>
  <c r="Z463" s="1"/>
  <c r="V463"/>
  <c r="N463"/>
  <c r="AE462"/>
  <c r="Y462"/>
  <c r="V462"/>
  <c r="N462"/>
  <c r="AE459"/>
  <c r="Z462" l="1"/>
  <c r="Y459"/>
  <c r="Z459" s="1"/>
  <c r="V459"/>
  <c r="N459"/>
  <c r="W457" l="1"/>
  <c r="AE456"/>
  <c r="Y456" l="1"/>
  <c r="Z456" s="1"/>
  <c r="V456"/>
  <c r="N456"/>
  <c r="AE455" l="1"/>
  <c r="Y455" l="1"/>
  <c r="Z455" s="1"/>
  <c r="V455"/>
  <c r="N455"/>
  <c r="AE454"/>
  <c r="Y454" l="1"/>
  <c r="Z454" s="1"/>
  <c r="V454"/>
  <c r="N454"/>
  <c r="AE453"/>
  <c r="X453" l="1"/>
  <c r="Y453" s="1"/>
  <c r="Z453" s="1"/>
  <c r="V453"/>
  <c r="N453"/>
  <c r="AE450" l="1"/>
  <c r="Y450" l="1"/>
  <c r="Z450" s="1"/>
  <c r="V450"/>
  <c r="N450"/>
  <c r="AE449"/>
  <c r="Y449"/>
  <c r="V449"/>
  <c r="N449"/>
  <c r="Z449" l="1"/>
  <c r="AE448"/>
  <c r="Y448"/>
  <c r="V448"/>
  <c r="N448"/>
  <c r="AE447"/>
  <c r="Z448" l="1"/>
  <c r="X447"/>
  <c r="W447"/>
  <c r="N447"/>
  <c r="AE446"/>
  <c r="Y446"/>
  <c r="V446"/>
  <c r="N446"/>
  <c r="AE443"/>
  <c r="Z446" l="1"/>
  <c r="W451"/>
  <c r="Y447"/>
  <c r="Z447" s="1"/>
  <c r="V447"/>
  <c r="X443"/>
  <c r="W443"/>
  <c r="Y443" l="1"/>
  <c r="Z443" s="1"/>
  <c r="V443"/>
  <c r="N443"/>
  <c r="AE442"/>
  <c r="Y442"/>
  <c r="V442"/>
  <c r="N442"/>
  <c r="AE441"/>
  <c r="Z442" l="1"/>
  <c r="Y441"/>
  <c r="Z441" s="1"/>
  <c r="V441"/>
  <c r="N441"/>
  <c r="AE440"/>
  <c r="X440" l="1"/>
  <c r="W440"/>
  <c r="Y440" l="1"/>
  <c r="Z440" s="1"/>
  <c r="V440"/>
  <c r="N440"/>
  <c r="AE439"/>
  <c r="X439"/>
  <c r="X444" s="1"/>
  <c r="W439"/>
  <c r="W444" s="1"/>
  <c r="Y444" l="1"/>
  <c r="Z444" s="1"/>
  <c r="V439"/>
  <c r="N439"/>
  <c r="X437"/>
  <c r="W437"/>
  <c r="AE436"/>
  <c r="Y437" l="1"/>
  <c r="Z437" s="1"/>
  <c r="Y436"/>
  <c r="Z436" s="1"/>
  <c r="V436"/>
  <c r="N436"/>
  <c r="AE435"/>
  <c r="Y435" l="1"/>
  <c r="Z435" s="1"/>
  <c r="V435"/>
  <c r="N435"/>
  <c r="AE434"/>
  <c r="Y434"/>
  <c r="V434"/>
  <c r="N434"/>
  <c r="Z434" l="1"/>
  <c r="AE433"/>
  <c r="Y433" l="1"/>
  <c r="Z433" s="1"/>
  <c r="V433"/>
  <c r="N433"/>
  <c r="W431"/>
  <c r="AE430"/>
  <c r="Y430" l="1"/>
  <c r="Z430" s="1"/>
  <c r="V430"/>
  <c r="N430"/>
  <c r="AE429"/>
  <c r="Y429"/>
  <c r="Z429" s="1"/>
  <c r="V429"/>
  <c r="N429"/>
  <c r="AE428"/>
  <c r="X428" l="1"/>
  <c r="Y428" s="1"/>
  <c r="Z428" s="1"/>
  <c r="V428"/>
  <c r="N428"/>
  <c r="AE425"/>
  <c r="Y425"/>
  <c r="V425"/>
  <c r="N425"/>
  <c r="AE422"/>
  <c r="X422"/>
  <c r="Y422" s="1"/>
  <c r="Z422" s="1"/>
  <c r="V422"/>
  <c r="N422"/>
  <c r="Z425" l="1"/>
  <c r="X416"/>
  <c r="AE415" l="1"/>
  <c r="N415" l="1"/>
  <c r="AE414"/>
  <c r="V415" l="1"/>
  <c r="Y415"/>
  <c r="Z415" s="1"/>
  <c r="V414" l="1"/>
  <c r="Y414"/>
  <c r="Z414" s="1"/>
  <c r="N414"/>
  <c r="AE413"/>
  <c r="Y413" l="1"/>
  <c r="Z413" s="1"/>
  <c r="V413"/>
  <c r="N413"/>
  <c r="AE412"/>
  <c r="N412"/>
  <c r="W416" l="1"/>
  <c r="Y416" s="1"/>
  <c r="Z416" s="1"/>
  <c r="Y412"/>
  <c r="Z412" s="1"/>
  <c r="V412"/>
  <c r="AE325" i="28" l="1"/>
  <c r="Y325" l="1"/>
  <c r="Z325" s="1"/>
  <c r="V325"/>
  <c r="N325"/>
  <c r="AE324"/>
  <c r="Y324" l="1"/>
  <c r="Z324" s="1"/>
  <c r="V324"/>
  <c r="N324"/>
  <c r="AE323"/>
  <c r="Y323"/>
  <c r="Z323" l="1"/>
  <c r="V323"/>
  <c r="N323" l="1"/>
  <c r="AE322"/>
  <c r="Y322"/>
  <c r="V322"/>
  <c r="N322"/>
  <c r="AE321"/>
  <c r="Y321"/>
  <c r="Z321" l="1"/>
  <c r="Z322"/>
  <c r="V321"/>
  <c r="N321"/>
  <c r="AE320"/>
  <c r="Y320"/>
  <c r="Z320" l="1"/>
  <c r="V320"/>
  <c r="N320"/>
  <c r="AE319"/>
  <c r="Y319" l="1"/>
  <c r="Z319" s="1"/>
  <c r="V319"/>
  <c r="N319"/>
  <c r="AE318" l="1"/>
  <c r="Y318" l="1"/>
  <c r="Z318" s="1"/>
  <c r="V318"/>
  <c r="N318"/>
  <c r="AE317"/>
  <c r="N317" l="1"/>
  <c r="AE316"/>
  <c r="V317" l="1"/>
  <c r="Y317"/>
  <c r="Z317" s="1"/>
  <c r="N316"/>
  <c r="V316" l="1"/>
  <c r="Y316"/>
  <c r="Z316" s="1"/>
  <c r="AE315"/>
  <c r="N315" l="1"/>
  <c r="AE314"/>
  <c r="V315" l="1"/>
  <c r="Y315"/>
  <c r="Z315" s="1"/>
  <c r="N314"/>
  <c r="AE313"/>
  <c r="V314" l="1"/>
  <c r="Y314"/>
  <c r="Z314" s="1"/>
  <c r="N313"/>
  <c r="AE312"/>
  <c r="V313" l="1"/>
  <c r="Y313"/>
  <c r="Z313" s="1"/>
  <c r="N312"/>
  <c r="V312" l="1"/>
  <c r="Y312"/>
  <c r="Z312" s="1"/>
  <c r="AE311"/>
  <c r="Y311" l="1"/>
  <c r="Z311" s="1"/>
  <c r="V311"/>
  <c r="N311" l="1"/>
  <c r="X431" i="22" l="1"/>
  <c r="Y431" s="1"/>
  <c r="Z431" s="1"/>
  <c r="Y439"/>
  <c r="Z439" s="1"/>
  <c r="X451"/>
  <c r="Y451" s="1"/>
  <c r="Z451" s="1"/>
  <c r="X457"/>
  <c r="Y457" s="1"/>
  <c r="Z457" s="1"/>
  <c r="X470"/>
  <c r="Y470" s="1"/>
  <c r="Z470" s="1"/>
  <c r="Y480"/>
  <c r="Z480" s="1"/>
  <c r="X484"/>
  <c r="Y484" s="1"/>
  <c r="Z484" s="1"/>
  <c r="Y503"/>
  <c r="Z503" s="1"/>
  <c r="X511"/>
  <c r="Y511" s="1"/>
  <c r="Z511" s="1"/>
  <c r="Y531"/>
  <c r="Z531" s="1"/>
  <c r="Y535"/>
  <c r="Z535" s="1"/>
  <c r="X543"/>
  <c r="Y543" s="1"/>
  <c r="Z543" s="1"/>
  <c r="X552"/>
  <c r="Y552" s="1"/>
  <c r="Z552" s="1"/>
  <c r="Y19" i="114"/>
  <c r="AB19"/>
  <c r="AC19" l="1"/>
  <c r="Z19"/>
</calcChain>
</file>

<file path=xl/sharedStrings.xml><?xml version="1.0" encoding="utf-8"?>
<sst xmlns="http://schemas.openxmlformats.org/spreadsheetml/2006/main" count="20366" uniqueCount="6540">
  <si>
    <t>國賓</t>
    <phoneticPr fontId="1" type="noConversion"/>
  </si>
  <si>
    <t>永豐金</t>
    <phoneticPr fontId="1" type="noConversion"/>
  </si>
  <si>
    <t>現在價</t>
    <phoneticPr fontId="1" type="noConversion"/>
  </si>
  <si>
    <t>損益率</t>
    <phoneticPr fontId="1" type="noConversion"/>
  </si>
  <si>
    <t>鴻海</t>
    <phoneticPr fontId="1" type="noConversion"/>
  </si>
  <si>
    <t>損益</t>
    <phoneticPr fontId="1" type="noConversion"/>
  </si>
  <si>
    <t>南橋</t>
    <phoneticPr fontId="1" type="noConversion"/>
  </si>
  <si>
    <t>辛耘</t>
    <phoneticPr fontId="1" type="noConversion"/>
  </si>
  <si>
    <t>台積電</t>
    <phoneticPr fontId="1" type="noConversion"/>
  </si>
  <si>
    <t>國泰金</t>
    <phoneticPr fontId="1" type="noConversion"/>
  </si>
  <si>
    <t>統一</t>
    <phoneticPr fontId="1" type="noConversion"/>
  </si>
  <si>
    <t>兆豐金</t>
    <phoneticPr fontId="1" type="noConversion"/>
  </si>
  <si>
    <t>日月光</t>
    <phoneticPr fontId="1" type="noConversion"/>
  </si>
  <si>
    <t>和碩</t>
    <phoneticPr fontId="1" type="noConversion"/>
  </si>
  <si>
    <t>和泰車</t>
    <phoneticPr fontId="1" type="noConversion"/>
  </si>
  <si>
    <t>研華</t>
    <phoneticPr fontId="1" type="noConversion"/>
  </si>
  <si>
    <t>鴻準</t>
    <phoneticPr fontId="1" type="noConversion"/>
  </si>
  <si>
    <t>仁寶</t>
    <phoneticPr fontId="1" type="noConversion"/>
  </si>
  <si>
    <t>新光金</t>
    <phoneticPr fontId="1" type="noConversion"/>
  </si>
  <si>
    <t>亞泥</t>
    <phoneticPr fontId="1" type="noConversion"/>
  </si>
  <si>
    <t>英業達</t>
    <phoneticPr fontId="1" type="noConversion"/>
  </si>
  <si>
    <t>上銀</t>
    <phoneticPr fontId="1" type="noConversion"/>
  </si>
  <si>
    <t>力成</t>
    <phoneticPr fontId="1" type="noConversion"/>
  </si>
  <si>
    <t>緯創</t>
    <phoneticPr fontId="1" type="noConversion"/>
  </si>
  <si>
    <t>華航</t>
    <phoneticPr fontId="1" type="noConversion"/>
  </si>
  <si>
    <t>聯強</t>
    <phoneticPr fontId="1" type="noConversion"/>
  </si>
  <si>
    <t>瑞昱</t>
    <phoneticPr fontId="1" type="noConversion"/>
  </si>
  <si>
    <t>臻鼎KY</t>
    <phoneticPr fontId="1" type="noConversion"/>
  </si>
  <si>
    <t>興富發</t>
    <phoneticPr fontId="1" type="noConversion"/>
  </si>
  <si>
    <t>潤泰新</t>
    <phoneticPr fontId="1" type="noConversion"/>
  </si>
  <si>
    <t>裕隆</t>
    <phoneticPr fontId="1" type="noConversion"/>
  </si>
  <si>
    <t>美利達</t>
    <phoneticPr fontId="1" type="noConversion"/>
  </si>
  <si>
    <t>創見</t>
    <phoneticPr fontId="1" type="noConversion"/>
  </si>
  <si>
    <t>世界</t>
    <phoneticPr fontId="1" type="noConversion"/>
  </si>
  <si>
    <t>環球晶</t>
    <phoneticPr fontId="1" type="noConversion"/>
  </si>
  <si>
    <t>2834</t>
    <phoneticPr fontId="1" type="noConversion"/>
  </si>
  <si>
    <t>2354</t>
    <phoneticPr fontId="1" type="noConversion"/>
  </si>
  <si>
    <t>2603</t>
    <phoneticPr fontId="1" type="noConversion"/>
  </si>
  <si>
    <t>5347</t>
    <phoneticPr fontId="1" type="noConversion"/>
  </si>
  <si>
    <t>新麥</t>
    <phoneticPr fontId="1" type="noConversion"/>
  </si>
  <si>
    <t>3264</t>
    <phoneticPr fontId="1" type="noConversion"/>
  </si>
  <si>
    <t>力旺</t>
    <phoneticPr fontId="1" type="noConversion"/>
  </si>
  <si>
    <t>智擎</t>
    <phoneticPr fontId="1" type="noConversion"/>
  </si>
  <si>
    <t>泰博</t>
    <phoneticPr fontId="1" type="noConversion"/>
  </si>
  <si>
    <t>桂盟</t>
    <phoneticPr fontId="1" type="noConversion"/>
  </si>
  <si>
    <t>頎邦</t>
    <phoneticPr fontId="1" type="noConversion"/>
  </si>
  <si>
    <t>6274</t>
    <phoneticPr fontId="1" type="noConversion"/>
  </si>
  <si>
    <t>崑鼎</t>
    <phoneticPr fontId="1" type="noConversion"/>
  </si>
  <si>
    <t>旺宏</t>
    <phoneticPr fontId="1" type="noConversion"/>
  </si>
  <si>
    <t>台勝科</t>
    <phoneticPr fontId="1" type="noConversion"/>
  </si>
  <si>
    <t>致茂</t>
    <phoneticPr fontId="1" type="noConversion"/>
  </si>
  <si>
    <t>旭隼</t>
    <phoneticPr fontId="1" type="noConversion"/>
  </si>
  <si>
    <t>台郡</t>
    <phoneticPr fontId="1" type="noConversion"/>
  </si>
  <si>
    <t>京元電</t>
    <phoneticPr fontId="1" type="noConversion"/>
  </si>
  <si>
    <t>致伸</t>
    <phoneticPr fontId="1" type="noConversion"/>
  </si>
  <si>
    <t>創意</t>
    <phoneticPr fontId="1" type="noConversion"/>
  </si>
  <si>
    <t>神達</t>
    <phoneticPr fontId="1" type="noConversion"/>
  </si>
  <si>
    <t>神基</t>
    <phoneticPr fontId="1" type="noConversion"/>
  </si>
  <si>
    <t>康控KY</t>
    <phoneticPr fontId="1" type="noConversion"/>
  </si>
  <si>
    <t>祥碩</t>
    <phoneticPr fontId="1" type="noConversion"/>
  </si>
  <si>
    <t>群電</t>
    <phoneticPr fontId="1" type="noConversion"/>
  </si>
  <si>
    <t>同欣電</t>
    <phoneticPr fontId="1" type="noConversion"/>
  </si>
  <si>
    <t>藍天</t>
    <phoneticPr fontId="1" type="noConversion"/>
  </si>
  <si>
    <t>義隆</t>
    <phoneticPr fontId="1" type="noConversion"/>
  </si>
  <si>
    <t>聯茂</t>
    <phoneticPr fontId="1" type="noConversion"/>
  </si>
  <si>
    <t>京鼎</t>
    <phoneticPr fontId="1" type="noConversion"/>
  </si>
  <si>
    <t>6214</t>
    <phoneticPr fontId="1" type="noConversion"/>
  </si>
  <si>
    <t>新日興</t>
    <phoneticPr fontId="1" type="noConversion"/>
  </si>
  <si>
    <t>順德</t>
    <phoneticPr fontId="1" type="noConversion"/>
  </si>
  <si>
    <t>淩華</t>
    <phoneticPr fontId="1" type="noConversion"/>
  </si>
  <si>
    <t>威強電</t>
    <phoneticPr fontId="1" type="noConversion"/>
  </si>
  <si>
    <t>台聚</t>
    <phoneticPr fontId="1" type="noConversion"/>
  </si>
  <si>
    <t>5483</t>
    <phoneticPr fontId="1" type="noConversion"/>
  </si>
  <si>
    <t>2103</t>
    <phoneticPr fontId="1" type="noConversion"/>
  </si>
  <si>
    <t>統一實</t>
    <phoneticPr fontId="1" type="noConversion"/>
  </si>
  <si>
    <t>股息</t>
    <phoneticPr fontId="1" type="noConversion"/>
  </si>
  <si>
    <t>台塑</t>
    <phoneticPr fontId="1" type="noConversion"/>
  </si>
  <si>
    <t>富邦金</t>
    <phoneticPr fontId="1" type="noConversion"/>
  </si>
  <si>
    <t>2027</t>
    <phoneticPr fontId="1" type="noConversion"/>
  </si>
  <si>
    <t>持股</t>
    <phoneticPr fontId="1" type="noConversion"/>
  </si>
  <si>
    <t>2704</t>
    <phoneticPr fontId="1" type="noConversion"/>
  </si>
  <si>
    <t>泰偉</t>
    <phoneticPr fontId="1" type="noConversion"/>
  </si>
  <si>
    <t>宇峻</t>
    <phoneticPr fontId="1" type="noConversion"/>
  </si>
  <si>
    <t>歐買尬</t>
    <phoneticPr fontId="1" type="noConversion"/>
  </si>
  <si>
    <t>辣椒</t>
    <phoneticPr fontId="1" type="noConversion"/>
  </si>
  <si>
    <t>大宇資</t>
    <phoneticPr fontId="1" type="noConversion"/>
  </si>
  <si>
    <t>昱泉</t>
    <phoneticPr fontId="1" type="noConversion"/>
  </si>
  <si>
    <t>橘子</t>
    <phoneticPr fontId="1" type="noConversion"/>
  </si>
  <si>
    <t>六角</t>
    <phoneticPr fontId="1" type="noConversion"/>
  </si>
  <si>
    <t>台星科</t>
    <phoneticPr fontId="1" type="noConversion"/>
  </si>
  <si>
    <t>協易機</t>
    <phoneticPr fontId="1" type="noConversion"/>
  </si>
  <si>
    <t>高技</t>
    <phoneticPr fontId="1" type="noConversion"/>
  </si>
  <si>
    <t>陸海</t>
    <phoneticPr fontId="1" type="noConversion"/>
  </si>
  <si>
    <t>信昌電</t>
    <phoneticPr fontId="1" type="noConversion"/>
  </si>
  <si>
    <t>智基</t>
    <phoneticPr fontId="1" type="noConversion"/>
  </si>
  <si>
    <t>博智</t>
    <phoneticPr fontId="1" type="noConversion"/>
  </si>
  <si>
    <t>霹靂</t>
    <phoneticPr fontId="1" type="noConversion"/>
  </si>
  <si>
    <t>明安</t>
    <phoneticPr fontId="1" type="noConversion"/>
  </si>
  <si>
    <t>味全</t>
    <phoneticPr fontId="1" type="noConversion"/>
  </si>
  <si>
    <t>台船</t>
    <phoneticPr fontId="1" type="noConversion"/>
  </si>
  <si>
    <t>燦坤</t>
    <phoneticPr fontId="1" type="noConversion"/>
  </si>
  <si>
    <t>王品</t>
    <phoneticPr fontId="1" type="noConversion"/>
  </si>
  <si>
    <t>三商</t>
    <phoneticPr fontId="1" type="noConversion"/>
  </si>
  <si>
    <t>9940</t>
    <phoneticPr fontId="1" type="noConversion"/>
  </si>
  <si>
    <t>信義</t>
    <phoneticPr fontId="1" type="noConversion"/>
  </si>
  <si>
    <t>精英</t>
    <phoneticPr fontId="1" type="noConversion"/>
  </si>
  <si>
    <t>淩陽</t>
    <phoneticPr fontId="1" type="noConversion"/>
  </si>
  <si>
    <t>晶豪科</t>
    <phoneticPr fontId="1" type="noConversion"/>
  </si>
  <si>
    <t>華立</t>
    <phoneticPr fontId="1" type="noConversion"/>
  </si>
  <si>
    <t>聯陽</t>
    <phoneticPr fontId="1" type="noConversion"/>
  </si>
  <si>
    <t>德律</t>
    <phoneticPr fontId="1" type="noConversion"/>
  </si>
  <si>
    <t>威健</t>
    <phoneticPr fontId="1" type="noConversion"/>
  </si>
  <si>
    <t>訊連</t>
    <phoneticPr fontId="1" type="noConversion"/>
  </si>
  <si>
    <t>帆宣</t>
    <phoneticPr fontId="1" type="noConversion"/>
  </si>
  <si>
    <t>志超</t>
    <phoneticPr fontId="1" type="noConversion"/>
  </si>
  <si>
    <t>詩肯</t>
    <phoneticPr fontId="1" type="noConversion"/>
  </si>
  <si>
    <t>公治</t>
    <phoneticPr fontId="1" type="noConversion"/>
  </si>
  <si>
    <t>成分</t>
    <phoneticPr fontId="1" type="noConversion"/>
  </si>
  <si>
    <t>中電</t>
    <phoneticPr fontId="1" type="noConversion"/>
  </si>
  <si>
    <t>佳世達</t>
    <phoneticPr fontId="1" type="noConversion"/>
  </si>
  <si>
    <t>大同</t>
    <phoneticPr fontId="1" type="noConversion"/>
  </si>
  <si>
    <t>亞聚</t>
    <phoneticPr fontId="1" type="noConversion"/>
  </si>
  <si>
    <t>華新</t>
    <phoneticPr fontId="1" type="noConversion"/>
  </si>
  <si>
    <t>裕日車</t>
    <phoneticPr fontId="1" type="noConversion"/>
  </si>
  <si>
    <t>偉詮電</t>
    <phoneticPr fontId="1" type="noConversion"/>
  </si>
  <si>
    <t>榮運</t>
    <phoneticPr fontId="1" type="noConversion"/>
  </si>
  <si>
    <t>漢翔</t>
    <phoneticPr fontId="1" type="noConversion"/>
  </si>
  <si>
    <t>美食KY</t>
    <phoneticPr fontId="1" type="noConversion"/>
  </si>
  <si>
    <t>三商壽</t>
    <phoneticPr fontId="1" type="noConversion"/>
  </si>
  <si>
    <t>奇鋐</t>
    <phoneticPr fontId="1" type="noConversion"/>
  </si>
  <si>
    <t>新唐</t>
    <phoneticPr fontId="1" type="noConversion"/>
  </si>
  <si>
    <t>盛群</t>
    <phoneticPr fontId="1" type="noConversion"/>
  </si>
  <si>
    <t>至上</t>
    <phoneticPr fontId="1" type="noConversion"/>
  </si>
  <si>
    <t>富邦媒</t>
    <phoneticPr fontId="1" type="noConversion"/>
  </si>
  <si>
    <t>中鼎</t>
    <phoneticPr fontId="1" type="noConversion"/>
  </si>
  <si>
    <t>裕融</t>
    <phoneticPr fontId="1" type="noConversion"/>
  </si>
  <si>
    <t>中石化</t>
    <phoneticPr fontId="1" type="noConversion"/>
  </si>
  <si>
    <t>聚陽</t>
    <phoneticPr fontId="1" type="noConversion"/>
  </si>
  <si>
    <t>和大</t>
    <phoneticPr fontId="1" type="noConversion"/>
  </si>
  <si>
    <t>亞德客KY</t>
    <phoneticPr fontId="1" type="noConversion"/>
  </si>
  <si>
    <t>長興</t>
    <phoneticPr fontId="1" type="noConversion"/>
  </si>
  <si>
    <t>中碳</t>
    <phoneticPr fontId="1" type="noConversion"/>
  </si>
  <si>
    <t>神隆</t>
    <phoneticPr fontId="1" type="noConversion"/>
  </si>
  <si>
    <t>榮成</t>
    <phoneticPr fontId="1" type="noConversion"/>
  </si>
  <si>
    <t>萬海</t>
    <phoneticPr fontId="1" type="noConversion"/>
  </si>
  <si>
    <t>台中銀</t>
    <phoneticPr fontId="1" type="noConversion"/>
  </si>
  <si>
    <t>遠東銀</t>
    <phoneticPr fontId="1" type="noConversion"/>
  </si>
  <si>
    <t>遠雄</t>
    <phoneticPr fontId="1" type="noConversion"/>
  </si>
  <si>
    <t>百和</t>
    <phoneticPr fontId="1" type="noConversion"/>
  </si>
  <si>
    <t>其祥KY</t>
    <phoneticPr fontId="1" type="noConversion"/>
  </si>
  <si>
    <t>生泰</t>
    <phoneticPr fontId="1" type="noConversion"/>
  </si>
  <si>
    <t>世德</t>
    <phoneticPr fontId="1" type="noConversion"/>
  </si>
  <si>
    <t>志豐</t>
    <phoneticPr fontId="1" type="noConversion"/>
  </si>
  <si>
    <t>兆利</t>
    <phoneticPr fontId="1" type="noConversion"/>
  </si>
  <si>
    <t>鐿鈦</t>
    <phoneticPr fontId="1" type="noConversion"/>
  </si>
  <si>
    <t>至興</t>
    <phoneticPr fontId="1" type="noConversion"/>
  </si>
  <si>
    <t>jpp-KY</t>
    <phoneticPr fontId="1" type="noConversion"/>
  </si>
  <si>
    <t>中美晶</t>
    <phoneticPr fontId="1" type="noConversion"/>
  </si>
  <si>
    <t>龍巖</t>
    <phoneticPr fontId="1" type="noConversion"/>
  </si>
  <si>
    <t>寶雅</t>
    <phoneticPr fontId="1" type="noConversion"/>
  </si>
  <si>
    <t>聖暉</t>
    <phoneticPr fontId="1" type="noConversion"/>
  </si>
  <si>
    <t>元大期</t>
    <phoneticPr fontId="1" type="noConversion"/>
  </si>
  <si>
    <t>中碳針</t>
    <phoneticPr fontId="1" type="noConversion"/>
  </si>
  <si>
    <t>實威</t>
    <phoneticPr fontId="1" type="noConversion"/>
  </si>
  <si>
    <t>華研</t>
    <phoneticPr fontId="1" type="noConversion"/>
  </si>
  <si>
    <t>光隆</t>
    <phoneticPr fontId="1" type="noConversion"/>
  </si>
  <si>
    <t>宇隆</t>
    <phoneticPr fontId="1" type="noConversion"/>
  </si>
  <si>
    <t>宜特</t>
    <phoneticPr fontId="1" type="noConversion"/>
  </si>
  <si>
    <t>凡甲</t>
    <phoneticPr fontId="1" type="noConversion"/>
  </si>
  <si>
    <t>西柏</t>
    <phoneticPr fontId="1" type="noConversion"/>
  </si>
  <si>
    <t>閎康</t>
    <phoneticPr fontId="1" type="noConversion"/>
  </si>
  <si>
    <t>茂達</t>
    <phoneticPr fontId="1" type="noConversion"/>
  </si>
  <si>
    <t>良維</t>
    <phoneticPr fontId="1" type="noConversion"/>
  </si>
  <si>
    <t>瑞穎</t>
    <phoneticPr fontId="1" type="noConversion"/>
  </si>
  <si>
    <t>翔名</t>
    <phoneticPr fontId="1" type="noConversion"/>
  </si>
  <si>
    <t>千附</t>
    <phoneticPr fontId="1" type="noConversion"/>
  </si>
  <si>
    <t>中華</t>
    <phoneticPr fontId="1" type="noConversion"/>
  </si>
  <si>
    <t>為升</t>
    <phoneticPr fontId="1" type="noConversion"/>
  </si>
  <si>
    <t>合晶</t>
    <phoneticPr fontId="1" type="noConversion"/>
  </si>
  <si>
    <t>6182</t>
    <phoneticPr fontId="1" type="noConversion"/>
  </si>
  <si>
    <t>精材</t>
    <phoneticPr fontId="1" type="noConversion"/>
  </si>
  <si>
    <t>尼克森</t>
    <phoneticPr fontId="1" type="noConversion"/>
  </si>
  <si>
    <t>集盛</t>
    <phoneticPr fontId="1" type="noConversion"/>
  </si>
  <si>
    <t>直得</t>
    <phoneticPr fontId="1" type="noConversion"/>
  </si>
  <si>
    <t>康普</t>
    <phoneticPr fontId="1" type="noConversion"/>
  </si>
  <si>
    <t>中砂</t>
    <phoneticPr fontId="1" type="noConversion"/>
  </si>
  <si>
    <t>今國光</t>
    <phoneticPr fontId="1" type="noConversion"/>
  </si>
  <si>
    <t>達邁</t>
    <phoneticPr fontId="1" type="noConversion"/>
  </si>
  <si>
    <t>曜越</t>
    <phoneticPr fontId="1" type="noConversion"/>
  </si>
  <si>
    <t>淩通</t>
    <phoneticPr fontId="1" type="noConversion"/>
  </si>
  <si>
    <t>環宇KY</t>
    <phoneticPr fontId="1" type="noConversion"/>
  </si>
  <si>
    <t>宣德</t>
    <phoneticPr fontId="1" type="noConversion"/>
  </si>
  <si>
    <t>牧德</t>
    <phoneticPr fontId="1" type="noConversion"/>
  </si>
  <si>
    <t>立隆電</t>
    <phoneticPr fontId="1" type="noConversion"/>
  </si>
  <si>
    <t>晶宏</t>
    <phoneticPr fontId="1" type="noConversion"/>
  </si>
  <si>
    <t>國喬</t>
    <phoneticPr fontId="1" type="noConversion"/>
  </si>
  <si>
    <t>強茂</t>
    <phoneticPr fontId="1" type="noConversion"/>
  </si>
  <si>
    <t>2317</t>
    <phoneticPr fontId="1" type="noConversion"/>
  </si>
  <si>
    <t>年線下變平，準備捕老熊。</t>
    <phoneticPr fontId="1" type="noConversion"/>
  </si>
  <si>
    <t>年線往上拐，回踩堅決買！</t>
  </si>
  <si>
    <t>年線往下行，一定要搞清，</t>
    <phoneticPr fontId="1" type="noConversion"/>
  </si>
  <si>
    <t>如等半年線，暫做壁上觀。</t>
  </si>
  <si>
    <t>深跌破年線，老熊活年半。</t>
    <phoneticPr fontId="1" type="noConversion"/>
  </si>
  <si>
    <t>價穩年線上，千里馬亮相。</t>
  </si>
  <si>
    <t>要問為什么？牛熊一線亡！</t>
    <phoneticPr fontId="1" type="noConversion"/>
  </si>
  <si>
    <t>半年線下穿，千萬不要沾。</t>
  </si>
  <si>
    <t>半年線上拐，堅決果斷買！</t>
    <phoneticPr fontId="1" type="noConversion"/>
  </si>
  <si>
    <t>季線如下穿，後市不樂觀！</t>
  </si>
  <si>
    <t>季線往上走，長期須多頭！</t>
    <phoneticPr fontId="1" type="noConversion"/>
  </si>
  <si>
    <t>月線不下穿，光明就在前！</t>
  </si>
  <si>
    <t>長期往上翹，短期呈纏繞，</t>
    <phoneticPr fontId="1" type="noConversion"/>
  </si>
  <si>
    <t>平臺一做成，股價往上跑！</t>
  </si>
  <si>
    <t>（均線口訣）</t>
    <phoneticPr fontId="1" type="noConversion"/>
  </si>
  <si>
    <t>1年平均線變水平,要準備迎接多頭</t>
  </si>
  <si>
    <t>1年平均線確定往上後,有回檔要買入(俗稱的W底的第2隻腳)</t>
  </si>
  <si>
    <t>1年平均線往下時,一定要小心</t>
  </si>
  <si>
    <t>如發現半年現也往下時,勿在買入,先觀望</t>
  </si>
  <si>
    <t>快速下跌破年線,多頭可能只有半年</t>
  </si>
  <si>
    <t>如發現股價穩定突破年線,可能是黑馬</t>
  </si>
  <si>
    <t>勤美</t>
    <phoneticPr fontId="1" type="noConversion"/>
  </si>
  <si>
    <t>銘旺實</t>
    <phoneticPr fontId="1" type="noConversion"/>
  </si>
  <si>
    <t>50反</t>
    <phoneticPr fontId="1" type="noConversion"/>
  </si>
  <si>
    <t>廣達</t>
    <phoneticPr fontId="1" type="noConversion"/>
  </si>
  <si>
    <t>南亞科</t>
    <phoneticPr fontId="1" type="noConversion"/>
  </si>
  <si>
    <t>友達</t>
    <phoneticPr fontId="1" type="noConversion"/>
  </si>
  <si>
    <t>美律</t>
    <phoneticPr fontId="1" type="noConversion"/>
  </si>
  <si>
    <t>群創</t>
    <phoneticPr fontId="1" type="noConversion"/>
  </si>
  <si>
    <t>樺漢</t>
    <phoneticPr fontId="1" type="noConversion"/>
  </si>
  <si>
    <t>中</t>
    <phoneticPr fontId="1" type="noConversion"/>
  </si>
  <si>
    <t>威剛</t>
    <phoneticPr fontId="1" type="noConversion"/>
  </si>
  <si>
    <t>智崴</t>
    <phoneticPr fontId="1" type="noConversion"/>
  </si>
  <si>
    <t>信驊</t>
    <phoneticPr fontId="1" type="noConversion"/>
  </si>
  <si>
    <t>台半</t>
    <phoneticPr fontId="1" type="noConversion"/>
  </si>
  <si>
    <t>智冠</t>
    <phoneticPr fontId="1" type="noConversion"/>
  </si>
  <si>
    <t>神盾</t>
    <phoneticPr fontId="1" type="noConversion"/>
  </si>
  <si>
    <t>精測</t>
    <phoneticPr fontId="1" type="noConversion"/>
  </si>
  <si>
    <t>金居</t>
    <phoneticPr fontId="1" type="noConversion"/>
  </si>
  <si>
    <t>綠河KY</t>
    <phoneticPr fontId="1" type="noConversion"/>
  </si>
  <si>
    <t>皇田</t>
    <phoneticPr fontId="1" type="noConversion"/>
  </si>
  <si>
    <t>長華</t>
    <phoneticPr fontId="1" type="noConversion"/>
  </si>
  <si>
    <t>訊芯KY</t>
    <phoneticPr fontId="1" type="noConversion"/>
  </si>
  <si>
    <t>新至陞</t>
    <phoneticPr fontId="1" type="noConversion"/>
  </si>
  <si>
    <t>雙鴻</t>
    <phoneticPr fontId="1" type="noConversion"/>
  </si>
  <si>
    <t>東隆興</t>
    <phoneticPr fontId="1" type="noConversion"/>
  </si>
  <si>
    <t>聚鼎</t>
    <phoneticPr fontId="1" type="noConversion"/>
  </si>
  <si>
    <t>陽程</t>
    <phoneticPr fontId="1" type="noConversion"/>
  </si>
  <si>
    <t>點序</t>
    <phoneticPr fontId="1" type="noConversion"/>
  </si>
  <si>
    <t>谷崧</t>
    <phoneticPr fontId="1" type="noConversion"/>
  </si>
  <si>
    <t>精元</t>
    <phoneticPr fontId="1" type="noConversion"/>
  </si>
  <si>
    <t>其他</t>
    <phoneticPr fontId="1" type="noConversion"/>
  </si>
  <si>
    <t>台通</t>
    <phoneticPr fontId="1" type="noConversion"/>
  </si>
  <si>
    <t>瀚宇博</t>
    <phoneticPr fontId="1" type="noConversion"/>
  </si>
  <si>
    <t>精成科</t>
    <phoneticPr fontId="1" type="noConversion"/>
  </si>
  <si>
    <t>精星</t>
    <phoneticPr fontId="1" type="noConversion"/>
  </si>
  <si>
    <t>智伸科</t>
    <phoneticPr fontId="1" type="noConversion"/>
  </si>
  <si>
    <t>康舒</t>
    <phoneticPr fontId="1" type="noConversion"/>
  </si>
  <si>
    <t>六暉KY</t>
    <phoneticPr fontId="1" type="noConversion"/>
  </si>
  <si>
    <t>怡利電</t>
    <phoneticPr fontId="1" type="noConversion"/>
  </si>
  <si>
    <t>橙的</t>
    <phoneticPr fontId="1" type="noConversion"/>
  </si>
  <si>
    <t>長園科</t>
    <phoneticPr fontId="1" type="noConversion"/>
  </si>
  <si>
    <t>嘉晶</t>
    <phoneticPr fontId="1" type="noConversion"/>
  </si>
  <si>
    <t>漢磊</t>
    <phoneticPr fontId="1" type="noConversion"/>
  </si>
  <si>
    <t>震旦行</t>
    <phoneticPr fontId="1" type="noConversion"/>
  </si>
  <si>
    <t>久元</t>
    <phoneticPr fontId="1" type="noConversion"/>
  </si>
  <si>
    <t>鈺創</t>
    <phoneticPr fontId="1" type="noConversion"/>
  </si>
  <si>
    <t>外持</t>
    <phoneticPr fontId="1" type="noConversion"/>
  </si>
  <si>
    <t>大持</t>
    <phoneticPr fontId="1" type="noConversion"/>
  </si>
  <si>
    <t>晶焱</t>
    <phoneticPr fontId="1" type="noConversion"/>
  </si>
  <si>
    <t>上福</t>
    <phoneticPr fontId="1" type="noConversion"/>
  </si>
  <si>
    <t>力達KY</t>
    <phoneticPr fontId="1" type="noConversion"/>
  </si>
  <si>
    <t>福懋</t>
    <phoneticPr fontId="1" type="noConversion"/>
  </si>
  <si>
    <t>中租KY</t>
    <phoneticPr fontId="1" type="noConversion"/>
  </si>
  <si>
    <t>矽力KY</t>
    <phoneticPr fontId="1" type="noConversion"/>
  </si>
  <si>
    <t>億豐</t>
    <phoneticPr fontId="1" type="noConversion"/>
  </si>
  <si>
    <t>穩懋</t>
    <phoneticPr fontId="1" type="noConversion"/>
  </si>
  <si>
    <t>欣銓</t>
    <phoneticPr fontId="1" type="noConversion"/>
  </si>
  <si>
    <t>鈊象</t>
    <phoneticPr fontId="1" type="noConversion"/>
  </si>
  <si>
    <t>數字</t>
    <phoneticPr fontId="1" type="noConversion"/>
  </si>
  <si>
    <t>宏捷科</t>
    <phoneticPr fontId="1" type="noConversion"/>
  </si>
  <si>
    <t>臺企銀</t>
    <phoneticPr fontId="1" type="noConversion"/>
  </si>
  <si>
    <t>長榮</t>
    <phoneticPr fontId="1" type="noConversion"/>
  </si>
  <si>
    <t>遠東新</t>
    <phoneticPr fontId="1" type="noConversion"/>
  </si>
  <si>
    <t>文曄</t>
    <phoneticPr fontId="1" type="noConversion"/>
  </si>
  <si>
    <t>貿聯KY</t>
    <phoneticPr fontId="1" type="noConversion"/>
  </si>
  <si>
    <t>寶成</t>
    <phoneticPr fontId="1" type="noConversion"/>
  </si>
  <si>
    <t>玉山金</t>
    <phoneticPr fontId="1" type="noConversion"/>
  </si>
  <si>
    <t>台新金</t>
    <phoneticPr fontId="1" type="noConversion"/>
  </si>
  <si>
    <t>國票金</t>
    <phoneticPr fontId="1" type="noConversion"/>
  </si>
  <si>
    <t>第一金</t>
    <phoneticPr fontId="1" type="noConversion"/>
  </si>
  <si>
    <t>可成</t>
    <phoneticPr fontId="1" type="noConversion"/>
  </si>
  <si>
    <t>台泥</t>
    <phoneticPr fontId="1" type="noConversion"/>
  </si>
  <si>
    <t>超豐</t>
    <phoneticPr fontId="1" type="noConversion"/>
  </si>
  <si>
    <t>南茂</t>
    <phoneticPr fontId="1" type="noConversion"/>
  </si>
  <si>
    <t>嘉澤</t>
    <phoneticPr fontId="1" type="noConversion"/>
  </si>
  <si>
    <t>南電</t>
    <phoneticPr fontId="1" type="noConversion"/>
  </si>
  <si>
    <t>精誠</t>
    <phoneticPr fontId="1" type="noConversion"/>
  </si>
  <si>
    <t>大成鋼</t>
    <phoneticPr fontId="1" type="noConversion"/>
  </si>
  <si>
    <t>允強</t>
    <phoneticPr fontId="1" type="noConversion"/>
  </si>
  <si>
    <t>融資</t>
    <phoneticPr fontId="1" type="noConversion"/>
  </si>
  <si>
    <t>盈</t>
    <phoneticPr fontId="1" type="noConversion"/>
  </si>
  <si>
    <t>1733</t>
    <phoneticPr fontId="1" type="noConversion"/>
  </si>
  <si>
    <t>五鼎</t>
    <phoneticPr fontId="1" type="noConversion"/>
  </si>
  <si>
    <t>威盛</t>
    <phoneticPr fontId="1" type="noConversion"/>
  </si>
  <si>
    <t>合一</t>
    <phoneticPr fontId="1" type="noConversion"/>
  </si>
  <si>
    <t>6284</t>
    <phoneticPr fontId="1" type="noConversion"/>
  </si>
  <si>
    <t>佳邦</t>
    <phoneticPr fontId="1" type="noConversion"/>
  </si>
  <si>
    <t>光罩</t>
    <phoneticPr fontId="1" type="noConversion"/>
  </si>
  <si>
    <t>捷敏KY</t>
    <phoneticPr fontId="1" type="noConversion"/>
  </si>
  <si>
    <t>增</t>
    <phoneticPr fontId="1" type="noConversion"/>
  </si>
  <si>
    <t>水泥</t>
    <phoneticPr fontId="1" type="noConversion"/>
  </si>
  <si>
    <t>食品</t>
    <phoneticPr fontId="1" type="noConversion"/>
  </si>
  <si>
    <t>塑膠</t>
    <phoneticPr fontId="1" type="noConversion"/>
  </si>
  <si>
    <t>紡織</t>
    <phoneticPr fontId="1" type="noConversion"/>
  </si>
  <si>
    <t>電機</t>
    <phoneticPr fontId="1" type="noConversion"/>
  </si>
  <si>
    <t>電器</t>
    <phoneticPr fontId="1" type="noConversion"/>
  </si>
  <si>
    <t>玻陶</t>
    <phoneticPr fontId="1" type="noConversion"/>
  </si>
  <si>
    <t>造紙</t>
    <phoneticPr fontId="1" type="noConversion"/>
  </si>
  <si>
    <t>鋼鐵</t>
    <phoneticPr fontId="1" type="noConversion"/>
  </si>
  <si>
    <t>橡膠</t>
    <phoneticPr fontId="1" type="noConversion"/>
  </si>
  <si>
    <t>汽車</t>
    <phoneticPr fontId="1" type="noConversion"/>
  </si>
  <si>
    <t>航運</t>
    <phoneticPr fontId="1" type="noConversion"/>
  </si>
  <si>
    <t>觀光</t>
    <phoneticPr fontId="1" type="noConversion"/>
  </si>
  <si>
    <t>金融</t>
    <phoneticPr fontId="1" type="noConversion"/>
  </si>
  <si>
    <t>1785</t>
    <phoneticPr fontId="1" type="noConversion"/>
  </si>
  <si>
    <t>光洋科</t>
    <phoneticPr fontId="1" type="noConversion"/>
  </si>
  <si>
    <t>光電</t>
    <phoneticPr fontId="1" type="noConversion"/>
  </si>
  <si>
    <t>半導</t>
    <phoneticPr fontId="1" type="noConversion"/>
  </si>
  <si>
    <t>組件</t>
    <phoneticPr fontId="1" type="noConversion"/>
  </si>
  <si>
    <t>生醫</t>
    <phoneticPr fontId="1" type="noConversion"/>
  </si>
  <si>
    <t>電腦</t>
    <phoneticPr fontId="1" type="noConversion"/>
  </si>
  <si>
    <t>貿易</t>
    <phoneticPr fontId="1" type="noConversion"/>
  </si>
  <si>
    <t>通信</t>
    <phoneticPr fontId="1" type="noConversion"/>
  </si>
  <si>
    <t>油電</t>
    <phoneticPr fontId="1" type="noConversion"/>
  </si>
  <si>
    <t>資訊</t>
    <phoneticPr fontId="1" type="noConversion"/>
  </si>
  <si>
    <t>他電</t>
    <phoneticPr fontId="1" type="noConversion"/>
  </si>
  <si>
    <t>1309</t>
    <phoneticPr fontId="1" type="noConversion"/>
  </si>
  <si>
    <t>台達化</t>
    <phoneticPr fontId="1" type="noConversion"/>
  </si>
  <si>
    <t>杰力</t>
  </si>
  <si>
    <t>1710</t>
    <phoneticPr fontId="1" type="noConversion"/>
  </si>
  <si>
    <t>東聯</t>
    <phoneticPr fontId="1" type="noConversion"/>
  </si>
  <si>
    <t>雷科</t>
    <phoneticPr fontId="1" type="noConversion"/>
  </si>
  <si>
    <t>九豪</t>
    <phoneticPr fontId="1" type="noConversion"/>
  </si>
  <si>
    <t>類股</t>
    <phoneticPr fontId="1" type="noConversion"/>
  </si>
  <si>
    <t>矽統</t>
    <phoneticPr fontId="1" type="noConversion"/>
  </si>
  <si>
    <t>富鼎</t>
    <phoneticPr fontId="1" type="noConversion"/>
  </si>
  <si>
    <t>中工</t>
    <phoneticPr fontId="1" type="noConversion"/>
  </si>
  <si>
    <t>營造</t>
    <phoneticPr fontId="1" type="noConversion"/>
  </si>
  <si>
    <t>佳凌</t>
    <phoneticPr fontId="1" type="noConversion"/>
  </si>
  <si>
    <t>聚積</t>
    <phoneticPr fontId="1" type="noConversion"/>
  </si>
  <si>
    <t>鈞寶</t>
    <phoneticPr fontId="1" type="noConversion"/>
  </si>
  <si>
    <t>尚立</t>
    <phoneticPr fontId="1" type="noConversion"/>
  </si>
  <si>
    <t>電通</t>
    <phoneticPr fontId="1" type="noConversion"/>
  </si>
  <si>
    <t>00632</t>
    <phoneticPr fontId="1" type="noConversion"/>
  </si>
  <si>
    <t>2890</t>
    <phoneticPr fontId="1" type="noConversion"/>
  </si>
  <si>
    <t>1789</t>
    <phoneticPr fontId="1" type="noConversion"/>
  </si>
  <si>
    <t>1304</t>
    <phoneticPr fontId="1" type="noConversion"/>
  </si>
  <si>
    <t>電商</t>
    <phoneticPr fontId="1" type="noConversion"/>
  </si>
  <si>
    <t>一詮</t>
    <phoneticPr fontId="1" type="noConversion"/>
  </si>
  <si>
    <t>淳安</t>
    <phoneticPr fontId="1" type="noConversion"/>
  </si>
  <si>
    <t>新產</t>
    <phoneticPr fontId="1" type="noConversion"/>
  </si>
  <si>
    <t>中再保</t>
    <phoneticPr fontId="1" type="noConversion"/>
  </si>
  <si>
    <t>2855</t>
    <phoneticPr fontId="1" type="noConversion"/>
  </si>
  <si>
    <t>統一證</t>
    <phoneticPr fontId="1" type="noConversion"/>
  </si>
  <si>
    <t>王道銀</t>
    <phoneticPr fontId="1" type="noConversion"/>
  </si>
  <si>
    <t>群益期</t>
    <phoneticPr fontId="1" type="noConversion"/>
  </si>
  <si>
    <t>台名</t>
    <phoneticPr fontId="1" type="noConversion"/>
  </si>
  <si>
    <t>宏遠證</t>
    <phoneticPr fontId="1" type="noConversion"/>
  </si>
  <si>
    <t>康和證</t>
    <phoneticPr fontId="1" type="noConversion"/>
  </si>
  <si>
    <t>大慶證</t>
    <phoneticPr fontId="1" type="noConversion"/>
  </si>
  <si>
    <t>福邦證</t>
    <phoneticPr fontId="1" type="noConversion"/>
  </si>
  <si>
    <t>半導體</t>
    <phoneticPr fontId="1" type="noConversion"/>
  </si>
  <si>
    <t>華泰</t>
    <phoneticPr fontId="1" type="noConversion"/>
  </si>
  <si>
    <t>統懋</t>
    <phoneticPr fontId="1" type="noConversion"/>
  </si>
  <si>
    <t>聯傑</t>
    <phoneticPr fontId="1" type="noConversion"/>
  </si>
  <si>
    <t>3545</t>
    <phoneticPr fontId="1" type="noConversion"/>
  </si>
  <si>
    <t>敦泰</t>
    <phoneticPr fontId="1" type="noConversion"/>
  </si>
  <si>
    <t>通嘉</t>
    <phoneticPr fontId="1" type="noConversion"/>
  </si>
  <si>
    <t>達能</t>
    <phoneticPr fontId="1" type="noConversion"/>
  </si>
  <si>
    <t>立積</t>
    <phoneticPr fontId="1" type="noConversion"/>
  </si>
  <si>
    <t>界霖</t>
    <phoneticPr fontId="1" type="noConversion"/>
  </si>
  <si>
    <t>5471</t>
    <phoneticPr fontId="1" type="noConversion"/>
  </si>
  <si>
    <t>松翰</t>
    <phoneticPr fontId="1" type="noConversion"/>
  </si>
  <si>
    <t>迅杰</t>
    <phoneticPr fontId="1" type="noConversion"/>
  </si>
  <si>
    <t>愛普</t>
    <phoneticPr fontId="1" type="noConversion"/>
  </si>
  <si>
    <t>易華電</t>
    <phoneticPr fontId="1" type="noConversion"/>
  </si>
  <si>
    <t>虹揚KY</t>
    <phoneticPr fontId="1" type="noConversion"/>
  </si>
  <si>
    <t>致新</t>
    <phoneticPr fontId="1" type="noConversion"/>
  </si>
  <si>
    <t>笙泉</t>
    <phoneticPr fontId="1" type="noConversion"/>
  </si>
  <si>
    <t>亞信</t>
    <phoneticPr fontId="1" type="noConversion"/>
  </si>
  <si>
    <t>鑫創</t>
    <phoneticPr fontId="1" type="noConversion"/>
  </si>
  <si>
    <t>海德威</t>
    <phoneticPr fontId="1" type="noConversion"/>
  </si>
  <si>
    <t>類比科</t>
    <phoneticPr fontId="1" type="noConversion"/>
  </si>
  <si>
    <t>禾瑞亞</t>
    <phoneticPr fontId="1" type="noConversion"/>
  </si>
  <si>
    <t>博磊</t>
    <phoneticPr fontId="1" type="noConversion"/>
  </si>
  <si>
    <t>德微</t>
    <phoneticPr fontId="1" type="noConversion"/>
  </si>
  <si>
    <t>家登</t>
    <phoneticPr fontId="1" type="noConversion"/>
  </si>
  <si>
    <t>廣穎</t>
    <phoneticPr fontId="1" type="noConversion"/>
  </si>
  <si>
    <t>太欣</t>
    <phoneticPr fontId="1" type="noConversion"/>
  </si>
  <si>
    <t>凱鈺</t>
    <phoneticPr fontId="1" type="noConversion"/>
  </si>
  <si>
    <t>通泰</t>
    <phoneticPr fontId="1" type="noConversion"/>
  </si>
  <si>
    <t>合邦</t>
    <phoneticPr fontId="1" type="noConversion"/>
  </si>
  <si>
    <t>創惟</t>
    <phoneticPr fontId="1" type="noConversion"/>
  </si>
  <si>
    <t>凌泰</t>
    <phoneticPr fontId="1" type="noConversion"/>
  </si>
  <si>
    <t>研通</t>
    <phoneticPr fontId="1" type="noConversion"/>
  </si>
  <si>
    <t>旺久</t>
    <phoneticPr fontId="1" type="noConversion"/>
  </si>
  <si>
    <t>驊訊</t>
    <phoneticPr fontId="1" type="noConversion"/>
  </si>
  <si>
    <t>元隆</t>
    <phoneticPr fontId="1" type="noConversion"/>
  </si>
  <si>
    <t>沛亨</t>
    <phoneticPr fontId="1" type="noConversion"/>
  </si>
  <si>
    <t>紘康</t>
    <phoneticPr fontId="1" type="noConversion"/>
  </si>
  <si>
    <t>九齊</t>
    <phoneticPr fontId="1" type="noConversion"/>
  </si>
  <si>
    <t>瑞耘</t>
    <phoneticPr fontId="1" type="noConversion"/>
  </si>
  <si>
    <t>展匯科</t>
    <phoneticPr fontId="1" type="noConversion"/>
  </si>
  <si>
    <t>佑華</t>
    <phoneticPr fontId="1" type="noConversion"/>
  </si>
  <si>
    <t>九暘</t>
    <phoneticPr fontId="1" type="noConversion"/>
  </si>
  <si>
    <t>品安</t>
    <phoneticPr fontId="1" type="noConversion"/>
  </si>
  <si>
    <t>年線</t>
    <phoneticPr fontId="1" type="noConversion"/>
  </si>
  <si>
    <t>2368</t>
    <phoneticPr fontId="1" type="noConversion"/>
  </si>
  <si>
    <t>金像電</t>
    <phoneticPr fontId="1" type="noConversion"/>
  </si>
  <si>
    <t>全漢</t>
    <phoneticPr fontId="1" type="noConversion"/>
  </si>
  <si>
    <t>同泰</t>
    <phoneticPr fontId="1" type="noConversion"/>
  </si>
  <si>
    <t>台端</t>
    <phoneticPr fontId="1" type="noConversion"/>
  </si>
  <si>
    <t>宏致</t>
    <phoneticPr fontId="1" type="noConversion"/>
  </si>
  <si>
    <t>健策</t>
    <phoneticPr fontId="1" type="noConversion"/>
  </si>
  <si>
    <t>銘鈺</t>
    <phoneticPr fontId="1" type="noConversion"/>
  </si>
  <si>
    <t>6108</t>
    <phoneticPr fontId="1" type="noConversion"/>
  </si>
  <si>
    <t>競國</t>
    <phoneticPr fontId="1" type="noConversion"/>
  </si>
  <si>
    <t>鎰勝</t>
    <phoneticPr fontId="1" type="noConversion"/>
  </si>
  <si>
    <t>柏承</t>
    <phoneticPr fontId="1" type="noConversion"/>
  </si>
  <si>
    <t>佳必琪</t>
    <phoneticPr fontId="1" type="noConversion"/>
  </si>
  <si>
    <t>詮欣</t>
    <phoneticPr fontId="1" type="noConversion"/>
  </si>
  <si>
    <t>定穎</t>
    <phoneticPr fontId="1" type="noConversion"/>
  </si>
  <si>
    <t>瀚荃</t>
    <phoneticPr fontId="1" type="noConversion"/>
  </si>
  <si>
    <t>菱光</t>
    <phoneticPr fontId="1" type="noConversion"/>
  </si>
  <si>
    <t>優群</t>
    <phoneticPr fontId="1" type="noConversion"/>
  </si>
  <si>
    <t>佳穎</t>
    <phoneticPr fontId="1" type="noConversion"/>
  </si>
  <si>
    <t>斐成</t>
    <phoneticPr fontId="1" type="noConversion"/>
  </si>
  <si>
    <t>建舜電</t>
    <phoneticPr fontId="1" type="noConversion"/>
  </si>
  <si>
    <t>崧騰</t>
    <phoneticPr fontId="1" type="noConversion"/>
  </si>
  <si>
    <t>長盛</t>
    <phoneticPr fontId="1" type="noConversion"/>
  </si>
  <si>
    <t>晟楠</t>
    <phoneticPr fontId="1" type="noConversion"/>
  </si>
  <si>
    <t>科嶠</t>
    <phoneticPr fontId="1" type="noConversion"/>
  </si>
  <si>
    <t>亞電</t>
    <phoneticPr fontId="1" type="noConversion"/>
  </si>
  <si>
    <t>立凱KY</t>
    <phoneticPr fontId="1" type="noConversion"/>
  </si>
  <si>
    <t>邑昇</t>
    <phoneticPr fontId="1" type="noConversion"/>
  </si>
  <si>
    <t>系統電</t>
    <phoneticPr fontId="1" type="noConversion"/>
  </si>
  <si>
    <t>華容</t>
    <phoneticPr fontId="1" type="noConversion"/>
  </si>
  <si>
    <t>建榮</t>
    <phoneticPr fontId="1" type="noConversion"/>
  </si>
  <si>
    <t>天揚</t>
    <phoneticPr fontId="1" type="noConversion"/>
  </si>
  <si>
    <t>主被動元件通路商</t>
    <phoneticPr fontId="1" type="noConversion"/>
  </si>
  <si>
    <t>連展投</t>
    <phoneticPr fontId="1" type="noConversion"/>
  </si>
  <si>
    <t>霖宏</t>
    <phoneticPr fontId="1" type="noConversion"/>
  </si>
  <si>
    <t>德宏</t>
    <phoneticPr fontId="1" type="noConversion"/>
  </si>
  <si>
    <t>松普</t>
    <phoneticPr fontId="1" type="noConversion"/>
  </si>
  <si>
    <t>凱崴</t>
    <phoneticPr fontId="1" type="noConversion"/>
  </si>
  <si>
    <t>PCB鑽頭</t>
    <phoneticPr fontId="1" type="noConversion"/>
  </si>
  <si>
    <t>業強</t>
    <phoneticPr fontId="1" type="noConversion"/>
  </si>
  <si>
    <t>信音</t>
    <phoneticPr fontId="1" type="noConversion"/>
  </si>
  <si>
    <t>01</t>
    <phoneticPr fontId="1" type="noConversion"/>
  </si>
  <si>
    <t>02</t>
    <phoneticPr fontId="1" type="noConversion"/>
  </si>
  <si>
    <t>03</t>
    <phoneticPr fontId="1" type="noConversion"/>
  </si>
  <si>
    <t>松上</t>
    <phoneticPr fontId="1" type="noConversion"/>
  </si>
  <si>
    <t>安碁</t>
    <phoneticPr fontId="1" type="noConversion"/>
  </si>
  <si>
    <t>幃翔</t>
    <phoneticPr fontId="1" type="noConversion"/>
  </si>
  <si>
    <t>育富</t>
    <phoneticPr fontId="1" type="noConversion"/>
  </si>
  <si>
    <t>海韻電</t>
    <phoneticPr fontId="1" type="noConversion"/>
  </si>
  <si>
    <t>日揚</t>
    <phoneticPr fontId="1" type="noConversion"/>
  </si>
  <si>
    <t>慶生</t>
    <phoneticPr fontId="1" type="noConversion"/>
  </si>
  <si>
    <t>泰詠</t>
    <phoneticPr fontId="1" type="noConversion"/>
  </si>
  <si>
    <t>迅德</t>
    <phoneticPr fontId="1" type="noConversion"/>
  </si>
  <si>
    <t>今展科</t>
    <phoneticPr fontId="1" type="noConversion"/>
  </si>
  <si>
    <t>倉和</t>
    <phoneticPr fontId="1" type="noConversion"/>
  </si>
  <si>
    <t>鉅橡</t>
    <phoneticPr fontId="1" type="noConversion"/>
  </si>
  <si>
    <t>博大</t>
    <phoneticPr fontId="1" type="noConversion"/>
  </si>
  <si>
    <t>越峰</t>
    <phoneticPr fontId="1" type="noConversion"/>
  </si>
  <si>
    <t>加高</t>
    <phoneticPr fontId="1" type="noConversion"/>
  </si>
  <si>
    <t>國碩</t>
    <phoneticPr fontId="1" type="noConversion"/>
  </si>
  <si>
    <t>嘉威</t>
    <phoneticPr fontId="1" type="noConversion"/>
  </si>
  <si>
    <t>太極</t>
    <phoneticPr fontId="1" type="noConversion"/>
  </si>
  <si>
    <t>泰鼎KY</t>
    <phoneticPr fontId="1" type="noConversion"/>
  </si>
  <si>
    <t>聯嘉</t>
    <phoneticPr fontId="1" type="noConversion"/>
  </si>
  <si>
    <t>光麗KY</t>
    <phoneticPr fontId="1" type="noConversion"/>
  </si>
  <si>
    <t>元晶</t>
    <phoneticPr fontId="1" type="noConversion"/>
  </si>
  <si>
    <t>6477</t>
    <phoneticPr fontId="1" type="noConversion"/>
  </si>
  <si>
    <t>安集</t>
    <phoneticPr fontId="1" type="noConversion"/>
  </si>
  <si>
    <t>錦明</t>
    <phoneticPr fontId="1" type="noConversion"/>
  </si>
  <si>
    <t>泰谷</t>
    <phoneticPr fontId="1" type="noConversion"/>
  </si>
  <si>
    <t>光耀</t>
    <phoneticPr fontId="1" type="noConversion"/>
  </si>
  <si>
    <t>全友</t>
    <phoneticPr fontId="1" type="noConversion"/>
  </si>
  <si>
    <t>倫飛</t>
    <phoneticPr fontId="1" type="noConversion"/>
  </si>
  <si>
    <t>友通</t>
    <phoneticPr fontId="1" type="noConversion"/>
  </si>
  <si>
    <t>映泰</t>
    <phoneticPr fontId="1" type="noConversion"/>
  </si>
  <si>
    <t>圓剛</t>
    <phoneticPr fontId="1" type="noConversion"/>
  </si>
  <si>
    <t>隴華</t>
    <phoneticPr fontId="1" type="noConversion"/>
  </si>
  <si>
    <t>承啟</t>
    <phoneticPr fontId="1" type="noConversion"/>
  </si>
  <si>
    <t>喬鼎</t>
    <phoneticPr fontId="1" type="noConversion"/>
  </si>
  <si>
    <t>銘異</t>
    <phoneticPr fontId="1" type="noConversion"/>
  </si>
  <si>
    <t>融程電</t>
    <phoneticPr fontId="1" type="noConversion"/>
  </si>
  <si>
    <t>誠研</t>
    <phoneticPr fontId="1" type="noConversion"/>
  </si>
  <si>
    <t>華擎</t>
    <phoneticPr fontId="1" type="noConversion"/>
  </si>
  <si>
    <t>事欣科</t>
    <phoneticPr fontId="1" type="noConversion"/>
  </si>
  <si>
    <t>科嘉KY</t>
    <phoneticPr fontId="1" type="noConversion"/>
  </si>
  <si>
    <t>虹堡</t>
    <phoneticPr fontId="1" type="noConversion"/>
  </si>
  <si>
    <t>動力KY</t>
    <phoneticPr fontId="1" type="noConversion"/>
  </si>
  <si>
    <t>旭品</t>
    <phoneticPr fontId="1" type="noConversion"/>
  </si>
  <si>
    <t>力致</t>
    <phoneticPr fontId="1" type="noConversion"/>
  </si>
  <si>
    <t>上揚</t>
    <phoneticPr fontId="1" type="noConversion"/>
  </si>
  <si>
    <t>全域</t>
    <phoneticPr fontId="1" type="noConversion"/>
  </si>
  <si>
    <t>岱稜</t>
    <phoneticPr fontId="1" type="noConversion"/>
  </si>
  <si>
    <t>3373</t>
    <phoneticPr fontId="1" type="noConversion"/>
  </si>
  <si>
    <t>熱映</t>
    <phoneticPr fontId="1" type="noConversion"/>
  </si>
  <si>
    <t>漢科</t>
    <phoneticPr fontId="1" type="noConversion"/>
  </si>
  <si>
    <t>世禾</t>
    <phoneticPr fontId="1" type="noConversion"/>
  </si>
  <si>
    <t>駿熠電</t>
    <phoneticPr fontId="1" type="noConversion"/>
  </si>
  <si>
    <t>金利</t>
    <phoneticPr fontId="1" type="noConversion"/>
  </si>
  <si>
    <t>佶優</t>
    <phoneticPr fontId="1" type="noConversion"/>
  </si>
  <si>
    <t>淇譽電</t>
    <phoneticPr fontId="1" type="noConversion"/>
  </si>
  <si>
    <t>元山</t>
    <phoneticPr fontId="1" type="noConversion"/>
  </si>
  <si>
    <t>迅得</t>
    <phoneticPr fontId="1" type="noConversion"/>
  </si>
  <si>
    <t>啟發電</t>
    <phoneticPr fontId="1" type="noConversion"/>
  </si>
  <si>
    <t>朋億</t>
    <phoneticPr fontId="1" type="noConversion"/>
  </si>
  <si>
    <t>星雲</t>
    <phoneticPr fontId="1" type="noConversion"/>
  </si>
  <si>
    <t>福華</t>
    <phoneticPr fontId="1" type="noConversion"/>
  </si>
  <si>
    <t>建暐</t>
    <phoneticPr fontId="1" type="noConversion"/>
  </si>
  <si>
    <t>大拓</t>
    <phoneticPr fontId="1" type="noConversion"/>
  </si>
  <si>
    <t>金寶</t>
    <phoneticPr fontId="1" type="noConversion"/>
  </si>
  <si>
    <t>所羅門</t>
    <phoneticPr fontId="1" type="noConversion"/>
  </si>
  <si>
    <t>2390</t>
    <phoneticPr fontId="1" type="noConversion"/>
  </si>
  <si>
    <t>云辰</t>
    <phoneticPr fontId="1" type="noConversion"/>
  </si>
  <si>
    <t>漢唐</t>
    <phoneticPr fontId="1" type="noConversion"/>
  </si>
  <si>
    <t>固緯</t>
    <phoneticPr fontId="1" type="noConversion"/>
  </si>
  <si>
    <t>互盛電</t>
    <phoneticPr fontId="1" type="noConversion"/>
  </si>
  <si>
    <t>光群雷</t>
    <phoneticPr fontId="1" type="noConversion"/>
  </si>
  <si>
    <t>盟立</t>
    <phoneticPr fontId="1" type="noConversion"/>
  </si>
  <si>
    <t>連宇</t>
    <phoneticPr fontId="1" type="noConversion"/>
  </si>
  <si>
    <t>漢平</t>
    <phoneticPr fontId="1" type="noConversion"/>
  </si>
  <si>
    <t>普安</t>
    <phoneticPr fontId="1" type="noConversion"/>
  </si>
  <si>
    <t>同開</t>
    <phoneticPr fontId="1" type="noConversion"/>
  </si>
  <si>
    <t>科風</t>
    <phoneticPr fontId="1" type="noConversion"/>
  </si>
  <si>
    <t>昇貿</t>
    <phoneticPr fontId="1" type="noConversion"/>
  </si>
  <si>
    <t>柏騰</t>
    <phoneticPr fontId="1" type="noConversion"/>
  </si>
  <si>
    <t>碩天</t>
    <phoneticPr fontId="1" type="noConversion"/>
  </si>
  <si>
    <t>東科KY</t>
    <phoneticPr fontId="1" type="noConversion"/>
  </si>
  <si>
    <t>亞翔</t>
    <phoneticPr fontId="1" type="noConversion"/>
  </si>
  <si>
    <t>巨路</t>
    <phoneticPr fontId="1" type="noConversion"/>
  </si>
  <si>
    <t>亞弘電</t>
    <phoneticPr fontId="1" type="noConversion"/>
  </si>
  <si>
    <t>和椿</t>
    <phoneticPr fontId="1" type="noConversion"/>
  </si>
  <si>
    <t>尖點</t>
    <phoneticPr fontId="1" type="noConversion"/>
  </si>
  <si>
    <t>無敵</t>
    <phoneticPr fontId="1" type="noConversion"/>
  </si>
  <si>
    <t>06</t>
    <phoneticPr fontId="1" type="noConversion"/>
  </si>
  <si>
    <t>晶相光</t>
    <phoneticPr fontId="1" type="noConversion"/>
  </si>
  <si>
    <t>力山</t>
    <phoneticPr fontId="1" type="noConversion"/>
  </si>
  <si>
    <t>萬泰科</t>
    <phoneticPr fontId="1" type="noConversion"/>
  </si>
  <si>
    <t>易通展</t>
    <phoneticPr fontId="1" type="noConversion"/>
  </si>
  <si>
    <t>韋僑</t>
    <phoneticPr fontId="1" type="noConversion"/>
  </si>
  <si>
    <t>常珵</t>
    <phoneticPr fontId="1" type="noConversion"/>
  </si>
  <si>
    <t>天宇</t>
    <phoneticPr fontId="1" type="noConversion"/>
  </si>
  <si>
    <t>卓越</t>
    <phoneticPr fontId="1" type="noConversion"/>
  </si>
  <si>
    <t>6216</t>
    <phoneticPr fontId="1" type="noConversion"/>
  </si>
  <si>
    <t>居易</t>
    <phoneticPr fontId="1" type="noConversion"/>
  </si>
  <si>
    <t>07</t>
    <phoneticPr fontId="1" type="noConversion"/>
  </si>
  <si>
    <t>力肯</t>
    <phoneticPr fontId="1" type="noConversion"/>
  </si>
  <si>
    <t>駿吉KY</t>
    <phoneticPr fontId="1" type="noConversion"/>
  </si>
  <si>
    <t>大甲</t>
    <phoneticPr fontId="1" type="noConversion"/>
  </si>
  <si>
    <t>嘉鋼</t>
    <phoneticPr fontId="1" type="noConversion"/>
  </si>
  <si>
    <t>泰茂</t>
    <phoneticPr fontId="1" type="noConversion"/>
  </si>
  <si>
    <t>謚源</t>
    <phoneticPr fontId="1" type="noConversion"/>
  </si>
  <si>
    <t>精確</t>
    <phoneticPr fontId="1" type="noConversion"/>
  </si>
  <si>
    <t>至寶電</t>
    <phoneticPr fontId="1" type="noConversion"/>
  </si>
  <si>
    <t>彬台</t>
    <phoneticPr fontId="1" type="noConversion"/>
  </si>
  <si>
    <t>台興</t>
    <phoneticPr fontId="1" type="noConversion"/>
  </si>
  <si>
    <t>健信</t>
    <phoneticPr fontId="1" type="noConversion"/>
  </si>
  <si>
    <t>金雨</t>
    <phoneticPr fontId="1" type="noConversion"/>
  </si>
  <si>
    <t>高鋒</t>
    <phoneticPr fontId="1" type="noConversion"/>
  </si>
  <si>
    <t>福裕</t>
    <phoneticPr fontId="1" type="noConversion"/>
  </si>
  <si>
    <t>永彰</t>
    <phoneticPr fontId="1" type="noConversion"/>
  </si>
  <si>
    <t>方土霖</t>
    <phoneticPr fontId="1" type="noConversion"/>
  </si>
  <si>
    <t>宏易</t>
    <phoneticPr fontId="1" type="noConversion"/>
  </si>
  <si>
    <t>慶騰</t>
    <phoneticPr fontId="1" type="noConversion"/>
  </si>
  <si>
    <t>萬在</t>
    <phoneticPr fontId="1" type="noConversion"/>
  </si>
  <si>
    <t>桓達</t>
    <phoneticPr fontId="1" type="noConversion"/>
  </si>
  <si>
    <t>長佳</t>
    <phoneticPr fontId="1" type="noConversion"/>
  </si>
  <si>
    <t>健椿</t>
  </si>
  <si>
    <t>百德</t>
    <phoneticPr fontId="1" type="noConversion"/>
  </si>
  <si>
    <t>擎邦</t>
    <phoneticPr fontId="1" type="noConversion"/>
  </si>
  <si>
    <t>富強鑫</t>
    <phoneticPr fontId="1" type="noConversion"/>
  </si>
  <si>
    <t>龍澤科</t>
    <phoneticPr fontId="1" type="noConversion"/>
  </si>
  <si>
    <t>鈦昇</t>
    <phoneticPr fontId="1" type="noConversion"/>
  </si>
  <si>
    <t>和勤</t>
    <phoneticPr fontId="1" type="noConversion"/>
  </si>
  <si>
    <t>士電</t>
    <phoneticPr fontId="1" type="noConversion"/>
  </si>
  <si>
    <t>正道</t>
    <phoneticPr fontId="1" type="noConversion"/>
  </si>
  <si>
    <t>永大</t>
    <phoneticPr fontId="1" type="noConversion"/>
  </si>
  <si>
    <t>中興電</t>
    <phoneticPr fontId="1" type="noConversion"/>
  </si>
  <si>
    <t>亞力</t>
    <phoneticPr fontId="1" type="noConversion"/>
  </si>
  <si>
    <t>利奇</t>
    <phoneticPr fontId="1" type="noConversion"/>
  </si>
  <si>
    <t>華城</t>
    <phoneticPr fontId="1" type="noConversion"/>
  </si>
  <si>
    <t>日馳</t>
    <phoneticPr fontId="1" type="noConversion"/>
  </si>
  <si>
    <t>鑽全</t>
    <phoneticPr fontId="1" type="noConversion"/>
  </si>
  <si>
    <t>恩德</t>
    <phoneticPr fontId="1" type="noConversion"/>
  </si>
  <si>
    <t>樂士</t>
    <phoneticPr fontId="1" type="noConversion"/>
  </si>
  <si>
    <t>亞崴</t>
    <phoneticPr fontId="1" type="noConversion"/>
  </si>
  <si>
    <t>高林股</t>
    <phoneticPr fontId="1" type="noConversion"/>
  </si>
  <si>
    <t>中宇</t>
    <phoneticPr fontId="1" type="noConversion"/>
  </si>
  <si>
    <t>廣隆</t>
    <phoneticPr fontId="1" type="noConversion"/>
  </si>
  <si>
    <t>正峰新</t>
    <phoneticPr fontId="1" type="noConversion"/>
  </si>
  <si>
    <t>巨庭</t>
    <phoneticPr fontId="1" type="noConversion"/>
  </si>
  <si>
    <t>喬福</t>
    <phoneticPr fontId="1" type="noConversion"/>
  </si>
  <si>
    <t>錩泰</t>
    <phoneticPr fontId="1" type="noConversion"/>
  </si>
  <si>
    <t>伸興</t>
    <phoneticPr fontId="1" type="noConversion"/>
  </si>
  <si>
    <t>程泰</t>
    <phoneticPr fontId="1" type="noConversion"/>
  </si>
  <si>
    <t>永冠KY</t>
    <phoneticPr fontId="1" type="noConversion"/>
  </si>
  <si>
    <t>劍麟</t>
    <phoneticPr fontId="1" type="noConversion"/>
  </si>
  <si>
    <t>百達</t>
    <phoneticPr fontId="1" type="noConversion"/>
  </si>
  <si>
    <t>麗清</t>
    <phoneticPr fontId="1" type="noConversion"/>
  </si>
  <si>
    <t>東台</t>
    <phoneticPr fontId="1" type="noConversion"/>
  </si>
  <si>
    <t>瑞智</t>
    <phoneticPr fontId="1" type="noConversion"/>
  </si>
  <si>
    <t>氣立</t>
    <phoneticPr fontId="1" type="noConversion"/>
  </si>
  <si>
    <t>永新KY</t>
    <phoneticPr fontId="1" type="noConversion"/>
  </si>
  <si>
    <t>強信KY</t>
    <phoneticPr fontId="1" type="noConversion"/>
  </si>
  <si>
    <t>穎漢</t>
    <phoneticPr fontId="1" type="noConversion"/>
  </si>
  <si>
    <t>豐祥KY</t>
    <phoneticPr fontId="1" type="noConversion"/>
  </si>
  <si>
    <t>寶一</t>
    <phoneticPr fontId="1" type="noConversion"/>
  </si>
  <si>
    <t>羅昇</t>
    <phoneticPr fontId="1" type="noConversion"/>
  </si>
  <si>
    <t>高力</t>
    <phoneticPr fontId="1" type="noConversion"/>
  </si>
  <si>
    <t>08</t>
    <phoneticPr fontId="1" type="noConversion"/>
  </si>
  <si>
    <t>信立</t>
    <phoneticPr fontId="1" type="noConversion"/>
  </si>
  <si>
    <t>勝昱</t>
    <phoneticPr fontId="1" type="noConversion"/>
  </si>
  <si>
    <t>世坤</t>
    <phoneticPr fontId="1" type="noConversion"/>
  </si>
  <si>
    <t>冠好</t>
    <phoneticPr fontId="1" type="noConversion"/>
  </si>
  <si>
    <t>萬國通</t>
    <phoneticPr fontId="1" type="noConversion"/>
  </si>
  <si>
    <t>華夏</t>
    <phoneticPr fontId="1" type="noConversion"/>
  </si>
  <si>
    <t>三芳</t>
    <phoneticPr fontId="1" type="noConversion"/>
  </si>
  <si>
    <t>台苯</t>
    <phoneticPr fontId="1" type="noConversion"/>
  </si>
  <si>
    <t>聯成</t>
    <phoneticPr fontId="1" type="noConversion"/>
  </si>
  <si>
    <t>達新</t>
    <phoneticPr fontId="1" type="noConversion"/>
  </si>
  <si>
    <t>大洋</t>
    <phoneticPr fontId="1" type="noConversion"/>
  </si>
  <si>
    <t>永裕</t>
    <phoneticPr fontId="1" type="noConversion"/>
  </si>
  <si>
    <t>地球</t>
    <phoneticPr fontId="1" type="noConversion"/>
  </si>
  <si>
    <t>1325</t>
    <phoneticPr fontId="1" type="noConversion"/>
  </si>
  <si>
    <t>恆大</t>
    <phoneticPr fontId="1" type="noConversion"/>
  </si>
  <si>
    <t>再生KY</t>
    <phoneticPr fontId="1" type="noConversion"/>
  </si>
  <si>
    <t>勝悅KY</t>
    <phoneticPr fontId="1" type="noConversion"/>
  </si>
  <si>
    <t>炎洲</t>
    <phoneticPr fontId="1" type="noConversion"/>
  </si>
  <si>
    <t>祺驊</t>
    <phoneticPr fontId="1" type="noConversion"/>
  </si>
  <si>
    <t>1781</t>
    <phoneticPr fontId="1" type="noConversion"/>
  </si>
  <si>
    <t>合世</t>
    <phoneticPr fontId="1" type="noConversion"/>
  </si>
  <si>
    <t>1813</t>
    <phoneticPr fontId="1" type="noConversion"/>
  </si>
  <si>
    <t>寶利徠</t>
    <phoneticPr fontId="1" type="noConversion"/>
  </si>
  <si>
    <t>4102</t>
    <phoneticPr fontId="1" type="noConversion"/>
  </si>
  <si>
    <t>永日</t>
    <phoneticPr fontId="1" type="noConversion"/>
  </si>
  <si>
    <t>優盛</t>
    <phoneticPr fontId="1" type="noConversion"/>
  </si>
  <si>
    <t>4128</t>
    <phoneticPr fontId="1" type="noConversion"/>
  </si>
  <si>
    <t>中天</t>
    <phoneticPr fontId="1" type="noConversion"/>
  </si>
  <si>
    <t>4130</t>
    <phoneticPr fontId="1" type="noConversion"/>
  </si>
  <si>
    <t>健亞</t>
    <phoneticPr fontId="1" type="noConversion"/>
  </si>
  <si>
    <t>台微體</t>
    <phoneticPr fontId="1" type="noConversion"/>
  </si>
  <si>
    <t>醣聯</t>
    <phoneticPr fontId="1" type="noConversion"/>
  </si>
  <si>
    <t>4173</t>
    <phoneticPr fontId="1" type="noConversion"/>
  </si>
  <si>
    <t>久裕</t>
    <phoneticPr fontId="1" type="noConversion"/>
  </si>
  <si>
    <t>永昕</t>
    <phoneticPr fontId="1" type="noConversion"/>
  </si>
  <si>
    <t>4735</t>
    <phoneticPr fontId="1" type="noConversion"/>
  </si>
  <si>
    <t>豪展</t>
    <phoneticPr fontId="1" type="noConversion"/>
  </si>
  <si>
    <t>藥華藥</t>
    <phoneticPr fontId="1" type="noConversion"/>
  </si>
  <si>
    <t>益得</t>
    <phoneticPr fontId="1" type="noConversion"/>
  </si>
  <si>
    <t>保瑞</t>
    <phoneticPr fontId="1" type="noConversion"/>
  </si>
  <si>
    <t>生華科</t>
    <phoneticPr fontId="1" type="noConversion"/>
  </si>
  <si>
    <t>6523</t>
    <phoneticPr fontId="1" type="noConversion"/>
  </si>
  <si>
    <t>達爾膚</t>
    <phoneticPr fontId="1" type="noConversion"/>
  </si>
  <si>
    <t>順藥</t>
    <phoneticPr fontId="1" type="noConversion"/>
  </si>
  <si>
    <t>霈方</t>
  </si>
  <si>
    <t>逸達</t>
    <phoneticPr fontId="1" type="noConversion"/>
  </si>
  <si>
    <t>商之器</t>
    <phoneticPr fontId="1" type="noConversion"/>
  </si>
  <si>
    <t>1598</t>
    <phoneticPr fontId="1" type="noConversion"/>
  </si>
  <si>
    <t>岱宇</t>
    <phoneticPr fontId="1" type="noConversion"/>
  </si>
  <si>
    <t>寶齡富錦</t>
    <phoneticPr fontId="1" type="noConversion"/>
  </si>
  <si>
    <t>佳醫</t>
    <phoneticPr fontId="1" type="noConversion"/>
  </si>
  <si>
    <t>雃博</t>
  </si>
  <si>
    <t>懷特</t>
    <phoneticPr fontId="1" type="noConversion"/>
  </si>
  <si>
    <t>4142</t>
    <phoneticPr fontId="1" type="noConversion"/>
  </si>
  <si>
    <t>國光生</t>
    <phoneticPr fontId="1" type="noConversion"/>
  </si>
  <si>
    <t>訊映</t>
    <phoneticPr fontId="1" type="noConversion"/>
  </si>
  <si>
    <t>4164</t>
    <phoneticPr fontId="1" type="noConversion"/>
  </si>
  <si>
    <t>承業醫</t>
    <phoneticPr fontId="1" type="noConversion"/>
  </si>
  <si>
    <t>台耀</t>
    <phoneticPr fontId="1" type="noConversion"/>
  </si>
  <si>
    <t>泰福KY</t>
    <phoneticPr fontId="1" type="noConversion"/>
  </si>
  <si>
    <t>精剛</t>
    <phoneticPr fontId="1" type="noConversion"/>
  </si>
  <si>
    <t>太普高</t>
    <phoneticPr fontId="1" type="noConversion"/>
  </si>
  <si>
    <t>耀億</t>
    <phoneticPr fontId="1" type="noConversion"/>
  </si>
  <si>
    <t>淳紳</t>
    <phoneticPr fontId="1" type="noConversion"/>
  </si>
  <si>
    <t>晟田</t>
    <phoneticPr fontId="1" type="noConversion"/>
  </si>
  <si>
    <t>旭然</t>
    <phoneticPr fontId="1" type="noConversion"/>
  </si>
  <si>
    <t>牧東</t>
    <phoneticPr fontId="1" type="noConversion"/>
  </si>
  <si>
    <t>達輝KY</t>
    <phoneticPr fontId="1" type="noConversion"/>
  </si>
  <si>
    <t>亞通</t>
    <phoneticPr fontId="1" type="noConversion"/>
  </si>
  <si>
    <t>天品</t>
    <phoneticPr fontId="1" type="noConversion"/>
  </si>
  <si>
    <t>康呈</t>
    <phoneticPr fontId="1" type="noConversion"/>
  </si>
  <si>
    <t>特昇KY</t>
    <phoneticPr fontId="1" type="noConversion"/>
  </si>
  <si>
    <t>益張</t>
    <phoneticPr fontId="1" type="noConversion"/>
  </si>
  <si>
    <t>金益鼎</t>
    <phoneticPr fontId="1" type="noConversion"/>
  </si>
  <si>
    <t>白紗科</t>
    <phoneticPr fontId="1" type="noConversion"/>
  </si>
  <si>
    <t>旭源</t>
    <phoneticPr fontId="1" type="noConversion"/>
  </si>
  <si>
    <t>保綠KY</t>
    <phoneticPr fontId="1" type="noConversion"/>
  </si>
  <si>
    <t>紅木KY</t>
    <phoneticPr fontId="1" type="noConversion"/>
  </si>
  <si>
    <t>鉅邁</t>
    <phoneticPr fontId="1" type="noConversion"/>
  </si>
  <si>
    <t>大地KY</t>
    <phoneticPr fontId="1" type="noConversion"/>
  </si>
  <si>
    <t>綠電</t>
    <phoneticPr fontId="1" type="noConversion"/>
  </si>
  <si>
    <t>台境</t>
    <phoneticPr fontId="1" type="noConversion"/>
  </si>
  <si>
    <t>裕國</t>
    <phoneticPr fontId="1" type="noConversion"/>
  </si>
  <si>
    <t>花王</t>
    <phoneticPr fontId="1" type="noConversion"/>
  </si>
  <si>
    <t>沈氏</t>
    <phoneticPr fontId="1" type="noConversion"/>
  </si>
  <si>
    <t>大田</t>
    <phoneticPr fontId="1" type="noConversion"/>
  </si>
  <si>
    <t>鉅明</t>
    <phoneticPr fontId="1" type="noConversion"/>
  </si>
  <si>
    <t>富堡</t>
    <phoneticPr fontId="1" type="noConversion"/>
  </si>
  <si>
    <t>宏大</t>
    <phoneticPr fontId="1" type="noConversion"/>
  </si>
  <si>
    <t>愛地雅</t>
    <phoneticPr fontId="1" type="noConversion"/>
  </si>
  <si>
    <t>邦泰</t>
    <phoneticPr fontId="1" type="noConversion"/>
  </si>
  <si>
    <t>8936</t>
    <phoneticPr fontId="1" type="noConversion"/>
  </si>
  <si>
    <t>國統</t>
    <phoneticPr fontId="1" type="noConversion"/>
  </si>
  <si>
    <t>合騏</t>
    <phoneticPr fontId="1" type="noConversion"/>
  </si>
  <si>
    <t>中福</t>
    <phoneticPr fontId="1" type="noConversion"/>
  </si>
  <si>
    <t>勤益控</t>
    <phoneticPr fontId="1" type="noConversion"/>
  </si>
  <si>
    <t>川飛</t>
    <phoneticPr fontId="1" type="noConversion"/>
  </si>
  <si>
    <t>橋椿</t>
  </si>
  <si>
    <t>海悅</t>
    <phoneticPr fontId="1" type="noConversion"/>
  </si>
  <si>
    <t>廷鑫</t>
    <phoneticPr fontId="1" type="noConversion"/>
  </si>
  <si>
    <t>2514</t>
    <phoneticPr fontId="1" type="noConversion"/>
  </si>
  <si>
    <t>龍邦</t>
    <phoneticPr fontId="1" type="noConversion"/>
  </si>
  <si>
    <t>匯僑</t>
    <phoneticPr fontId="1" type="noConversion"/>
  </si>
  <si>
    <t>遠見</t>
    <phoneticPr fontId="1" type="noConversion"/>
  </si>
  <si>
    <t>拓凱</t>
    <phoneticPr fontId="1" type="noConversion"/>
  </si>
  <si>
    <t>大豐電</t>
    <phoneticPr fontId="1" type="noConversion"/>
  </si>
  <si>
    <t>台數科</t>
    <phoneticPr fontId="1" type="noConversion"/>
  </si>
  <si>
    <t>南六</t>
    <phoneticPr fontId="1" type="noConversion"/>
  </si>
  <si>
    <t>鋼聯</t>
    <phoneticPr fontId="1" type="noConversion"/>
  </si>
  <si>
    <t>必應</t>
    <phoneticPr fontId="1" type="noConversion"/>
  </si>
  <si>
    <t>雷虎</t>
    <phoneticPr fontId="1" type="noConversion"/>
  </si>
  <si>
    <t>日友</t>
    <phoneticPr fontId="1" type="noConversion"/>
  </si>
  <si>
    <t>福貞KY</t>
    <phoneticPr fontId="1" type="noConversion"/>
  </si>
  <si>
    <t>可寧衛</t>
    <phoneticPr fontId="1" type="noConversion"/>
  </si>
  <si>
    <t>基勝KY</t>
    <phoneticPr fontId="1" type="noConversion"/>
  </si>
  <si>
    <t>潤泰材</t>
    <phoneticPr fontId="1" type="noConversion"/>
  </si>
  <si>
    <t>波力KY</t>
    <phoneticPr fontId="1" type="noConversion"/>
  </si>
  <si>
    <t>山林水</t>
    <phoneticPr fontId="1" type="noConversion"/>
  </si>
  <si>
    <t>泰昇KY</t>
    <phoneticPr fontId="1" type="noConversion"/>
  </si>
  <si>
    <t>政伸</t>
    <phoneticPr fontId="1" type="noConversion"/>
  </si>
  <si>
    <t>吉源KY</t>
    <phoneticPr fontId="1" type="noConversion"/>
  </si>
  <si>
    <t>台火</t>
    <phoneticPr fontId="1" type="noConversion"/>
  </si>
  <si>
    <t>大華</t>
    <phoneticPr fontId="1" type="noConversion"/>
  </si>
  <si>
    <t>櫻花</t>
    <phoneticPr fontId="1" type="noConversion"/>
  </si>
  <si>
    <t>康那香</t>
    <phoneticPr fontId="1" type="noConversion"/>
  </si>
  <si>
    <t>福興</t>
    <phoneticPr fontId="1" type="noConversion"/>
  </si>
  <si>
    <t>泰銘</t>
    <phoneticPr fontId="1" type="noConversion"/>
  </si>
  <si>
    <t>中視</t>
    <phoneticPr fontId="1" type="noConversion"/>
  </si>
  <si>
    <t>秋雨</t>
    <phoneticPr fontId="1" type="noConversion"/>
  </si>
  <si>
    <t>成霖</t>
    <phoneticPr fontId="1" type="noConversion"/>
  </si>
  <si>
    <t>慶豐富</t>
    <phoneticPr fontId="1" type="noConversion"/>
  </si>
  <si>
    <t>宏全</t>
    <phoneticPr fontId="1" type="noConversion"/>
  </si>
  <si>
    <t>茂順</t>
    <phoneticPr fontId="1" type="noConversion"/>
  </si>
  <si>
    <t>新麗</t>
    <phoneticPr fontId="1" type="noConversion"/>
  </si>
  <si>
    <t>佳龍</t>
    <phoneticPr fontId="1" type="noConversion"/>
  </si>
  <si>
    <t>威宏KY</t>
    <phoneticPr fontId="1" type="noConversion"/>
  </si>
  <si>
    <t>11</t>
    <phoneticPr fontId="1" type="noConversion"/>
  </si>
  <si>
    <t>福大</t>
    <phoneticPr fontId="1" type="noConversion"/>
  </si>
  <si>
    <t>新昕纖</t>
    <phoneticPr fontId="1" type="noConversion"/>
  </si>
  <si>
    <t>金洲</t>
    <phoneticPr fontId="1" type="noConversion"/>
  </si>
  <si>
    <t>元勝</t>
    <phoneticPr fontId="1" type="noConversion"/>
  </si>
  <si>
    <t>光明</t>
    <phoneticPr fontId="1" type="noConversion"/>
  </si>
  <si>
    <t>聚紡</t>
    <phoneticPr fontId="1" type="noConversion"/>
  </si>
  <si>
    <t>4433</t>
    <phoneticPr fontId="1" type="noConversion"/>
  </si>
  <si>
    <t>興采</t>
    <phoneticPr fontId="1" type="noConversion"/>
  </si>
  <si>
    <t>新纖</t>
    <phoneticPr fontId="1" type="noConversion"/>
  </si>
  <si>
    <t>南染</t>
    <phoneticPr fontId="1" type="noConversion"/>
  </si>
  <si>
    <t>宏洲</t>
    <phoneticPr fontId="1" type="noConversion"/>
  </si>
  <si>
    <t>東和</t>
    <phoneticPr fontId="1" type="noConversion"/>
  </si>
  <si>
    <t>廣豐</t>
    <phoneticPr fontId="1" type="noConversion"/>
  </si>
  <si>
    <t>嘉裕</t>
    <phoneticPr fontId="1" type="noConversion"/>
  </si>
  <si>
    <t>東華</t>
    <phoneticPr fontId="1" type="noConversion"/>
  </si>
  <si>
    <t>新紡</t>
    <phoneticPr fontId="1" type="noConversion"/>
  </si>
  <si>
    <t>利華</t>
    <phoneticPr fontId="1" type="noConversion"/>
  </si>
  <si>
    <t>中和</t>
    <phoneticPr fontId="1" type="noConversion"/>
  </si>
  <si>
    <t>南紡</t>
    <phoneticPr fontId="1" type="noConversion"/>
  </si>
  <si>
    <t>大東</t>
    <phoneticPr fontId="1" type="noConversion"/>
  </si>
  <si>
    <t>立益</t>
    <phoneticPr fontId="1" type="noConversion"/>
  </si>
  <si>
    <t>大宇</t>
    <phoneticPr fontId="1" type="noConversion"/>
  </si>
  <si>
    <t>宏和</t>
    <phoneticPr fontId="1" type="noConversion"/>
  </si>
  <si>
    <t>力鵬</t>
    <phoneticPr fontId="1" type="noConversion"/>
  </si>
  <si>
    <t>佳和</t>
    <phoneticPr fontId="1" type="noConversion"/>
  </si>
  <si>
    <t>年興</t>
    <phoneticPr fontId="1" type="noConversion"/>
  </si>
  <si>
    <t>宏益</t>
    <phoneticPr fontId="1" type="noConversion"/>
  </si>
  <si>
    <t>大將</t>
    <phoneticPr fontId="1" type="noConversion"/>
  </si>
  <si>
    <t>台富</t>
    <phoneticPr fontId="1" type="noConversion"/>
  </si>
  <si>
    <t>怡華</t>
    <phoneticPr fontId="1" type="noConversion"/>
  </si>
  <si>
    <t>宜進</t>
    <phoneticPr fontId="1" type="noConversion"/>
  </si>
  <si>
    <t>聯發</t>
    <phoneticPr fontId="1" type="noConversion"/>
  </si>
  <si>
    <t>宏遠</t>
    <phoneticPr fontId="1" type="noConversion"/>
  </si>
  <si>
    <t>強盛</t>
    <phoneticPr fontId="1" type="noConversion"/>
  </si>
  <si>
    <t>得力</t>
    <phoneticPr fontId="1" type="noConversion"/>
  </si>
  <si>
    <t>偉全</t>
    <phoneticPr fontId="1" type="noConversion"/>
  </si>
  <si>
    <t>聚隆</t>
    <phoneticPr fontId="1" type="noConversion"/>
  </si>
  <si>
    <t>南緯</t>
    <phoneticPr fontId="1" type="noConversion"/>
  </si>
  <si>
    <t>昶和</t>
    <phoneticPr fontId="1" type="noConversion"/>
  </si>
  <si>
    <t>三洋紡</t>
    <phoneticPr fontId="1" type="noConversion"/>
  </si>
  <si>
    <t>台南</t>
    <phoneticPr fontId="1" type="noConversion"/>
  </si>
  <si>
    <t>弘裕</t>
    <phoneticPr fontId="1" type="noConversion"/>
  </si>
  <si>
    <t>如興</t>
    <phoneticPr fontId="1" type="noConversion"/>
  </si>
  <si>
    <t>利勤</t>
    <phoneticPr fontId="1" type="noConversion"/>
  </si>
  <si>
    <t>廣越</t>
    <phoneticPr fontId="1" type="noConversion"/>
  </si>
  <si>
    <t>化工</t>
    <phoneticPr fontId="1" type="noConversion"/>
  </si>
  <si>
    <t>1316</t>
    <phoneticPr fontId="1" type="noConversion"/>
  </si>
  <si>
    <t>上曜</t>
    <phoneticPr fontId="1" type="noConversion"/>
  </si>
  <si>
    <t>東鹼</t>
    <phoneticPr fontId="1" type="noConversion"/>
  </si>
  <si>
    <t>和益</t>
    <phoneticPr fontId="1" type="noConversion"/>
  </si>
  <si>
    <t>永光</t>
    <phoneticPr fontId="1" type="noConversion"/>
  </si>
  <si>
    <t>興農</t>
    <phoneticPr fontId="1" type="noConversion"/>
  </si>
  <si>
    <t>國化</t>
    <phoneticPr fontId="1" type="noConversion"/>
  </si>
  <si>
    <t>和桐</t>
    <phoneticPr fontId="1" type="noConversion"/>
  </si>
  <si>
    <t>中纖</t>
    <phoneticPr fontId="1" type="noConversion"/>
  </si>
  <si>
    <t>三晃</t>
    <phoneticPr fontId="1" type="noConversion"/>
  </si>
  <si>
    <t>元禎</t>
  </si>
  <si>
    <t>毛寶</t>
    <phoneticPr fontId="1" type="noConversion"/>
  </si>
  <si>
    <t>三福化</t>
    <phoneticPr fontId="1" type="noConversion"/>
  </si>
  <si>
    <t>13</t>
    <phoneticPr fontId="1" type="noConversion"/>
  </si>
  <si>
    <t>德麥</t>
    <phoneticPr fontId="1" type="noConversion"/>
  </si>
  <si>
    <t>中華食</t>
    <phoneticPr fontId="1" type="noConversion"/>
  </si>
  <si>
    <t>環泰</t>
    <phoneticPr fontId="1" type="noConversion"/>
  </si>
  <si>
    <t>味王</t>
    <phoneticPr fontId="1" type="noConversion"/>
  </si>
  <si>
    <t>大成</t>
    <phoneticPr fontId="1" type="noConversion"/>
  </si>
  <si>
    <t>1213</t>
    <phoneticPr fontId="1" type="noConversion"/>
  </si>
  <si>
    <t>大飲</t>
    <phoneticPr fontId="1" type="noConversion"/>
  </si>
  <si>
    <t>卜蜂</t>
    <phoneticPr fontId="1" type="noConversion"/>
  </si>
  <si>
    <t>愛之味</t>
    <phoneticPr fontId="1" type="noConversion"/>
  </si>
  <si>
    <t>泰山</t>
    <phoneticPr fontId="1" type="noConversion"/>
  </si>
  <si>
    <t>福壽</t>
    <phoneticPr fontId="1" type="noConversion"/>
  </si>
  <si>
    <t>台榮</t>
    <phoneticPr fontId="1" type="noConversion"/>
  </si>
  <si>
    <t>福懋油</t>
    <phoneticPr fontId="1" type="noConversion"/>
  </si>
  <si>
    <t>聯華</t>
    <phoneticPr fontId="1" type="noConversion"/>
  </si>
  <si>
    <t>聯華食</t>
    <phoneticPr fontId="1" type="noConversion"/>
  </si>
  <si>
    <t>大統益</t>
    <phoneticPr fontId="1" type="noConversion"/>
  </si>
  <si>
    <t>天仁</t>
    <phoneticPr fontId="1" type="noConversion"/>
  </si>
  <si>
    <t>黑松</t>
    <phoneticPr fontId="1" type="noConversion"/>
  </si>
  <si>
    <t>興泰</t>
    <phoneticPr fontId="1" type="noConversion"/>
  </si>
  <si>
    <t>宏亞</t>
    <phoneticPr fontId="1" type="noConversion"/>
  </si>
  <si>
    <t>1256</t>
    <phoneticPr fontId="1" type="noConversion"/>
  </si>
  <si>
    <t>鮮活果汁KY</t>
    <phoneticPr fontId="1" type="noConversion"/>
  </si>
  <si>
    <t>臺鹽</t>
    <phoneticPr fontId="1" type="noConversion"/>
  </si>
  <si>
    <t>14</t>
    <phoneticPr fontId="1" type="noConversion"/>
  </si>
  <si>
    <t>滿心</t>
    <phoneticPr fontId="1" type="noConversion"/>
  </si>
  <si>
    <t>東凌KY</t>
    <phoneticPr fontId="1" type="noConversion"/>
  </si>
  <si>
    <t>集雅社</t>
    <phoneticPr fontId="1" type="noConversion"/>
  </si>
  <si>
    <t>新洲</t>
    <phoneticPr fontId="1" type="noConversion"/>
  </si>
  <si>
    <t>德記</t>
    <phoneticPr fontId="1" type="noConversion"/>
  </si>
  <si>
    <t>南仁湖</t>
    <phoneticPr fontId="1" type="noConversion"/>
  </si>
  <si>
    <t>來思達</t>
    <phoneticPr fontId="1" type="noConversion"/>
  </si>
  <si>
    <t>關中</t>
    <phoneticPr fontId="1" type="noConversion"/>
  </si>
  <si>
    <t>邁達康</t>
    <phoneticPr fontId="1" type="noConversion"/>
  </si>
  <si>
    <t>大魯閣</t>
    <phoneticPr fontId="1" type="noConversion"/>
  </si>
  <si>
    <t>東森</t>
    <phoneticPr fontId="1" type="noConversion"/>
  </si>
  <si>
    <t>欣欣</t>
    <phoneticPr fontId="1" type="noConversion"/>
  </si>
  <si>
    <t>遠百</t>
    <phoneticPr fontId="1" type="noConversion"/>
  </si>
  <si>
    <t>高林</t>
    <phoneticPr fontId="1" type="noConversion"/>
  </si>
  <si>
    <t>特力</t>
    <phoneticPr fontId="1" type="noConversion"/>
  </si>
  <si>
    <t>統領</t>
    <phoneticPr fontId="1" type="noConversion"/>
  </si>
  <si>
    <t>麗嬰房</t>
    <phoneticPr fontId="1" type="noConversion"/>
  </si>
  <si>
    <t>農林</t>
    <phoneticPr fontId="1" type="noConversion"/>
  </si>
  <si>
    <t>凱羿KY</t>
    <phoneticPr fontId="1" type="noConversion"/>
  </si>
  <si>
    <t>日成KY</t>
    <phoneticPr fontId="1" type="noConversion"/>
  </si>
  <si>
    <t>台南KY</t>
    <phoneticPr fontId="1" type="noConversion"/>
  </si>
  <si>
    <t>大洋KY</t>
    <phoneticPr fontId="1" type="noConversion"/>
  </si>
  <si>
    <t>金麗KY</t>
    <phoneticPr fontId="1" type="noConversion"/>
  </si>
  <si>
    <t>阿瘦</t>
    <phoneticPr fontId="1" type="noConversion"/>
  </si>
  <si>
    <t>三顧</t>
    <phoneticPr fontId="1" type="noConversion"/>
  </si>
  <si>
    <t>昱捷</t>
    <phoneticPr fontId="1" type="noConversion"/>
  </si>
  <si>
    <t>利機</t>
    <phoneticPr fontId="1" type="noConversion"/>
  </si>
  <si>
    <t>亞矽</t>
    <phoneticPr fontId="1" type="noConversion"/>
  </si>
  <si>
    <t>建達</t>
    <phoneticPr fontId="1" type="noConversion"/>
  </si>
  <si>
    <t>順發</t>
    <phoneticPr fontId="1" type="noConversion"/>
  </si>
  <si>
    <t>茂綸</t>
    <phoneticPr fontId="1" type="noConversion"/>
  </si>
  <si>
    <t>方土昶</t>
    <phoneticPr fontId="1" type="noConversion"/>
  </si>
  <si>
    <t>倍微</t>
    <phoneticPr fontId="1" type="noConversion"/>
  </si>
  <si>
    <t>光菱</t>
    <phoneticPr fontId="1" type="noConversion"/>
  </si>
  <si>
    <t>志旭</t>
    <phoneticPr fontId="1" type="noConversion"/>
  </si>
  <si>
    <t>全達</t>
    <phoneticPr fontId="1" type="noConversion"/>
  </si>
  <si>
    <t>巨虹</t>
    <phoneticPr fontId="1" type="noConversion"/>
  </si>
  <si>
    <t>擎亞</t>
    <phoneticPr fontId="1" type="noConversion"/>
  </si>
  <si>
    <t>精技</t>
    <phoneticPr fontId="1" type="noConversion"/>
  </si>
  <si>
    <t>敦吉</t>
    <phoneticPr fontId="1" type="noConversion"/>
  </si>
  <si>
    <t>增你強</t>
    <phoneticPr fontId="1" type="noConversion"/>
  </si>
  <si>
    <t>益登</t>
    <phoneticPr fontId="1" type="noConversion"/>
  </si>
  <si>
    <t>蔚華科</t>
    <phoneticPr fontId="1" type="noConversion"/>
  </si>
  <si>
    <t>全科</t>
    <phoneticPr fontId="1" type="noConversion"/>
  </si>
  <si>
    <t>弘憶股</t>
    <phoneticPr fontId="1" type="noConversion"/>
  </si>
  <si>
    <t>安馳</t>
    <phoneticPr fontId="1" type="noConversion"/>
  </si>
  <si>
    <t>豐藝</t>
    <phoneticPr fontId="1" type="noConversion"/>
  </si>
  <si>
    <t>全國電</t>
    <phoneticPr fontId="1" type="noConversion"/>
  </si>
  <si>
    <t>陞泰</t>
    <phoneticPr fontId="1" type="noConversion"/>
  </si>
  <si>
    <t>16</t>
    <phoneticPr fontId="1" type="noConversion"/>
  </si>
  <si>
    <t>久陽</t>
    <phoneticPr fontId="1" type="noConversion"/>
  </si>
  <si>
    <t>沛波</t>
    <phoneticPr fontId="1" type="noConversion"/>
  </si>
  <si>
    <t>元大</t>
    <phoneticPr fontId="1" type="noConversion"/>
  </si>
  <si>
    <t>華南</t>
    <phoneticPr fontId="1" type="noConversion"/>
  </si>
  <si>
    <t>sukibayashi</t>
    <phoneticPr fontId="1" type="noConversion"/>
  </si>
  <si>
    <t>9100bo</t>
    <phoneticPr fontId="1" type="noConversion"/>
  </si>
  <si>
    <t>珠</t>
    <phoneticPr fontId="1" type="noConversion"/>
  </si>
  <si>
    <t>斌</t>
    <phoneticPr fontId="1" type="noConversion"/>
  </si>
  <si>
    <t>博</t>
    <phoneticPr fontId="1" type="noConversion"/>
  </si>
  <si>
    <t>ju54186</t>
    <phoneticPr fontId="1" type="noConversion"/>
  </si>
  <si>
    <t>ju54186755</t>
    <phoneticPr fontId="1" type="noConversion"/>
  </si>
  <si>
    <t>運錩</t>
    <phoneticPr fontId="1" type="noConversion"/>
  </si>
  <si>
    <t>東明KY</t>
    <phoneticPr fontId="1" type="noConversion"/>
  </si>
  <si>
    <t>17</t>
    <phoneticPr fontId="1" type="noConversion"/>
  </si>
  <si>
    <t>嘉泥</t>
    <phoneticPr fontId="1" type="noConversion"/>
  </si>
  <si>
    <t>環泥</t>
    <phoneticPr fontId="1" type="noConversion"/>
  </si>
  <si>
    <t>幸福</t>
    <phoneticPr fontId="1" type="noConversion"/>
  </si>
  <si>
    <t>信大</t>
    <phoneticPr fontId="1" type="noConversion"/>
  </si>
  <si>
    <t>東泥</t>
    <phoneticPr fontId="1" type="noConversion"/>
  </si>
  <si>
    <t>18</t>
    <phoneticPr fontId="1" type="noConversion"/>
  </si>
  <si>
    <t>正德</t>
    <phoneticPr fontId="1" type="noConversion"/>
  </si>
  <si>
    <t>捷迅</t>
    <phoneticPr fontId="1" type="noConversion"/>
  </si>
  <si>
    <t>台聯櫃</t>
    <phoneticPr fontId="1" type="noConversion"/>
  </si>
  <si>
    <t>中連貨</t>
    <phoneticPr fontId="1" type="noConversion"/>
  </si>
  <si>
    <t>中菲行</t>
    <phoneticPr fontId="1" type="noConversion"/>
  </si>
  <si>
    <t>新興</t>
    <phoneticPr fontId="1" type="noConversion"/>
  </si>
  <si>
    <t>陽明</t>
    <phoneticPr fontId="1" type="noConversion"/>
  </si>
  <si>
    <t>志信</t>
    <phoneticPr fontId="1" type="noConversion"/>
  </si>
  <si>
    <t>中航</t>
    <phoneticPr fontId="1" type="noConversion"/>
  </si>
  <si>
    <t>中櫃</t>
    <phoneticPr fontId="1" type="noConversion"/>
  </si>
  <si>
    <t>台航</t>
    <phoneticPr fontId="1" type="noConversion"/>
  </si>
  <si>
    <t>亞航</t>
    <phoneticPr fontId="1" type="noConversion"/>
  </si>
  <si>
    <t>慧洋KY</t>
    <phoneticPr fontId="1" type="noConversion"/>
  </si>
  <si>
    <t>宅配通</t>
    <phoneticPr fontId="1" type="noConversion"/>
  </si>
  <si>
    <t>遠雄港</t>
    <phoneticPr fontId="1" type="noConversion"/>
  </si>
  <si>
    <t>四維航</t>
    <phoneticPr fontId="1" type="noConversion"/>
  </si>
  <si>
    <t>營建</t>
    <phoneticPr fontId="1" type="noConversion"/>
  </si>
  <si>
    <t>19</t>
    <phoneticPr fontId="1" type="noConversion"/>
  </si>
  <si>
    <t>綠意</t>
    <phoneticPr fontId="1" type="noConversion"/>
  </si>
  <si>
    <t>鑫龍騰</t>
    <phoneticPr fontId="1" type="noConversion"/>
  </si>
  <si>
    <t>森寶</t>
    <phoneticPr fontId="1" type="noConversion"/>
  </si>
  <si>
    <t>聯上</t>
    <phoneticPr fontId="1" type="noConversion"/>
  </si>
  <si>
    <t>三圓</t>
    <phoneticPr fontId="1" type="noConversion"/>
  </si>
  <si>
    <t>富宇</t>
    <phoneticPr fontId="1" type="noConversion"/>
  </si>
  <si>
    <t>坤悅</t>
    <phoneticPr fontId="1" type="noConversion"/>
  </si>
  <si>
    <t>亞昕</t>
    <phoneticPr fontId="1" type="noConversion"/>
  </si>
  <si>
    <t>士開</t>
    <phoneticPr fontId="1" type="noConversion"/>
  </si>
  <si>
    <t>德昌</t>
    <phoneticPr fontId="1" type="noConversion"/>
  </si>
  <si>
    <t>三豐</t>
    <phoneticPr fontId="1" type="noConversion"/>
  </si>
  <si>
    <t>雙喜</t>
    <phoneticPr fontId="1" type="noConversion"/>
  </si>
  <si>
    <t>力泰</t>
    <phoneticPr fontId="1" type="noConversion"/>
  </si>
  <si>
    <t>豐謙</t>
    <phoneticPr fontId="1" type="noConversion"/>
  </si>
  <si>
    <t>志嘉</t>
    <phoneticPr fontId="1" type="noConversion"/>
  </si>
  <si>
    <t>新潤</t>
    <phoneticPr fontId="1" type="noConversion"/>
  </si>
  <si>
    <t>理銘</t>
    <phoneticPr fontId="1" type="noConversion"/>
  </si>
  <si>
    <t>富旺</t>
    <phoneticPr fontId="1" type="noConversion"/>
  </si>
  <si>
    <t>富裔</t>
    <phoneticPr fontId="1" type="noConversion"/>
  </si>
  <si>
    <t>惠普</t>
    <phoneticPr fontId="1" type="noConversion"/>
  </si>
  <si>
    <t>華友聯</t>
    <phoneticPr fontId="1" type="noConversion"/>
  </si>
  <si>
    <t>名軒</t>
    <phoneticPr fontId="1" type="noConversion"/>
  </si>
  <si>
    <t>寶徠</t>
    <phoneticPr fontId="1" type="noConversion"/>
  </si>
  <si>
    <t>潤隆</t>
    <phoneticPr fontId="1" type="noConversion"/>
  </si>
  <si>
    <t>國建</t>
    <phoneticPr fontId="1" type="noConversion"/>
  </si>
  <si>
    <t>國產</t>
    <phoneticPr fontId="1" type="noConversion"/>
  </si>
  <si>
    <t>國揚</t>
    <phoneticPr fontId="1" type="noConversion"/>
  </si>
  <si>
    <t>太設</t>
    <phoneticPr fontId="1" type="noConversion"/>
  </si>
  <si>
    <t>全坤建</t>
    <phoneticPr fontId="1" type="noConversion"/>
  </si>
  <si>
    <t>太子</t>
    <phoneticPr fontId="1" type="noConversion"/>
  </si>
  <si>
    <t>新建</t>
    <phoneticPr fontId="1" type="noConversion"/>
  </si>
  <si>
    <t>冠德</t>
    <phoneticPr fontId="1" type="noConversion"/>
  </si>
  <si>
    <t>京城</t>
    <phoneticPr fontId="1" type="noConversion"/>
  </si>
  <si>
    <t>宏璟</t>
    <phoneticPr fontId="1" type="noConversion"/>
  </si>
  <si>
    <t>皇普</t>
    <phoneticPr fontId="1" type="noConversion"/>
  </si>
  <si>
    <t>華建</t>
    <phoneticPr fontId="1" type="noConversion"/>
  </si>
  <si>
    <t>宏盛</t>
    <phoneticPr fontId="1" type="noConversion"/>
  </si>
  <si>
    <t>達欣工</t>
    <phoneticPr fontId="1" type="noConversion"/>
  </si>
  <si>
    <t>宏普</t>
    <phoneticPr fontId="1" type="noConversion"/>
  </si>
  <si>
    <t>聨上發</t>
    <phoneticPr fontId="1" type="noConversion"/>
  </si>
  <si>
    <t>基泰</t>
    <phoneticPr fontId="1" type="noConversion"/>
  </si>
  <si>
    <t>櫻花建</t>
    <phoneticPr fontId="1" type="noConversion"/>
  </si>
  <si>
    <t>愛山林</t>
    <phoneticPr fontId="1" type="noConversion"/>
  </si>
  <si>
    <t>皇昌</t>
    <phoneticPr fontId="1" type="noConversion"/>
  </si>
  <si>
    <t>皇翔</t>
    <phoneticPr fontId="1" type="noConversion"/>
  </si>
  <si>
    <t>根基</t>
    <phoneticPr fontId="1" type="noConversion"/>
  </si>
  <si>
    <t>日勝生</t>
    <phoneticPr fontId="1" type="noConversion"/>
  </si>
  <si>
    <t>華固</t>
    <phoneticPr fontId="1" type="noConversion"/>
  </si>
  <si>
    <t>潤弘</t>
    <phoneticPr fontId="1" type="noConversion"/>
  </si>
  <si>
    <t>台開</t>
    <phoneticPr fontId="1" type="noConversion"/>
  </si>
  <si>
    <t>夆典</t>
    <phoneticPr fontId="1" type="noConversion"/>
  </si>
  <si>
    <t>總太</t>
    <phoneticPr fontId="1" type="noConversion"/>
  </si>
  <si>
    <t>昇陽</t>
    <phoneticPr fontId="1" type="noConversion"/>
  </si>
  <si>
    <t>建國</t>
    <phoneticPr fontId="1" type="noConversion"/>
  </si>
  <si>
    <t>隆大</t>
    <phoneticPr fontId="1" type="noConversion"/>
  </si>
  <si>
    <t>工信</t>
    <phoneticPr fontId="1" type="noConversion"/>
  </si>
  <si>
    <t>順天</t>
    <phoneticPr fontId="1" type="noConversion"/>
  </si>
  <si>
    <t>鄉林</t>
    <phoneticPr fontId="1" type="noConversion"/>
  </si>
  <si>
    <t>皇鼎</t>
    <phoneticPr fontId="1" type="noConversion"/>
  </si>
  <si>
    <t>長虹</t>
    <phoneticPr fontId="1" type="noConversion"/>
  </si>
  <si>
    <t>達麗</t>
    <phoneticPr fontId="1" type="noConversion"/>
  </si>
  <si>
    <t>欣巴巴</t>
    <phoneticPr fontId="1" type="noConversion"/>
  </si>
  <si>
    <t>鼎固KY</t>
    <phoneticPr fontId="1" type="noConversion"/>
  </si>
  <si>
    <t>20</t>
    <phoneticPr fontId="1" type="noConversion"/>
  </si>
  <si>
    <t>21</t>
    <phoneticPr fontId="1" type="noConversion"/>
  </si>
  <si>
    <t>風青</t>
    <phoneticPr fontId="1" type="noConversion"/>
  </si>
  <si>
    <t>唐鋒</t>
    <phoneticPr fontId="1" type="noConversion"/>
  </si>
  <si>
    <t>華電</t>
    <phoneticPr fontId="1" type="noConversion"/>
  </si>
  <si>
    <t>聲寶</t>
    <phoneticPr fontId="1" type="noConversion"/>
  </si>
  <si>
    <t>1608</t>
    <phoneticPr fontId="1" type="noConversion"/>
  </si>
  <si>
    <t>華榮</t>
    <phoneticPr fontId="1" type="noConversion"/>
  </si>
  <si>
    <t>大亞</t>
    <phoneticPr fontId="1" type="noConversion"/>
  </si>
  <si>
    <t>宏泰</t>
    <phoneticPr fontId="1" type="noConversion"/>
  </si>
  <si>
    <t>三洋電</t>
    <phoneticPr fontId="1" type="noConversion"/>
  </si>
  <si>
    <t>大山</t>
    <phoneticPr fontId="1" type="noConversion"/>
  </si>
  <si>
    <t>億泰</t>
    <phoneticPr fontId="1" type="noConversion"/>
  </si>
  <si>
    <t>榮星</t>
    <phoneticPr fontId="1" type="noConversion"/>
  </si>
  <si>
    <t>合機</t>
    <phoneticPr fontId="1" type="noConversion"/>
  </si>
  <si>
    <t>燦星網</t>
    <phoneticPr fontId="1" type="noConversion"/>
  </si>
  <si>
    <t>英利KY</t>
    <phoneticPr fontId="1" type="noConversion"/>
  </si>
  <si>
    <t>宏旭KY</t>
    <phoneticPr fontId="1" type="noConversion"/>
  </si>
  <si>
    <t>23</t>
    <phoneticPr fontId="1" type="noConversion"/>
  </si>
  <si>
    <t>安心</t>
    <phoneticPr fontId="1" type="noConversion"/>
  </si>
  <si>
    <t>漢來美食</t>
    <phoneticPr fontId="1" type="noConversion"/>
  </si>
  <si>
    <t>晶悅</t>
    <phoneticPr fontId="1" type="noConversion"/>
  </si>
  <si>
    <t>燦星旅</t>
    <phoneticPr fontId="1" type="noConversion"/>
  </si>
  <si>
    <t>富驛KY</t>
    <phoneticPr fontId="1" type="noConversion"/>
  </si>
  <si>
    <t>雅茗KY</t>
    <phoneticPr fontId="1" type="noConversion"/>
  </si>
  <si>
    <t>易飛網</t>
    <phoneticPr fontId="1" type="noConversion"/>
  </si>
  <si>
    <t>高野</t>
    <phoneticPr fontId="1" type="noConversion"/>
  </si>
  <si>
    <t>天蔥</t>
    <phoneticPr fontId="1" type="noConversion"/>
  </si>
  <si>
    <t>五福</t>
    <phoneticPr fontId="1" type="noConversion"/>
  </si>
  <si>
    <t>萬企</t>
    <phoneticPr fontId="1" type="noConversion"/>
  </si>
  <si>
    <t>華園</t>
    <phoneticPr fontId="1" type="noConversion"/>
  </si>
  <si>
    <t>六福</t>
    <phoneticPr fontId="1" type="noConversion"/>
  </si>
  <si>
    <t>第一店</t>
    <phoneticPr fontId="1" type="noConversion"/>
  </si>
  <si>
    <t>晶華</t>
    <phoneticPr fontId="1" type="noConversion"/>
  </si>
  <si>
    <t>遠雄來</t>
    <phoneticPr fontId="1" type="noConversion"/>
  </si>
  <si>
    <t>夏都</t>
    <phoneticPr fontId="1" type="noConversion"/>
  </si>
  <si>
    <t>雄獅</t>
    <phoneticPr fontId="1" type="noConversion"/>
  </si>
  <si>
    <t>寒舍</t>
    <phoneticPr fontId="1" type="noConversion"/>
  </si>
  <si>
    <t>雲品</t>
    <phoneticPr fontId="1" type="noConversion"/>
  </si>
  <si>
    <t>24</t>
    <phoneticPr fontId="1" type="noConversion"/>
  </si>
  <si>
    <t>欣雄</t>
    <phoneticPr fontId="1" type="noConversion"/>
  </si>
  <si>
    <t>欣泰</t>
    <phoneticPr fontId="1" type="noConversion"/>
  </si>
  <si>
    <t>北基</t>
    <phoneticPr fontId="1" type="noConversion"/>
  </si>
  <si>
    <t>大汽電</t>
    <phoneticPr fontId="1" type="noConversion"/>
  </si>
  <si>
    <t>山隆</t>
    <phoneticPr fontId="1" type="noConversion"/>
  </si>
  <si>
    <t>台汽電</t>
    <phoneticPr fontId="1" type="noConversion"/>
  </si>
  <si>
    <t>大台北</t>
    <phoneticPr fontId="1" type="noConversion"/>
  </si>
  <si>
    <t>欣天然</t>
    <phoneticPr fontId="1" type="noConversion"/>
  </si>
  <si>
    <t>新海</t>
    <phoneticPr fontId="1" type="noConversion"/>
  </si>
  <si>
    <t>欣高</t>
    <phoneticPr fontId="1" type="noConversion"/>
  </si>
  <si>
    <t>全國</t>
    <phoneticPr fontId="1" type="noConversion"/>
  </si>
  <si>
    <t>26</t>
    <phoneticPr fontId="1" type="noConversion"/>
  </si>
  <si>
    <t>新零售</t>
    <phoneticPr fontId="1" type="noConversion"/>
  </si>
  <si>
    <t>3147</t>
    <phoneticPr fontId="1" type="noConversion"/>
  </si>
  <si>
    <t>大綜電腦</t>
    <phoneticPr fontId="1" type="noConversion"/>
  </si>
  <si>
    <t>大塚</t>
    <phoneticPr fontId="1" type="noConversion"/>
  </si>
  <si>
    <t>緯軟</t>
    <phoneticPr fontId="1" type="noConversion"/>
  </si>
  <si>
    <t>凱衛</t>
    <phoneticPr fontId="1" type="noConversion"/>
  </si>
  <si>
    <t>力新</t>
    <phoneticPr fontId="1" type="noConversion"/>
  </si>
  <si>
    <t>新鼎</t>
    <phoneticPr fontId="1" type="noConversion"/>
  </si>
  <si>
    <t>寶碩</t>
    <phoneticPr fontId="1" type="noConversion"/>
  </si>
  <si>
    <t>蒙恬</t>
    <phoneticPr fontId="1" type="noConversion"/>
  </si>
  <si>
    <t>凌網</t>
    <phoneticPr fontId="1" type="noConversion"/>
  </si>
  <si>
    <t>天剛</t>
    <phoneticPr fontId="1" type="noConversion"/>
  </si>
  <si>
    <t>中菲</t>
    <phoneticPr fontId="1" type="noConversion"/>
  </si>
  <si>
    <t>國眾</t>
    <phoneticPr fontId="1" type="noConversion"/>
  </si>
  <si>
    <t>訊達</t>
    <phoneticPr fontId="1" type="noConversion"/>
  </si>
  <si>
    <t>驊宏資</t>
    <phoneticPr fontId="1" type="noConversion"/>
  </si>
  <si>
    <t>晉泰</t>
    <phoneticPr fontId="1" type="noConversion"/>
  </si>
  <si>
    <t>系微</t>
    <phoneticPr fontId="1" type="noConversion"/>
  </si>
  <si>
    <t>松崗</t>
    <phoneticPr fontId="1" type="noConversion"/>
  </si>
  <si>
    <t>通訊KY</t>
    <phoneticPr fontId="1" type="noConversion"/>
  </si>
  <si>
    <t>台灣銘板</t>
    <phoneticPr fontId="1" type="noConversion"/>
  </si>
  <si>
    <t>大世科</t>
    <phoneticPr fontId="1" type="noConversion"/>
  </si>
  <si>
    <t>三商電</t>
    <phoneticPr fontId="1" type="noConversion"/>
  </si>
  <si>
    <t>凌群</t>
    <phoneticPr fontId="1" type="noConversion"/>
  </si>
  <si>
    <t>華經</t>
    <phoneticPr fontId="1" type="noConversion"/>
  </si>
  <si>
    <t>資通</t>
    <phoneticPr fontId="1" type="noConversion"/>
  </si>
  <si>
    <t>敦陽科</t>
    <phoneticPr fontId="1" type="noConversion"/>
  </si>
  <si>
    <t>零壹</t>
    <phoneticPr fontId="1" type="noConversion"/>
  </si>
  <si>
    <t>一零四</t>
    <phoneticPr fontId="1" type="noConversion"/>
  </si>
  <si>
    <t>傳奇</t>
    <phoneticPr fontId="1" type="noConversion"/>
  </si>
  <si>
    <t>聚碩</t>
    <phoneticPr fontId="1" type="noConversion"/>
  </si>
  <si>
    <t>關貿</t>
    <phoneticPr fontId="1" type="noConversion"/>
  </si>
  <si>
    <t>29</t>
    <phoneticPr fontId="1" type="noConversion"/>
  </si>
  <si>
    <t>文創</t>
    <phoneticPr fontId="1" type="noConversion"/>
  </si>
  <si>
    <t>昇華</t>
    <phoneticPr fontId="1" type="noConversion"/>
  </si>
  <si>
    <t>寬魚國際</t>
    <phoneticPr fontId="1" type="noConversion"/>
  </si>
  <si>
    <t>得利影</t>
    <phoneticPr fontId="1" type="noConversion"/>
  </si>
  <si>
    <t>弘煜科</t>
    <phoneticPr fontId="1" type="noConversion"/>
  </si>
  <si>
    <t>寬宏藝術</t>
    <phoneticPr fontId="1" type="noConversion"/>
  </si>
  <si>
    <t>三貝德</t>
    <phoneticPr fontId="1" type="noConversion"/>
  </si>
  <si>
    <t>時報</t>
    <phoneticPr fontId="1" type="noConversion"/>
  </si>
  <si>
    <t>琉園</t>
    <phoneticPr fontId="1" type="noConversion"/>
  </si>
  <si>
    <t>30</t>
    <phoneticPr fontId="1" type="noConversion"/>
  </si>
  <si>
    <t>尚凡</t>
    <phoneticPr fontId="1" type="noConversion"/>
  </si>
  <si>
    <t>夠麻吉</t>
    <phoneticPr fontId="1" type="noConversion"/>
  </si>
  <si>
    <t>創業家</t>
    <phoneticPr fontId="1" type="noConversion"/>
  </si>
  <si>
    <t>農科</t>
    <phoneticPr fontId="1" type="noConversion"/>
  </si>
  <si>
    <t>4171</t>
    <phoneticPr fontId="1" type="noConversion"/>
  </si>
  <si>
    <t>瑞基</t>
    <phoneticPr fontId="1" type="noConversion"/>
  </si>
  <si>
    <t>惠光</t>
    <phoneticPr fontId="1" type="noConversion"/>
  </si>
  <si>
    <t>加權</t>
    <phoneticPr fontId="1" type="noConversion"/>
  </si>
  <si>
    <t>上櫃</t>
    <phoneticPr fontId="1" type="noConversion"/>
  </si>
  <si>
    <t>電子通路</t>
    <phoneticPr fontId="1" type="noConversion"/>
  </si>
  <si>
    <t>PCB</t>
    <phoneticPr fontId="1" type="noConversion"/>
  </si>
  <si>
    <t>銅箔基板</t>
    <phoneticPr fontId="1" type="noConversion"/>
  </si>
  <si>
    <t>電池材料磷酸鐵鋰電池正極材料廠商</t>
    <phoneticPr fontId="1" type="noConversion"/>
  </si>
  <si>
    <t>泰碩</t>
    <phoneticPr fontId="1" type="noConversion"/>
  </si>
  <si>
    <t>工業電腦研華旗下</t>
    <phoneticPr fontId="1" type="noConversion"/>
  </si>
  <si>
    <t>PCB仁寶旗下</t>
    <phoneticPr fontId="1" type="noConversion"/>
  </si>
  <si>
    <t>6173</t>
    <phoneticPr fontId="1" type="noConversion"/>
  </si>
  <si>
    <t>軟板欣興,台表科轉投資</t>
    <phoneticPr fontId="1" type="noConversion"/>
  </si>
  <si>
    <t>8086</t>
    <phoneticPr fontId="1" type="noConversion"/>
  </si>
  <si>
    <t>2337</t>
    <phoneticPr fontId="1" type="noConversion"/>
  </si>
  <si>
    <t>4163</t>
    <phoneticPr fontId="1" type="noConversion"/>
  </si>
  <si>
    <t>手機晶片</t>
    <phoneticPr fontId="1" type="noConversion"/>
  </si>
  <si>
    <t>NB代工</t>
    <phoneticPr fontId="1" type="noConversion"/>
  </si>
  <si>
    <t>PCB玻纖布</t>
    <phoneticPr fontId="1" type="noConversion"/>
  </si>
  <si>
    <t>內部人</t>
    <phoneticPr fontId="1" type="noConversion"/>
  </si>
  <si>
    <t>ASUS Vi3</t>
    <phoneticPr fontId="1" type="noConversion"/>
  </si>
  <si>
    <t>Surface Pro</t>
    <phoneticPr fontId="1" type="noConversion"/>
  </si>
  <si>
    <t>ASUS Vi5</t>
    <phoneticPr fontId="1" type="noConversion"/>
  </si>
  <si>
    <t>封測華新旗下東芝轉投資</t>
    <phoneticPr fontId="1" type="noConversion"/>
  </si>
  <si>
    <t>南亞</t>
    <phoneticPr fontId="1" type="noConversion"/>
  </si>
  <si>
    <t>籌碼</t>
    <phoneticPr fontId="1" type="noConversion"/>
  </si>
  <si>
    <t>營益率</t>
    <phoneticPr fontId="1" type="noConversion"/>
  </si>
  <si>
    <t>1605</t>
    <phoneticPr fontId="1" type="noConversion"/>
  </si>
  <si>
    <t>昇陽半導體</t>
    <phoneticPr fontId="1" type="noConversion"/>
  </si>
  <si>
    <t>6147</t>
    <phoneticPr fontId="1" type="noConversion"/>
  </si>
  <si>
    <t>天鈺</t>
    <phoneticPr fontId="1" type="noConversion"/>
  </si>
  <si>
    <t>3265</t>
    <phoneticPr fontId="1" type="noConversion"/>
  </si>
  <si>
    <t>立衛</t>
    <phoneticPr fontId="1" type="noConversion"/>
  </si>
  <si>
    <t>6485</t>
    <phoneticPr fontId="1" type="noConversion"/>
  </si>
  <si>
    <t>均華</t>
    <phoneticPr fontId="1" type="noConversion"/>
  </si>
  <si>
    <t>興能高</t>
    <phoneticPr fontId="1" type="noConversion"/>
  </si>
  <si>
    <t>皇龍</t>
    <phoneticPr fontId="1" type="noConversion"/>
  </si>
  <si>
    <t>群翊</t>
    <phoneticPr fontId="1" type="noConversion"/>
  </si>
  <si>
    <t>尚茂</t>
    <phoneticPr fontId="1" type="noConversion"/>
  </si>
  <si>
    <t>聯合再生</t>
    <phoneticPr fontId="1" type="noConversion"/>
  </si>
  <si>
    <t>永崴投控</t>
    <phoneticPr fontId="1" type="noConversion"/>
  </si>
  <si>
    <t>美隆電</t>
    <phoneticPr fontId="1" type="noConversion"/>
  </si>
  <si>
    <t>中茂</t>
    <phoneticPr fontId="1" type="noConversion"/>
  </si>
  <si>
    <t>天正國際</t>
    <phoneticPr fontId="1" type="noConversion"/>
  </si>
  <si>
    <t>信紘科</t>
    <phoneticPr fontId="1" type="noConversion"/>
  </si>
  <si>
    <t>大拓KY</t>
    <phoneticPr fontId="1" type="noConversion"/>
  </si>
  <si>
    <t>全球傳動</t>
    <phoneticPr fontId="1" type="noConversion"/>
  </si>
  <si>
    <t>商億KY</t>
    <phoneticPr fontId="1" type="noConversion"/>
  </si>
  <si>
    <t>三發地產</t>
    <phoneticPr fontId="1" type="noConversion"/>
  </si>
  <si>
    <t>永信建</t>
    <phoneticPr fontId="1" type="noConversion"/>
  </si>
  <si>
    <t>科際精密</t>
    <phoneticPr fontId="1" type="noConversion"/>
  </si>
  <si>
    <t>DELL</t>
    <phoneticPr fontId="1" type="noConversion"/>
  </si>
  <si>
    <t>中揚光</t>
    <phoneticPr fontId="1" type="noConversion"/>
  </si>
  <si>
    <t>時碩工業</t>
    <phoneticPr fontId="1" type="noConversion"/>
  </si>
  <si>
    <t>精湛</t>
    <phoneticPr fontId="1" type="noConversion"/>
  </si>
  <si>
    <t>公準</t>
    <phoneticPr fontId="1" type="noConversion"/>
  </si>
  <si>
    <t>富50</t>
    <phoneticPr fontId="1" type="noConversion"/>
  </si>
  <si>
    <t>星寶國際</t>
    <phoneticPr fontId="1" type="noConversion"/>
  </si>
  <si>
    <t>高端疫苗</t>
    <phoneticPr fontId="1" type="noConversion"/>
  </si>
  <si>
    <t>基士德KY</t>
    <phoneticPr fontId="1" type="noConversion"/>
  </si>
  <si>
    <t>科定</t>
    <phoneticPr fontId="1" type="noConversion"/>
  </si>
  <si>
    <t>復盛應用</t>
    <phoneticPr fontId="1" type="noConversion"/>
  </si>
  <si>
    <t>三能KY</t>
    <phoneticPr fontId="1" type="noConversion"/>
  </si>
  <si>
    <t>百和興業KY</t>
    <phoneticPr fontId="1" type="noConversion"/>
  </si>
  <si>
    <t>美吉吉KY</t>
    <phoneticPr fontId="1" type="noConversion"/>
  </si>
  <si>
    <t>東哥遊艇</t>
    <phoneticPr fontId="1" type="noConversion"/>
  </si>
  <si>
    <t>鈺齊KY</t>
    <phoneticPr fontId="1" type="noConversion"/>
  </si>
  <si>
    <t>中聯資源</t>
    <phoneticPr fontId="1" type="noConversion"/>
  </si>
  <si>
    <t>捷必勝KY</t>
    <phoneticPr fontId="1" type="noConversion"/>
  </si>
  <si>
    <t>1.8GHZ</t>
    <phoneticPr fontId="1" type="noConversion"/>
  </si>
  <si>
    <t>家用</t>
    <phoneticPr fontId="1" type="noConversion"/>
  </si>
  <si>
    <t>1.7GHZ</t>
    <phoneticPr fontId="1" type="noConversion"/>
  </si>
  <si>
    <t>I5-3317U</t>
    <phoneticPr fontId="1" type="noConversion"/>
  </si>
  <si>
    <t>2.2GHZ</t>
    <phoneticPr fontId="1" type="noConversion"/>
  </si>
  <si>
    <t>專業</t>
    <phoneticPr fontId="1" type="noConversion"/>
  </si>
  <si>
    <t>大統新創</t>
    <phoneticPr fontId="1" type="noConversion"/>
  </si>
  <si>
    <t>飛寶企業</t>
    <phoneticPr fontId="1" type="noConversion"/>
  </si>
  <si>
    <t>ASUS NB17</t>
    <phoneticPr fontId="1" type="noConversion"/>
  </si>
  <si>
    <t>ASUS NB15</t>
    <phoneticPr fontId="1" type="noConversion"/>
  </si>
  <si>
    <t>PT N3540</t>
    <phoneticPr fontId="1" type="noConversion"/>
  </si>
  <si>
    <t>2.16GHZ</t>
    <phoneticPr fontId="1" type="noConversion"/>
  </si>
  <si>
    <t>家用</t>
    <phoneticPr fontId="1" type="noConversion"/>
  </si>
  <si>
    <t>I5-8400</t>
    <phoneticPr fontId="1" type="noConversion"/>
  </si>
  <si>
    <t>2.8GHZ</t>
    <phoneticPr fontId="1" type="noConversion"/>
  </si>
  <si>
    <t>金穎生技</t>
    <phoneticPr fontId="1" type="noConversion"/>
  </si>
  <si>
    <t>客思達KY</t>
    <phoneticPr fontId="1" type="noConversion"/>
  </si>
  <si>
    <t>嘉里大榮</t>
    <phoneticPr fontId="1" type="noConversion"/>
  </si>
  <si>
    <t>台灣高鐵</t>
    <phoneticPr fontId="1" type="noConversion"/>
  </si>
  <si>
    <t>艾美特KY</t>
    <phoneticPr fontId="1" type="noConversion"/>
  </si>
  <si>
    <t>三陽工業</t>
    <phoneticPr fontId="1" type="noConversion"/>
  </si>
  <si>
    <t>茂生農經</t>
    <phoneticPr fontId="1" type="noConversion"/>
  </si>
  <si>
    <t>達邦蛋白</t>
    <phoneticPr fontId="1" type="noConversion"/>
  </si>
  <si>
    <t>1</t>
    <phoneticPr fontId="1" type="noConversion"/>
  </si>
  <si>
    <t>4</t>
    <phoneticPr fontId="1" type="noConversion"/>
  </si>
  <si>
    <t>32</t>
    <phoneticPr fontId="1" type="noConversion"/>
  </si>
  <si>
    <t>上海商銀</t>
    <phoneticPr fontId="1" type="noConversion"/>
  </si>
  <si>
    <t>民營銀行</t>
    <phoneticPr fontId="1" type="noConversion"/>
  </si>
  <si>
    <t>judy珠珠</t>
    <phoneticPr fontId="1" type="noConversion"/>
  </si>
  <si>
    <t>1552571904</t>
    <phoneticPr fontId="1" type="noConversion"/>
  </si>
  <si>
    <t>judy54186755</t>
    <phoneticPr fontId="1" type="noConversion"/>
  </si>
  <si>
    <t>Angel Yun</t>
    <phoneticPr fontId="1" type="noConversion"/>
  </si>
  <si>
    <t>741695249</t>
    <phoneticPr fontId="1" type="noConversion"/>
  </si>
  <si>
    <t>yun54193806</t>
    <phoneticPr fontId="1" type="noConversion"/>
  </si>
  <si>
    <t>yuezhujudy@hotmail.com</t>
    <phoneticPr fontId="1" type="noConversion"/>
  </si>
  <si>
    <t>F130735049</t>
    <phoneticPr fontId="1" type="noConversion"/>
  </si>
  <si>
    <t>F221806528</t>
    <phoneticPr fontId="1" type="noConversion"/>
  </si>
  <si>
    <t>巴菲珠</t>
    <phoneticPr fontId="1" type="noConversion"/>
  </si>
  <si>
    <t>2940791032</t>
    <phoneticPr fontId="1" type="noConversion"/>
  </si>
  <si>
    <t>雪之戀</t>
    <phoneticPr fontId="1" type="noConversion"/>
  </si>
  <si>
    <t>971553601</t>
    <phoneticPr fontId="1" type="noConversion"/>
  </si>
  <si>
    <t>同花順繁體</t>
    <phoneticPr fontId="1" type="noConversion"/>
  </si>
  <si>
    <t>secretshop</t>
    <phoneticPr fontId="1" type="noConversion"/>
  </si>
  <si>
    <t>ju54186755</t>
    <phoneticPr fontId="1" type="noConversion"/>
  </si>
  <si>
    <t>13901788889</t>
    <phoneticPr fontId="1" type="noConversion"/>
  </si>
  <si>
    <t>碩博士論文</t>
    <phoneticPr fontId="1" type="noConversion"/>
  </si>
  <si>
    <t>judyyuezhu@hotmail.com</t>
    <phoneticPr fontId="1" type="noConversion"/>
  </si>
  <si>
    <t>電腦</t>
    <phoneticPr fontId="1" type="noConversion"/>
  </si>
  <si>
    <t>中型</t>
    <phoneticPr fontId="1" type="noConversion"/>
  </si>
  <si>
    <t>8G四核</t>
    <phoneticPr fontId="1" type="noConversion"/>
  </si>
  <si>
    <t>8G六核</t>
    <phoneticPr fontId="1" type="noConversion"/>
  </si>
  <si>
    <t>4G雙核</t>
    <phoneticPr fontId="1" type="noConversion"/>
  </si>
  <si>
    <t>法人</t>
    <phoneticPr fontId="1" type="noConversion"/>
  </si>
  <si>
    <t>I7-8700</t>
    <phoneticPr fontId="1" type="noConversion"/>
  </si>
  <si>
    <t>3.2GHZ</t>
    <phoneticPr fontId="1" type="noConversion"/>
  </si>
  <si>
    <t>I3-3217U</t>
    <phoneticPr fontId="1" type="noConversion"/>
  </si>
  <si>
    <t>8G雙核</t>
    <phoneticPr fontId="1" type="noConversion"/>
  </si>
  <si>
    <t>名稱</t>
    <phoneticPr fontId="1" type="noConversion"/>
  </si>
  <si>
    <t>賣出日期</t>
    <phoneticPr fontId="1" type="noConversion"/>
  </si>
  <si>
    <t>天數</t>
    <phoneticPr fontId="1" type="noConversion"/>
  </si>
  <si>
    <t>600EX-RT</t>
    <phoneticPr fontId="1" type="noConversion"/>
  </si>
  <si>
    <t>580EX II</t>
    <phoneticPr fontId="1" type="noConversion"/>
  </si>
  <si>
    <t>機器有BUG,TTL跳不回去ETTL,相機內設定或長按C.Fn菜單選擇</t>
    <phoneticPr fontId="1" type="noConversion"/>
  </si>
  <si>
    <t>430EX II</t>
    <phoneticPr fontId="1" type="noConversion"/>
  </si>
  <si>
    <t>只能在P檔進行ETTL</t>
    <phoneticPr fontId="1" type="noConversion"/>
  </si>
  <si>
    <t>EW-83H</t>
    <phoneticPr fontId="1" type="noConversion"/>
  </si>
  <si>
    <t>320EX</t>
    <phoneticPr fontId="1" type="noConversion"/>
  </si>
  <si>
    <t>ET-87</t>
    <phoneticPr fontId="1" type="noConversion"/>
  </si>
  <si>
    <t>90EX</t>
    <phoneticPr fontId="1" type="noConversion"/>
  </si>
  <si>
    <t>EW-78C</t>
    <phoneticPr fontId="1" type="noConversion"/>
  </si>
  <si>
    <t>ET-65III</t>
    <phoneticPr fontId="1" type="noConversion"/>
  </si>
  <si>
    <t>內閃在對焦時會一直頻閃是相機的輔助對焦功能，</t>
  </si>
  <si>
    <t>ET-73</t>
    <phoneticPr fontId="1" type="noConversion"/>
  </si>
  <si>
    <t>在昏暗場景發出頻閃光讓相機可以順利地自動對焦。</t>
  </si>
  <si>
    <t>ET-78II</t>
    <phoneticPr fontId="1" type="noConversion"/>
  </si>
  <si>
    <t>若不想要相機發出頻閃光，在相機 MENU 的「自訂功能設定]中可以將它關閉。</t>
  </si>
  <si>
    <t>C.Fn III -4 自動對焦輔助光閃光</t>
  </si>
  <si>
    <t>驅螞蟻</t>
    <phoneticPr fontId="1" type="noConversion"/>
  </si>
  <si>
    <t>驅蚊</t>
    <phoneticPr fontId="1" type="noConversion"/>
  </si>
  <si>
    <t>羅勒</t>
    <phoneticPr fontId="1" type="noConversion"/>
  </si>
  <si>
    <t>薄荷</t>
    <phoneticPr fontId="1" type="noConversion"/>
  </si>
  <si>
    <t>百里香</t>
    <phoneticPr fontId="1" type="noConversion"/>
  </si>
  <si>
    <t>驅蟲（綜合）</t>
    <phoneticPr fontId="1" type="noConversion"/>
  </si>
  <si>
    <t>防蚊木;崗松</t>
    <phoneticPr fontId="1" type="noConversion"/>
  </si>
  <si>
    <t>驅蟑螂</t>
    <phoneticPr fontId="1" type="noConversion"/>
  </si>
  <si>
    <t>檸檬桉;檸檬尤加利</t>
    <phoneticPr fontId="1" type="noConversion"/>
  </si>
  <si>
    <t>藍桉</t>
    <phoneticPr fontId="1" type="noConversion"/>
  </si>
  <si>
    <t>驅蟲</t>
    <phoneticPr fontId="1" type="noConversion"/>
  </si>
  <si>
    <t>驅蟲蠅</t>
    <phoneticPr fontId="1" type="noConversion"/>
  </si>
  <si>
    <t>檸檬天竺葵</t>
    <phoneticPr fontId="1" type="noConversion"/>
  </si>
  <si>
    <t>驅蠅</t>
    <phoneticPr fontId="1" type="noConversion"/>
  </si>
  <si>
    <t>刺芫荽</t>
    <phoneticPr fontId="1" type="noConversion"/>
  </si>
  <si>
    <t>驅蛇</t>
    <phoneticPr fontId="1" type="noConversion"/>
  </si>
  <si>
    <t>芸香</t>
    <phoneticPr fontId="1" type="noConversion"/>
  </si>
  <si>
    <t>魚腥草;蕺（ji）菜</t>
    <phoneticPr fontId="1" type="noConversion"/>
  </si>
  <si>
    <t>荊芥;貓穗草</t>
    <phoneticPr fontId="1" type="noConversion"/>
  </si>
  <si>
    <t>驅甲蟲跳蚤</t>
    <phoneticPr fontId="1" type="noConversion"/>
  </si>
  <si>
    <t>驅蛇鼠</t>
    <phoneticPr fontId="1" type="noConversion"/>
  </si>
  <si>
    <t>驅鼠</t>
    <phoneticPr fontId="1" type="noConversion"/>
  </si>
  <si>
    <t>缺點貓愛</t>
    <phoneticPr fontId="1" type="noConversion"/>
  </si>
  <si>
    <t>備註</t>
    <phoneticPr fontId="1" type="noConversion"/>
  </si>
  <si>
    <t>科西嘉薄荷</t>
    <phoneticPr fontId="1" type="noConversion"/>
  </si>
  <si>
    <t>驅跳蚤</t>
    <phoneticPr fontId="1" type="noConversion"/>
  </si>
  <si>
    <t>紫蘇</t>
    <phoneticPr fontId="1" type="noConversion"/>
  </si>
  <si>
    <t>艾草</t>
    <phoneticPr fontId="1" type="noConversion"/>
  </si>
  <si>
    <t>檸檬香茅;香水茅</t>
    <phoneticPr fontId="1" type="noConversion"/>
  </si>
  <si>
    <t>驅螞蟻白</t>
    <phoneticPr fontId="1" type="noConversion"/>
  </si>
  <si>
    <t>印加萬壽菊</t>
    <phoneticPr fontId="1" type="noConversion"/>
  </si>
  <si>
    <t>雜草殺手</t>
    <phoneticPr fontId="1" type="noConversion"/>
  </si>
  <si>
    <t>馬郁蘭</t>
    <phoneticPr fontId="1" type="noConversion"/>
  </si>
  <si>
    <t>金銀花</t>
    <phoneticPr fontId="1" type="noConversion"/>
  </si>
  <si>
    <t>制菌消毒</t>
    <phoneticPr fontId="1" type="noConversion"/>
  </si>
  <si>
    <t>迷迭香</t>
    <phoneticPr fontId="1" type="noConversion"/>
  </si>
  <si>
    <t>鼠尾草</t>
    <phoneticPr fontId="1" type="noConversion"/>
  </si>
  <si>
    <t>馬努卡</t>
    <phoneticPr fontId="1" type="noConversion"/>
  </si>
  <si>
    <t>薰衣草</t>
    <phoneticPr fontId="1" type="noConversion"/>
  </si>
  <si>
    <t>艾草;神仙草</t>
    <phoneticPr fontId="1" type="noConversion"/>
  </si>
  <si>
    <t>香草茶</t>
    <phoneticPr fontId="1" type="noConversion"/>
  </si>
  <si>
    <t>紫蘇;Perilla</t>
    <phoneticPr fontId="1" type="noConversion"/>
  </si>
  <si>
    <t>甜菊;Stevia</t>
    <phoneticPr fontId="1" type="noConversion"/>
  </si>
  <si>
    <t>迷迭香;Rosemary</t>
    <phoneticPr fontId="1" type="noConversion"/>
  </si>
  <si>
    <t>芳香萬壽菊;Lemon Mint Marigold</t>
    <phoneticPr fontId="1" type="noConversion"/>
  </si>
  <si>
    <t>德國甘菊;Annual Chamomile</t>
    <phoneticPr fontId="1" type="noConversion"/>
  </si>
  <si>
    <t>檸檬香茅;Lemon Grass</t>
    <phoneticPr fontId="1" type="noConversion"/>
  </si>
  <si>
    <t>馬郁蘭;Marjoram</t>
    <phoneticPr fontId="1" type="noConversion"/>
  </si>
  <si>
    <t>荊芥;貓穗草;Catnip</t>
    <phoneticPr fontId="1" type="noConversion"/>
  </si>
  <si>
    <t>玫瑰天竺葵;Rose Geranium</t>
    <phoneticPr fontId="1" type="noConversion"/>
  </si>
  <si>
    <t>香蜂草;Lemon Balm</t>
    <phoneticPr fontId="1" type="noConversion"/>
  </si>
  <si>
    <t>天使薔薇</t>
    <phoneticPr fontId="1" type="noConversion"/>
  </si>
  <si>
    <t>檸檬百里香;Lemon Thyme</t>
    <phoneticPr fontId="1" type="noConversion"/>
  </si>
  <si>
    <t>薄荷;Mint;歐洲人喜歡胡椒薄荷</t>
    <phoneticPr fontId="1" type="noConversion"/>
  </si>
  <si>
    <t>鳳梨鼠尾草;Pineapple Sage</t>
    <phoneticPr fontId="1" type="noConversion"/>
  </si>
  <si>
    <t>艾草;Mug wort</t>
    <phoneticPr fontId="1" type="noConversion"/>
  </si>
  <si>
    <t>雷公根;積雪草;蚶殼草;Gota kola</t>
    <phoneticPr fontId="1" type="noConversion"/>
  </si>
  <si>
    <t>小地榆;Burnet</t>
    <phoneticPr fontId="1" type="noConversion"/>
  </si>
  <si>
    <t>茴藿香;Anise Hyssop</t>
    <phoneticPr fontId="1" type="noConversion"/>
  </si>
  <si>
    <t>蜂香薄荷;Bergamot;佛手柑味,伯爵</t>
    <phoneticPr fontId="1" type="noConversion"/>
  </si>
  <si>
    <t>白鶴靈芝</t>
    <phoneticPr fontId="1" type="noConversion"/>
  </si>
  <si>
    <t>魚腥草</t>
    <phoneticPr fontId="1" type="noConversion"/>
  </si>
  <si>
    <t>七葉膽;五葉參;南方人參;絞股藍</t>
    <phoneticPr fontId="1" type="noConversion"/>
  </si>
  <si>
    <t>刺五加;西伯利亞人參</t>
    <phoneticPr fontId="1" type="noConversion"/>
  </si>
  <si>
    <t>仙草</t>
    <phoneticPr fontId="1" type="noConversion"/>
  </si>
  <si>
    <t>金銀花;忍冬;Soneysuckle</t>
    <phoneticPr fontId="1" type="noConversion"/>
  </si>
  <si>
    <t>薰衣草;Lavender;台灣1號狹葉特選</t>
    <phoneticPr fontId="1" type="noConversion"/>
  </si>
  <si>
    <t>已種植</t>
    <phoneticPr fontId="1" type="noConversion"/>
  </si>
  <si>
    <t>香花類</t>
    <phoneticPr fontId="1" type="noConversion"/>
  </si>
  <si>
    <t>桂花</t>
    <phoneticPr fontId="1" type="noConversion"/>
  </si>
  <si>
    <t>名稱</t>
    <phoneticPr fontId="1" type="noConversion"/>
  </si>
  <si>
    <t>數量</t>
    <phoneticPr fontId="1" type="noConversion"/>
  </si>
  <si>
    <t>玉蘭花</t>
    <phoneticPr fontId="1" type="noConversion"/>
  </si>
  <si>
    <t>香草類</t>
    <phoneticPr fontId="1" type="noConversion"/>
  </si>
  <si>
    <t>香茅</t>
    <phoneticPr fontId="1" type="noConversion"/>
  </si>
  <si>
    <t>檸檬桉</t>
    <phoneticPr fontId="1" type="noConversion"/>
  </si>
  <si>
    <t>綠咖喱樹;可因氏月橘;Curry leaf</t>
    <phoneticPr fontId="1" type="noConversion"/>
  </si>
  <si>
    <t>左手香（3種）</t>
    <phoneticPr fontId="1" type="noConversion"/>
  </si>
  <si>
    <t>檀香柏</t>
    <phoneticPr fontId="1" type="noConversion"/>
  </si>
  <si>
    <t>黃金扁柏</t>
    <phoneticPr fontId="1" type="noConversion"/>
  </si>
  <si>
    <t>龍柏</t>
    <phoneticPr fontId="1" type="noConversion"/>
  </si>
  <si>
    <t>水蜜桃（熱帶）</t>
    <phoneticPr fontId="1" type="noConversion"/>
  </si>
  <si>
    <t>棗子</t>
    <phoneticPr fontId="1" type="noConversion"/>
  </si>
  <si>
    <t>觀賞</t>
    <phoneticPr fontId="1" type="noConversion"/>
  </si>
  <si>
    <t>迷你椰子</t>
    <phoneticPr fontId="1" type="noConversion"/>
  </si>
  <si>
    <t>柏類樹材</t>
    <phoneticPr fontId="1" type="noConversion"/>
  </si>
  <si>
    <t>小葉紫檀</t>
    <phoneticPr fontId="1" type="noConversion"/>
  </si>
  <si>
    <t>七里香;月橘</t>
    <phoneticPr fontId="1" type="noConversion"/>
  </si>
  <si>
    <t>泰國南薑</t>
    <phoneticPr fontId="1" type="noConversion"/>
  </si>
  <si>
    <t>八仙山甜肉桂</t>
    <phoneticPr fontId="1" type="noConversion"/>
  </si>
  <si>
    <t>2018/2/10</t>
    <phoneticPr fontId="1" type="noConversion"/>
  </si>
  <si>
    <t>40公分</t>
    <phoneticPr fontId="1" type="noConversion"/>
  </si>
  <si>
    <t>鎂鈣肥20公斤115元</t>
    <phoneticPr fontId="1" type="noConversion"/>
  </si>
  <si>
    <t>酸性土壤改良聖品</t>
    <phoneticPr fontId="1" type="noConversion"/>
  </si>
  <si>
    <t>海南黃花梨</t>
    <phoneticPr fontId="1" type="noConversion"/>
  </si>
  <si>
    <t>金萱茶</t>
    <phoneticPr fontId="1" type="noConversion"/>
  </si>
  <si>
    <t>塔苔</t>
    <phoneticPr fontId="1" type="noConversion"/>
  </si>
  <si>
    <t>苔蘚植物名</t>
    <phoneticPr fontId="1" type="noConversion"/>
  </si>
  <si>
    <t>白髮苔</t>
    <phoneticPr fontId="1" type="noConversion"/>
  </si>
  <si>
    <t>三裂鞭蘚</t>
    <phoneticPr fontId="1" type="noConversion"/>
  </si>
  <si>
    <t>蔓苔</t>
    <phoneticPr fontId="1" type="noConversion"/>
  </si>
  <si>
    <t>叢苔科</t>
    <phoneticPr fontId="1" type="noConversion"/>
  </si>
  <si>
    <t>耳葉蘚</t>
    <phoneticPr fontId="1" type="noConversion"/>
  </si>
  <si>
    <t>苔類比較圓條直立形的，蘚類比較平鋪貼著它的生長基質</t>
    <phoneticPr fontId="1" type="noConversion"/>
  </si>
  <si>
    <t>全世界2萬3千多種，台灣1千3百多種（有7%是特有種）</t>
    <phoneticPr fontId="1" type="noConversion"/>
  </si>
  <si>
    <t>焰苔</t>
    <phoneticPr fontId="1" type="noConversion"/>
  </si>
  <si>
    <t>台灣地錢</t>
    <phoneticPr fontId="1" type="noConversion"/>
  </si>
  <si>
    <t>鞭蘚</t>
    <phoneticPr fontId="1" type="noConversion"/>
  </si>
  <si>
    <t>細鱗蘚科</t>
    <phoneticPr fontId="1" type="noConversion"/>
  </si>
  <si>
    <t>葉生薄鱗蘚</t>
    <phoneticPr fontId="1" type="noConversion"/>
  </si>
  <si>
    <t>金髮苔</t>
    <phoneticPr fontId="1" type="noConversion"/>
  </si>
  <si>
    <t>曲尾苔</t>
    <phoneticPr fontId="1" type="noConversion"/>
  </si>
  <si>
    <t>泥炭苔</t>
    <phoneticPr fontId="1" type="noConversion"/>
  </si>
  <si>
    <t>檜苔</t>
    <phoneticPr fontId="1" type="noConversion"/>
  </si>
  <si>
    <t>懸苔</t>
    <phoneticPr fontId="1" type="noConversion"/>
  </si>
  <si>
    <t>蛇蘚</t>
    <phoneticPr fontId="1" type="noConversion"/>
  </si>
  <si>
    <t>濕地苔</t>
    <phoneticPr fontId="1" type="noConversion"/>
  </si>
  <si>
    <t>真苔</t>
    <phoneticPr fontId="1" type="noConversion"/>
  </si>
  <si>
    <t>立碗苔</t>
    <phoneticPr fontId="1" type="noConversion"/>
  </si>
  <si>
    <t>平苔</t>
    <phoneticPr fontId="1" type="noConversion"/>
  </si>
  <si>
    <t>植物界中的小圓柏</t>
    <phoneticPr fontId="1" type="noConversion"/>
  </si>
  <si>
    <t>陋室銘：苔痕上階綠，草色入簾青</t>
    <phoneticPr fontId="1" type="noConversion"/>
  </si>
  <si>
    <t>3大族群，苔類、蘚類和角苔蘚，最原始的陸生植物（綠藻演化而來）</t>
    <phoneticPr fontId="1" type="noConversion"/>
  </si>
  <si>
    <t>檜葉白髮蘚;應用最多微景觀</t>
    <phoneticPr fontId="1" type="noConversion"/>
  </si>
  <si>
    <t>尖葉匍燈蘚;喜陰,園林綠化常用</t>
    <phoneticPr fontId="1" type="noConversion"/>
  </si>
  <si>
    <t>大灰蘚;喜陽,園林綠化常用</t>
    <phoneticPr fontId="1" type="noConversion"/>
  </si>
  <si>
    <t>大羽蘚;喜陰濕</t>
    <phoneticPr fontId="1" type="noConversion"/>
  </si>
  <si>
    <t>鳳尾蘚;喜陰濕;水分要求高,植物墻</t>
    <phoneticPr fontId="1" type="noConversion"/>
  </si>
  <si>
    <t>細葉小羽蘚;青苔,環境不利整體變黃</t>
    <phoneticPr fontId="1" type="noConversion"/>
  </si>
  <si>
    <t>粗枝青蘚;苔玉球,微景觀,水陸缸鋪面</t>
    <phoneticPr fontId="1" type="noConversion"/>
  </si>
  <si>
    <t>東亞砂蘚;喜高光見乾見濕,屋頂綠化</t>
    <phoneticPr fontId="1" type="noConversion"/>
  </si>
  <si>
    <t>溫室設備：遮光簾(電動),濕簾和風機,架子,育苗盆</t>
    <phoneticPr fontId="1" type="noConversion"/>
  </si>
  <si>
    <t>直立生長的苔蘚：分株繁殖</t>
    <phoneticPr fontId="1" type="noConversion"/>
  </si>
  <si>
    <t>匍匐生長的苔蘚：斷莖繁殖</t>
    <phoneticPr fontId="1" type="noConversion"/>
  </si>
  <si>
    <t>苔蘚喜歡偏酸性土壤,如泥炭土</t>
    <phoneticPr fontId="1" type="noConversion"/>
  </si>
  <si>
    <t>人工繁殖（熱帶和亞熱帶的品種）</t>
    <phoneticPr fontId="1" type="noConversion"/>
  </si>
  <si>
    <t>溫度高不超過30度,低不超過10度,濕度保持80%以上</t>
    <phoneticPr fontId="1" type="noConversion"/>
  </si>
  <si>
    <t>苔蘚變黃2個原因：一是新老交替,二是逆環境下,犧牲頂端,頂端變枯黃</t>
    <phoneticPr fontId="1" type="noConversion"/>
  </si>
  <si>
    <t>虎尾蘚</t>
    <phoneticPr fontId="1" type="noConversion"/>
  </si>
  <si>
    <t>粗葉白髮蘚</t>
    <phoneticPr fontId="1" type="noConversion"/>
  </si>
  <si>
    <t>小仙鶴蘚</t>
    <phoneticPr fontId="1" type="noConversion"/>
  </si>
  <si>
    <t>過濾層又叫隔離層：乾水苔也就是曬乾泥炭蘚（過濾水分防止土層沉澱,提高通氣作用）</t>
    <phoneticPr fontId="1" type="noConversion"/>
  </si>
  <si>
    <t>培土營養層：弱酸性,無粉層,不板結的泥炭土</t>
    <phoneticPr fontId="1" type="noConversion"/>
  </si>
  <si>
    <t>鋪面點綴層：鹿沼土（由下層火山土生成）</t>
    <phoneticPr fontId="1" type="noConversion"/>
  </si>
  <si>
    <t>直立形苔蘚：白髮蘚,翁苔蘚,山苔蘚</t>
    <phoneticPr fontId="1" type="noConversion"/>
  </si>
  <si>
    <t>狼尾蕨,銀線蕨,網紋草,羅漢松,袖珍椰子,花葉絡石,合果芋,紅網紋</t>
    <phoneticPr fontId="1" type="noConversion"/>
  </si>
  <si>
    <t>短植絨</t>
    <phoneticPr fontId="1" type="noConversion"/>
  </si>
  <si>
    <t>苔球盆栽（日文苔玉Kokedama）</t>
    <phoneticPr fontId="1" type="noConversion"/>
  </si>
  <si>
    <t>形態</t>
    <phoneticPr fontId="1" type="noConversion"/>
  </si>
  <si>
    <t>組合植栽型</t>
    <phoneticPr fontId="1" type="noConversion"/>
  </si>
  <si>
    <t>35公分</t>
    <phoneticPr fontId="1" type="noConversion"/>
  </si>
  <si>
    <t>高殖</t>
    <phoneticPr fontId="1" type="noConversion"/>
  </si>
  <si>
    <t>樹形創作技巧</t>
    <phoneticPr fontId="1" type="noConversion"/>
  </si>
  <si>
    <t>模樣木型</t>
    <phoneticPr fontId="1" type="noConversion"/>
  </si>
  <si>
    <t>王道的樹型</t>
    <phoneticPr fontId="1" type="noConversion"/>
  </si>
  <si>
    <t>直幹型</t>
    <phoneticPr fontId="1" type="noConversion"/>
  </si>
  <si>
    <t>原生林的針葉樹形態</t>
    <phoneticPr fontId="1" type="noConversion"/>
  </si>
  <si>
    <t>斜幹型</t>
    <phoneticPr fontId="1" type="noConversion"/>
  </si>
  <si>
    <t>樹木往空間中伸展的姿態</t>
    <phoneticPr fontId="1" type="noConversion"/>
  </si>
  <si>
    <t>雙幹型</t>
    <phoneticPr fontId="1" type="noConversion"/>
  </si>
  <si>
    <t>相依相偎一起生長的親子主幹</t>
    <phoneticPr fontId="1" type="noConversion"/>
  </si>
  <si>
    <t>叢生型</t>
    <phoneticPr fontId="1" type="noConversion"/>
  </si>
  <si>
    <t>一棵樹木分出枝幹後形成森林</t>
    <phoneticPr fontId="1" type="noConversion"/>
  </si>
  <si>
    <t>由樹梢上灑落的和煦陽光</t>
    <phoneticPr fontId="1" type="noConversion"/>
  </si>
  <si>
    <t>懸崖型</t>
    <phoneticPr fontId="1" type="noConversion"/>
  </si>
  <si>
    <t>不畏逆境,謳歌生命</t>
    <phoneticPr fontId="1" type="noConversion"/>
  </si>
  <si>
    <t>風飄型</t>
    <phoneticPr fontId="1" type="noConversion"/>
  </si>
  <si>
    <t>不畏風吹堅強生存</t>
    <phoneticPr fontId="1" type="noConversion"/>
  </si>
  <si>
    <t>姿態溫文爾雅的樹形</t>
    <phoneticPr fontId="1" type="noConversion"/>
  </si>
  <si>
    <t>文人型</t>
    <phoneticPr fontId="1" type="noConversion"/>
  </si>
  <si>
    <t>纖細主幹,翩翩起舞般樹形</t>
    <phoneticPr fontId="1" type="noConversion"/>
  </si>
  <si>
    <t>松柏類</t>
    <phoneticPr fontId="1" type="noConversion"/>
  </si>
  <si>
    <t>五葉松</t>
    <phoneticPr fontId="1" type="noConversion"/>
  </si>
  <si>
    <t>黑松</t>
    <phoneticPr fontId="1" type="noConversion"/>
  </si>
  <si>
    <t>赤松</t>
    <phoneticPr fontId="1" type="noConversion"/>
  </si>
  <si>
    <t>真柏(圓柏的變種)</t>
    <phoneticPr fontId="1" type="noConversion"/>
  </si>
  <si>
    <t>魚鱗雲杉</t>
    <phoneticPr fontId="1" type="noConversion"/>
  </si>
  <si>
    <t>杜松</t>
    <phoneticPr fontId="1" type="noConversion"/>
  </si>
  <si>
    <t>杉木</t>
    <phoneticPr fontId="1" type="noConversion"/>
  </si>
  <si>
    <t>檜木</t>
    <phoneticPr fontId="1" type="noConversion"/>
  </si>
  <si>
    <t>紅豆杉</t>
    <phoneticPr fontId="1" type="noConversion"/>
  </si>
  <si>
    <t>雜木類</t>
    <phoneticPr fontId="1" type="noConversion"/>
  </si>
  <si>
    <t>日本紫莖</t>
    <phoneticPr fontId="1" type="noConversion"/>
  </si>
  <si>
    <t>鵝耳櫪</t>
    <phoneticPr fontId="1" type="noConversion"/>
  </si>
  <si>
    <t>野漆樹</t>
    <phoneticPr fontId="1" type="noConversion"/>
  </si>
  <si>
    <t>枹櫟</t>
    <phoneticPr fontId="1" type="noConversion"/>
  </si>
  <si>
    <t>班葉絡石</t>
    <phoneticPr fontId="1" type="noConversion"/>
  </si>
  <si>
    <t>花卉類</t>
    <phoneticPr fontId="1" type="noConversion"/>
  </si>
  <si>
    <t>梅花</t>
    <phoneticPr fontId="1" type="noConversion"/>
  </si>
  <si>
    <t>櫻花</t>
    <phoneticPr fontId="1" type="noConversion"/>
  </si>
  <si>
    <t>茶花</t>
    <phoneticPr fontId="1" type="noConversion"/>
  </si>
  <si>
    <t>長壽梅</t>
    <phoneticPr fontId="1" type="noConversion"/>
  </si>
  <si>
    <t>連翹</t>
    <phoneticPr fontId="1" type="noConversion"/>
  </si>
  <si>
    <t>條通樹;木五倍子</t>
    <phoneticPr fontId="1" type="noConversion"/>
  </si>
  <si>
    <t>果實類</t>
    <phoneticPr fontId="1" type="noConversion"/>
  </si>
  <si>
    <t>落霜紅</t>
    <phoneticPr fontId="1" type="noConversion"/>
  </si>
  <si>
    <t>小葉石楠</t>
    <phoneticPr fontId="1" type="noConversion"/>
  </si>
  <si>
    <t>山橘</t>
    <phoneticPr fontId="1" type="noConversion"/>
  </si>
  <si>
    <t>梔子花</t>
    <phoneticPr fontId="1" type="noConversion"/>
  </si>
  <si>
    <t>紫珠</t>
    <phoneticPr fontId="1" type="noConversion"/>
  </si>
  <si>
    <t>山楂</t>
    <phoneticPr fontId="1" type="noConversion"/>
  </si>
  <si>
    <t>海棠果</t>
    <phoneticPr fontId="1" type="noConversion"/>
  </si>
  <si>
    <t>土檸檬</t>
    <phoneticPr fontId="1" type="noConversion"/>
  </si>
  <si>
    <t>法國龍艾</t>
    <phoneticPr fontId="1" type="noConversion"/>
  </si>
  <si>
    <t>檸檬百里香</t>
    <phoneticPr fontId="1" type="noConversion"/>
  </si>
  <si>
    <t>芳香萬壽菊</t>
    <phoneticPr fontId="1" type="noConversion"/>
  </si>
  <si>
    <t>貓穗草</t>
    <phoneticPr fontId="1" type="noConversion"/>
  </si>
  <si>
    <t>奧勒岡</t>
    <phoneticPr fontId="1" type="noConversion"/>
  </si>
  <si>
    <t>鳳梨鼠尾草</t>
    <phoneticPr fontId="1" type="noConversion"/>
  </si>
  <si>
    <t>檸檬馬鞭草</t>
    <phoneticPr fontId="1" type="noConversion"/>
  </si>
  <si>
    <t>枸杞</t>
    <phoneticPr fontId="1" type="noConversion"/>
  </si>
  <si>
    <t>薄荷</t>
    <phoneticPr fontId="1" type="noConversion"/>
  </si>
  <si>
    <t>月桂</t>
    <phoneticPr fontId="1" type="noConversion"/>
  </si>
  <si>
    <t>白鶴靈芝</t>
    <phoneticPr fontId="1" type="noConversion"/>
  </si>
  <si>
    <t>絞股藍</t>
    <phoneticPr fontId="1" type="noConversion"/>
  </si>
  <si>
    <t>蜂香薄荷</t>
    <phoneticPr fontId="1" type="noConversion"/>
  </si>
  <si>
    <t>冬季薄荷</t>
    <phoneticPr fontId="1" type="noConversion"/>
  </si>
  <si>
    <t>胡椒薄荷</t>
    <phoneticPr fontId="1" type="noConversion"/>
  </si>
  <si>
    <t>馬蜂橙</t>
    <phoneticPr fontId="1" type="noConversion"/>
  </si>
  <si>
    <t>葡萄柚薄荷</t>
    <phoneticPr fontId="1" type="noConversion"/>
  </si>
  <si>
    <t>資科</t>
    <phoneticPr fontId="1" type="noConversion"/>
  </si>
  <si>
    <t>摩台</t>
    <phoneticPr fontId="1" type="noConversion"/>
  </si>
  <si>
    <t>長科</t>
    <phoneticPr fontId="1" type="noConversion"/>
  </si>
  <si>
    <t>買賣價</t>
    <phoneticPr fontId="1" type="noConversion"/>
  </si>
  <si>
    <t>買進日期</t>
    <phoneticPr fontId="1" type="noConversion"/>
  </si>
  <si>
    <t>4927</t>
    <phoneticPr fontId="1" type="noConversion"/>
  </si>
  <si>
    <t>多媒體IC設計</t>
    <phoneticPr fontId="1" type="noConversion"/>
  </si>
  <si>
    <t>甜萬壽菊（墨西哥龍艾）</t>
    <phoneticPr fontId="1" type="noConversion"/>
  </si>
  <si>
    <t>一珠</t>
    <phoneticPr fontId="1" type="noConversion"/>
  </si>
  <si>
    <t>南斌</t>
    <phoneticPr fontId="1" type="noConversion"/>
  </si>
  <si>
    <t>4919</t>
    <phoneticPr fontId="1" type="noConversion"/>
  </si>
  <si>
    <t>二極體橋式整流器製造商</t>
    <phoneticPr fontId="1" type="noConversion"/>
  </si>
  <si>
    <t>不見長黑不落底</t>
    <phoneticPr fontId="1" type="noConversion"/>
  </si>
  <si>
    <t>石英元件日本大真空轉投資</t>
    <phoneticPr fontId="1" type="noConversion"/>
  </si>
  <si>
    <t>石英震蕩器</t>
    <phoneticPr fontId="1" type="noConversion"/>
  </si>
  <si>
    <t>8G四核</t>
    <phoneticPr fontId="1" type="noConversion"/>
  </si>
  <si>
    <t>4G四核</t>
    <phoneticPr fontId="1" type="noConversion"/>
  </si>
  <si>
    <t>EG遠東旗下</t>
    <phoneticPr fontId="1" type="noConversion"/>
  </si>
  <si>
    <t>多角化經營</t>
    <phoneticPr fontId="1" type="noConversion"/>
  </si>
  <si>
    <t>NISSAN裕隆集團</t>
    <phoneticPr fontId="1" type="noConversion"/>
  </si>
  <si>
    <t>記憶體模組</t>
    <phoneticPr fontId="1" type="noConversion"/>
  </si>
  <si>
    <t>環保控股中鼎旗下</t>
    <phoneticPr fontId="1" type="noConversion"/>
  </si>
  <si>
    <t>髮飾梳鏡</t>
    <phoneticPr fontId="1" type="noConversion"/>
  </si>
  <si>
    <t>唱片歌手經紀人</t>
    <phoneticPr fontId="1" type="noConversion"/>
  </si>
  <si>
    <t>窗簾</t>
    <phoneticPr fontId="1" type="noConversion"/>
  </si>
  <si>
    <t>羽絨</t>
    <phoneticPr fontId="1" type="noConversion"/>
  </si>
  <si>
    <t>運動鞋</t>
    <phoneticPr fontId="1" type="noConversion"/>
  </si>
  <si>
    <t>房仲</t>
    <phoneticPr fontId="1" type="noConversion"/>
  </si>
  <si>
    <t>營建霖園旗下</t>
    <phoneticPr fontId="1" type="noConversion"/>
  </si>
  <si>
    <t>高速鐵路</t>
    <phoneticPr fontId="1" type="noConversion"/>
  </si>
  <si>
    <t>記憶體任天堂</t>
    <phoneticPr fontId="1" type="noConversion"/>
  </si>
  <si>
    <t>電池材料中鋼旗下</t>
    <phoneticPr fontId="1" type="noConversion"/>
  </si>
  <si>
    <t>不鏽鋼管全美大</t>
    <phoneticPr fontId="1" type="noConversion"/>
  </si>
  <si>
    <t>記憶體華新旗下</t>
    <phoneticPr fontId="1" type="noConversion"/>
  </si>
  <si>
    <t>飛機發動機機匣</t>
    <phoneticPr fontId="1" type="noConversion"/>
  </si>
  <si>
    <t>中纖大股東</t>
    <phoneticPr fontId="1" type="noConversion"/>
  </si>
  <si>
    <t>公股銀行</t>
    <phoneticPr fontId="1" type="noConversion"/>
  </si>
  <si>
    <t>林榮三三重幫大股東</t>
    <phoneticPr fontId="1" type="noConversion"/>
  </si>
  <si>
    <t>遠東集團旗下</t>
    <phoneticPr fontId="1" type="noConversion"/>
  </si>
  <si>
    <t>統一集團旗下</t>
    <phoneticPr fontId="1" type="noConversion"/>
  </si>
  <si>
    <t>元大寶來證劵台大</t>
    <phoneticPr fontId="1" type="noConversion"/>
  </si>
  <si>
    <t>半導體設備鴻海旗下</t>
    <phoneticPr fontId="1" type="noConversion"/>
  </si>
  <si>
    <t>電磁閥</t>
    <phoneticPr fontId="1" type="noConversion"/>
  </si>
  <si>
    <t>自動化設備</t>
    <phoneticPr fontId="1" type="noConversion"/>
  </si>
  <si>
    <t>電源管理IC</t>
    <phoneticPr fontId="1" type="noConversion"/>
  </si>
  <si>
    <t>期貨台大</t>
    <phoneticPr fontId="1" type="noConversion"/>
  </si>
  <si>
    <t>期貨台前4</t>
    <phoneticPr fontId="1" type="noConversion"/>
  </si>
  <si>
    <t>UPS</t>
    <phoneticPr fontId="1" type="noConversion"/>
  </si>
  <si>
    <t>指紋辨識宏碁投資</t>
    <phoneticPr fontId="1" type="noConversion"/>
  </si>
  <si>
    <t>晶圓測試中華電旗下</t>
    <phoneticPr fontId="1" type="noConversion"/>
  </si>
  <si>
    <t>砷化鎵晶圓全前3</t>
    <phoneticPr fontId="1" type="noConversion"/>
  </si>
  <si>
    <t>無塵室</t>
    <phoneticPr fontId="1" type="noConversion"/>
  </si>
  <si>
    <t>南山人壽</t>
    <phoneticPr fontId="1" type="noConversion"/>
  </si>
  <si>
    <t>醣質標靶尖端醫投資</t>
    <phoneticPr fontId="1" type="noConversion"/>
  </si>
  <si>
    <t>運動服</t>
    <phoneticPr fontId="1" type="noConversion"/>
  </si>
  <si>
    <t>醫療廢棄物潤泰旗下</t>
    <phoneticPr fontId="1" type="noConversion"/>
  </si>
  <si>
    <t>銀行證券投信永豐餘旗下</t>
    <phoneticPr fontId="1" type="noConversion"/>
  </si>
  <si>
    <t>新光人壽前5大新光旗下</t>
    <phoneticPr fontId="1" type="noConversion"/>
  </si>
  <si>
    <t>自動化設備鴻海旗下</t>
    <phoneticPr fontId="1" type="noConversion"/>
  </si>
  <si>
    <t>晶圓代工台積電旗下</t>
    <phoneticPr fontId="1" type="noConversion"/>
  </si>
  <si>
    <t>晶圓代工華新麗華旗下</t>
    <phoneticPr fontId="1" type="noConversion"/>
  </si>
  <si>
    <t>頭部特征就是專殺權值股，用中小型貼補點數</t>
    <phoneticPr fontId="1" type="noConversion"/>
  </si>
  <si>
    <t>上市28類</t>
    <phoneticPr fontId="1" type="noConversion"/>
  </si>
  <si>
    <t>上櫃18類</t>
    <phoneticPr fontId="1" type="noConversion"/>
  </si>
  <si>
    <t>機上盒單晶片</t>
    <phoneticPr fontId="1" type="noConversion"/>
  </si>
  <si>
    <t>7.14</t>
    <phoneticPr fontId="1" type="noConversion"/>
  </si>
  <si>
    <t>銅箔基板全前10</t>
    <phoneticPr fontId="1" type="noConversion"/>
  </si>
  <si>
    <t>大戶</t>
    <phoneticPr fontId="1" type="noConversion"/>
  </si>
  <si>
    <t>44.81</t>
    <phoneticPr fontId="1" type="noConversion"/>
  </si>
  <si>
    <t>南珠</t>
    <phoneticPr fontId="1" type="noConversion"/>
  </si>
  <si>
    <t>2019年7月</t>
    <phoneticPr fontId="1" type="noConversion"/>
  </si>
  <si>
    <t>零股價</t>
    <phoneticPr fontId="1" type="noConversion"/>
  </si>
  <si>
    <t>零股數</t>
    <phoneticPr fontId="1" type="noConversion"/>
  </si>
  <si>
    <t>收益</t>
    <phoneticPr fontId="1" type="noConversion"/>
  </si>
  <si>
    <t>日期</t>
    <phoneticPr fontId="1" type="noConversion"/>
  </si>
  <si>
    <t>賣出價</t>
    <phoneticPr fontId="1" type="noConversion"/>
  </si>
  <si>
    <t>買進價</t>
    <phoneticPr fontId="1" type="noConversion"/>
  </si>
  <si>
    <t>損益率</t>
    <phoneticPr fontId="1" type="noConversion"/>
  </si>
  <si>
    <t>總金額</t>
    <phoneticPr fontId="1" type="noConversion"/>
  </si>
  <si>
    <t>零股交易</t>
    <phoneticPr fontId="1" type="noConversion"/>
  </si>
  <si>
    <t>41.53</t>
    <phoneticPr fontId="1" type="noConversion"/>
  </si>
  <si>
    <t>17.07</t>
    <phoneticPr fontId="1" type="noConversion"/>
  </si>
  <si>
    <t>20.32</t>
    <phoneticPr fontId="1" type="noConversion"/>
  </si>
  <si>
    <t>2.59</t>
    <phoneticPr fontId="1" type="noConversion"/>
  </si>
  <si>
    <t>6.20</t>
    <phoneticPr fontId="1" type="noConversion"/>
  </si>
  <si>
    <t>2019全年</t>
    <phoneticPr fontId="1" type="noConversion"/>
  </si>
  <si>
    <t>6.58</t>
    <phoneticPr fontId="1" type="noConversion"/>
  </si>
  <si>
    <t>上市</t>
    <phoneticPr fontId="1" type="noConversion"/>
  </si>
  <si>
    <t>指數</t>
    <phoneticPr fontId="1" type="noConversion"/>
  </si>
  <si>
    <t>2.34</t>
    <phoneticPr fontId="1" type="noConversion"/>
  </si>
  <si>
    <t>9.82</t>
    <phoneticPr fontId="1" type="noConversion"/>
  </si>
  <si>
    <t>4.73</t>
    <phoneticPr fontId="1" type="noConversion"/>
  </si>
  <si>
    <t>2.67</t>
    <phoneticPr fontId="1" type="noConversion"/>
  </si>
  <si>
    <t>3.39</t>
    <phoneticPr fontId="1" type="noConversion"/>
  </si>
  <si>
    <t>4.79</t>
    <phoneticPr fontId="1" type="noConversion"/>
  </si>
  <si>
    <t>7.42</t>
    <phoneticPr fontId="1" type="noConversion"/>
  </si>
  <si>
    <t>7.2</t>
    <phoneticPr fontId="1" type="noConversion"/>
  </si>
  <si>
    <t>2019年8月</t>
    <phoneticPr fontId="1" type="noConversion"/>
  </si>
  <si>
    <t>2019年9月</t>
    <phoneticPr fontId="1" type="noConversion"/>
  </si>
  <si>
    <t>2019年10月</t>
    <phoneticPr fontId="1" type="noConversion"/>
  </si>
  <si>
    <t>2019年11月</t>
    <phoneticPr fontId="1" type="noConversion"/>
  </si>
  <si>
    <t>2019年12月</t>
    <phoneticPr fontId="1" type="noConversion"/>
  </si>
  <si>
    <t>8.33</t>
    <phoneticPr fontId="1" type="noConversion"/>
  </si>
  <si>
    <t>0.94</t>
    <phoneticPr fontId="1" type="noConversion"/>
  </si>
  <si>
    <t>3.84</t>
    <phoneticPr fontId="1" type="noConversion"/>
  </si>
  <si>
    <t>3.58</t>
    <phoneticPr fontId="1" type="noConversion"/>
  </si>
  <si>
    <t>3.51</t>
    <phoneticPr fontId="1" type="noConversion"/>
  </si>
  <si>
    <t>8.55</t>
    <phoneticPr fontId="1" type="noConversion"/>
  </si>
  <si>
    <t>12.5</t>
    <phoneticPr fontId="1" type="noConversion"/>
  </si>
  <si>
    <t>投報率</t>
    <phoneticPr fontId="1" type="noConversion"/>
  </si>
  <si>
    <t>sp500反</t>
    <phoneticPr fontId="1" type="noConversion"/>
  </si>
  <si>
    <t>7.22</t>
    <phoneticPr fontId="1" type="noConversion"/>
  </si>
  <si>
    <t>元珠</t>
    <phoneticPr fontId="1" type="noConversion"/>
  </si>
  <si>
    <t>2.55</t>
    <phoneticPr fontId="1" type="noConversion"/>
  </si>
  <si>
    <t>9.15</t>
    <phoneticPr fontId="1" type="noConversion"/>
  </si>
  <si>
    <t>財報公佈</t>
    <phoneticPr fontId="1" type="noConversion"/>
  </si>
  <si>
    <t>DELL 3470</t>
    <phoneticPr fontId="1" type="noConversion"/>
  </si>
  <si>
    <t>I5-6400T</t>
    <phoneticPr fontId="1" type="noConversion"/>
  </si>
  <si>
    <t>3.2</t>
    <phoneticPr fontId="1" type="noConversion"/>
  </si>
  <si>
    <t>0</t>
    <phoneticPr fontId="1" type="noConversion"/>
  </si>
  <si>
    <t>騰輝電子KY</t>
    <phoneticPr fontId="1" type="noConversion"/>
  </si>
  <si>
    <t>2</t>
    <phoneticPr fontId="1" type="noConversion"/>
  </si>
  <si>
    <t>三商銀之一</t>
    <phoneticPr fontId="1" type="noConversion"/>
  </si>
  <si>
    <t>繪圖卡</t>
    <phoneticPr fontId="1" type="noConversion"/>
  </si>
  <si>
    <t>大眾集團控股公司</t>
    <phoneticPr fontId="1" type="noConversion"/>
  </si>
  <si>
    <t>工業電腦鴻海轉投資,旗下沅聖,瑞祺電</t>
    <phoneticPr fontId="1" type="noConversion"/>
  </si>
  <si>
    <t>風扇散熱導管廠商</t>
    <phoneticPr fontId="1" type="noConversion"/>
  </si>
  <si>
    <t>顯示器車載娛樂系統和OEM自行車花鼓零件製造商</t>
    <phoneticPr fontId="1" type="noConversion"/>
  </si>
  <si>
    <t>PCB自動化設備供應商</t>
    <phoneticPr fontId="1" type="noConversion"/>
  </si>
  <si>
    <t>滾珠螺桿</t>
    <phoneticPr fontId="1" type="noConversion"/>
  </si>
  <si>
    <t>網通代理服務</t>
    <phoneticPr fontId="1" type="noConversion"/>
  </si>
  <si>
    <t>洗腎相關儀器耗材代理商</t>
    <phoneticPr fontId="1" type="noConversion"/>
  </si>
  <si>
    <t>血糖儀血糖試片居家醫療器材廠</t>
    <phoneticPr fontId="1" type="noConversion"/>
  </si>
  <si>
    <t>微脂體技術研發新藥廠商</t>
    <phoneticPr fontId="1" type="noConversion"/>
  </si>
  <si>
    <t>紅血球增生癥藥物研發商</t>
    <phoneticPr fontId="1" type="noConversion"/>
  </si>
  <si>
    <t>改良劑新藥研發</t>
    <phoneticPr fontId="1" type="noConversion"/>
  </si>
  <si>
    <t>抗癌新藥特殊原料藥研發商</t>
    <phoneticPr fontId="1" type="noConversion"/>
  </si>
  <si>
    <t>男性西服裕隆旗下</t>
    <phoneticPr fontId="1" type="noConversion"/>
  </si>
  <si>
    <t>毛條</t>
    <phoneticPr fontId="1" type="noConversion"/>
  </si>
  <si>
    <t>棉紡</t>
    <phoneticPr fontId="1" type="noConversion"/>
  </si>
  <si>
    <t>加工絲</t>
    <phoneticPr fontId="1" type="noConversion"/>
  </si>
  <si>
    <t>長織布廠</t>
    <phoneticPr fontId="1" type="noConversion"/>
  </si>
  <si>
    <t>尼龍長織布廠</t>
    <phoneticPr fontId="1" type="noConversion"/>
  </si>
  <si>
    <t>3D立體織物</t>
    <phoneticPr fontId="1" type="noConversion"/>
  </si>
  <si>
    <t>肥料純鹼大廠</t>
    <phoneticPr fontId="1" type="noConversion"/>
  </si>
  <si>
    <t>烷化品大廠唯一氫化石油樹脂</t>
    <phoneticPr fontId="1" type="noConversion"/>
  </si>
  <si>
    <t>蘋果西打</t>
    <phoneticPr fontId="1" type="noConversion"/>
  </si>
  <si>
    <t>飲料罐頭</t>
    <phoneticPr fontId="1" type="noConversion"/>
  </si>
  <si>
    <t>嬰幼童服飾</t>
    <phoneticPr fontId="1" type="noConversion"/>
  </si>
  <si>
    <t>陸運加油站營建飯店業務</t>
    <phoneticPr fontId="1" type="noConversion"/>
  </si>
  <si>
    <t>輕型散裝船</t>
    <phoneticPr fontId="1" type="noConversion"/>
  </si>
  <si>
    <t>航空貨運海運報關業務承攬物流業者</t>
    <phoneticPr fontId="1" type="noConversion"/>
  </si>
  <si>
    <t>建商市地重畫</t>
    <phoneticPr fontId="1" type="noConversion"/>
  </si>
  <si>
    <t>建商寶徠花園廣場</t>
    <phoneticPr fontId="1" type="noConversion"/>
  </si>
  <si>
    <t>建設百貨休閒</t>
    <phoneticPr fontId="1" type="noConversion"/>
  </si>
  <si>
    <t>建商大台北</t>
    <phoneticPr fontId="1" type="noConversion"/>
  </si>
  <si>
    <t>建商統一旗下</t>
    <phoneticPr fontId="1" type="noConversion"/>
  </si>
  <si>
    <t>建築工程廠商威京旗下</t>
    <phoneticPr fontId="1" type="noConversion"/>
  </si>
  <si>
    <t>營造商承攬公共工程</t>
    <phoneticPr fontId="1" type="noConversion"/>
  </si>
  <si>
    <t>建商日月光旗下</t>
    <phoneticPr fontId="1" type="noConversion"/>
  </si>
  <si>
    <t>工程整合服務廠商</t>
    <phoneticPr fontId="1" type="noConversion"/>
  </si>
  <si>
    <t>仰德旗下建設飯店文創經營</t>
    <phoneticPr fontId="1" type="noConversion"/>
  </si>
  <si>
    <t>旅行社</t>
    <phoneticPr fontId="1" type="noConversion"/>
  </si>
  <si>
    <t>資安</t>
    <phoneticPr fontId="1" type="noConversion"/>
  </si>
  <si>
    <t>出版社</t>
    <phoneticPr fontId="1" type="noConversion"/>
  </si>
  <si>
    <t>交友社群網站台灣最大愛情公寓</t>
    <phoneticPr fontId="1" type="noConversion"/>
  </si>
  <si>
    <t>產險業歷史最悠久</t>
    <phoneticPr fontId="1" type="noConversion"/>
  </si>
  <si>
    <t>隆力集團入主中小型銀行</t>
    <phoneticPr fontId="1" type="noConversion"/>
  </si>
  <si>
    <t>新光集團旗下前3大產險公司</t>
    <phoneticPr fontId="1" type="noConversion"/>
  </si>
  <si>
    <t>前10大產險公司</t>
    <phoneticPr fontId="1" type="noConversion"/>
  </si>
  <si>
    <t>3</t>
    <phoneticPr fontId="1" type="noConversion"/>
  </si>
  <si>
    <t>山頂上玩有誰能贏，底部進場不贏也難（魚頭菜販策略）</t>
    <phoneticPr fontId="1" type="noConversion"/>
  </si>
  <si>
    <t>-7.74</t>
    <phoneticPr fontId="1" type="noConversion"/>
  </si>
  <si>
    <t>8.42</t>
    <phoneticPr fontId="1" type="noConversion"/>
  </si>
  <si>
    <t>12.7</t>
    <phoneticPr fontId="1" type="noConversion"/>
  </si>
  <si>
    <t>DELL 3670</t>
    <phoneticPr fontId="1" type="noConversion"/>
  </si>
  <si>
    <t>I7-9700</t>
    <phoneticPr fontId="1" type="noConversion"/>
  </si>
  <si>
    <t>12G八核</t>
    <phoneticPr fontId="1" type="noConversion"/>
  </si>
  <si>
    <t>PCHOME</t>
    <phoneticPr fontId="1" type="noConversion"/>
  </si>
  <si>
    <t>secretshop@163.com</t>
    <phoneticPr fontId="1" type="noConversion"/>
  </si>
  <si>
    <t>04280428</t>
    <phoneticPr fontId="1" type="noConversion"/>
  </si>
  <si>
    <t>家中網路</t>
    <phoneticPr fontId="1" type="noConversion"/>
  </si>
  <si>
    <t>9033bin</t>
    <phoneticPr fontId="1" type="noConversion"/>
  </si>
  <si>
    <t>03180318</t>
    <phoneticPr fontId="1" type="noConversion"/>
  </si>
  <si>
    <t>pin0428</t>
    <phoneticPr fontId="1" type="noConversion"/>
  </si>
  <si>
    <t>3.0GHZ</t>
    <phoneticPr fontId="1" type="noConversion"/>
  </si>
  <si>
    <t>利空不會成頭</t>
    <phoneticPr fontId="1" type="noConversion"/>
  </si>
  <si>
    <t>彌補</t>
    <phoneticPr fontId="1" type="noConversion"/>
  </si>
  <si>
    <t>4.09</t>
    <phoneticPr fontId="1" type="noConversion"/>
  </si>
  <si>
    <t>9.59</t>
    <phoneticPr fontId="1" type="noConversion"/>
  </si>
  <si>
    <t>8.05</t>
    <phoneticPr fontId="1" type="noConversion"/>
  </si>
  <si>
    <t>3.57</t>
    <phoneticPr fontId="1" type="noConversion"/>
  </si>
  <si>
    <t>6.05</t>
    <phoneticPr fontId="1" type="noConversion"/>
  </si>
  <si>
    <t>敦泰彌補</t>
    <phoneticPr fontId="1" type="noConversion"/>
  </si>
  <si>
    <t>6.94</t>
    <phoneticPr fontId="1" type="noConversion"/>
  </si>
  <si>
    <t>稅</t>
    <phoneticPr fontId="1" type="noConversion"/>
  </si>
  <si>
    <t>營</t>
    <phoneticPr fontId="1" type="noConversion"/>
  </si>
  <si>
    <t>期</t>
    <phoneticPr fontId="1" type="noConversion"/>
  </si>
  <si>
    <t>年</t>
    <phoneticPr fontId="1" type="noConversion"/>
  </si>
  <si>
    <t>3.01</t>
    <phoneticPr fontId="1" type="noConversion"/>
  </si>
  <si>
    <t>7月19年</t>
    <phoneticPr fontId="1" type="noConversion"/>
  </si>
  <si>
    <t>8月19年</t>
    <phoneticPr fontId="1" type="noConversion"/>
  </si>
  <si>
    <t>9月19年</t>
    <phoneticPr fontId="1" type="noConversion"/>
  </si>
  <si>
    <t>2.33</t>
    <phoneticPr fontId="1" type="noConversion"/>
  </si>
  <si>
    <t>2.22</t>
    <phoneticPr fontId="1" type="noConversion"/>
  </si>
  <si>
    <t>-4.59</t>
    <phoneticPr fontId="1" type="noConversion"/>
  </si>
  <si>
    <t>1402</t>
    <phoneticPr fontId="1" type="noConversion"/>
  </si>
  <si>
    <t>9.89</t>
    <phoneticPr fontId="1" type="noConversion"/>
  </si>
  <si>
    <t>4.26</t>
    <phoneticPr fontId="1" type="noConversion"/>
  </si>
  <si>
    <t>5.1</t>
    <phoneticPr fontId="1" type="noConversion"/>
  </si>
  <si>
    <t>7.53</t>
    <phoneticPr fontId="1" type="noConversion"/>
  </si>
  <si>
    <t>6.01</t>
    <phoneticPr fontId="1" type="noConversion"/>
  </si>
  <si>
    <t>-17.61</t>
    <phoneticPr fontId="1" type="noConversion"/>
  </si>
  <si>
    <t>-17.14</t>
    <phoneticPr fontId="1" type="noConversion"/>
  </si>
  <si>
    <t>-3.11</t>
    <phoneticPr fontId="1" type="noConversion"/>
  </si>
  <si>
    <t>3.97</t>
    <phoneticPr fontId="1" type="noConversion"/>
  </si>
  <si>
    <t>3.15</t>
    <phoneticPr fontId="1" type="noConversion"/>
  </si>
  <si>
    <t>3.15</t>
    <phoneticPr fontId="1" type="noConversion"/>
  </si>
  <si>
    <t>-1.69</t>
    <phoneticPr fontId="1" type="noConversion"/>
  </si>
  <si>
    <t>1.38</t>
    <phoneticPr fontId="1" type="noConversion"/>
  </si>
  <si>
    <t>5.01</t>
    <phoneticPr fontId="1" type="noConversion"/>
  </si>
  <si>
    <t>6.67</t>
    <phoneticPr fontId="1" type="noConversion"/>
  </si>
  <si>
    <t>5.5</t>
    <phoneticPr fontId="1" type="noConversion"/>
  </si>
  <si>
    <t>3</t>
    <phoneticPr fontId="1" type="noConversion"/>
  </si>
  <si>
    <t>6.32</t>
    <phoneticPr fontId="1" type="noConversion"/>
  </si>
  <si>
    <t>3</t>
    <phoneticPr fontId="1" type="noConversion"/>
  </si>
  <si>
    <t>1</t>
    <phoneticPr fontId="1" type="noConversion"/>
  </si>
  <si>
    <t>零股</t>
    <phoneticPr fontId="1" type="noConversion"/>
  </si>
  <si>
    <t>1.71</t>
    <phoneticPr fontId="1" type="noConversion"/>
  </si>
  <si>
    <t>M31</t>
    <phoneticPr fontId="1" type="noConversion"/>
  </si>
  <si>
    <t>5.02</t>
    <phoneticPr fontId="1" type="noConversion"/>
  </si>
  <si>
    <t>7.62</t>
    <phoneticPr fontId="1" type="noConversion"/>
  </si>
  <si>
    <t>1</t>
    <phoneticPr fontId="1" type="noConversion"/>
  </si>
  <si>
    <t>3</t>
    <phoneticPr fontId="1" type="noConversion"/>
  </si>
  <si>
    <t>世豐、榮剛、尚凡、上奇、富旺、霈方、華研、譜瑞-KY、大峽谷-KY上世等 9 家。</t>
  </si>
  <si>
    <t>雙鍵、禾聯碩、遠雄、大豐電、佳必琪、矽格、台數科、長華、鮮活果汁-KY、材料-KY、豐祥-Kㄚ等 35 家。</t>
  </si>
  <si>
    <t>▶ 上市公司季季配</t>
  </si>
  <si>
    <t>▶ 上市公司半年配</t>
  </si>
  <si>
    <t>▶ 上櫃公司季季配</t>
  </si>
  <si>
    <t>▶ 上櫃公司半年配</t>
  </si>
  <si>
    <t>3</t>
    <phoneticPr fontId="1" type="noConversion"/>
  </si>
  <si>
    <t>信昌電彌補</t>
    <phoneticPr fontId="1" type="noConversion"/>
  </si>
  <si>
    <t>-9.67</t>
    <phoneticPr fontId="1" type="noConversion"/>
  </si>
  <si>
    <t>1.42</t>
    <phoneticPr fontId="1" type="noConversion"/>
  </si>
  <si>
    <t>1.78</t>
    <phoneticPr fontId="1" type="noConversion"/>
  </si>
  <si>
    <t>5.15</t>
    <phoneticPr fontId="1" type="noConversion"/>
  </si>
  <si>
    <t>5.73</t>
    <phoneticPr fontId="1" type="noConversion"/>
  </si>
  <si>
    <t>3.16</t>
    <phoneticPr fontId="1" type="noConversion"/>
  </si>
  <si>
    <t>4.47</t>
    <phoneticPr fontId="1" type="noConversion"/>
  </si>
  <si>
    <t>56/1/17</t>
    <phoneticPr fontId="1" type="noConversion"/>
  </si>
  <si>
    <t>85/3/18</t>
    <phoneticPr fontId="1" type="noConversion"/>
  </si>
  <si>
    <t>87/9/13</t>
    <phoneticPr fontId="1" type="noConversion"/>
  </si>
  <si>
    <t>2.53</t>
    <phoneticPr fontId="1" type="noConversion"/>
  </si>
  <si>
    <t>9.09</t>
    <phoneticPr fontId="1" type="noConversion"/>
  </si>
  <si>
    <t>4</t>
    <phoneticPr fontId="1" type="noConversion"/>
  </si>
  <si>
    <t>年線下變平，準備捕老熊。年線往上拐，回踩堅決買！</t>
  </si>
  <si>
    <t>年線往下行，一定要搞清，如等半年線，暫做壁上觀。</t>
  </si>
  <si>
    <t>深跌破年線，老熊活年半。價穩年線上，千里馬亮相。</t>
  </si>
  <si>
    <t>要問為什么？牛熊一線亡！半年線下穿，千萬不要沾。</t>
  </si>
  <si>
    <t>半年線上拐，堅決果斷買！季線如下穿，後市不樂觀！</t>
  </si>
  <si>
    <t>季線往上走，長期須多頭！月線不下穿，光明就在前！</t>
  </si>
  <si>
    <t>股價踩季線，入市做波段。季線如被破，眼前就有禍，</t>
  </si>
  <si>
    <t>月線上穿季，買進等獲利。月線如下行，本波已完成！</t>
  </si>
  <si>
    <t>價跌月線平，底部已探明。2 0 線走平，觀望暫做空。</t>
  </si>
  <si>
    <t>2 0線上翹，猶如衝鋒號。突然呈加速，離頂查一步！</t>
  </si>
  <si>
    <t>10天莊成本，不破不走人。短線看 3天，破掉你就竄！</t>
  </si>
  <si>
    <t>長期往上翹，短期呈纏繞，平臺一做成，股價往上跑</t>
  </si>
  <si>
    <t>鍵盤3雄茂林精元科嘉</t>
    <phoneticPr fontId="1" type="noConversion"/>
  </si>
  <si>
    <t>10月19年</t>
    <phoneticPr fontId="1" type="noConversion"/>
  </si>
  <si>
    <t>勿回補帶量實體紅K缺口。如回補。整理時間㑹拉長。如拉長時間裡。主力順勢緩慢出貨。需格外小心。</t>
    <phoneticPr fontId="1" type="noConversion"/>
  </si>
  <si>
    <t>6.64</t>
    <phoneticPr fontId="1" type="noConversion"/>
  </si>
  <si>
    <t>18.9</t>
    <phoneticPr fontId="1" type="noConversion"/>
  </si>
  <si>
    <t>7.61</t>
    <phoneticPr fontId="1" type="noConversion"/>
  </si>
  <si>
    <t>100</t>
    <phoneticPr fontId="1" type="noConversion"/>
  </si>
  <si>
    <t>141</t>
    <phoneticPr fontId="1" type="noConversion"/>
  </si>
  <si>
    <t>12.9</t>
    <phoneticPr fontId="1" type="noConversion"/>
  </si>
  <si>
    <t>3.44</t>
    <phoneticPr fontId="1" type="noConversion"/>
  </si>
  <si>
    <t>2.89</t>
    <phoneticPr fontId="1" type="noConversion"/>
  </si>
  <si>
    <t>8.38</t>
    <phoneticPr fontId="1" type="noConversion"/>
  </si>
  <si>
    <t>-0.67</t>
    <phoneticPr fontId="1" type="noConversion"/>
  </si>
  <si>
    <t xml:space="preserve">人臉辨識新唐 (4919) 、鈺創 (5351) 、原相 (3227) </t>
    <phoneticPr fontId="1" type="noConversion"/>
  </si>
  <si>
    <t>指紋辨識義隆 (2458) 、神盾 (6462) 、敦泰 (3545) 、聯詠 (3034)</t>
    <phoneticPr fontId="1" type="noConversion"/>
  </si>
  <si>
    <t>8.62</t>
    <phoneticPr fontId="1" type="noConversion"/>
  </si>
  <si>
    <t>mosfet廠雙位數衰退,如大中,富鼎</t>
    <phoneticPr fontId="1" type="noConversion"/>
  </si>
  <si>
    <t>中小型利基訂單雙位數成長,如杰立,尼克森</t>
    <phoneticPr fontId="1" type="noConversion"/>
  </si>
  <si>
    <t>電源管理IC的致新,矽力美中貿易戰轉單受惠</t>
    <phoneticPr fontId="1" type="noConversion"/>
  </si>
  <si>
    <t>4.12</t>
    <phoneticPr fontId="1" type="noConversion"/>
  </si>
  <si>
    <t>8.18</t>
    <phoneticPr fontId="1" type="noConversion"/>
  </si>
  <si>
    <t>5.48</t>
    <phoneticPr fontId="1" type="noConversion"/>
  </si>
  <si>
    <t>3.94</t>
    <phoneticPr fontId="1" type="noConversion"/>
  </si>
  <si>
    <t>12.1</t>
    <phoneticPr fontId="1" type="noConversion"/>
  </si>
  <si>
    <t>7.26</t>
    <phoneticPr fontId="1" type="noConversion"/>
  </si>
  <si>
    <t>7.25</t>
    <phoneticPr fontId="1" type="noConversion"/>
  </si>
  <si>
    <t>9.08</t>
    <phoneticPr fontId="1" type="noConversion"/>
  </si>
  <si>
    <t>568</t>
    <phoneticPr fontId="1" type="noConversion"/>
  </si>
  <si>
    <t>110</t>
    <phoneticPr fontId="1" type="noConversion"/>
  </si>
  <si>
    <t>3.24</t>
    <phoneticPr fontId="1" type="noConversion"/>
  </si>
  <si>
    <t>636</t>
    <phoneticPr fontId="1" type="noConversion"/>
  </si>
  <si>
    <t>793</t>
    <phoneticPr fontId="1" type="noConversion"/>
  </si>
  <si>
    <t>52.7</t>
    <phoneticPr fontId="1" type="noConversion"/>
  </si>
  <si>
    <t>586</t>
    <phoneticPr fontId="1" type="noConversion"/>
  </si>
  <si>
    <t>535</t>
    <phoneticPr fontId="1" type="noConversion"/>
  </si>
  <si>
    <t>27.4</t>
    <phoneticPr fontId="1" type="noConversion"/>
  </si>
  <si>
    <t>5.04</t>
    <phoneticPr fontId="1" type="noConversion"/>
  </si>
  <si>
    <t>8.12</t>
    <phoneticPr fontId="1" type="noConversion"/>
  </si>
  <si>
    <t>13.6</t>
    <phoneticPr fontId="1" type="noConversion"/>
  </si>
  <si>
    <t>23.6</t>
    <phoneticPr fontId="1" type="noConversion"/>
  </si>
  <si>
    <t>290</t>
    <phoneticPr fontId="1" type="noConversion"/>
  </si>
  <si>
    <t>30.9</t>
    <phoneticPr fontId="1" type="noConversion"/>
  </si>
  <si>
    <t>3.65</t>
    <phoneticPr fontId="1" type="noConversion"/>
  </si>
  <si>
    <t>54.6</t>
    <phoneticPr fontId="1" type="noConversion"/>
  </si>
  <si>
    <t>12.2</t>
    <phoneticPr fontId="1" type="noConversion"/>
  </si>
  <si>
    <t>1386</t>
    <phoneticPr fontId="1" type="noConversion"/>
  </si>
  <si>
    <t>440</t>
    <phoneticPr fontId="1" type="noConversion"/>
  </si>
  <si>
    <t>42.9</t>
    <phoneticPr fontId="1" type="noConversion"/>
  </si>
  <si>
    <t>2593</t>
    <phoneticPr fontId="1" type="noConversion"/>
  </si>
  <si>
    <t>166</t>
    <phoneticPr fontId="1" type="noConversion"/>
  </si>
  <si>
    <t>358</t>
    <phoneticPr fontId="1" type="noConversion"/>
  </si>
  <si>
    <t>74.2</t>
    <phoneticPr fontId="1" type="noConversion"/>
  </si>
  <si>
    <t>63.5</t>
    <phoneticPr fontId="1" type="noConversion"/>
  </si>
  <si>
    <t>84.4</t>
    <phoneticPr fontId="1" type="noConversion"/>
  </si>
  <si>
    <t>386</t>
    <phoneticPr fontId="1" type="noConversion"/>
  </si>
  <si>
    <t>26.3</t>
    <phoneticPr fontId="1" type="noConversion"/>
  </si>
  <si>
    <t>122</t>
    <phoneticPr fontId="1" type="noConversion"/>
  </si>
  <si>
    <t>30.3</t>
    <phoneticPr fontId="1" type="noConversion"/>
  </si>
  <si>
    <t>81.8</t>
    <phoneticPr fontId="1" type="noConversion"/>
  </si>
  <si>
    <t>84.5</t>
    <phoneticPr fontId="1" type="noConversion"/>
  </si>
  <si>
    <t>485</t>
    <phoneticPr fontId="1" type="noConversion"/>
  </si>
  <si>
    <t>1359</t>
    <phoneticPr fontId="1" type="noConversion"/>
  </si>
  <si>
    <t>1949</t>
    <phoneticPr fontId="1" type="noConversion"/>
  </si>
  <si>
    <t>103</t>
    <phoneticPr fontId="1" type="noConversion"/>
  </si>
  <si>
    <t>13.4</t>
    <phoneticPr fontId="1" type="noConversion"/>
  </si>
  <si>
    <t>23.1</t>
    <phoneticPr fontId="1" type="noConversion"/>
  </si>
  <si>
    <t>60.8</t>
    <phoneticPr fontId="1" type="noConversion"/>
  </si>
  <si>
    <t>24.8</t>
    <phoneticPr fontId="1" type="noConversion"/>
  </si>
  <si>
    <t>42.4</t>
    <phoneticPr fontId="1" type="noConversion"/>
  </si>
  <si>
    <t>8.01</t>
    <phoneticPr fontId="1" type="noConversion"/>
  </si>
  <si>
    <t>14.7</t>
    <phoneticPr fontId="1" type="noConversion"/>
  </si>
  <si>
    <t>7.41</t>
    <phoneticPr fontId="1" type="noConversion"/>
  </si>
  <si>
    <t>7.58</t>
    <phoneticPr fontId="1" type="noConversion"/>
  </si>
  <si>
    <t>38.7</t>
    <phoneticPr fontId="1" type="noConversion"/>
  </si>
  <si>
    <t>6.23</t>
    <phoneticPr fontId="1" type="noConversion"/>
  </si>
  <si>
    <t>20.8</t>
    <phoneticPr fontId="1" type="noConversion"/>
  </si>
  <si>
    <t>4.24</t>
    <phoneticPr fontId="1" type="noConversion"/>
  </si>
  <si>
    <t>18.5</t>
    <phoneticPr fontId="1" type="noConversion"/>
  </si>
  <si>
    <t>11.8</t>
    <phoneticPr fontId="1" type="noConversion"/>
  </si>
  <si>
    <t>25.2</t>
    <phoneticPr fontId="1" type="noConversion"/>
  </si>
  <si>
    <t>14.6</t>
    <phoneticPr fontId="1" type="noConversion"/>
  </si>
  <si>
    <t>17.2</t>
    <phoneticPr fontId="1" type="noConversion"/>
  </si>
  <si>
    <t>7.65</t>
    <phoneticPr fontId="1" type="noConversion"/>
  </si>
  <si>
    <t>1.88</t>
    <phoneticPr fontId="1" type="noConversion"/>
  </si>
  <si>
    <t>28.7</t>
    <phoneticPr fontId="1" type="noConversion"/>
  </si>
  <si>
    <t>5.57</t>
    <phoneticPr fontId="1" type="noConversion"/>
  </si>
  <si>
    <t>19.4</t>
    <phoneticPr fontId="1" type="noConversion"/>
  </si>
  <si>
    <t>163</t>
    <phoneticPr fontId="1" type="noConversion"/>
  </si>
  <si>
    <t>18.1</t>
    <phoneticPr fontId="1" type="noConversion"/>
  </si>
  <si>
    <t>16.5</t>
    <phoneticPr fontId="1" type="noConversion"/>
  </si>
  <si>
    <t>16.9</t>
    <phoneticPr fontId="1" type="noConversion"/>
  </si>
  <si>
    <t>58.6</t>
    <phoneticPr fontId="1" type="noConversion"/>
  </si>
  <si>
    <t>448</t>
    <phoneticPr fontId="1" type="noConversion"/>
  </si>
  <si>
    <t>22.3</t>
    <phoneticPr fontId="1" type="noConversion"/>
  </si>
  <si>
    <t>21.7</t>
    <phoneticPr fontId="1" type="noConversion"/>
  </si>
  <si>
    <t>17.5</t>
    <phoneticPr fontId="1" type="noConversion"/>
  </si>
  <si>
    <t>18.6</t>
    <phoneticPr fontId="1" type="noConversion"/>
  </si>
  <si>
    <t>22.6</t>
    <phoneticPr fontId="1" type="noConversion"/>
  </si>
  <si>
    <t>12.4</t>
    <phoneticPr fontId="1" type="noConversion"/>
  </si>
  <si>
    <t>77.9</t>
    <phoneticPr fontId="1" type="noConversion"/>
  </si>
  <si>
    <t>11.9</t>
    <phoneticPr fontId="1" type="noConversion"/>
  </si>
  <si>
    <t>14.3</t>
    <phoneticPr fontId="1" type="noConversion"/>
  </si>
  <si>
    <t>43.7</t>
    <phoneticPr fontId="1" type="noConversion"/>
  </si>
  <si>
    <t>952</t>
    <phoneticPr fontId="1" type="noConversion"/>
  </si>
  <si>
    <t>3.28</t>
    <phoneticPr fontId="1" type="noConversion"/>
  </si>
  <si>
    <t>3.13</t>
    <phoneticPr fontId="1" type="noConversion"/>
  </si>
  <si>
    <t>17.4</t>
    <phoneticPr fontId="1" type="noConversion"/>
  </si>
  <si>
    <t>3.02</t>
    <phoneticPr fontId="1" type="noConversion"/>
  </si>
  <si>
    <t>14.4</t>
    <phoneticPr fontId="1" type="noConversion"/>
  </si>
  <si>
    <t>4.98</t>
    <phoneticPr fontId="1" type="noConversion"/>
  </si>
  <si>
    <t>27.1</t>
    <phoneticPr fontId="1" type="noConversion"/>
  </si>
  <si>
    <t>19.7</t>
    <phoneticPr fontId="1" type="noConversion"/>
  </si>
  <si>
    <t>11.1</t>
    <phoneticPr fontId="1" type="noConversion"/>
  </si>
  <si>
    <t>2.82</t>
    <phoneticPr fontId="1" type="noConversion"/>
  </si>
  <si>
    <t>5.29</t>
    <phoneticPr fontId="1" type="noConversion"/>
  </si>
  <si>
    <t>29.3</t>
    <phoneticPr fontId="1" type="noConversion"/>
  </si>
  <si>
    <t>13.5</t>
    <phoneticPr fontId="1" type="noConversion"/>
  </si>
  <si>
    <t>29.9</t>
    <phoneticPr fontId="1" type="noConversion"/>
  </si>
  <si>
    <t>45.1</t>
    <phoneticPr fontId="1" type="noConversion"/>
  </si>
  <si>
    <t>37.5</t>
    <phoneticPr fontId="1" type="noConversion"/>
  </si>
  <si>
    <t>76.3</t>
    <phoneticPr fontId="1" type="noConversion"/>
  </si>
  <si>
    <t>7.49</t>
    <phoneticPr fontId="1" type="noConversion"/>
  </si>
  <si>
    <t>14.5</t>
    <phoneticPr fontId="1" type="noConversion"/>
  </si>
  <si>
    <t>13.2</t>
    <phoneticPr fontId="1" type="noConversion"/>
  </si>
  <si>
    <t>13.8</t>
    <phoneticPr fontId="1" type="noConversion"/>
  </si>
  <si>
    <t>資本</t>
    <phoneticPr fontId="1" type="noConversion"/>
  </si>
  <si>
    <t>1.52</t>
    <phoneticPr fontId="1" type="noConversion"/>
  </si>
  <si>
    <t>10.3</t>
    <phoneticPr fontId="1" type="noConversion"/>
  </si>
  <si>
    <t>90.6</t>
    <phoneticPr fontId="1" type="noConversion"/>
  </si>
  <si>
    <t>35.3</t>
    <phoneticPr fontId="1" type="noConversion"/>
  </si>
  <si>
    <t>12.6</t>
    <phoneticPr fontId="1" type="noConversion"/>
  </si>
  <si>
    <t>16.7</t>
    <phoneticPr fontId="1" type="noConversion"/>
  </si>
  <si>
    <t>64.6</t>
    <phoneticPr fontId="1" type="noConversion"/>
  </si>
  <si>
    <t>3.35</t>
    <phoneticPr fontId="1" type="noConversion"/>
  </si>
  <si>
    <t>168</t>
    <phoneticPr fontId="1" type="noConversion"/>
  </si>
  <si>
    <t>16.1</t>
    <phoneticPr fontId="1" type="noConversion"/>
  </si>
  <si>
    <t>5.09</t>
    <phoneticPr fontId="1" type="noConversion"/>
  </si>
  <si>
    <t>13.1</t>
    <phoneticPr fontId="1" type="noConversion"/>
  </si>
  <si>
    <t>鈺太</t>
    <phoneticPr fontId="1" type="noConversion"/>
  </si>
  <si>
    <t>雍智科技</t>
    <phoneticPr fontId="1" type="noConversion"/>
  </si>
  <si>
    <t>2.71</t>
    <phoneticPr fontId="1" type="noConversion"/>
  </si>
  <si>
    <t>6.13</t>
    <phoneticPr fontId="1" type="noConversion"/>
  </si>
  <si>
    <t>8.13</t>
    <phoneticPr fontId="1" type="noConversion"/>
  </si>
  <si>
    <t>15.3</t>
    <phoneticPr fontId="1" type="noConversion"/>
  </si>
  <si>
    <t>12.8</t>
    <phoneticPr fontId="1" type="noConversion"/>
  </si>
  <si>
    <t>8</t>
    <phoneticPr fontId="1" type="noConversion"/>
  </si>
  <si>
    <t>富致</t>
    <phoneticPr fontId="1" type="noConversion"/>
  </si>
  <si>
    <t>-8.43</t>
    <phoneticPr fontId="1" type="noConversion"/>
  </si>
  <si>
    <t>-2.08</t>
    <phoneticPr fontId="1" type="noConversion"/>
  </si>
  <si>
    <t>8.84</t>
    <phoneticPr fontId="1" type="noConversion"/>
  </si>
  <si>
    <t>11月19年</t>
    <phoneticPr fontId="1" type="noConversion"/>
  </si>
  <si>
    <t>6.21</t>
    <phoneticPr fontId="1" type="noConversion"/>
  </si>
  <si>
    <t>10.8</t>
    <phoneticPr fontId="1" type="noConversion"/>
  </si>
  <si>
    <t>禾聯碩</t>
    <phoneticPr fontId="1" type="noConversion"/>
  </si>
  <si>
    <t>15.8</t>
    <phoneticPr fontId="1" type="noConversion"/>
  </si>
  <si>
    <t>3.32</t>
    <phoneticPr fontId="1" type="noConversion"/>
  </si>
  <si>
    <t>4.74</t>
    <phoneticPr fontId="1" type="noConversion"/>
  </si>
  <si>
    <t>3.38</t>
    <phoneticPr fontId="1" type="noConversion"/>
  </si>
  <si>
    <t>12.3</t>
    <phoneticPr fontId="1" type="noConversion"/>
  </si>
  <si>
    <t>17.8</t>
    <phoneticPr fontId="1" type="noConversion"/>
  </si>
  <si>
    <t>3.93</t>
    <phoneticPr fontId="1" type="noConversion"/>
  </si>
  <si>
    <t>3.98</t>
    <phoneticPr fontId="1" type="noConversion"/>
  </si>
  <si>
    <t>26.9</t>
    <phoneticPr fontId="1" type="noConversion"/>
  </si>
  <si>
    <t>5.13</t>
    <phoneticPr fontId="1" type="noConversion"/>
  </si>
  <si>
    <t>6.09</t>
    <phoneticPr fontId="1" type="noConversion"/>
  </si>
  <si>
    <t>8.32</t>
    <phoneticPr fontId="1" type="noConversion"/>
  </si>
  <si>
    <t>14.8</t>
    <phoneticPr fontId="1" type="noConversion"/>
  </si>
  <si>
    <t>鈞興KY</t>
    <phoneticPr fontId="1" type="noConversion"/>
  </si>
  <si>
    <t>駐龍</t>
    <phoneticPr fontId="1" type="noConversion"/>
  </si>
  <si>
    <t>58.1</t>
    <phoneticPr fontId="1" type="noConversion"/>
  </si>
  <si>
    <t>6.03</t>
    <phoneticPr fontId="1" type="noConversion"/>
  </si>
  <si>
    <t>9.56</t>
    <phoneticPr fontId="1" type="noConversion"/>
  </si>
  <si>
    <t>3.85</t>
    <phoneticPr fontId="1" type="noConversion"/>
  </si>
  <si>
    <t>1.75</t>
    <phoneticPr fontId="1" type="noConversion"/>
  </si>
  <si>
    <t>3.64</t>
    <phoneticPr fontId="1" type="noConversion"/>
  </si>
  <si>
    <t>3.37</t>
    <phoneticPr fontId="1" type="noConversion"/>
  </si>
  <si>
    <t>1.4</t>
    <phoneticPr fontId="1" type="noConversion"/>
  </si>
  <si>
    <t>2.92</t>
    <phoneticPr fontId="1" type="noConversion"/>
  </si>
  <si>
    <t>2.14</t>
    <phoneticPr fontId="1" type="noConversion"/>
  </si>
  <si>
    <t>豆府</t>
    <phoneticPr fontId="1" type="noConversion"/>
  </si>
  <si>
    <t>9.24</t>
    <phoneticPr fontId="1" type="noConversion"/>
  </si>
  <si>
    <t>3.78</t>
    <phoneticPr fontId="1" type="noConversion"/>
  </si>
  <si>
    <t>矽利光代理</t>
    <phoneticPr fontId="1" type="noConversion"/>
  </si>
  <si>
    <t>1.44</t>
    <phoneticPr fontId="1" type="noConversion"/>
  </si>
  <si>
    <t>6.25</t>
    <phoneticPr fontId="1" type="noConversion"/>
  </si>
  <si>
    <t>3.19</t>
    <phoneticPr fontId="1" type="noConversion"/>
  </si>
  <si>
    <t>4.67</t>
    <phoneticPr fontId="1" type="noConversion"/>
  </si>
  <si>
    <t>3.61</t>
    <phoneticPr fontId="1" type="noConversion"/>
  </si>
  <si>
    <t>急拉的股票，就是高過高，低不破低，一旦破低，很可能這波急拉就結束了，要休息或整理</t>
    <phoneticPr fontId="1" type="noConversion"/>
  </si>
  <si>
    <t>-17.47</t>
    <phoneticPr fontId="1" type="noConversion"/>
  </si>
  <si>
    <t>靜電放電防護IC設計</t>
    <phoneticPr fontId="1" type="noConversion"/>
  </si>
  <si>
    <t>11.6</t>
    <phoneticPr fontId="1" type="noConversion"/>
  </si>
  <si>
    <t>8.56</t>
    <phoneticPr fontId="1" type="noConversion"/>
  </si>
  <si>
    <t>10.4</t>
    <phoneticPr fontId="1" type="noConversion"/>
  </si>
  <si>
    <t>14.1</t>
    <phoneticPr fontId="1" type="noConversion"/>
  </si>
  <si>
    <t>16.2</t>
    <phoneticPr fontId="1" type="noConversion"/>
  </si>
  <si>
    <t>連接線正崴旗下</t>
    <phoneticPr fontId="1" type="noConversion"/>
  </si>
  <si>
    <t>7.44</t>
    <phoneticPr fontId="1" type="noConversion"/>
  </si>
  <si>
    <t>10.6</t>
    <phoneticPr fontId="1" type="noConversion"/>
  </si>
  <si>
    <t>19.5</t>
    <phoneticPr fontId="1" type="noConversion"/>
  </si>
  <si>
    <t>3.17</t>
    <phoneticPr fontId="1" type="noConversion"/>
  </si>
  <si>
    <t>記憶體封測台塑旗下</t>
    <phoneticPr fontId="1" type="noConversion"/>
  </si>
  <si>
    <t>補南斌</t>
    <phoneticPr fontId="1" type="noConversion"/>
  </si>
  <si>
    <t>9</t>
    <phoneticPr fontId="1" type="noConversion"/>
  </si>
  <si>
    <t>博</t>
  </si>
  <si>
    <t>24.9</t>
    <phoneticPr fontId="1" type="noConversion"/>
  </si>
  <si>
    <t>網版</t>
    <phoneticPr fontId="1" type="noConversion"/>
  </si>
  <si>
    <t>4.19</t>
    <phoneticPr fontId="1" type="noConversion"/>
  </si>
  <si>
    <t>-14.79</t>
    <phoneticPr fontId="1" type="noConversion"/>
  </si>
  <si>
    <t>11.85</t>
    <phoneticPr fontId="1" type="noConversion"/>
  </si>
  <si>
    <t>12.55</t>
    <phoneticPr fontId="1" type="noConversion"/>
  </si>
  <si>
    <t>13.26</t>
    <phoneticPr fontId="1" type="noConversion"/>
  </si>
  <si>
    <t>PCB光學檢測設備台大</t>
    <phoneticPr fontId="1" type="noConversion"/>
  </si>
  <si>
    <t>工業用布</t>
    <phoneticPr fontId="1" type="noConversion"/>
  </si>
  <si>
    <t>消息</t>
    <phoneticPr fontId="1" type="noConversion"/>
  </si>
  <si>
    <t>39.7</t>
    <phoneticPr fontId="1" type="noConversion"/>
  </si>
  <si>
    <t>18.2</t>
    <phoneticPr fontId="1" type="noConversion"/>
  </si>
  <si>
    <t>115</t>
    <phoneticPr fontId="1" type="noConversion"/>
  </si>
  <si>
    <t>恐慌會見底</t>
    <phoneticPr fontId="1" type="noConversion"/>
  </si>
  <si>
    <t>樂觀會見頭</t>
    <phoneticPr fontId="1" type="noConversion"/>
  </si>
  <si>
    <t>光罩晶圓載具</t>
    <phoneticPr fontId="1" type="noConversion"/>
  </si>
  <si>
    <t>6.83</t>
    <phoneticPr fontId="1" type="noConversion"/>
  </si>
  <si>
    <t>十銓</t>
    <phoneticPr fontId="1" type="noConversion"/>
  </si>
  <si>
    <t>18.8</t>
    <phoneticPr fontId="1" type="noConversion"/>
  </si>
  <si>
    <t>20.9</t>
    <phoneticPr fontId="1" type="noConversion"/>
  </si>
  <si>
    <t>542</t>
    <phoneticPr fontId="1" type="noConversion"/>
  </si>
  <si>
    <t>37.8</t>
    <phoneticPr fontId="1" type="noConversion"/>
  </si>
  <si>
    <t>25.4</t>
    <phoneticPr fontId="1" type="noConversion"/>
  </si>
  <si>
    <t>石英元件</t>
    <phoneticPr fontId="1" type="noConversion"/>
  </si>
  <si>
    <t>15.9</t>
    <phoneticPr fontId="1" type="noConversion"/>
  </si>
  <si>
    <t>10.2</t>
    <phoneticPr fontId="1" type="noConversion"/>
  </si>
  <si>
    <t>10.7</t>
    <phoneticPr fontId="1" type="noConversion"/>
  </si>
  <si>
    <t>7.34</t>
    <phoneticPr fontId="1" type="noConversion"/>
  </si>
  <si>
    <t>6.97</t>
    <phoneticPr fontId="1" type="noConversion"/>
  </si>
  <si>
    <t>6.98</t>
    <phoneticPr fontId="1" type="noConversion"/>
  </si>
  <si>
    <t>MLCC原料華新旗下</t>
    <phoneticPr fontId="1" type="noConversion"/>
  </si>
  <si>
    <t>中保科</t>
    <phoneticPr fontId="1" type="noConversion"/>
  </si>
  <si>
    <t>133</t>
    <phoneticPr fontId="1" type="noConversion"/>
  </si>
  <si>
    <t>高爾夫球明安旗下</t>
    <phoneticPr fontId="1" type="noConversion"/>
  </si>
  <si>
    <t>4.5</t>
    <phoneticPr fontId="1" type="noConversion"/>
  </si>
  <si>
    <t>165</t>
    <phoneticPr fontId="1" type="noConversion"/>
  </si>
  <si>
    <t>6.45</t>
    <phoneticPr fontId="1" type="noConversion"/>
  </si>
  <si>
    <t>37.4</t>
    <phoneticPr fontId="1" type="noConversion"/>
  </si>
  <si>
    <t>6592</t>
    <phoneticPr fontId="1" type="noConversion"/>
  </si>
  <si>
    <t>和潤企業</t>
    <phoneticPr fontId="1" type="noConversion"/>
  </si>
  <si>
    <t>266</t>
    <phoneticPr fontId="1" type="noConversion"/>
  </si>
  <si>
    <t>24.1</t>
    <phoneticPr fontId="1" type="noConversion"/>
  </si>
  <si>
    <t>0.34</t>
    <phoneticPr fontId="1" type="noConversion"/>
  </si>
  <si>
    <t>-0.34</t>
    <phoneticPr fontId="1" type="noConversion"/>
  </si>
  <si>
    <t>6.56</t>
    <phoneticPr fontId="1" type="noConversion"/>
  </si>
  <si>
    <t>1.37</t>
    <phoneticPr fontId="1" type="noConversion"/>
  </si>
  <si>
    <t>5.36</t>
    <phoneticPr fontId="1" type="noConversion"/>
  </si>
  <si>
    <t>惠特</t>
    <phoneticPr fontId="1" type="noConversion"/>
  </si>
  <si>
    <t>51.5</t>
    <phoneticPr fontId="1" type="noConversion"/>
  </si>
  <si>
    <t>12月19年</t>
    <phoneticPr fontId="1" type="noConversion"/>
  </si>
  <si>
    <t>2.4</t>
    <phoneticPr fontId="1" type="noConversion"/>
  </si>
  <si>
    <t>1.06</t>
    <phoneticPr fontId="1" type="noConversion"/>
  </si>
  <si>
    <t>股3</t>
    <phoneticPr fontId="1" type="noConversion"/>
  </si>
  <si>
    <t>半導體自動化聖暉子公司</t>
    <phoneticPr fontId="1" type="noConversion"/>
  </si>
  <si>
    <t>海力士2666</t>
    <phoneticPr fontId="1" type="noConversion"/>
  </si>
  <si>
    <t>三星2666</t>
    <phoneticPr fontId="1" type="noConversion"/>
  </si>
  <si>
    <t>电脑型号: 戴尔 Inspiron 3470 台式电脑</t>
  </si>
  <si>
    <t>操作系统: Windows 10 64位</t>
  </si>
  <si>
    <t>电脑型号: 戴尔 Inspiron 3670 台式电脑</t>
  </si>
  <si>
    <t>操作系统: Windows 10 64位</t>
  </si>
  <si>
    <t>  处理器: 英特尔 Core i7-9700 @ 3.00GHz 八核</t>
  </si>
  <si>
    <t>    主板: 戴尔 0R6JMP</t>
  </si>
  <si>
    <t>    内存: 12 GB ( 海力士 DDR4 2666MHz )</t>
  </si>
  <si>
    <t>  主硬盘: BC501 NVMe SK hynix 256GB ( 256 GB )</t>
  </si>
  <si>
    <t>    显卡: 英特尔 UHD Graphics 630 ( 128 MB / 戴尔 )</t>
  </si>
  <si>
    <t>  显示器: 戴尔 DELA07A DELL U2412M ( 24.1 英寸  )</t>
  </si>
  <si>
    <t>    光驱: PLDS DVD+-RW DU-8A5LH DVD刻录机</t>
  </si>
  <si>
    <t>    声卡: 瑞昱  @ 英特尔 High Definition Audio 控制器</t>
  </si>
  <si>
    <t>    网卡: 瑞昱 RTL8168/8111/8112 Gigabit Ethernet Controller / 戴尔</t>
  </si>
  <si>
    <t>主板: 戴尔 0D02VH</t>
    <phoneticPr fontId="1" type="noConversion"/>
  </si>
  <si>
    <t>处理器: 英特尔 Core i5-8400 @ 2.80GHz 六核</t>
    <phoneticPr fontId="1" type="noConversion"/>
  </si>
  <si>
    <t>内存: 8 GB ( 三星 DDR4 2666MHz )</t>
    <phoneticPr fontId="1" type="noConversion"/>
  </si>
  <si>
    <t>主硬盘: 西数 WDC WDS500G2B0A ( 500 GB / 固态硬盘 )</t>
    <phoneticPr fontId="1" type="noConversion"/>
  </si>
  <si>
    <t>显卡: 英特尔 视频控制器 ( 128 MB / 戴尔 )</t>
    <phoneticPr fontId="1" type="noConversion"/>
  </si>
  <si>
    <t>显示器: 戴尔 DELA07A DELL U2412M ( 24.1 英寸  )</t>
    <phoneticPr fontId="1" type="noConversion"/>
  </si>
  <si>
    <t>声卡: 瑞昱  @ 英特尔 High Definition Audio 控制器</t>
    <phoneticPr fontId="1" type="noConversion"/>
  </si>
  <si>
    <t>网卡: 瑞昱 RTL8168/8111/8112 Gigabit Ethernet Controller / 戴尔</t>
    <phoneticPr fontId="1" type="noConversion"/>
  </si>
  <si>
    <t>富林KY</t>
    <phoneticPr fontId="1" type="noConversion"/>
  </si>
  <si>
    <t>6.76</t>
    <phoneticPr fontId="1" type="noConversion"/>
  </si>
  <si>
    <t>融資租賃和泰旗下</t>
    <phoneticPr fontId="1" type="noConversion"/>
  </si>
  <si>
    <t>95.7</t>
    <phoneticPr fontId="1" type="noConversion"/>
  </si>
  <si>
    <t>6.78</t>
    <phoneticPr fontId="1" type="noConversion"/>
  </si>
  <si>
    <t>旭暉應材</t>
    <phoneticPr fontId="1" type="noConversion"/>
  </si>
  <si>
    <t>8.11</t>
    <phoneticPr fontId="1" type="noConversion"/>
  </si>
  <si>
    <t>建新國際</t>
    <phoneticPr fontId="1" type="noConversion"/>
  </si>
  <si>
    <t>貨櫃場</t>
    <phoneticPr fontId="1" type="noConversion"/>
  </si>
  <si>
    <t>19.9</t>
    <phoneticPr fontId="1" type="noConversion"/>
  </si>
  <si>
    <t>7.47</t>
    <phoneticPr fontId="1" type="noConversion"/>
  </si>
  <si>
    <t>3.56</t>
    <phoneticPr fontId="1" type="noConversion"/>
  </si>
  <si>
    <t>捷流閥業</t>
    <phoneticPr fontId="1" type="noConversion"/>
  </si>
  <si>
    <t>閥門龍頭</t>
    <phoneticPr fontId="1" type="noConversion"/>
  </si>
  <si>
    <t>冠星KY</t>
    <phoneticPr fontId="1" type="noConversion"/>
  </si>
  <si>
    <t>6.93</t>
    <phoneticPr fontId="1" type="noConversion"/>
  </si>
  <si>
    <t>13.25</t>
    <phoneticPr fontId="1" type="noConversion"/>
  </si>
  <si>
    <t>Micro LED霸主是未上市的錼創。應該是明後年台股的獨角獸，錸寶持股10%</t>
    <phoneticPr fontId="1" type="noConversion"/>
  </si>
  <si>
    <t>16.6</t>
    <phoneticPr fontId="1" type="noConversion"/>
  </si>
  <si>
    <t>6.75</t>
    <phoneticPr fontId="1" type="noConversion"/>
  </si>
  <si>
    <t>34.2</t>
    <phoneticPr fontId="1" type="noConversion"/>
  </si>
  <si>
    <t>11.5</t>
    <phoneticPr fontId="1" type="noConversion"/>
  </si>
  <si>
    <t>健身器材出口</t>
    <phoneticPr fontId="1" type="noConversion"/>
  </si>
  <si>
    <t>2020全年</t>
    <phoneticPr fontId="1" type="noConversion"/>
  </si>
  <si>
    <t>2020年1月</t>
    <phoneticPr fontId="1" type="noConversion"/>
  </si>
  <si>
    <t>撼訊</t>
    <phoneticPr fontId="1" type="noConversion"/>
  </si>
  <si>
    <t>8.12</t>
    <phoneticPr fontId="1" type="noConversion"/>
  </si>
  <si>
    <t>10.1</t>
    <phoneticPr fontId="1" type="noConversion"/>
  </si>
  <si>
    <t>7.69</t>
    <phoneticPr fontId="1" type="noConversion"/>
  </si>
  <si>
    <t>1月20年</t>
    <phoneticPr fontId="1" type="noConversion"/>
  </si>
  <si>
    <t>-2.9</t>
    <phoneticPr fontId="1" type="noConversion"/>
  </si>
  <si>
    <t>11.7</t>
    <phoneticPr fontId="1" type="noConversion"/>
  </si>
  <si>
    <t>88.5</t>
    <phoneticPr fontId="1" type="noConversion"/>
  </si>
  <si>
    <t>162</t>
    <phoneticPr fontId="1" type="noConversion"/>
  </si>
  <si>
    <t>8.94</t>
    <phoneticPr fontId="1" type="noConversion"/>
  </si>
  <si>
    <t>50.9</t>
    <phoneticPr fontId="1" type="noConversion"/>
  </si>
  <si>
    <t>55.6</t>
    <phoneticPr fontId="1" type="noConversion"/>
  </si>
  <si>
    <t>17.6</t>
    <phoneticPr fontId="1" type="noConversion"/>
  </si>
  <si>
    <t>16.4</t>
    <phoneticPr fontId="1" type="noConversion"/>
  </si>
  <si>
    <t>58.5</t>
    <phoneticPr fontId="1" type="noConversion"/>
  </si>
  <si>
    <t>41.7</t>
    <phoneticPr fontId="1" type="noConversion"/>
  </si>
  <si>
    <t>15.1</t>
    <phoneticPr fontId="1" type="noConversion"/>
  </si>
  <si>
    <t>27.9</t>
    <phoneticPr fontId="1" type="noConversion"/>
  </si>
  <si>
    <t>54.7</t>
    <phoneticPr fontId="1" type="noConversion"/>
  </si>
  <si>
    <t>台康生技</t>
    <phoneticPr fontId="1" type="noConversion"/>
  </si>
  <si>
    <t>藥品委託開發生產</t>
    <phoneticPr fontId="1" type="noConversion"/>
  </si>
  <si>
    <t>8.61</t>
    <phoneticPr fontId="1" type="noConversion"/>
  </si>
  <si>
    <t>33.3</t>
    <phoneticPr fontId="1" type="noConversion"/>
  </si>
  <si>
    <t>勤崴國際</t>
    <phoneticPr fontId="1" type="noConversion"/>
  </si>
  <si>
    <t>圖資中華電旗下</t>
    <phoneticPr fontId="1" type="noConversion"/>
  </si>
  <si>
    <t>15.6</t>
    <phoneticPr fontId="1" type="noConversion"/>
  </si>
  <si>
    <t>4.16</t>
    <phoneticPr fontId="1" type="noConversion"/>
  </si>
  <si>
    <t>13.6</t>
    <phoneticPr fontId="1" type="noConversion"/>
  </si>
  <si>
    <t>晶圓代工</t>
    <phoneticPr fontId="1" type="noConversion"/>
  </si>
  <si>
    <t>4736</t>
    <phoneticPr fontId="1" type="noConversion"/>
  </si>
  <si>
    <t>6.1</t>
    <phoneticPr fontId="1" type="noConversion"/>
  </si>
  <si>
    <t>64.1</t>
    <phoneticPr fontId="1" type="noConversion"/>
  </si>
  <si>
    <t>69.55</t>
    <phoneticPr fontId="1" type="noConversion"/>
  </si>
  <si>
    <t>-0.25</t>
    <phoneticPr fontId="1" type="noConversion"/>
  </si>
  <si>
    <t>14.14</t>
    <phoneticPr fontId="1" type="noConversion"/>
  </si>
  <si>
    <t>26.42</t>
    <phoneticPr fontId="1" type="noConversion"/>
  </si>
  <si>
    <t>18.89</t>
    <phoneticPr fontId="1" type="noConversion"/>
  </si>
  <si>
    <t>2.06</t>
    <phoneticPr fontId="1" type="noConversion"/>
  </si>
  <si>
    <t>33.75</t>
    <phoneticPr fontId="1" type="noConversion"/>
  </si>
  <si>
    <t>7.05</t>
    <phoneticPr fontId="1" type="noConversion"/>
  </si>
  <si>
    <t>14.9</t>
    <phoneticPr fontId="1" type="noConversion"/>
  </si>
  <si>
    <t>山富</t>
    <phoneticPr fontId="1" type="noConversion"/>
  </si>
  <si>
    <t>映興</t>
    <phoneticPr fontId="1" type="noConversion"/>
  </si>
  <si>
    <t>光隆精密</t>
    <phoneticPr fontId="1" type="noConversion"/>
  </si>
  <si>
    <t>大銀微系統</t>
    <phoneticPr fontId="1" type="noConversion"/>
  </si>
  <si>
    <t>30年歷任股王</t>
    <phoneticPr fontId="1" type="noConversion"/>
  </si>
  <si>
    <t>70年代</t>
    <phoneticPr fontId="1" type="noConversion"/>
  </si>
  <si>
    <t>2882</t>
    <phoneticPr fontId="1" type="noConversion"/>
  </si>
  <si>
    <t>國壽</t>
    <phoneticPr fontId="1" type="noConversion"/>
  </si>
  <si>
    <t>2702</t>
    <phoneticPr fontId="1" type="noConversion"/>
  </si>
  <si>
    <t>華園</t>
    <phoneticPr fontId="1" type="noConversion"/>
  </si>
  <si>
    <t>欣欣</t>
    <phoneticPr fontId="1" type="noConversion"/>
  </si>
  <si>
    <t>2901</t>
    <phoneticPr fontId="1" type="noConversion"/>
  </si>
  <si>
    <t>80年代</t>
    <phoneticPr fontId="1" type="noConversion"/>
  </si>
  <si>
    <t>2330</t>
    <phoneticPr fontId="1" type="noConversion"/>
  </si>
  <si>
    <t>2303</t>
    <phoneticPr fontId="1" type="noConversion"/>
  </si>
  <si>
    <t>2357</t>
    <phoneticPr fontId="1" type="noConversion"/>
  </si>
  <si>
    <t>3035</t>
    <phoneticPr fontId="1" type="noConversion"/>
  </si>
  <si>
    <t>2313</t>
    <phoneticPr fontId="1" type="noConversion"/>
  </si>
  <si>
    <t>台積電</t>
    <phoneticPr fontId="1" type="noConversion"/>
  </si>
  <si>
    <t>華碩</t>
    <phoneticPr fontId="1" type="noConversion"/>
  </si>
  <si>
    <t>智原</t>
    <phoneticPr fontId="1" type="noConversion"/>
  </si>
  <si>
    <t>華通</t>
    <phoneticPr fontId="1" type="noConversion"/>
  </si>
  <si>
    <t>2382</t>
    <phoneticPr fontId="1" type="noConversion"/>
  </si>
  <si>
    <t>聯電</t>
    <phoneticPr fontId="1" type="noConversion"/>
  </si>
  <si>
    <t>2388</t>
    <phoneticPr fontId="1" type="noConversion"/>
  </si>
  <si>
    <t>廣達</t>
    <phoneticPr fontId="1" type="noConversion"/>
  </si>
  <si>
    <t>威盛</t>
    <phoneticPr fontId="1" type="noConversion"/>
  </si>
  <si>
    <t>3008</t>
    <phoneticPr fontId="1" type="noConversion"/>
  </si>
  <si>
    <t>2498</t>
    <phoneticPr fontId="1" type="noConversion"/>
  </si>
  <si>
    <t>6244</t>
    <phoneticPr fontId="1" type="noConversion"/>
  </si>
  <si>
    <t>3452</t>
    <phoneticPr fontId="1" type="noConversion"/>
  </si>
  <si>
    <t>2707</t>
    <phoneticPr fontId="1" type="noConversion"/>
  </si>
  <si>
    <t>8076</t>
    <phoneticPr fontId="1" type="noConversion"/>
  </si>
  <si>
    <t>聯發科</t>
    <phoneticPr fontId="1" type="noConversion"/>
  </si>
  <si>
    <t>大立光</t>
    <phoneticPr fontId="1" type="noConversion"/>
  </si>
  <si>
    <t>宏達電</t>
    <phoneticPr fontId="1" type="noConversion"/>
  </si>
  <si>
    <t>茂迪</t>
    <phoneticPr fontId="1" type="noConversion"/>
  </si>
  <si>
    <t>益通</t>
    <phoneticPr fontId="1" type="noConversion"/>
  </si>
  <si>
    <t>晶華</t>
    <phoneticPr fontId="1" type="noConversion"/>
  </si>
  <si>
    <t>伍豐</t>
    <phoneticPr fontId="1" type="noConversion"/>
  </si>
  <si>
    <t>100年代</t>
    <phoneticPr fontId="1" type="noConversion"/>
  </si>
  <si>
    <t>15.4</t>
    <phoneticPr fontId="1" type="noConversion"/>
  </si>
  <si>
    <t>23.5</t>
    <phoneticPr fontId="1" type="noConversion"/>
  </si>
  <si>
    <t>斌</t>
    <phoneticPr fontId="1" type="noConversion"/>
  </si>
  <si>
    <t>3.91</t>
    <phoneticPr fontId="1" type="noConversion"/>
  </si>
  <si>
    <t>5.93</t>
    <phoneticPr fontId="1" type="noConversion"/>
  </si>
  <si>
    <t>29.43</t>
    <phoneticPr fontId="1" type="noConversion"/>
  </si>
  <si>
    <t>車鑄件零組件</t>
    <phoneticPr fontId="1" type="noConversion"/>
  </si>
  <si>
    <t>汽車</t>
    <phoneticPr fontId="1" type="noConversion"/>
  </si>
  <si>
    <t>00648</t>
    <phoneticPr fontId="1" type="noConversion"/>
  </si>
  <si>
    <t>00632</t>
    <phoneticPr fontId="1" type="noConversion"/>
  </si>
  <si>
    <t>“急漲急跌，非底部”，底部的形成只有以下4種情況，沒有例外：</t>
    <phoneticPr fontId="1" type="noConversion"/>
  </si>
  <si>
    <t>1.曲終人散，量能急凍：這是最常見的一種，幾乎沒有人在關心股市。</t>
    <phoneticPr fontId="1" type="noConversion"/>
  </si>
  <si>
    <t>4.底部晨星，多空扭轉：第一種情況延續一段時間後，底部出現晨星破曉的技術K棒，也是明顯的“底部訊號”。</t>
    <phoneticPr fontId="1" type="noConversion"/>
  </si>
  <si>
    <t>-38.18</t>
    <phoneticPr fontId="1" type="noConversion"/>
  </si>
  <si>
    <t>54</t>
    <phoneticPr fontId="1" type="noConversion"/>
  </si>
  <si>
    <t>221</t>
    <phoneticPr fontId="1" type="noConversion"/>
  </si>
  <si>
    <t>3.51</t>
    <phoneticPr fontId="1" type="noConversion"/>
  </si>
  <si>
    <t>-29.95</t>
    <phoneticPr fontId="1" type="noConversion"/>
  </si>
  <si>
    <t>-0.64</t>
    <phoneticPr fontId="1" type="noConversion"/>
  </si>
  <si>
    <t>14.2</t>
    <phoneticPr fontId="1" type="noConversion"/>
  </si>
  <si>
    <t>-29.11</t>
    <phoneticPr fontId="1" type="noConversion"/>
  </si>
  <si>
    <t>13.9</t>
    <phoneticPr fontId="1" type="noConversion"/>
  </si>
  <si>
    <t>159</t>
    <phoneticPr fontId="1" type="noConversion"/>
  </si>
  <si>
    <t>22.1</t>
    <phoneticPr fontId="1" type="noConversion"/>
  </si>
  <si>
    <t>-6.0</t>
    <phoneticPr fontId="1" type="noConversion"/>
  </si>
  <si>
    <t>織布佳和旗下</t>
    <phoneticPr fontId="1" type="noConversion"/>
  </si>
  <si>
    <t>4.06</t>
    <phoneticPr fontId="1" type="noConversion"/>
  </si>
  <si>
    <t>6.87</t>
    <phoneticPr fontId="1" type="noConversion"/>
  </si>
  <si>
    <t>LED設備鼎元旗下同業致茂</t>
    <phoneticPr fontId="1" type="noConversion"/>
  </si>
  <si>
    <t>9.36</t>
    <phoneticPr fontId="1" type="noConversion"/>
  </si>
  <si>
    <t>65.3</t>
    <phoneticPr fontId="1" type="noConversion"/>
  </si>
  <si>
    <t>應廣</t>
    <phoneticPr fontId="1" type="noConversion"/>
  </si>
  <si>
    <t>散熱風扇微控制器台大</t>
    <phoneticPr fontId="1" type="noConversion"/>
  </si>
  <si>
    <t>25</t>
    <phoneticPr fontId="1" type="noConversion"/>
  </si>
  <si>
    <t>維他命D全前3</t>
    <phoneticPr fontId="1" type="noConversion"/>
  </si>
  <si>
    <t>加工機</t>
    <phoneticPr fontId="1" type="noConversion"/>
  </si>
  <si>
    <t>21</t>
    <phoneticPr fontId="1" type="noConversion"/>
  </si>
  <si>
    <t>14.88</t>
    <phoneticPr fontId="1" type="noConversion"/>
  </si>
  <si>
    <t>118</t>
    <phoneticPr fontId="1" type="noConversion"/>
  </si>
  <si>
    <t>46.6</t>
    <phoneticPr fontId="1" type="noConversion"/>
  </si>
  <si>
    <t>2.08</t>
    <phoneticPr fontId="1" type="noConversion"/>
  </si>
  <si>
    <t>55.7</t>
    <phoneticPr fontId="1" type="noConversion"/>
  </si>
  <si>
    <t>3月20年</t>
    <phoneticPr fontId="1" type="noConversion"/>
  </si>
  <si>
    <t>-0.15</t>
    <phoneticPr fontId="1" type="noConversion"/>
  </si>
  <si>
    <t>22.8</t>
    <phoneticPr fontId="1" type="noConversion"/>
  </si>
  <si>
    <t>7.81</t>
    <phoneticPr fontId="1" type="noConversion"/>
  </si>
  <si>
    <t>294</t>
    <phoneticPr fontId="1" type="noConversion"/>
  </si>
  <si>
    <t>3.92</t>
    <phoneticPr fontId="1" type="noConversion"/>
  </si>
  <si>
    <t>6.26</t>
    <phoneticPr fontId="1" type="noConversion"/>
  </si>
  <si>
    <t>光電</t>
    <phoneticPr fontId="1" type="noConversion"/>
  </si>
  <si>
    <t>面板沖壓件</t>
    <phoneticPr fontId="1" type="noConversion"/>
  </si>
  <si>
    <t>州巧</t>
    <phoneticPr fontId="1" type="noConversion"/>
  </si>
  <si>
    <t>18.4</t>
    <phoneticPr fontId="1" type="noConversion"/>
  </si>
  <si>
    <t>22.7</t>
    <phoneticPr fontId="1" type="noConversion"/>
  </si>
  <si>
    <t>29.8</t>
    <phoneticPr fontId="1" type="noConversion"/>
  </si>
  <si>
    <t>電子秤</t>
    <phoneticPr fontId="1" type="noConversion"/>
  </si>
  <si>
    <t>A128461593</t>
    <phoneticPr fontId="1" type="noConversion"/>
  </si>
  <si>
    <t>電子零組件代理</t>
    <phoneticPr fontId="1" type="noConversion"/>
  </si>
  <si>
    <t>18</t>
    <phoneticPr fontId="1" type="noConversion"/>
  </si>
  <si>
    <t>7.76</t>
    <phoneticPr fontId="1" type="noConversion"/>
  </si>
  <si>
    <t>8.67</t>
    <phoneticPr fontId="1" type="noConversion"/>
  </si>
  <si>
    <t>16.3</t>
    <phoneticPr fontId="1" type="noConversion"/>
  </si>
  <si>
    <t>活塞汽車鍛件</t>
    <phoneticPr fontId="1" type="noConversion"/>
  </si>
  <si>
    <t>59.1</t>
    <phoneticPr fontId="1" type="noConversion"/>
  </si>
  <si>
    <t>94.1</t>
    <phoneticPr fontId="1" type="noConversion"/>
  </si>
  <si>
    <t>6.95</t>
    <phoneticPr fontId="1" type="noConversion"/>
  </si>
  <si>
    <t>55.3</t>
    <phoneticPr fontId="1" type="noConversion"/>
  </si>
  <si>
    <t>股3消</t>
    <phoneticPr fontId="1" type="noConversion"/>
  </si>
  <si>
    <t>8.53</t>
    <phoneticPr fontId="1" type="noConversion"/>
  </si>
  <si>
    <t>7.46</t>
    <phoneticPr fontId="1" type="noConversion"/>
  </si>
  <si>
    <t>光隆精密KY</t>
    <phoneticPr fontId="1" type="noConversion"/>
  </si>
  <si>
    <t>36.2</t>
    <phoneticPr fontId="1" type="noConversion"/>
  </si>
  <si>
    <t>195</t>
    <phoneticPr fontId="1" type="noConversion"/>
  </si>
  <si>
    <t>31.6</t>
    <phoneticPr fontId="1" type="noConversion"/>
  </si>
  <si>
    <t>30.1</t>
    <phoneticPr fontId="1" type="noConversion"/>
  </si>
  <si>
    <t>1497</t>
    <phoneticPr fontId="1" type="noConversion"/>
  </si>
  <si>
    <t>1302</t>
    <phoneticPr fontId="1" type="noConversion"/>
  </si>
  <si>
    <t>1127</t>
    <phoneticPr fontId="1" type="noConversion"/>
  </si>
  <si>
    <t>217</t>
    <phoneticPr fontId="1" type="noConversion"/>
  </si>
  <si>
    <t>30.5</t>
    <phoneticPr fontId="1" type="noConversion"/>
  </si>
  <si>
    <t>-2.11</t>
    <phoneticPr fontId="1" type="noConversion"/>
  </si>
  <si>
    <t>-18</t>
    <phoneticPr fontId="1" type="noConversion"/>
  </si>
  <si>
    <t>23.7</t>
    <phoneticPr fontId="1" type="noConversion"/>
  </si>
  <si>
    <t>30.6</t>
    <phoneticPr fontId="1" type="noConversion"/>
  </si>
  <si>
    <t>20.4</t>
    <phoneticPr fontId="1" type="noConversion"/>
  </si>
  <si>
    <t>製程設備真空元件供應商台大</t>
    <phoneticPr fontId="1" type="noConversion"/>
  </si>
  <si>
    <t>藥品經銷物流佳醫旗下</t>
    <phoneticPr fontId="1" type="noConversion"/>
  </si>
  <si>
    <t>三竹</t>
    <phoneticPr fontId="1" type="noConversion"/>
  </si>
  <si>
    <t>金融服務軟體</t>
    <phoneticPr fontId="1" type="noConversion"/>
  </si>
  <si>
    <t>基亞旗下腸病毒流感疫苗</t>
    <phoneticPr fontId="1" type="noConversion"/>
  </si>
  <si>
    <t>永固KY</t>
    <phoneticPr fontId="1" type="noConversion"/>
  </si>
  <si>
    <t>26.8</t>
    <phoneticPr fontId="1" type="noConversion"/>
  </si>
  <si>
    <t>19.8</t>
    <phoneticPr fontId="1" type="noConversion"/>
  </si>
  <si>
    <t>235</t>
    <phoneticPr fontId="1" type="noConversion"/>
  </si>
  <si>
    <t>6.61</t>
    <phoneticPr fontId="1" type="noConversion"/>
  </si>
  <si>
    <t>5.87</t>
    <phoneticPr fontId="1" type="noConversion"/>
  </si>
  <si>
    <t>連接器</t>
    <phoneticPr fontId="1" type="noConversion"/>
  </si>
  <si>
    <t>4.69</t>
    <phoneticPr fontId="1" type="noConversion"/>
  </si>
  <si>
    <t>安碁資訊</t>
    <phoneticPr fontId="1" type="noConversion"/>
  </si>
  <si>
    <t>安全管理宏碁旗下</t>
    <phoneticPr fontId="1" type="noConversion"/>
  </si>
  <si>
    <t>PCB全前3華新旗下</t>
    <phoneticPr fontId="1" type="noConversion"/>
  </si>
  <si>
    <t>30.33</t>
    <phoneticPr fontId="1" type="noConversion"/>
  </si>
  <si>
    <t>6.92</t>
    <phoneticPr fontId="1" type="noConversion"/>
  </si>
  <si>
    <t>25.5</t>
    <phoneticPr fontId="1" type="noConversion"/>
  </si>
  <si>
    <t>53.28</t>
    <phoneticPr fontId="1" type="noConversion"/>
  </si>
  <si>
    <t>57.56</t>
    <phoneticPr fontId="1" type="noConversion"/>
  </si>
  <si>
    <t>3.46</t>
    <phoneticPr fontId="1" type="noConversion"/>
  </si>
  <si>
    <t>398</t>
    <phoneticPr fontId="1" type="noConversion"/>
  </si>
  <si>
    <t>66.9</t>
    <phoneticPr fontId="1" type="noConversion"/>
  </si>
  <si>
    <t>7.67</t>
    <phoneticPr fontId="1" type="noConversion"/>
  </si>
  <si>
    <t>預拌混凝土重慶</t>
    <phoneticPr fontId="1" type="noConversion"/>
  </si>
  <si>
    <t>5月20年</t>
    <phoneticPr fontId="1" type="noConversion"/>
  </si>
  <si>
    <t>4.42</t>
    <phoneticPr fontId="1" type="noConversion"/>
  </si>
  <si>
    <t>4.89</t>
    <phoneticPr fontId="1" type="noConversion"/>
  </si>
  <si>
    <t>-13.04</t>
    <phoneticPr fontId="1" type="noConversion"/>
  </si>
  <si>
    <t>-13.04</t>
    <phoneticPr fontId="1" type="noConversion"/>
  </si>
  <si>
    <t>昇佳電子</t>
    <phoneticPr fontId="1" type="noConversion"/>
  </si>
  <si>
    <t>4.63</t>
    <phoneticPr fontId="1" type="noConversion"/>
  </si>
  <si>
    <t>3.89</t>
    <phoneticPr fontId="1" type="noConversion"/>
  </si>
  <si>
    <t>ABC-KY</t>
    <phoneticPr fontId="1" type="noConversion"/>
  </si>
  <si>
    <t>醫療檢測宏碁旗下</t>
    <phoneticPr fontId="1" type="noConversion"/>
  </si>
  <si>
    <t>52.8</t>
    <phoneticPr fontId="1" type="noConversion"/>
  </si>
  <si>
    <t>台驊投控</t>
    <phoneticPr fontId="1" type="noConversion"/>
  </si>
  <si>
    <t>42.1</t>
    <phoneticPr fontId="1" type="noConversion"/>
  </si>
  <si>
    <t>嘉基</t>
    <phoneticPr fontId="1" type="noConversion"/>
  </si>
  <si>
    <t>連接線嘉澤轉投資</t>
    <phoneticPr fontId="1" type="noConversion"/>
  </si>
  <si>
    <t>IC記憶體</t>
    <phoneticPr fontId="1" type="noConversion"/>
  </si>
  <si>
    <t>IC消費性</t>
    <phoneticPr fontId="1" type="noConversion"/>
  </si>
  <si>
    <t>4.14</t>
    <phoneticPr fontId="1" type="noConversion"/>
  </si>
  <si>
    <t>感測器IC矽創旗下</t>
    <phoneticPr fontId="1" type="noConversion"/>
  </si>
  <si>
    <t>59.64</t>
    <phoneticPr fontId="1" type="noConversion"/>
  </si>
  <si>
    <t>140.6</t>
    <phoneticPr fontId="1" type="noConversion"/>
  </si>
  <si>
    <t>31.1</t>
    <phoneticPr fontId="1" type="noConversion"/>
  </si>
  <si>
    <t>3.33</t>
    <phoneticPr fontId="1" type="noConversion"/>
  </si>
  <si>
    <t>89</t>
    <phoneticPr fontId="1" type="noConversion"/>
  </si>
  <si>
    <t>28.5</t>
    <phoneticPr fontId="1" type="noConversion"/>
  </si>
  <si>
    <t>太陽能矽晶圓台第3轉投資碩禾</t>
    <phoneticPr fontId="1" type="noConversion"/>
  </si>
  <si>
    <t>工業電腦華碩旗下</t>
    <phoneticPr fontId="1" type="noConversion"/>
  </si>
  <si>
    <t>東典</t>
    <phoneticPr fontId="1" type="noConversion"/>
  </si>
  <si>
    <t>東典光電</t>
    <phoneticPr fontId="1" type="noConversion"/>
  </si>
  <si>
    <t>光通訊濾光片東鹹旗下</t>
    <phoneticPr fontId="1" type="noConversion"/>
  </si>
  <si>
    <t>9.69</t>
    <phoneticPr fontId="1" type="noConversion"/>
  </si>
  <si>
    <t>8.4</t>
    <phoneticPr fontId="1" type="noConversion"/>
  </si>
  <si>
    <t>122.1</t>
    <phoneticPr fontId="1" type="noConversion"/>
  </si>
  <si>
    <t>32.5</t>
    <phoneticPr fontId="1" type="noConversion"/>
  </si>
  <si>
    <t>50.4</t>
    <phoneticPr fontId="1" type="noConversion"/>
  </si>
  <si>
    <t>6.54</t>
    <phoneticPr fontId="1" type="noConversion"/>
  </si>
  <si>
    <t>15.63</t>
    <phoneticPr fontId="1" type="noConversion"/>
  </si>
  <si>
    <t>6.66</t>
    <phoneticPr fontId="1" type="noConversion"/>
  </si>
  <si>
    <t>18.7</t>
    <phoneticPr fontId="1" type="noConversion"/>
  </si>
  <si>
    <t>3.41</t>
    <phoneticPr fontId="1" type="noConversion"/>
  </si>
  <si>
    <t>航空器修護</t>
    <phoneticPr fontId="1" type="noConversion"/>
  </si>
  <si>
    <t>4.59</t>
    <phoneticPr fontId="1" type="noConversion"/>
  </si>
  <si>
    <t>9.49</t>
    <phoneticPr fontId="1" type="noConversion"/>
  </si>
  <si>
    <t>4.06</t>
    <phoneticPr fontId="1" type="noConversion"/>
  </si>
  <si>
    <t>185</t>
    <phoneticPr fontId="1" type="noConversion"/>
  </si>
  <si>
    <t>9.66</t>
    <phoneticPr fontId="1" type="noConversion"/>
  </si>
  <si>
    <t>氣壓零組件</t>
    <phoneticPr fontId="1" type="noConversion"/>
  </si>
  <si>
    <t>76.1</t>
    <phoneticPr fontId="1" type="noConversion"/>
  </si>
  <si>
    <t>11.4</t>
    <phoneticPr fontId="1" type="noConversion"/>
  </si>
  <si>
    <t>8.07</t>
    <phoneticPr fontId="1" type="noConversion"/>
  </si>
  <si>
    <t>146</t>
    <phoneticPr fontId="1" type="noConversion"/>
  </si>
  <si>
    <t>電子代工金仁寶旗下</t>
    <phoneticPr fontId="1" type="noConversion"/>
  </si>
  <si>
    <t>4.51</t>
    <phoneticPr fontId="1" type="noConversion"/>
  </si>
  <si>
    <t>12.0</t>
    <phoneticPr fontId="1" type="noConversion"/>
  </si>
  <si>
    <t>78.1</t>
    <phoneticPr fontId="1" type="noConversion"/>
  </si>
  <si>
    <t>10.34</t>
    <phoneticPr fontId="1" type="noConversion"/>
  </si>
  <si>
    <t>泰式料理</t>
    <phoneticPr fontId="1" type="noConversion"/>
  </si>
  <si>
    <t>56.8</t>
    <phoneticPr fontId="1" type="noConversion"/>
  </si>
  <si>
    <t>功能鞋</t>
    <phoneticPr fontId="1" type="noConversion"/>
  </si>
  <si>
    <t>7.27</t>
    <phoneticPr fontId="1" type="noConversion"/>
  </si>
  <si>
    <t>19.1</t>
    <phoneticPr fontId="1" type="noConversion"/>
  </si>
  <si>
    <t>類比電源管理IC</t>
    <phoneticPr fontId="1" type="noConversion"/>
  </si>
  <si>
    <t>NB樞紐全大</t>
    <phoneticPr fontId="1" type="noConversion"/>
  </si>
  <si>
    <t>58.9</t>
    <phoneticPr fontId="1" type="noConversion"/>
  </si>
  <si>
    <t>6104</t>
    <phoneticPr fontId="1" type="noConversion"/>
  </si>
  <si>
    <t>太陽能電池</t>
    <phoneticPr fontId="1" type="noConversion"/>
  </si>
  <si>
    <t>汽電共生</t>
    <phoneticPr fontId="1" type="noConversion"/>
  </si>
  <si>
    <t>光罩載具</t>
    <phoneticPr fontId="1" type="noConversion"/>
  </si>
  <si>
    <t>4.23</t>
    <phoneticPr fontId="1" type="noConversion"/>
  </si>
  <si>
    <t>預拌混凝土</t>
    <phoneticPr fontId="1" type="noConversion"/>
  </si>
  <si>
    <t>軟體緯創旗下</t>
    <phoneticPr fontId="1" type="noConversion"/>
  </si>
  <si>
    <t>1283</t>
    <phoneticPr fontId="1" type="noConversion"/>
  </si>
  <si>
    <t>3014</t>
    <phoneticPr fontId="1" type="noConversion"/>
  </si>
  <si>
    <t>匯僑設計</t>
    <phoneticPr fontId="1" type="noConversion"/>
  </si>
  <si>
    <t>其他</t>
    <phoneticPr fontId="1" type="noConversion"/>
  </si>
  <si>
    <t>室內設計</t>
    <phoneticPr fontId="1" type="noConversion"/>
  </si>
  <si>
    <t>9.01</t>
    <phoneticPr fontId="1" type="noConversion"/>
  </si>
  <si>
    <t>建商台鐵高鐵捷運沿線</t>
    <phoneticPr fontId="1" type="noConversion"/>
  </si>
  <si>
    <t>196</t>
    <phoneticPr fontId="1" type="noConversion"/>
  </si>
  <si>
    <t>34.4</t>
    <phoneticPr fontId="1" type="noConversion"/>
  </si>
  <si>
    <t>19.2</t>
    <phoneticPr fontId="1" type="noConversion"/>
  </si>
  <si>
    <t>艾姆勒</t>
    <phoneticPr fontId="1" type="noConversion"/>
  </si>
  <si>
    <t>Samsung代理</t>
    <phoneticPr fontId="1" type="noConversion"/>
  </si>
  <si>
    <t>運動器材零件</t>
    <phoneticPr fontId="1" type="noConversion"/>
  </si>
  <si>
    <t>120</t>
    <phoneticPr fontId="1" type="noConversion"/>
  </si>
  <si>
    <t>82.7</t>
    <phoneticPr fontId="1" type="noConversion"/>
  </si>
  <si>
    <t>金屬2次加工</t>
    <phoneticPr fontId="1" type="noConversion"/>
  </si>
  <si>
    <t>19.6</t>
    <phoneticPr fontId="1" type="noConversion"/>
  </si>
  <si>
    <t>161</t>
    <phoneticPr fontId="1" type="noConversion"/>
  </si>
  <si>
    <t>鋁質電容被動元件</t>
    <phoneticPr fontId="1" type="noConversion"/>
  </si>
  <si>
    <t>塑膠模具</t>
    <phoneticPr fontId="1" type="noConversion"/>
  </si>
  <si>
    <t>電動車逆變器散熱</t>
    <phoneticPr fontId="1" type="noConversion"/>
  </si>
  <si>
    <t>8.69</t>
    <phoneticPr fontId="1" type="noConversion"/>
  </si>
  <si>
    <t>6558</t>
    <phoneticPr fontId="1" type="noConversion"/>
  </si>
  <si>
    <t>穿戴式鋰電池</t>
    <phoneticPr fontId="1" type="noConversion"/>
  </si>
  <si>
    <t>72.7</t>
    <phoneticPr fontId="1" type="noConversion"/>
  </si>
  <si>
    <t>8.74</t>
    <phoneticPr fontId="1" type="noConversion"/>
  </si>
  <si>
    <t>14.0</t>
    <phoneticPr fontId="1" type="noConversion"/>
  </si>
  <si>
    <t>健身器材</t>
    <phoneticPr fontId="1" type="noConversion"/>
  </si>
  <si>
    <t>13.0</t>
    <phoneticPr fontId="1" type="noConversion"/>
  </si>
  <si>
    <t>26.1</t>
    <phoneticPr fontId="1" type="noConversion"/>
  </si>
  <si>
    <t>電力變壓器</t>
    <phoneticPr fontId="1" type="noConversion"/>
  </si>
  <si>
    <t>33.2</t>
    <phoneticPr fontId="1" type="noConversion"/>
  </si>
  <si>
    <t>7.84</t>
    <phoneticPr fontId="1" type="noConversion"/>
  </si>
  <si>
    <t>21.1</t>
    <phoneticPr fontId="1" type="noConversion"/>
  </si>
  <si>
    <t>55.9</t>
    <phoneticPr fontId="1" type="noConversion"/>
  </si>
  <si>
    <t>167</t>
    <phoneticPr fontId="1" type="noConversion"/>
  </si>
  <si>
    <t>25.56</t>
    <phoneticPr fontId="1" type="noConversion"/>
  </si>
  <si>
    <t>49.0</t>
    <phoneticPr fontId="1" type="noConversion"/>
  </si>
  <si>
    <t>2020年8月16日設魚缸</t>
    <phoneticPr fontId="1" type="noConversion"/>
  </si>
  <si>
    <t>微型泵浦</t>
    <phoneticPr fontId="1" type="noConversion"/>
  </si>
  <si>
    <t>3.95</t>
    <phoneticPr fontId="1" type="noConversion"/>
  </si>
  <si>
    <t>29.6</t>
    <phoneticPr fontId="1" type="noConversion"/>
  </si>
  <si>
    <t>半導體測試聯電旗下</t>
    <phoneticPr fontId="1" type="noConversion"/>
  </si>
  <si>
    <t>46.7</t>
    <phoneticPr fontId="1" type="noConversion"/>
  </si>
  <si>
    <t>3.73</t>
    <phoneticPr fontId="1" type="noConversion"/>
  </si>
  <si>
    <t>演唱會</t>
    <phoneticPr fontId="1" type="noConversion"/>
  </si>
  <si>
    <t>30.43</t>
    <phoneticPr fontId="1" type="noConversion"/>
  </si>
  <si>
    <t>12.65</t>
    <phoneticPr fontId="1" type="noConversion"/>
  </si>
  <si>
    <t>齒輪</t>
    <phoneticPr fontId="1" type="noConversion"/>
  </si>
  <si>
    <t>42.5</t>
    <phoneticPr fontId="1" type="noConversion"/>
  </si>
  <si>
    <t>20.0</t>
    <phoneticPr fontId="1" type="noConversion"/>
  </si>
  <si>
    <t>25.7</t>
    <phoneticPr fontId="1" type="noConversion"/>
  </si>
  <si>
    <t>建築統包</t>
    <phoneticPr fontId="1" type="noConversion"/>
  </si>
  <si>
    <t>太陽能電池遠雄轉投資</t>
    <phoneticPr fontId="1" type="noConversion"/>
  </si>
  <si>
    <t>52.1</t>
    <phoneticPr fontId="1" type="noConversion"/>
  </si>
  <si>
    <t>電機仰德旗下</t>
    <phoneticPr fontId="1" type="noConversion"/>
  </si>
  <si>
    <t>證券</t>
    <phoneticPr fontId="1" type="noConversion"/>
  </si>
  <si>
    <t>聚光片光群雷轉投資</t>
    <phoneticPr fontId="1" type="noConversion"/>
  </si>
  <si>
    <t>PC散熱風扇</t>
    <phoneticPr fontId="1" type="noConversion"/>
  </si>
  <si>
    <t>32.0</t>
    <phoneticPr fontId="1" type="noConversion"/>
  </si>
  <si>
    <t>汽車結構件</t>
    <phoneticPr fontId="1" type="noConversion"/>
  </si>
  <si>
    <t>37.27</t>
    <phoneticPr fontId="1" type="noConversion"/>
  </si>
  <si>
    <t>8.45</t>
    <phoneticPr fontId="1" type="noConversion"/>
  </si>
  <si>
    <t>37.6</t>
    <phoneticPr fontId="1" type="noConversion"/>
  </si>
  <si>
    <t>562</t>
    <phoneticPr fontId="1" type="noConversion"/>
  </si>
  <si>
    <t>滾珠螺桿全3</t>
    <phoneticPr fontId="1" type="noConversion"/>
  </si>
  <si>
    <t>材料驗證</t>
    <phoneticPr fontId="1" type="noConversion"/>
  </si>
  <si>
    <t>8.97</t>
    <phoneticPr fontId="1" type="noConversion"/>
  </si>
  <si>
    <t>6.6</t>
    <phoneticPr fontId="1" type="noConversion"/>
  </si>
  <si>
    <t>112</t>
    <phoneticPr fontId="1" type="noConversion"/>
  </si>
  <si>
    <t>35.8</t>
    <phoneticPr fontId="1" type="noConversion"/>
  </si>
  <si>
    <t>聚酯加工絲台10大</t>
    <phoneticPr fontId="1" type="noConversion"/>
  </si>
  <si>
    <t>32.1</t>
    <phoneticPr fontId="1" type="noConversion"/>
  </si>
  <si>
    <t>不鏽鋼加工</t>
    <phoneticPr fontId="1" type="noConversion"/>
  </si>
  <si>
    <t>1.33</t>
    <phoneticPr fontId="1" type="noConversion"/>
  </si>
  <si>
    <t>8.51</t>
    <phoneticPr fontId="1" type="noConversion"/>
  </si>
  <si>
    <t>124</t>
    <phoneticPr fontId="1" type="noConversion"/>
  </si>
  <si>
    <t>4.44</t>
    <phoneticPr fontId="1" type="noConversion"/>
  </si>
  <si>
    <t>45.0</t>
    <phoneticPr fontId="1" type="noConversion"/>
  </si>
  <si>
    <t>8.78</t>
    <phoneticPr fontId="1" type="noConversion"/>
  </si>
  <si>
    <t>309</t>
    <phoneticPr fontId="1" type="noConversion"/>
  </si>
  <si>
    <t>15.7</t>
    <phoneticPr fontId="1" type="noConversion"/>
  </si>
  <si>
    <t>亞洲藏壽司</t>
    <phoneticPr fontId="1" type="noConversion"/>
  </si>
  <si>
    <t>迴轉壽司</t>
    <phoneticPr fontId="1" type="noConversion"/>
  </si>
  <si>
    <t>27.3</t>
    <phoneticPr fontId="1" type="noConversion"/>
  </si>
  <si>
    <t>10.0</t>
    <phoneticPr fontId="1" type="noConversion"/>
  </si>
  <si>
    <t>資安軟硬體</t>
    <phoneticPr fontId="1" type="noConversion"/>
  </si>
  <si>
    <t>再生晶圓</t>
    <phoneticPr fontId="1" type="noConversion"/>
  </si>
  <si>
    <t>58.2</t>
    <phoneticPr fontId="1" type="noConversion"/>
  </si>
  <si>
    <t>88.1</t>
    <phoneticPr fontId="1" type="noConversion"/>
  </si>
  <si>
    <t>1785</t>
    <phoneticPr fontId="1" type="noConversion"/>
  </si>
  <si>
    <t>康全電訊</t>
    <phoneticPr fontId="1" type="noConversion"/>
  </si>
  <si>
    <t>網路設備訊舟轉投資</t>
    <phoneticPr fontId="1" type="noConversion"/>
  </si>
  <si>
    <t>砷化鎵射頻IC</t>
    <phoneticPr fontId="1" type="noConversion"/>
  </si>
  <si>
    <t>18.0</t>
    <phoneticPr fontId="1" type="noConversion"/>
  </si>
  <si>
    <t>27.6</t>
    <phoneticPr fontId="1" type="noConversion"/>
  </si>
  <si>
    <t>85度C</t>
    <phoneticPr fontId="1" type="noConversion"/>
  </si>
  <si>
    <t>2.36</t>
    <phoneticPr fontId="1" type="noConversion"/>
  </si>
  <si>
    <t>748</t>
    <phoneticPr fontId="1" type="noConversion"/>
  </si>
  <si>
    <t>2.83</t>
    <phoneticPr fontId="1" type="noConversion"/>
  </si>
  <si>
    <t>遊戲智冠旗下</t>
    <phoneticPr fontId="1" type="noConversion"/>
  </si>
  <si>
    <t>42.0</t>
    <phoneticPr fontId="1" type="noConversion"/>
  </si>
  <si>
    <t>29.0</t>
    <phoneticPr fontId="1" type="noConversion"/>
  </si>
  <si>
    <t>建商</t>
    <phoneticPr fontId="1" type="noConversion"/>
  </si>
  <si>
    <t>98.0</t>
    <phoneticPr fontId="1" type="noConversion"/>
  </si>
  <si>
    <t>6.24</t>
    <phoneticPr fontId="1" type="noConversion"/>
  </si>
  <si>
    <t>電子詞典英業達旗下</t>
    <phoneticPr fontId="1" type="noConversion"/>
  </si>
  <si>
    <t>1285</t>
    <phoneticPr fontId="1" type="noConversion"/>
  </si>
  <si>
    <t>90.9</t>
    <phoneticPr fontId="1" type="noConversion"/>
  </si>
  <si>
    <t>344</t>
    <phoneticPr fontId="1" type="noConversion"/>
  </si>
  <si>
    <t>海運物流</t>
    <phoneticPr fontId="1" type="noConversion"/>
  </si>
  <si>
    <t>散裝船</t>
    <phoneticPr fontId="1" type="noConversion"/>
  </si>
  <si>
    <t>票券證劵</t>
    <phoneticPr fontId="1" type="noConversion"/>
  </si>
  <si>
    <t>營建地產遠雄集團</t>
    <phoneticPr fontId="1" type="noConversion"/>
  </si>
  <si>
    <t>19.0</t>
    <phoneticPr fontId="1" type="noConversion"/>
  </si>
  <si>
    <t>96.4</t>
    <phoneticPr fontId="1" type="noConversion"/>
  </si>
  <si>
    <t>97.5</t>
    <phoneticPr fontId="1" type="noConversion"/>
  </si>
  <si>
    <t>太陽能電池廣運轉投資</t>
    <phoneticPr fontId="1" type="noConversion"/>
  </si>
  <si>
    <t>1333</t>
    <phoneticPr fontId="1" type="noConversion"/>
  </si>
  <si>
    <t>8.10</t>
    <phoneticPr fontId="1" type="noConversion"/>
  </si>
  <si>
    <t>15.5</t>
    <phoneticPr fontId="1" type="noConversion"/>
  </si>
  <si>
    <t>38.4</t>
    <phoneticPr fontId="1" type="noConversion"/>
  </si>
  <si>
    <t>織染布</t>
    <phoneticPr fontId="1" type="noConversion"/>
  </si>
  <si>
    <t>牛仔成衣</t>
    <phoneticPr fontId="1" type="noConversion"/>
  </si>
  <si>
    <t>77.4</t>
    <phoneticPr fontId="1" type="noConversion"/>
  </si>
  <si>
    <t>水泥通路</t>
    <phoneticPr fontId="1" type="noConversion"/>
  </si>
  <si>
    <t>票券</t>
    <phoneticPr fontId="1" type="noConversion"/>
  </si>
  <si>
    <t>128</t>
    <phoneticPr fontId="1" type="noConversion"/>
  </si>
  <si>
    <t>91.5</t>
    <phoneticPr fontId="1" type="noConversion"/>
  </si>
  <si>
    <t>車用LED</t>
    <phoneticPr fontId="1" type="noConversion"/>
  </si>
  <si>
    <t>41.0</t>
    <phoneticPr fontId="1" type="noConversion"/>
  </si>
  <si>
    <t>73.6</t>
    <phoneticPr fontId="1" type="noConversion"/>
  </si>
  <si>
    <t>79.0</t>
    <phoneticPr fontId="1" type="noConversion"/>
  </si>
  <si>
    <t>9919</t>
    <phoneticPr fontId="1" type="noConversion"/>
  </si>
  <si>
    <t>工業銀行第1家</t>
    <phoneticPr fontId="1" type="noConversion"/>
  </si>
  <si>
    <t>39.3</t>
    <phoneticPr fontId="1" type="noConversion"/>
  </si>
  <si>
    <t>5.64</t>
    <phoneticPr fontId="1" type="noConversion"/>
  </si>
  <si>
    <t>木工具機</t>
    <phoneticPr fontId="1" type="noConversion"/>
  </si>
  <si>
    <t>7.88</t>
    <phoneticPr fontId="1" type="noConversion"/>
  </si>
  <si>
    <t>21.0</t>
    <phoneticPr fontId="1" type="noConversion"/>
  </si>
  <si>
    <t>1.83</t>
    <phoneticPr fontId="1" type="noConversion"/>
  </si>
  <si>
    <t>普鴻</t>
    <phoneticPr fontId="1" type="noConversion"/>
  </si>
  <si>
    <t>金融加密</t>
    <phoneticPr fontId="1" type="noConversion"/>
  </si>
  <si>
    <t>光學鏡頭</t>
    <phoneticPr fontId="1" type="noConversion"/>
  </si>
  <si>
    <t>汎德永業</t>
    <phoneticPr fontId="1" type="noConversion"/>
  </si>
  <si>
    <t>進口車</t>
    <phoneticPr fontId="1" type="noConversion"/>
  </si>
  <si>
    <t>9.02</t>
    <phoneticPr fontId="1" type="noConversion"/>
  </si>
  <si>
    <t>7.50</t>
    <phoneticPr fontId="1" type="noConversion"/>
  </si>
  <si>
    <t>購物中心</t>
    <phoneticPr fontId="1" type="noConversion"/>
  </si>
  <si>
    <t>9.55</t>
    <phoneticPr fontId="1" type="noConversion"/>
  </si>
  <si>
    <t>宅配東元與日本通運合資</t>
    <phoneticPr fontId="1" type="noConversion"/>
  </si>
  <si>
    <t>36.6</t>
    <phoneticPr fontId="1" type="noConversion"/>
  </si>
  <si>
    <t>3.43</t>
    <phoneticPr fontId="1" type="noConversion"/>
  </si>
  <si>
    <t>網路CPU</t>
    <phoneticPr fontId="1" type="noConversion"/>
  </si>
  <si>
    <t>17.7</t>
    <phoneticPr fontId="1" type="noConversion"/>
  </si>
  <si>
    <t>11.0</t>
    <phoneticPr fontId="1" type="noConversion"/>
  </si>
  <si>
    <t>4.33</t>
    <phoneticPr fontId="1" type="noConversion"/>
  </si>
  <si>
    <t>4.72</t>
    <phoneticPr fontId="1" type="noConversion"/>
  </si>
  <si>
    <t>9.97</t>
    <phoneticPr fontId="1" type="noConversion"/>
  </si>
  <si>
    <t>面膜美妝</t>
    <phoneticPr fontId="1" type="noConversion"/>
  </si>
  <si>
    <t>軒郁</t>
    <phoneticPr fontId="1" type="noConversion"/>
  </si>
  <si>
    <t>273</t>
    <phoneticPr fontId="1" type="noConversion"/>
  </si>
  <si>
    <t>45.33</t>
    <phoneticPr fontId="1" type="noConversion"/>
  </si>
  <si>
    <t>8.35</t>
    <phoneticPr fontId="1" type="noConversion"/>
  </si>
  <si>
    <t>82.3</t>
    <phoneticPr fontId="1" type="noConversion"/>
  </si>
  <si>
    <t>大陸建設</t>
    <phoneticPr fontId="1" type="noConversion"/>
  </si>
  <si>
    <t>記憶卡</t>
    <phoneticPr fontId="1" type="noConversion"/>
  </si>
  <si>
    <t>58.61</t>
    <phoneticPr fontId="1" type="noConversion"/>
  </si>
  <si>
    <t>17.23</t>
    <phoneticPr fontId="1" type="noConversion"/>
  </si>
  <si>
    <t>建商甲山林旗下</t>
    <phoneticPr fontId="1" type="noConversion"/>
  </si>
  <si>
    <t>4.70</t>
    <phoneticPr fontId="1" type="noConversion"/>
  </si>
  <si>
    <t>影像處理</t>
    <phoneticPr fontId="1" type="noConversion"/>
  </si>
  <si>
    <t>美妝</t>
    <phoneticPr fontId="1" type="noConversion"/>
  </si>
  <si>
    <t>51.0</t>
    <phoneticPr fontId="1" type="noConversion"/>
  </si>
  <si>
    <t>23.0</t>
    <phoneticPr fontId="1" type="noConversion"/>
  </si>
  <si>
    <t>自由貿易港區海陸空聯運</t>
    <phoneticPr fontId="1" type="noConversion"/>
  </si>
  <si>
    <t>多媒體影音</t>
    <phoneticPr fontId="1" type="noConversion"/>
  </si>
  <si>
    <t>意德士</t>
    <phoneticPr fontId="1" type="noConversion"/>
  </si>
  <si>
    <t>廠務工程製程設備</t>
    <phoneticPr fontId="1" type="noConversion"/>
  </si>
  <si>
    <t>精密零組件材料製程設備</t>
    <phoneticPr fontId="1" type="noConversion"/>
  </si>
  <si>
    <t>28.0</t>
    <phoneticPr fontId="1" type="noConversion"/>
  </si>
  <si>
    <t>4.20</t>
    <phoneticPr fontId="1" type="noConversion"/>
  </si>
  <si>
    <t>7.00</t>
    <phoneticPr fontId="1" type="noConversion"/>
  </si>
  <si>
    <t>9.14</t>
    <phoneticPr fontId="1" type="noConversion"/>
  </si>
  <si>
    <t>16.88</t>
    <phoneticPr fontId="1" type="noConversion"/>
  </si>
  <si>
    <t>24.87</t>
    <phoneticPr fontId="1" type="noConversion"/>
  </si>
  <si>
    <t>傳輸晶片華碩旗下</t>
    <phoneticPr fontId="1" type="noConversion"/>
  </si>
  <si>
    <t>3713</t>
    <phoneticPr fontId="1" type="noConversion"/>
  </si>
  <si>
    <t>新晶投控</t>
    <phoneticPr fontId="1" type="noConversion"/>
  </si>
  <si>
    <t>9.85</t>
    <phoneticPr fontId="1" type="noConversion"/>
  </si>
  <si>
    <t>大潤發潤泰旗下</t>
    <phoneticPr fontId="1" type="noConversion"/>
  </si>
  <si>
    <t>貿易商</t>
    <phoneticPr fontId="1" type="noConversion"/>
  </si>
  <si>
    <t>貨櫃士林旗下</t>
    <phoneticPr fontId="1" type="noConversion"/>
  </si>
  <si>
    <t>5.32</t>
    <phoneticPr fontId="1" type="noConversion"/>
  </si>
  <si>
    <t>7.15</t>
    <phoneticPr fontId="1" type="noConversion"/>
  </si>
  <si>
    <t>LCD明基友達旗下</t>
    <phoneticPr fontId="1" type="noConversion"/>
  </si>
  <si>
    <t>8.08</t>
    <phoneticPr fontId="1" type="noConversion"/>
  </si>
  <si>
    <t>6.00</t>
    <phoneticPr fontId="1" type="noConversion"/>
  </si>
  <si>
    <t>X86IC設計</t>
    <phoneticPr fontId="1" type="noConversion"/>
  </si>
  <si>
    <t>包材炎洲旗下</t>
    <phoneticPr fontId="1" type="noConversion"/>
  </si>
  <si>
    <t>35.0</t>
    <phoneticPr fontId="1" type="noConversion"/>
  </si>
  <si>
    <t>甲級營造</t>
    <phoneticPr fontId="1" type="noConversion"/>
  </si>
  <si>
    <t>20.45</t>
    <phoneticPr fontId="1" type="noConversion"/>
  </si>
  <si>
    <t>21.67</t>
    <phoneticPr fontId="1" type="noConversion"/>
  </si>
  <si>
    <t>26.7</t>
    <phoneticPr fontId="1" type="noConversion"/>
  </si>
  <si>
    <t>5.98</t>
    <phoneticPr fontId="1" type="noConversion"/>
  </si>
  <si>
    <t>13.7</t>
    <phoneticPr fontId="1" type="noConversion"/>
  </si>
  <si>
    <t>銅纜光纜鴻海轉投資</t>
    <phoneticPr fontId="1" type="noConversion"/>
  </si>
  <si>
    <t>24.47</t>
    <phoneticPr fontId="1" type="noConversion"/>
  </si>
  <si>
    <t>3374</t>
    <phoneticPr fontId="1" type="noConversion"/>
  </si>
  <si>
    <t>11.21</t>
    <phoneticPr fontId="1" type="noConversion"/>
  </si>
  <si>
    <t>21.1</t>
    <phoneticPr fontId="1" type="noConversion"/>
  </si>
  <si>
    <t>127</t>
    <phoneticPr fontId="1" type="noConversion"/>
  </si>
  <si>
    <t>33.0</t>
    <phoneticPr fontId="1" type="noConversion"/>
  </si>
  <si>
    <t>7.70</t>
    <phoneticPr fontId="1" type="noConversion"/>
  </si>
  <si>
    <t>陞逹科技</t>
    <phoneticPr fontId="1" type="noConversion"/>
  </si>
  <si>
    <t>4.49</t>
    <phoneticPr fontId="1" type="noConversion"/>
  </si>
  <si>
    <t>娛樂製作台大</t>
    <phoneticPr fontId="1" type="noConversion"/>
  </si>
  <si>
    <t>38.0</t>
    <phoneticPr fontId="1" type="noConversion"/>
  </si>
  <si>
    <t>風扇驅動IC</t>
    <phoneticPr fontId="1" type="noConversion"/>
  </si>
  <si>
    <t>51.6</t>
    <phoneticPr fontId="1" type="noConversion"/>
  </si>
  <si>
    <t>5.91</t>
    <phoneticPr fontId="1" type="noConversion"/>
  </si>
  <si>
    <t>八貫</t>
    <phoneticPr fontId="1" type="noConversion"/>
  </si>
  <si>
    <t>機能性布薄膜</t>
    <phoneticPr fontId="1" type="noConversion"/>
  </si>
  <si>
    <t>63.2</t>
    <phoneticPr fontId="1" type="noConversion"/>
  </si>
  <si>
    <t>5.25</t>
    <phoneticPr fontId="1" type="noConversion"/>
  </si>
  <si>
    <t>32.9</t>
    <phoneticPr fontId="1" type="noConversion"/>
  </si>
  <si>
    <t>28.87</t>
    <phoneticPr fontId="1" type="noConversion"/>
  </si>
  <si>
    <t>新藥新劑型</t>
    <phoneticPr fontId="1" type="noConversion"/>
  </si>
  <si>
    <t>亞泰金屬</t>
    <phoneticPr fontId="1" type="noConversion"/>
  </si>
  <si>
    <t>塗佈設備</t>
    <phoneticPr fontId="1" type="noConversion"/>
  </si>
  <si>
    <t>44.5</t>
    <phoneticPr fontId="1" type="noConversion"/>
  </si>
  <si>
    <t>食品添加劑電子化材</t>
    <phoneticPr fontId="1" type="noConversion"/>
  </si>
  <si>
    <t>3.66</t>
    <phoneticPr fontId="1" type="noConversion"/>
  </si>
  <si>
    <t>97.7</t>
    <phoneticPr fontId="1" type="noConversion"/>
  </si>
  <si>
    <t>15.13</t>
    <phoneticPr fontId="1" type="noConversion"/>
  </si>
  <si>
    <t>37.1</t>
    <phoneticPr fontId="1" type="noConversion"/>
  </si>
  <si>
    <t>44.2</t>
    <phoneticPr fontId="1" type="noConversion"/>
  </si>
  <si>
    <t>車燈</t>
    <phoneticPr fontId="1" type="noConversion"/>
  </si>
  <si>
    <t>PCB華新旗下瀚宇博轉投資</t>
    <phoneticPr fontId="1" type="noConversion"/>
  </si>
  <si>
    <t>6.90</t>
    <phoneticPr fontId="1" type="noConversion"/>
  </si>
  <si>
    <t>19.27</t>
    <phoneticPr fontId="1" type="noConversion"/>
  </si>
  <si>
    <t>10.67</t>
    <phoneticPr fontId="1" type="noConversion"/>
  </si>
  <si>
    <t>26.37</t>
    <phoneticPr fontId="1" type="noConversion"/>
  </si>
  <si>
    <t>電子材料</t>
    <phoneticPr fontId="1" type="noConversion"/>
  </si>
  <si>
    <t>4.55</t>
    <phoneticPr fontId="1" type="noConversion"/>
  </si>
  <si>
    <t>8.95</t>
    <phoneticPr fontId="1" type="noConversion"/>
  </si>
  <si>
    <t>萬年清</t>
    <phoneticPr fontId="1" type="noConversion"/>
  </si>
  <si>
    <t>廢水處理</t>
    <phoneticPr fontId="1" type="noConversion"/>
  </si>
  <si>
    <t>泰金KY</t>
    <phoneticPr fontId="1" type="noConversion"/>
  </si>
  <si>
    <t>3.55</t>
    <phoneticPr fontId="1" type="noConversion"/>
  </si>
  <si>
    <t>家飾鑄件</t>
    <phoneticPr fontId="1" type="noConversion"/>
  </si>
  <si>
    <t>250</t>
    <phoneticPr fontId="1" type="noConversion"/>
  </si>
  <si>
    <t>2.73</t>
    <phoneticPr fontId="1" type="noConversion"/>
  </si>
  <si>
    <t>東捷資訊</t>
    <phoneticPr fontId="1" type="noConversion"/>
  </si>
  <si>
    <t>ERP東元旗下</t>
    <phoneticPr fontId="1" type="noConversion"/>
  </si>
  <si>
    <t>叡揚資訊</t>
    <phoneticPr fontId="1" type="noConversion"/>
  </si>
  <si>
    <t>血壓計全3</t>
    <phoneticPr fontId="1" type="noConversion"/>
  </si>
  <si>
    <t>7.93</t>
    <phoneticPr fontId="1" type="noConversion"/>
  </si>
  <si>
    <t>94.7</t>
    <phoneticPr fontId="1" type="noConversion"/>
  </si>
  <si>
    <t>數位看板緯創轉投資</t>
    <phoneticPr fontId="1" type="noConversion"/>
  </si>
  <si>
    <t>消費IC淩陽轉投資</t>
    <phoneticPr fontId="1" type="noConversion"/>
  </si>
  <si>
    <t>散裝航運</t>
    <phoneticPr fontId="1" type="noConversion"/>
  </si>
  <si>
    <t>21.78</t>
    <phoneticPr fontId="1" type="noConversion"/>
  </si>
  <si>
    <t>網球拍</t>
    <phoneticPr fontId="1" type="noConversion"/>
  </si>
  <si>
    <t>融資裕隆旗下</t>
    <phoneticPr fontId="1" type="noConversion"/>
  </si>
  <si>
    <t>安普新</t>
    <phoneticPr fontId="1" type="noConversion"/>
  </si>
  <si>
    <t>耀登</t>
    <phoneticPr fontId="1" type="noConversion"/>
  </si>
  <si>
    <t>天線儀器代理</t>
    <phoneticPr fontId="1" type="noConversion"/>
  </si>
  <si>
    <t>4.58</t>
    <phoneticPr fontId="1" type="noConversion"/>
  </si>
  <si>
    <t>鑽孔機</t>
    <phoneticPr fontId="1" type="noConversion"/>
  </si>
  <si>
    <t>5.85</t>
    <phoneticPr fontId="1" type="noConversion"/>
  </si>
  <si>
    <t>34.09</t>
    <phoneticPr fontId="1" type="noConversion"/>
  </si>
  <si>
    <t>揚秦</t>
    <phoneticPr fontId="1" type="noConversion"/>
  </si>
  <si>
    <t>麥味登</t>
    <phoneticPr fontId="1" type="noConversion"/>
  </si>
  <si>
    <t>52.0</t>
    <phoneticPr fontId="1" type="noConversion"/>
  </si>
  <si>
    <t>建商聨上旗下</t>
    <phoneticPr fontId="1" type="noConversion"/>
  </si>
  <si>
    <t>58.72</t>
    <phoneticPr fontId="1" type="noConversion"/>
  </si>
  <si>
    <t>逹亞</t>
    <phoneticPr fontId="1" type="noConversion"/>
  </si>
  <si>
    <t>415</t>
    <phoneticPr fontId="1" type="noConversion"/>
  </si>
  <si>
    <t>耳機</t>
    <phoneticPr fontId="1" type="noConversion"/>
  </si>
  <si>
    <t>企業e化</t>
    <phoneticPr fontId="1" type="noConversion"/>
  </si>
  <si>
    <t>醫療器材益安旗下</t>
    <phoneticPr fontId="1" type="noConversion"/>
  </si>
  <si>
    <t>24.2</t>
    <phoneticPr fontId="1" type="noConversion"/>
  </si>
  <si>
    <t>相機鏡片</t>
    <phoneticPr fontId="1" type="noConversion"/>
  </si>
  <si>
    <t>8.46</t>
    <phoneticPr fontId="1" type="noConversion"/>
  </si>
  <si>
    <t>電腦機殼電源供應器</t>
    <phoneticPr fontId="1" type="noConversion"/>
  </si>
  <si>
    <t>免疫癌症</t>
    <phoneticPr fontId="1" type="noConversion"/>
  </si>
  <si>
    <t>9.11</t>
    <phoneticPr fontId="1" type="noConversion"/>
  </si>
  <si>
    <t>8.21</t>
    <phoneticPr fontId="1" type="noConversion"/>
  </si>
  <si>
    <t>空氣壓縮機</t>
    <phoneticPr fontId="1" type="noConversion"/>
  </si>
  <si>
    <t>7.30</t>
    <phoneticPr fontId="1" type="noConversion"/>
  </si>
  <si>
    <t>記憶體IC</t>
    <phoneticPr fontId="1" type="noConversion"/>
  </si>
  <si>
    <t>4.50</t>
    <phoneticPr fontId="1" type="noConversion"/>
  </si>
  <si>
    <t>89.1</t>
    <phoneticPr fontId="1" type="noConversion"/>
  </si>
  <si>
    <t>30.38</t>
    <phoneticPr fontId="1" type="noConversion"/>
  </si>
  <si>
    <t>2.1</t>
    <phoneticPr fontId="1" type="noConversion"/>
  </si>
  <si>
    <t>威鋒電子</t>
    <phoneticPr fontId="1" type="noConversion"/>
  </si>
  <si>
    <t>USB晶片威盛旗下</t>
    <phoneticPr fontId="1" type="noConversion"/>
  </si>
  <si>
    <t>5.68</t>
    <phoneticPr fontId="1" type="noConversion"/>
  </si>
  <si>
    <t>影音訊號台大</t>
    <phoneticPr fontId="1" type="noConversion"/>
  </si>
  <si>
    <t>工業紙台3大</t>
    <phoneticPr fontId="1" type="noConversion"/>
  </si>
  <si>
    <t>車載影音</t>
    <phoneticPr fontId="1" type="noConversion"/>
  </si>
  <si>
    <t>30.77</t>
    <phoneticPr fontId="1" type="noConversion"/>
  </si>
  <si>
    <t>智聯服務</t>
    <phoneticPr fontId="1" type="noConversion"/>
  </si>
  <si>
    <t>IT服務宏碁旗下</t>
    <phoneticPr fontId="1" type="noConversion"/>
  </si>
  <si>
    <t>上洋</t>
    <phoneticPr fontId="1" type="noConversion"/>
  </si>
  <si>
    <t>商用洗衣機</t>
    <phoneticPr fontId="1" type="noConversion"/>
  </si>
  <si>
    <t>2.00</t>
    <phoneticPr fontId="1" type="noConversion"/>
  </si>
  <si>
    <t>2.71</t>
    <phoneticPr fontId="1" type="noConversion"/>
  </si>
  <si>
    <t>資訊工程中鼎旗下</t>
    <phoneticPr fontId="1" type="noConversion"/>
  </si>
  <si>
    <t>網路IC聯電旗下</t>
    <phoneticPr fontId="1" type="noConversion"/>
  </si>
  <si>
    <t>18.82</t>
    <phoneticPr fontId="1" type="noConversion"/>
  </si>
  <si>
    <t>STN IC元太轉投資</t>
    <phoneticPr fontId="1" type="noConversion"/>
  </si>
  <si>
    <t>14.67</t>
    <phoneticPr fontId="1" type="noConversion"/>
  </si>
  <si>
    <t>靜電IC</t>
    <phoneticPr fontId="1" type="noConversion"/>
  </si>
  <si>
    <t>8.00</t>
    <phoneticPr fontId="1" type="noConversion"/>
  </si>
  <si>
    <t>不鏽鋼管亞大</t>
    <phoneticPr fontId="1" type="noConversion"/>
  </si>
  <si>
    <t>40.1</t>
    <phoneticPr fontId="1" type="noConversion"/>
  </si>
  <si>
    <t>飲料酒品</t>
    <phoneticPr fontId="1" type="noConversion"/>
  </si>
  <si>
    <t>新藥晟德旗下</t>
    <phoneticPr fontId="1" type="noConversion"/>
  </si>
  <si>
    <t>成分</t>
    <phoneticPr fontId="1" type="noConversion"/>
  </si>
  <si>
    <t>類股</t>
    <phoneticPr fontId="1" type="noConversion"/>
  </si>
  <si>
    <t>1</t>
    <phoneticPr fontId="35" type="noConversion"/>
  </si>
  <si>
    <t>8.68</t>
    <phoneticPr fontId="1" type="noConversion"/>
  </si>
  <si>
    <t>-0.18</t>
    <phoneticPr fontId="1" type="noConversion"/>
  </si>
  <si>
    <t>5.86</t>
    <phoneticPr fontId="1" type="noConversion"/>
  </si>
  <si>
    <t>再生晶圓設備搶弘塑訂單</t>
    <phoneticPr fontId="1" type="noConversion"/>
  </si>
  <si>
    <t>前7大壽險三商集團旗下</t>
    <phoneticPr fontId="1" type="noConversion"/>
  </si>
  <si>
    <t>汽車扣件</t>
    <phoneticPr fontId="1" type="noConversion"/>
  </si>
  <si>
    <t>CNC加工機</t>
    <phoneticPr fontId="1" type="noConversion"/>
  </si>
  <si>
    <t>16.0</t>
    <phoneticPr fontId="1" type="noConversion"/>
  </si>
  <si>
    <t>1536</t>
    <phoneticPr fontId="1" type="noConversion"/>
  </si>
  <si>
    <t>2.07</t>
    <phoneticPr fontId="1" type="noConversion"/>
  </si>
  <si>
    <t>5.72</t>
    <phoneticPr fontId="1" type="noConversion"/>
  </si>
  <si>
    <t>3.80</t>
    <phoneticPr fontId="1" type="noConversion"/>
  </si>
  <si>
    <t>BIOS</t>
    <phoneticPr fontId="1" type="noConversion"/>
  </si>
  <si>
    <t>5.39</t>
    <phoneticPr fontId="1" type="noConversion"/>
  </si>
  <si>
    <t>8.16</t>
    <phoneticPr fontId="1" type="noConversion"/>
  </si>
  <si>
    <t>胎壓偵測</t>
    <phoneticPr fontId="1" type="noConversion"/>
  </si>
  <si>
    <t>磊晶</t>
    <phoneticPr fontId="1" type="noConversion"/>
  </si>
  <si>
    <t>EUV設備</t>
    <phoneticPr fontId="1" type="noConversion"/>
  </si>
  <si>
    <t>包袋</t>
    <phoneticPr fontId="1" type="noConversion"/>
  </si>
  <si>
    <t>太陽能矽晶園</t>
    <phoneticPr fontId="1" type="noConversion"/>
  </si>
  <si>
    <t>11.3</t>
    <phoneticPr fontId="1" type="noConversion"/>
  </si>
  <si>
    <t>矽晶圓</t>
    <phoneticPr fontId="1" type="noConversion"/>
  </si>
  <si>
    <t>233</t>
    <phoneticPr fontId="1" type="noConversion"/>
  </si>
  <si>
    <t>60.12</t>
    <phoneticPr fontId="1" type="noConversion"/>
  </si>
  <si>
    <t>22.17</t>
    <phoneticPr fontId="1" type="noConversion"/>
  </si>
  <si>
    <t>2.31</t>
    <phoneticPr fontId="1" type="noConversion"/>
  </si>
  <si>
    <t>47.17</t>
    <phoneticPr fontId="1" type="noConversion"/>
  </si>
  <si>
    <t>27.67</t>
    <phoneticPr fontId="1" type="noConversion"/>
  </si>
  <si>
    <t>0.91</t>
    <phoneticPr fontId="1" type="noConversion"/>
  </si>
  <si>
    <t>90.26</t>
    <phoneticPr fontId="1" type="noConversion"/>
  </si>
  <si>
    <t>MOSFET茂達旗下</t>
    <phoneticPr fontId="1" type="noConversion"/>
  </si>
  <si>
    <t>MOSFET</t>
    <phoneticPr fontId="1" type="noConversion"/>
  </si>
  <si>
    <t>1.94</t>
    <phoneticPr fontId="1" type="noConversion"/>
  </si>
  <si>
    <t>3.30</t>
    <phoneticPr fontId="1" type="noConversion"/>
  </si>
  <si>
    <t>茶葉</t>
    <phoneticPr fontId="1" type="noConversion"/>
  </si>
  <si>
    <t>8.40</t>
    <phoneticPr fontId="1" type="noConversion"/>
  </si>
  <si>
    <t>二極體製造商</t>
    <phoneticPr fontId="1" type="noConversion"/>
  </si>
  <si>
    <t>高雄市政府第1大股東區域性銀行</t>
    <phoneticPr fontId="1" type="noConversion"/>
  </si>
  <si>
    <t>長聖</t>
    <phoneticPr fontId="1" type="noConversion"/>
  </si>
  <si>
    <t>5.63</t>
    <phoneticPr fontId="1" type="noConversion"/>
  </si>
  <si>
    <t>細胞療法</t>
    <phoneticPr fontId="1" type="noConversion"/>
  </si>
  <si>
    <t>軟板欣興台表科轉投資</t>
    <phoneticPr fontId="1" type="noConversion"/>
  </si>
  <si>
    <t>導線架</t>
    <phoneticPr fontId="1" type="noConversion"/>
  </si>
  <si>
    <t>7.71</t>
    <phoneticPr fontId="1" type="noConversion"/>
  </si>
  <si>
    <t>二極體</t>
    <phoneticPr fontId="1" type="noConversion"/>
  </si>
  <si>
    <t>2.50</t>
    <phoneticPr fontId="1" type="noConversion"/>
  </si>
  <si>
    <t>22.89</t>
    <phoneticPr fontId="1" type="noConversion"/>
  </si>
  <si>
    <t>57.43</t>
    <phoneticPr fontId="1" type="noConversion"/>
  </si>
  <si>
    <t>車用連接器</t>
    <phoneticPr fontId="1" type="noConversion"/>
  </si>
  <si>
    <t>5.04</t>
    <phoneticPr fontId="1" type="noConversion"/>
  </si>
  <si>
    <t>保護鏡片</t>
    <phoneticPr fontId="1" type="noConversion"/>
  </si>
  <si>
    <t>39.35</t>
    <phoneticPr fontId="1" type="noConversion"/>
  </si>
  <si>
    <t>5.19</t>
    <phoneticPr fontId="1" type="noConversion"/>
  </si>
  <si>
    <t>9.03</t>
    <phoneticPr fontId="1" type="noConversion"/>
  </si>
  <si>
    <t>無人機</t>
    <phoneticPr fontId="1" type="noConversion"/>
  </si>
  <si>
    <t>Type-C</t>
    <phoneticPr fontId="1" type="noConversion"/>
  </si>
  <si>
    <t>券商三商壽轉投資</t>
    <phoneticPr fontId="1" type="noConversion"/>
  </si>
  <si>
    <t>券商</t>
    <phoneticPr fontId="1" type="noConversion"/>
  </si>
  <si>
    <t>18.79</t>
    <phoneticPr fontId="1" type="noConversion"/>
  </si>
  <si>
    <t>42.75</t>
    <phoneticPr fontId="1" type="noConversion"/>
  </si>
  <si>
    <t>被動元件設備</t>
    <phoneticPr fontId="1" type="noConversion"/>
  </si>
  <si>
    <t>工具機</t>
    <phoneticPr fontId="1" type="noConversion"/>
  </si>
  <si>
    <t>1.30</t>
    <phoneticPr fontId="1" type="noConversion"/>
  </si>
  <si>
    <t>2.30</t>
    <phoneticPr fontId="1" type="noConversion"/>
  </si>
  <si>
    <t>濱川</t>
    <phoneticPr fontId="1" type="noConversion"/>
  </si>
  <si>
    <t>協禧</t>
    <phoneticPr fontId="1" type="noConversion"/>
  </si>
  <si>
    <t>艾訊</t>
    <phoneticPr fontId="1" type="noConversion"/>
  </si>
  <si>
    <t>茂訊</t>
    <phoneticPr fontId="1" type="noConversion"/>
  </si>
  <si>
    <t>東碩</t>
    <phoneticPr fontId="1" type="noConversion"/>
  </si>
  <si>
    <t>廣寰科</t>
    <phoneticPr fontId="1" type="noConversion"/>
  </si>
  <si>
    <t>8.03</t>
    <phoneticPr fontId="1" type="noConversion"/>
  </si>
  <si>
    <t>加百裕</t>
    <phoneticPr fontId="1" type="noConversion"/>
  </si>
  <si>
    <t>安勤</t>
    <phoneticPr fontId="1" type="noConversion"/>
  </si>
  <si>
    <t>鴻翊</t>
    <phoneticPr fontId="1" type="noConversion"/>
  </si>
  <si>
    <t>3540</t>
    <phoneticPr fontId="1" type="noConversion"/>
  </si>
  <si>
    <t>泓格</t>
    <phoneticPr fontId="1" type="noConversion"/>
  </si>
  <si>
    <t>磐儀</t>
    <phoneticPr fontId="1" type="noConversion"/>
  </si>
  <si>
    <t>4.25</t>
    <phoneticPr fontId="1" type="noConversion"/>
  </si>
  <si>
    <t>鼎翰</t>
    <phoneticPr fontId="1" type="noConversion"/>
  </si>
  <si>
    <t>西勝</t>
    <phoneticPr fontId="1" type="noConversion"/>
  </si>
  <si>
    <t>電池模組</t>
    <phoneticPr fontId="1" type="noConversion"/>
  </si>
  <si>
    <t>精聯</t>
    <phoneticPr fontId="1" type="noConversion"/>
  </si>
  <si>
    <t>營邦</t>
    <phoneticPr fontId="1" type="noConversion"/>
  </si>
  <si>
    <t>伺服器機殼</t>
    <phoneticPr fontId="1" type="noConversion"/>
  </si>
  <si>
    <t>鑫聯大投控</t>
    <phoneticPr fontId="1" type="noConversion"/>
  </si>
  <si>
    <t>欣厚KY</t>
    <phoneticPr fontId="1" type="noConversion"/>
  </si>
  <si>
    <t>2.52</t>
    <phoneticPr fontId="1" type="noConversion"/>
  </si>
  <si>
    <t>科誠</t>
    <phoneticPr fontId="1" type="noConversion"/>
  </si>
  <si>
    <t>5223</t>
    <phoneticPr fontId="1" type="noConversion"/>
  </si>
  <si>
    <t>安力KY</t>
    <phoneticPr fontId="1" type="noConversion"/>
  </si>
  <si>
    <t>協益</t>
    <phoneticPr fontId="1" type="noConversion"/>
  </si>
  <si>
    <t>電子零組件周邊</t>
    <phoneticPr fontId="1" type="noConversion"/>
  </si>
  <si>
    <t>青雲</t>
    <phoneticPr fontId="1" type="noConversion"/>
  </si>
  <si>
    <t>振發</t>
    <phoneticPr fontId="1" type="noConversion"/>
  </si>
  <si>
    <t>東友</t>
    <phoneticPr fontId="1" type="noConversion"/>
  </si>
  <si>
    <t>富驊</t>
    <phoneticPr fontId="1" type="noConversion"/>
  </si>
  <si>
    <t>聰泰</t>
    <phoneticPr fontId="1" type="noConversion"/>
  </si>
  <si>
    <t>同亨</t>
    <phoneticPr fontId="1" type="noConversion"/>
  </si>
  <si>
    <t>上奇</t>
    <phoneticPr fontId="1" type="noConversion"/>
  </si>
  <si>
    <t>欣技</t>
    <phoneticPr fontId="1" type="noConversion"/>
  </si>
  <si>
    <t>捷波</t>
    <phoneticPr fontId="1" type="noConversion"/>
  </si>
  <si>
    <t>3.83</t>
    <phoneticPr fontId="1" type="noConversion"/>
  </si>
  <si>
    <t>工業電腦</t>
    <phoneticPr fontId="1" type="noConversion"/>
  </si>
  <si>
    <t>91.4</t>
    <phoneticPr fontId="1" type="noConversion"/>
  </si>
  <si>
    <t>59.4</t>
    <phoneticPr fontId="1" type="noConversion"/>
  </si>
  <si>
    <t>7.96</t>
    <phoneticPr fontId="1" type="noConversion"/>
  </si>
  <si>
    <t>USB控制IC</t>
    <phoneticPr fontId="1" type="noConversion"/>
  </si>
  <si>
    <t>RF晶片</t>
    <phoneticPr fontId="1" type="noConversion"/>
  </si>
  <si>
    <t>377</t>
    <phoneticPr fontId="1" type="noConversion"/>
  </si>
  <si>
    <t>8.39</t>
    <phoneticPr fontId="1" type="noConversion"/>
  </si>
  <si>
    <t>-3.71</t>
    <phoneticPr fontId="1" type="noConversion"/>
  </si>
  <si>
    <t>15.0</t>
    <phoneticPr fontId="1" type="noConversion"/>
  </si>
  <si>
    <t>背光板華映旗下</t>
    <phoneticPr fontId="1" type="noConversion"/>
  </si>
  <si>
    <t>亨泰光</t>
    <phoneticPr fontId="1" type="noConversion"/>
  </si>
  <si>
    <t>台星科</t>
    <phoneticPr fontId="1" type="noConversion"/>
  </si>
  <si>
    <t>1702</t>
    <phoneticPr fontId="1" type="noConversion"/>
  </si>
  <si>
    <t>4432</t>
    <phoneticPr fontId="1" type="noConversion"/>
  </si>
  <si>
    <t>鉛酸電池</t>
    <phoneticPr fontId="1" type="noConversion"/>
  </si>
  <si>
    <t>13.55</t>
    <phoneticPr fontId="1" type="noConversion"/>
  </si>
  <si>
    <t>67.1</t>
    <phoneticPr fontId="1" type="noConversion"/>
  </si>
  <si>
    <t>資本</t>
    <phoneticPr fontId="1" type="noConversion"/>
  </si>
  <si>
    <t>稅</t>
    <phoneticPr fontId="1" type="noConversion"/>
  </si>
  <si>
    <t>營</t>
    <phoneticPr fontId="1" type="noConversion"/>
  </si>
  <si>
    <t>期</t>
    <phoneticPr fontId="1" type="noConversion"/>
  </si>
  <si>
    <t>年</t>
    <phoneticPr fontId="1" type="noConversion"/>
  </si>
  <si>
    <t>營益率</t>
    <phoneticPr fontId="1" type="noConversion"/>
  </si>
  <si>
    <t>持股</t>
    <phoneticPr fontId="1" type="noConversion"/>
  </si>
  <si>
    <t>大戶</t>
    <phoneticPr fontId="1" type="noConversion"/>
  </si>
  <si>
    <t>法人</t>
    <phoneticPr fontId="1" type="noConversion"/>
  </si>
  <si>
    <t>融資</t>
    <phoneticPr fontId="1" type="noConversion"/>
  </si>
  <si>
    <t>籌碼</t>
    <phoneticPr fontId="1" type="noConversion"/>
  </si>
  <si>
    <t>損益</t>
    <phoneticPr fontId="1" type="noConversion"/>
  </si>
  <si>
    <t>損益率</t>
    <phoneticPr fontId="1" type="noConversion"/>
  </si>
  <si>
    <t>成分</t>
    <phoneticPr fontId="1" type="noConversion"/>
  </si>
  <si>
    <t>類股</t>
    <phoneticPr fontId="1" type="noConversion"/>
  </si>
  <si>
    <t>買進日期</t>
    <phoneticPr fontId="1" type="noConversion"/>
  </si>
  <si>
    <t>賣出日期</t>
    <phoneticPr fontId="1" type="noConversion"/>
  </si>
  <si>
    <t>天數</t>
    <phoneticPr fontId="1" type="noConversion"/>
  </si>
  <si>
    <t>南珠</t>
    <phoneticPr fontId="1" type="noConversion"/>
  </si>
  <si>
    <t>1</t>
    <phoneticPr fontId="1" type="noConversion"/>
  </si>
  <si>
    <t>12月20年</t>
    <phoneticPr fontId="1" type="noConversion"/>
  </si>
  <si>
    <t>14.0</t>
    <phoneticPr fontId="1" type="noConversion"/>
  </si>
  <si>
    <t>6284</t>
    <phoneticPr fontId="1" type="noConversion"/>
  </si>
  <si>
    <t>佳邦</t>
    <phoneticPr fontId="1" type="noConversion"/>
  </si>
  <si>
    <t>7.98</t>
    <phoneticPr fontId="1" type="noConversion"/>
  </si>
  <si>
    <t>6237</t>
    <phoneticPr fontId="1" type="noConversion"/>
  </si>
  <si>
    <t>驊訊</t>
    <phoneticPr fontId="1" type="noConversion"/>
  </si>
  <si>
    <t>1</t>
    <phoneticPr fontId="35" type="noConversion"/>
  </si>
  <si>
    <t>穎崴</t>
    <phoneticPr fontId="1" type="noConversion"/>
  </si>
  <si>
    <t>螺栓台鋼旗下</t>
    <phoneticPr fontId="1" type="noConversion"/>
  </si>
  <si>
    <t>晶圓檢測探針</t>
    <phoneticPr fontId="1" type="noConversion"/>
  </si>
  <si>
    <t>7.20</t>
    <phoneticPr fontId="1" type="noConversion"/>
  </si>
  <si>
    <t>薄膜靶材</t>
    <phoneticPr fontId="1" type="noConversion"/>
  </si>
  <si>
    <t>77.2</t>
    <phoneticPr fontId="1" type="noConversion"/>
  </si>
  <si>
    <t>1091</t>
    <phoneticPr fontId="1" type="noConversion"/>
  </si>
  <si>
    <t>30.0</t>
    <phoneticPr fontId="1" type="noConversion"/>
  </si>
  <si>
    <t>25</t>
    <phoneticPr fontId="1" type="noConversion"/>
  </si>
  <si>
    <t>中信旗下旗下凱基證劵銀行</t>
    <phoneticPr fontId="1" type="noConversion"/>
  </si>
  <si>
    <t>25.1</t>
    <phoneticPr fontId="1" type="noConversion"/>
  </si>
  <si>
    <t>4.29</t>
    <phoneticPr fontId="1" type="noConversion"/>
  </si>
  <si>
    <t>27.7</t>
    <phoneticPr fontId="1" type="noConversion"/>
  </si>
  <si>
    <t>343</t>
    <phoneticPr fontId="1" type="noConversion"/>
  </si>
  <si>
    <t>213</t>
    <phoneticPr fontId="1" type="noConversion"/>
  </si>
  <si>
    <t>8.86</t>
    <phoneticPr fontId="1" type="noConversion"/>
  </si>
  <si>
    <t>資訊商大同旗下</t>
    <phoneticPr fontId="1" type="noConversion"/>
  </si>
  <si>
    <t>6.85</t>
    <phoneticPr fontId="1" type="noConversion"/>
  </si>
  <si>
    <t>前新股</t>
    <phoneticPr fontId="1" type="noConversion"/>
  </si>
  <si>
    <t>之前發行新股</t>
    <phoneticPr fontId="1" type="noConversion"/>
  </si>
  <si>
    <t>22.5</t>
    <phoneticPr fontId="1" type="noConversion"/>
  </si>
  <si>
    <t>散熱風扇</t>
    <phoneticPr fontId="1" type="noConversion"/>
  </si>
  <si>
    <t>PCB e-bike</t>
    <phoneticPr fontId="1" type="noConversion"/>
  </si>
  <si>
    <t>顯示器模組</t>
    <phoneticPr fontId="1" type="noConversion"/>
  </si>
  <si>
    <t>新股</t>
    <phoneticPr fontId="1" type="noConversion"/>
  </si>
  <si>
    <t>發行新股</t>
    <phoneticPr fontId="1" type="noConversion"/>
  </si>
  <si>
    <t>台微醫</t>
    <phoneticPr fontId="1" type="noConversion"/>
  </si>
  <si>
    <t>隱形眼鏡</t>
    <phoneticPr fontId="1" type="noConversion"/>
  </si>
  <si>
    <t>手術產品鐿鈦旗下</t>
    <phoneticPr fontId="1" type="noConversion"/>
  </si>
  <si>
    <t>剪刀腳3雄</t>
    <phoneticPr fontId="1" type="noConversion"/>
  </si>
  <si>
    <t>-0.67</t>
    <phoneticPr fontId="1" type="noConversion"/>
  </si>
  <si>
    <t>電纜不銹鋼華新麗華集團</t>
    <phoneticPr fontId="1" type="noConversion"/>
  </si>
  <si>
    <t>6.22</t>
    <phoneticPr fontId="1" type="noConversion"/>
  </si>
  <si>
    <t>工業電腦仁寶旗下</t>
    <phoneticPr fontId="1" type="noConversion"/>
  </si>
  <si>
    <t>威健生技</t>
    <phoneticPr fontId="1" type="noConversion"/>
  </si>
  <si>
    <t>生物晶片</t>
    <phoneticPr fontId="1" type="noConversion"/>
  </si>
  <si>
    <t>電池材料</t>
    <phoneticPr fontId="1" type="noConversion"/>
  </si>
  <si>
    <t>驅動IC封測</t>
    <phoneticPr fontId="1" type="noConversion"/>
  </si>
  <si>
    <t>PCB設備</t>
    <phoneticPr fontId="1" type="noConversion"/>
  </si>
  <si>
    <t>博晟生醫</t>
    <phoneticPr fontId="1" type="noConversion"/>
  </si>
  <si>
    <t>骨材晟德旗下</t>
    <phoneticPr fontId="1" type="noConversion"/>
  </si>
  <si>
    <t>電容上游鋁箔</t>
    <phoneticPr fontId="1" type="noConversion"/>
  </si>
  <si>
    <t>CIS封測國巨旗下</t>
    <phoneticPr fontId="1" type="noConversion"/>
  </si>
  <si>
    <t>Sip封測鴻海旗下</t>
    <phoneticPr fontId="1" type="noConversion"/>
  </si>
  <si>
    <t>封測</t>
    <phoneticPr fontId="1" type="noConversion"/>
  </si>
  <si>
    <t>連接元件</t>
    <phoneticPr fontId="1" type="noConversion"/>
  </si>
  <si>
    <t>車用IC</t>
    <phoneticPr fontId="1" type="noConversion"/>
  </si>
  <si>
    <t>機殼鴻海旗下</t>
    <phoneticPr fontId="1" type="noConversion"/>
  </si>
  <si>
    <t>紙帶被動元件</t>
    <phoneticPr fontId="1" type="noConversion"/>
  </si>
  <si>
    <t>PCB4雄</t>
    <phoneticPr fontId="1" type="noConversion"/>
  </si>
  <si>
    <t>PCB4雄鴻海旗下</t>
    <phoneticPr fontId="1" type="noConversion"/>
  </si>
  <si>
    <t>PCB4雄台塑旗下</t>
    <phoneticPr fontId="1" type="noConversion"/>
  </si>
  <si>
    <t>探針</t>
    <phoneticPr fontId="1" type="noConversion"/>
  </si>
  <si>
    <t>電阻上游陶瓷基板</t>
    <phoneticPr fontId="1" type="noConversion"/>
  </si>
  <si>
    <t>掌上型電腦</t>
    <phoneticPr fontId="1" type="noConversion"/>
  </si>
  <si>
    <t>半導體設備</t>
    <phoneticPr fontId="1" type="noConversion"/>
  </si>
  <si>
    <t>矽晶圓漢磊旗下</t>
    <phoneticPr fontId="1" type="noConversion"/>
  </si>
  <si>
    <t>電池線Tesla</t>
    <phoneticPr fontId="1" type="noConversion"/>
  </si>
  <si>
    <t>CIS聯電旗下</t>
    <phoneticPr fontId="1" type="noConversion"/>
  </si>
  <si>
    <t>CIS力晶Omni Vision合資</t>
    <phoneticPr fontId="1" type="noConversion"/>
  </si>
  <si>
    <t>IP聯發科旗下</t>
    <phoneticPr fontId="1" type="noConversion"/>
  </si>
  <si>
    <t>IP聯電旗下</t>
    <phoneticPr fontId="1" type="noConversion"/>
  </si>
  <si>
    <t>散熱</t>
    <phoneticPr fontId="1" type="noConversion"/>
  </si>
  <si>
    <t>麗寶集團旗下</t>
    <phoneticPr fontId="1" type="noConversion"/>
  </si>
  <si>
    <t>PCB鑽孔機</t>
    <phoneticPr fontId="1" type="noConversion"/>
  </si>
  <si>
    <t>遊戲</t>
    <phoneticPr fontId="1" type="noConversion"/>
  </si>
  <si>
    <t>建商巴巴旗下</t>
    <phoneticPr fontId="1" type="noConversion"/>
  </si>
  <si>
    <t>減速齒輪Tesla</t>
    <phoneticPr fontId="1" type="noConversion"/>
  </si>
  <si>
    <t>封測台積電旗下</t>
    <phoneticPr fontId="1" type="noConversion"/>
  </si>
  <si>
    <t>濺鍍蝕刻</t>
    <phoneticPr fontId="1" type="noConversion"/>
  </si>
  <si>
    <t>記憶體模組金士頓轉投資</t>
    <phoneticPr fontId="1" type="noConversion"/>
  </si>
  <si>
    <t>砷化鎵3雄</t>
    <phoneticPr fontId="1" type="noConversion"/>
  </si>
  <si>
    <t>環景偵測Tesla</t>
    <phoneticPr fontId="1" type="noConversion"/>
  </si>
  <si>
    <t>沖壓Tesla</t>
    <phoneticPr fontId="1" type="noConversion"/>
  </si>
  <si>
    <t>汽車EMS華新旗下</t>
    <phoneticPr fontId="1" type="noConversion"/>
  </si>
  <si>
    <t>胎壓偵測Tesla</t>
    <phoneticPr fontId="1" type="noConversion"/>
  </si>
  <si>
    <t>電容</t>
    <phoneticPr fontId="1" type="noConversion"/>
  </si>
  <si>
    <t>封測設備</t>
    <phoneticPr fontId="1" type="noConversion"/>
  </si>
  <si>
    <t>IT通路威盛旗下</t>
    <phoneticPr fontId="1" type="noConversion"/>
  </si>
  <si>
    <t>47.6</t>
    <phoneticPr fontId="1" type="noConversion"/>
  </si>
  <si>
    <t>重電</t>
    <phoneticPr fontId="1" type="noConversion"/>
  </si>
  <si>
    <t>面板遮罩義隆轉投資</t>
    <phoneticPr fontId="1" type="noConversion"/>
  </si>
  <si>
    <t>5.90</t>
    <phoneticPr fontId="1" type="noConversion"/>
  </si>
  <si>
    <t>類比IC封測</t>
    <phoneticPr fontId="1" type="noConversion"/>
  </si>
  <si>
    <t>定位系統</t>
    <phoneticPr fontId="1" type="noConversion"/>
  </si>
  <si>
    <t>全宇昕</t>
    <phoneticPr fontId="1" type="noConversion"/>
  </si>
  <si>
    <t>新藥美吾華旗下</t>
    <phoneticPr fontId="1" type="noConversion"/>
  </si>
  <si>
    <t>39.5</t>
    <phoneticPr fontId="1" type="noConversion"/>
  </si>
  <si>
    <t>29.5</t>
    <phoneticPr fontId="1" type="noConversion"/>
  </si>
  <si>
    <t>車用二極體光寶旗下</t>
    <phoneticPr fontId="1" type="noConversion"/>
  </si>
  <si>
    <t>IC測試旺宏子公司</t>
    <phoneticPr fontId="1" type="noConversion"/>
  </si>
  <si>
    <t>傳動系統</t>
    <phoneticPr fontId="1" type="noConversion"/>
  </si>
  <si>
    <t>觸控IC</t>
    <phoneticPr fontId="1" type="noConversion"/>
  </si>
  <si>
    <t>麥克風晶片</t>
    <phoneticPr fontId="1" type="noConversion"/>
  </si>
  <si>
    <t>電玩機台</t>
    <phoneticPr fontId="1" type="noConversion"/>
  </si>
  <si>
    <t>誠品</t>
    <phoneticPr fontId="1" type="noConversion"/>
  </si>
  <si>
    <t>遊戲代理</t>
    <phoneticPr fontId="1" type="noConversion"/>
  </si>
  <si>
    <t>電視劇</t>
    <phoneticPr fontId="1" type="noConversion"/>
  </si>
  <si>
    <t>探針卡</t>
    <phoneticPr fontId="1" type="noConversion"/>
  </si>
  <si>
    <t>太陽能長晶</t>
    <phoneticPr fontId="1" type="noConversion"/>
  </si>
  <si>
    <t>MCU</t>
    <phoneticPr fontId="1" type="noConversion"/>
  </si>
  <si>
    <t>麥克風IC</t>
    <phoneticPr fontId="1" type="noConversion"/>
  </si>
  <si>
    <t>消費性IC</t>
    <phoneticPr fontId="1" type="noConversion"/>
  </si>
  <si>
    <t>感測元件封裝</t>
    <phoneticPr fontId="1" type="noConversion"/>
  </si>
  <si>
    <t>LED驅動IC</t>
    <phoneticPr fontId="1" type="noConversion"/>
  </si>
  <si>
    <t>觸控IC禾伸堂旗下</t>
    <phoneticPr fontId="1" type="noConversion"/>
  </si>
  <si>
    <t>伺服器IC宏正投資</t>
    <phoneticPr fontId="1" type="noConversion"/>
  </si>
  <si>
    <t>記憶體兆豐和矽創投資</t>
    <phoneticPr fontId="1" type="noConversion"/>
  </si>
  <si>
    <t>高速訊號IC</t>
    <phoneticPr fontId="1" type="noConversion"/>
  </si>
  <si>
    <t>光通信IC鈺創轉投資</t>
    <phoneticPr fontId="1" type="noConversion"/>
  </si>
  <si>
    <t>CD Discman IC</t>
    <phoneticPr fontId="1" type="noConversion"/>
  </si>
  <si>
    <t>視訊記憶體</t>
    <phoneticPr fontId="1" type="noConversion"/>
  </si>
  <si>
    <t>電源IC</t>
    <phoneticPr fontId="1" type="noConversion"/>
  </si>
  <si>
    <t>記憶體IC金士頓轉投資</t>
    <phoneticPr fontId="1" type="noConversion"/>
  </si>
  <si>
    <t>語音IC新唐轉投資</t>
    <phoneticPr fontId="1" type="noConversion"/>
  </si>
  <si>
    <t>射頻晶片</t>
    <phoneticPr fontId="1" type="noConversion"/>
  </si>
  <si>
    <t>USB控制IC安國轉投資</t>
    <phoneticPr fontId="1" type="noConversion"/>
  </si>
  <si>
    <t>半導體設備均豪子公司</t>
    <phoneticPr fontId="1" type="noConversion"/>
  </si>
  <si>
    <t>製程設備</t>
    <phoneticPr fontId="1" type="noConversion"/>
  </si>
  <si>
    <t>玩具語音IC</t>
    <phoneticPr fontId="1" type="noConversion"/>
  </si>
  <si>
    <t>自行車</t>
    <phoneticPr fontId="1" type="noConversion"/>
  </si>
  <si>
    <t>電源供應器</t>
    <phoneticPr fontId="1" type="noConversion"/>
  </si>
  <si>
    <t>同軸線</t>
    <phoneticPr fontId="1" type="noConversion"/>
  </si>
  <si>
    <t>電聲元件</t>
    <phoneticPr fontId="1" type="noConversion"/>
  </si>
  <si>
    <t>電感</t>
    <phoneticPr fontId="1" type="noConversion"/>
  </si>
  <si>
    <t>被動元件代理高木集團</t>
    <phoneticPr fontId="1" type="noConversion"/>
  </si>
  <si>
    <t>軟板基材</t>
    <phoneticPr fontId="1" type="noConversion"/>
  </si>
  <si>
    <t>MOSFET華碩轉投資</t>
    <phoneticPr fontId="1" type="noConversion"/>
  </si>
  <si>
    <t>電梯</t>
    <phoneticPr fontId="1" type="noConversion"/>
  </si>
  <si>
    <t>20.7</t>
    <phoneticPr fontId="1" type="noConversion"/>
  </si>
  <si>
    <t>PU合成皮</t>
    <phoneticPr fontId="1" type="noConversion"/>
  </si>
  <si>
    <t>成衣</t>
    <phoneticPr fontId="1" type="noConversion"/>
  </si>
  <si>
    <t>針織布</t>
    <phoneticPr fontId="1" type="noConversion"/>
  </si>
  <si>
    <t>成衣年興轉投資</t>
    <phoneticPr fontId="1" type="noConversion"/>
  </si>
  <si>
    <t>短纖布</t>
    <phoneticPr fontId="1" type="noConversion"/>
  </si>
  <si>
    <t>提花</t>
    <phoneticPr fontId="1" type="noConversion"/>
  </si>
  <si>
    <t>PP纖維</t>
    <phoneticPr fontId="1" type="noConversion"/>
  </si>
  <si>
    <t>染整</t>
    <phoneticPr fontId="1" type="noConversion"/>
  </si>
  <si>
    <t>房屋代銷</t>
    <phoneticPr fontId="1" type="noConversion"/>
  </si>
  <si>
    <t>封測日月光集團</t>
    <phoneticPr fontId="1" type="noConversion"/>
  </si>
  <si>
    <t>鍵盤IC</t>
    <phoneticPr fontId="1" type="noConversion"/>
  </si>
  <si>
    <t>功率封測</t>
    <phoneticPr fontId="1" type="noConversion"/>
  </si>
  <si>
    <t>碳粉匣</t>
    <phoneticPr fontId="1" type="noConversion"/>
  </si>
  <si>
    <t>機殼</t>
    <phoneticPr fontId="1" type="noConversion"/>
  </si>
  <si>
    <t>POS</t>
    <phoneticPr fontId="1" type="noConversion"/>
  </si>
  <si>
    <t>影像IC</t>
    <phoneticPr fontId="1" type="noConversion"/>
  </si>
  <si>
    <t>通訊IC裕隆旗下</t>
    <phoneticPr fontId="1" type="noConversion"/>
  </si>
  <si>
    <t>邏輯IC威盛轉投資</t>
    <phoneticPr fontId="1" type="noConversion"/>
  </si>
  <si>
    <t>冬蟲夏草</t>
    <phoneticPr fontId="1" type="noConversion"/>
  </si>
  <si>
    <t>軟板</t>
    <phoneticPr fontId="1" type="noConversion"/>
  </si>
  <si>
    <t>充電器</t>
    <phoneticPr fontId="1" type="noConversion"/>
  </si>
  <si>
    <t>散熱片</t>
    <phoneticPr fontId="1" type="noConversion"/>
  </si>
  <si>
    <t>連接線</t>
    <phoneticPr fontId="1" type="noConversion"/>
  </si>
  <si>
    <t>松下被動元件代理</t>
    <phoneticPr fontId="1" type="noConversion"/>
  </si>
  <si>
    <t>NB樞紐</t>
    <phoneticPr fontId="1" type="noConversion"/>
  </si>
  <si>
    <t>電子安定器</t>
    <phoneticPr fontId="1" type="noConversion"/>
  </si>
  <si>
    <t>電阻薄膜</t>
    <phoneticPr fontId="1" type="noConversion"/>
  </si>
  <si>
    <t>錫條</t>
    <phoneticPr fontId="1" type="noConversion"/>
  </si>
  <si>
    <t>CIS</t>
    <phoneticPr fontId="1" type="noConversion"/>
  </si>
  <si>
    <t>軟板友嘉旗下</t>
    <phoneticPr fontId="1" type="noConversion"/>
  </si>
  <si>
    <t>電容器</t>
    <phoneticPr fontId="1" type="noConversion"/>
  </si>
  <si>
    <t>PCB玻纖布日商</t>
    <phoneticPr fontId="1" type="noConversion"/>
  </si>
  <si>
    <t>LED散熱鋁基板</t>
    <phoneticPr fontId="1" type="noConversion"/>
  </si>
  <si>
    <t>多層壓合基板</t>
    <phoneticPr fontId="1" type="noConversion"/>
  </si>
  <si>
    <t>沖壓模具</t>
    <phoneticPr fontId="1" type="noConversion"/>
  </si>
  <si>
    <t>線材</t>
    <phoneticPr fontId="1" type="noConversion"/>
  </si>
  <si>
    <t>電子材料代理</t>
    <phoneticPr fontId="1" type="noConversion"/>
  </si>
  <si>
    <t>熱導管</t>
    <phoneticPr fontId="1" type="noConversion"/>
  </si>
  <si>
    <t>PCB磁性元件</t>
    <phoneticPr fontId="1" type="noConversion"/>
  </si>
  <si>
    <t>電阻</t>
    <phoneticPr fontId="1" type="noConversion"/>
  </si>
  <si>
    <t>電磁波</t>
    <phoneticPr fontId="1" type="noConversion"/>
  </si>
  <si>
    <t>SMT加工</t>
    <phoneticPr fontId="1" type="noConversion"/>
  </si>
  <si>
    <t>變壓器</t>
    <phoneticPr fontId="1" type="noConversion"/>
  </si>
  <si>
    <t>MLCC太陽誘電代理</t>
    <phoneticPr fontId="1" type="noConversion"/>
  </si>
  <si>
    <t>事務機零件</t>
    <phoneticPr fontId="1" type="noConversion"/>
  </si>
  <si>
    <t>PCB墊板</t>
    <phoneticPr fontId="1" type="noConversion"/>
  </si>
  <si>
    <t>電容代理</t>
    <phoneticPr fontId="1" type="noConversion"/>
  </si>
  <si>
    <t>離子植入機</t>
    <phoneticPr fontId="1" type="noConversion"/>
  </si>
  <si>
    <t>電源</t>
    <phoneticPr fontId="1" type="noConversion"/>
  </si>
  <si>
    <t>電感台聚旗下</t>
    <phoneticPr fontId="1" type="noConversion"/>
  </si>
  <si>
    <t>銅箔光寶旗下</t>
    <phoneticPr fontId="1" type="noConversion"/>
  </si>
  <si>
    <t>模具</t>
    <phoneticPr fontId="1" type="noConversion"/>
  </si>
  <si>
    <t>磊晶片</t>
    <phoneticPr fontId="1" type="noConversion"/>
  </si>
  <si>
    <t>設備</t>
    <phoneticPr fontId="1" type="noConversion"/>
  </si>
  <si>
    <t>監控</t>
    <phoneticPr fontId="1" type="noConversion"/>
  </si>
  <si>
    <t>NB鍵盤支架</t>
    <phoneticPr fontId="1" type="noConversion"/>
  </si>
  <si>
    <t>NB強固型</t>
    <phoneticPr fontId="1" type="noConversion"/>
  </si>
  <si>
    <t>電視卡</t>
    <phoneticPr fontId="1" type="noConversion"/>
  </si>
  <si>
    <t>機殼電源供應器</t>
    <phoneticPr fontId="1" type="noConversion"/>
  </si>
  <si>
    <t>ADC資料收集</t>
    <phoneticPr fontId="1" type="noConversion"/>
  </si>
  <si>
    <t>通路代理商</t>
    <phoneticPr fontId="1" type="noConversion"/>
  </si>
  <si>
    <t>條碼標籤</t>
    <phoneticPr fontId="1" type="noConversion"/>
  </si>
  <si>
    <t>視訊解碼器</t>
    <phoneticPr fontId="1" type="noConversion"/>
  </si>
  <si>
    <t>事務機</t>
    <phoneticPr fontId="1" type="noConversion"/>
  </si>
  <si>
    <t>機殼神達轉投資</t>
    <phoneticPr fontId="1" type="noConversion"/>
  </si>
  <si>
    <t>主機板</t>
    <phoneticPr fontId="1" type="noConversion"/>
  </si>
  <si>
    <t>音響</t>
    <phoneticPr fontId="1" type="noConversion"/>
  </si>
  <si>
    <t>IC封裝設備</t>
    <phoneticPr fontId="1" type="noConversion"/>
  </si>
  <si>
    <t>驗證服務</t>
    <phoneticPr fontId="1" type="noConversion"/>
  </si>
  <si>
    <t>原料藥</t>
    <phoneticPr fontId="1" type="noConversion"/>
  </si>
  <si>
    <t>保健品</t>
    <phoneticPr fontId="1" type="noConversion"/>
  </si>
  <si>
    <t>哮喘健喬旗下</t>
    <phoneticPr fontId="1" type="noConversion"/>
  </si>
  <si>
    <t>醫美</t>
    <phoneticPr fontId="1" type="noConversion"/>
  </si>
  <si>
    <t>藥品開發</t>
    <phoneticPr fontId="1" type="noConversion"/>
  </si>
  <si>
    <t>PACS廠</t>
    <phoneticPr fontId="1" type="noConversion"/>
  </si>
  <si>
    <t>計程車隊</t>
    <phoneticPr fontId="1" type="noConversion"/>
  </si>
  <si>
    <t>感光平板</t>
    <phoneticPr fontId="1" type="noConversion"/>
  </si>
  <si>
    <t>不鏽鋼焊接管</t>
    <phoneticPr fontId="1" type="noConversion"/>
  </si>
  <si>
    <t>合金鋼榮鋼旗下</t>
    <phoneticPr fontId="1" type="noConversion"/>
  </si>
  <si>
    <t>釣魚線</t>
    <phoneticPr fontId="1" type="noConversion"/>
  </si>
  <si>
    <t>電動車</t>
    <phoneticPr fontId="1" type="noConversion"/>
  </si>
  <si>
    <t>飛機起落架</t>
    <phoneticPr fontId="1" type="noConversion"/>
  </si>
  <si>
    <t>工業過濾</t>
    <phoneticPr fontId="1" type="noConversion"/>
  </si>
  <si>
    <t>刀具</t>
    <phoneticPr fontId="1" type="noConversion"/>
  </si>
  <si>
    <t>安全座椅奐鑫旗下</t>
    <phoneticPr fontId="1" type="noConversion"/>
  </si>
  <si>
    <t>鏈條</t>
    <phoneticPr fontId="1" type="noConversion"/>
  </si>
  <si>
    <t>殯葬</t>
    <phoneticPr fontId="1" type="noConversion"/>
  </si>
  <si>
    <t>電廠工程</t>
    <phoneticPr fontId="1" type="noConversion"/>
  </si>
  <si>
    <t>基督徒塔位</t>
    <phoneticPr fontId="1" type="noConversion"/>
  </si>
  <si>
    <t>家具</t>
    <phoneticPr fontId="1" type="noConversion"/>
  </si>
  <si>
    <t>展示架</t>
    <phoneticPr fontId="1" type="noConversion"/>
  </si>
  <si>
    <t>印刷</t>
    <phoneticPr fontId="1" type="noConversion"/>
  </si>
  <si>
    <t>設備租賃</t>
    <phoneticPr fontId="1" type="noConversion"/>
  </si>
  <si>
    <t>飲料標籤</t>
    <phoneticPr fontId="1" type="noConversion"/>
  </si>
  <si>
    <t>再生膠粒</t>
    <phoneticPr fontId="1" type="noConversion"/>
  </si>
  <si>
    <t>裝潢承包</t>
    <phoneticPr fontId="1" type="noConversion"/>
  </si>
  <si>
    <t>水處理藥劑</t>
    <phoneticPr fontId="1" type="noConversion"/>
  </si>
  <si>
    <t>幼教</t>
    <phoneticPr fontId="1" type="noConversion"/>
  </si>
  <si>
    <t>廢品回收</t>
    <phoneticPr fontId="1" type="noConversion"/>
  </si>
  <si>
    <t>塑和板</t>
    <phoneticPr fontId="1" type="noConversion"/>
  </si>
  <si>
    <t>環保工程</t>
    <phoneticPr fontId="1" type="noConversion"/>
  </si>
  <si>
    <t>冷凍冷藏倉儲</t>
    <phoneticPr fontId="1" type="noConversion"/>
  </si>
  <si>
    <t>印製</t>
    <phoneticPr fontId="1" type="noConversion"/>
  </si>
  <si>
    <t>印刷永豐餘旗下</t>
    <phoneticPr fontId="1" type="noConversion"/>
  </si>
  <si>
    <t>紙尿褲</t>
    <phoneticPr fontId="1" type="noConversion"/>
  </si>
  <si>
    <t>拉鏈</t>
    <phoneticPr fontId="1" type="noConversion"/>
  </si>
  <si>
    <t>鞋材</t>
    <phoneticPr fontId="1" type="noConversion"/>
  </si>
  <si>
    <t>休閒車</t>
    <phoneticPr fontId="1" type="noConversion"/>
  </si>
  <si>
    <t>鋁塑複合板</t>
    <phoneticPr fontId="1" type="noConversion"/>
  </si>
  <si>
    <t>真空鍍膜</t>
    <phoneticPr fontId="1" type="noConversion"/>
  </si>
  <si>
    <t>汽車零組件大億旗下</t>
    <phoneticPr fontId="1" type="noConversion"/>
  </si>
  <si>
    <t>軸承</t>
    <phoneticPr fontId="1" type="noConversion"/>
  </si>
  <si>
    <t>塑膠射出機</t>
    <phoneticPr fontId="1" type="noConversion"/>
  </si>
  <si>
    <t>工程承攬</t>
    <phoneticPr fontId="1" type="noConversion"/>
  </si>
  <si>
    <t>主軸</t>
    <phoneticPr fontId="1" type="noConversion"/>
  </si>
  <si>
    <t>機電整合</t>
    <phoneticPr fontId="1" type="noConversion"/>
  </si>
  <si>
    <t>自動化製程</t>
    <phoneticPr fontId="1" type="noConversion"/>
  </si>
  <si>
    <t>引擎冷卻零件</t>
    <phoneticPr fontId="1" type="noConversion"/>
  </si>
  <si>
    <t>沖壓零件</t>
    <phoneticPr fontId="1" type="noConversion"/>
  </si>
  <si>
    <t>沖床</t>
    <phoneticPr fontId="1" type="noConversion"/>
  </si>
  <si>
    <t>釘槍</t>
    <phoneticPr fontId="1" type="noConversion"/>
  </si>
  <si>
    <t>烘培設備</t>
    <phoneticPr fontId="1" type="noConversion"/>
  </si>
  <si>
    <t>槍釘</t>
    <phoneticPr fontId="1" type="noConversion"/>
  </si>
  <si>
    <t>線性滑軌</t>
    <phoneticPr fontId="1" type="noConversion"/>
  </si>
  <si>
    <t>機車</t>
    <phoneticPr fontId="1" type="noConversion"/>
  </si>
  <si>
    <t>鑄件</t>
    <phoneticPr fontId="1" type="noConversion"/>
  </si>
  <si>
    <t>緊固件設備</t>
    <phoneticPr fontId="1" type="noConversion"/>
  </si>
  <si>
    <t>活塞環</t>
    <phoneticPr fontId="1" type="noConversion"/>
  </si>
  <si>
    <t>車用水箱風扇堤維西大股東</t>
    <phoneticPr fontId="1" type="noConversion"/>
  </si>
  <si>
    <t>LED車燈</t>
    <phoneticPr fontId="1" type="noConversion"/>
  </si>
  <si>
    <t>食品機械</t>
    <phoneticPr fontId="1" type="noConversion"/>
  </si>
  <si>
    <t>汽車鋼圈</t>
    <phoneticPr fontId="1" type="noConversion"/>
  </si>
  <si>
    <t>自動販賣機</t>
    <phoneticPr fontId="1" type="noConversion"/>
  </si>
  <si>
    <t>切削機</t>
    <phoneticPr fontId="1" type="noConversion"/>
  </si>
  <si>
    <t>磨床</t>
    <phoneticPr fontId="1" type="noConversion"/>
  </si>
  <si>
    <t>汽車空調永大轉投資</t>
    <phoneticPr fontId="1" type="noConversion"/>
  </si>
  <si>
    <t>冰水主機</t>
    <phoneticPr fontId="1" type="noConversion"/>
  </si>
  <si>
    <t>特殊氣體輸配</t>
    <phoneticPr fontId="1" type="noConversion"/>
  </si>
  <si>
    <t>電鍍表面</t>
    <phoneticPr fontId="1" type="noConversion"/>
  </si>
  <si>
    <t>影音訊號</t>
    <phoneticPr fontId="1" type="noConversion"/>
  </si>
  <si>
    <t>按鍵</t>
    <phoneticPr fontId="1" type="noConversion"/>
  </si>
  <si>
    <t>濺鍍靶材中鋼旗下</t>
    <phoneticPr fontId="1" type="noConversion"/>
  </si>
  <si>
    <t>車隊管理系統</t>
    <phoneticPr fontId="1" type="noConversion"/>
  </si>
  <si>
    <t>模具建德旗下</t>
    <phoneticPr fontId="1" type="noConversion"/>
  </si>
  <si>
    <t>塑化電子材料</t>
    <phoneticPr fontId="1" type="noConversion"/>
  </si>
  <si>
    <t>NEC晶圓代理</t>
    <phoneticPr fontId="1" type="noConversion"/>
  </si>
  <si>
    <t>汽車複合材料</t>
    <phoneticPr fontId="1" type="noConversion"/>
  </si>
  <si>
    <t>喇叭</t>
    <phoneticPr fontId="1" type="noConversion"/>
  </si>
  <si>
    <t>訊號延長器</t>
    <phoneticPr fontId="1" type="noConversion"/>
  </si>
  <si>
    <t>廠務工程</t>
    <phoneticPr fontId="1" type="noConversion"/>
  </si>
  <si>
    <t>電腦割字機</t>
    <phoneticPr fontId="1" type="noConversion"/>
  </si>
  <si>
    <t>IC封裝模具</t>
    <phoneticPr fontId="1" type="noConversion"/>
  </si>
  <si>
    <t>表面電鍍</t>
    <phoneticPr fontId="1" type="noConversion"/>
  </si>
  <si>
    <t>日系產品代理</t>
    <phoneticPr fontId="1" type="noConversion"/>
  </si>
  <si>
    <t>3.00</t>
    <phoneticPr fontId="1" type="noConversion"/>
  </si>
  <si>
    <t>不織布</t>
    <phoneticPr fontId="1" type="noConversion"/>
  </si>
  <si>
    <t>氣動工具機</t>
    <phoneticPr fontId="1" type="noConversion"/>
  </si>
  <si>
    <t>軟板長華轉投資</t>
    <phoneticPr fontId="1" type="noConversion"/>
  </si>
  <si>
    <t>濕紙巾</t>
    <phoneticPr fontId="1" type="noConversion"/>
  </si>
  <si>
    <t>導電漿</t>
    <phoneticPr fontId="1" type="noConversion"/>
  </si>
  <si>
    <t>感測IC矽創旗下</t>
    <phoneticPr fontId="1" type="noConversion"/>
  </si>
  <si>
    <t>連接器立訊分身</t>
    <phoneticPr fontId="1" type="noConversion"/>
  </si>
  <si>
    <t>三星IC通路商</t>
    <phoneticPr fontId="1" type="noConversion"/>
  </si>
  <si>
    <t>汽車捲簾大億旗下</t>
    <phoneticPr fontId="1" type="noConversion"/>
  </si>
  <si>
    <t>8.47</t>
    <phoneticPr fontId="1" type="noConversion"/>
  </si>
  <si>
    <t>7.26</t>
    <phoneticPr fontId="1" type="noConversion"/>
  </si>
  <si>
    <t>旅館</t>
    <phoneticPr fontId="1" type="noConversion"/>
  </si>
  <si>
    <t>保護元件</t>
    <phoneticPr fontId="1" type="noConversion"/>
  </si>
  <si>
    <t>電源供應器群光旗下</t>
    <phoneticPr fontId="1" type="noConversion"/>
  </si>
  <si>
    <t>光電板</t>
    <phoneticPr fontId="1" type="noConversion"/>
  </si>
  <si>
    <t>手持裝置</t>
    <phoneticPr fontId="1" type="noConversion"/>
  </si>
  <si>
    <t>39.66</t>
    <phoneticPr fontId="1" type="noConversion"/>
  </si>
  <si>
    <t>PE台聚集團</t>
    <phoneticPr fontId="1" type="noConversion"/>
  </si>
  <si>
    <t>合成皮</t>
    <phoneticPr fontId="1" type="noConversion"/>
  </si>
  <si>
    <t>電池</t>
    <phoneticPr fontId="1" type="noConversion"/>
  </si>
  <si>
    <t>網通IC聯發科旗下</t>
    <phoneticPr fontId="1" type="noConversion"/>
  </si>
  <si>
    <t>電池模組鴻海旗下</t>
    <phoneticPr fontId="1" type="noConversion"/>
  </si>
  <si>
    <t>晶圓代工旗下嘉晶</t>
    <phoneticPr fontId="1" type="noConversion"/>
  </si>
  <si>
    <t>晶圓代工台積電集團</t>
    <phoneticPr fontId="1" type="noConversion"/>
  </si>
  <si>
    <t>晶圓代工聯電集團</t>
    <phoneticPr fontId="1" type="noConversion"/>
  </si>
  <si>
    <t>記憶體台塑旗下</t>
    <phoneticPr fontId="1" type="noConversion"/>
  </si>
  <si>
    <t>網路IC</t>
    <phoneticPr fontId="1" type="noConversion"/>
  </si>
  <si>
    <t>面板驅動IC聯電旗下</t>
    <phoneticPr fontId="1" type="noConversion"/>
  </si>
  <si>
    <t>矽晶圓日商勝高SUMCO旗下</t>
    <phoneticPr fontId="1" type="noConversion"/>
  </si>
  <si>
    <t>電子代工鴻海集團</t>
    <phoneticPr fontId="1" type="noConversion"/>
  </si>
  <si>
    <t>辦公家具</t>
    <phoneticPr fontId="1" type="noConversion"/>
  </si>
  <si>
    <t>防盜器</t>
    <phoneticPr fontId="1" type="noConversion"/>
  </si>
  <si>
    <t>量測儀器</t>
    <phoneticPr fontId="1" type="noConversion"/>
  </si>
  <si>
    <t>代理理光</t>
    <phoneticPr fontId="1" type="noConversion"/>
  </si>
  <si>
    <t>防偽包裝</t>
    <phoneticPr fontId="1" type="noConversion"/>
  </si>
  <si>
    <t>音箱</t>
    <phoneticPr fontId="1" type="noConversion"/>
  </si>
  <si>
    <t>讀卡機</t>
    <phoneticPr fontId="1" type="noConversion"/>
  </si>
  <si>
    <t>音訊產品</t>
    <phoneticPr fontId="1" type="noConversion"/>
  </si>
  <si>
    <t>磁碟陣列</t>
    <phoneticPr fontId="1" type="noConversion"/>
  </si>
  <si>
    <t>機電工程</t>
    <phoneticPr fontId="1" type="noConversion"/>
  </si>
  <si>
    <t>電路板設備</t>
    <phoneticPr fontId="1" type="noConversion"/>
  </si>
  <si>
    <t>太陽能</t>
    <phoneticPr fontId="1" type="noConversion"/>
  </si>
  <si>
    <t>封裝材料</t>
    <phoneticPr fontId="1" type="noConversion"/>
  </si>
  <si>
    <t>真空濺鍍</t>
    <phoneticPr fontId="1" type="noConversion"/>
  </si>
  <si>
    <t>揚聲器</t>
    <phoneticPr fontId="1" type="noConversion"/>
  </si>
  <si>
    <t>材料通路</t>
    <phoneticPr fontId="1" type="noConversion"/>
  </si>
  <si>
    <t>小家電</t>
    <phoneticPr fontId="1" type="noConversion"/>
  </si>
  <si>
    <t>薄膜鍵盤</t>
    <phoneticPr fontId="1" type="noConversion"/>
  </si>
  <si>
    <t>鑽針</t>
    <phoneticPr fontId="1" type="noConversion"/>
  </si>
  <si>
    <t>面板明基友達集團</t>
    <phoneticPr fontId="1" type="noConversion"/>
  </si>
  <si>
    <t>LED導線架</t>
    <phoneticPr fontId="1" type="noConversion"/>
  </si>
  <si>
    <t>沖壓</t>
    <phoneticPr fontId="1" type="noConversion"/>
  </si>
  <si>
    <t>CPU Socket</t>
    <phoneticPr fontId="1" type="noConversion"/>
  </si>
  <si>
    <t>傳輸線材</t>
    <phoneticPr fontId="1" type="noConversion"/>
  </si>
  <si>
    <t>塑膠成型</t>
    <phoneticPr fontId="1" type="noConversion"/>
  </si>
  <si>
    <t>塑膠表面處理</t>
    <phoneticPr fontId="1" type="noConversion"/>
  </si>
  <si>
    <t>聚硫亞胺薄膜</t>
    <phoneticPr fontId="1" type="noConversion"/>
  </si>
  <si>
    <t>磁碟機音圈馬達銘異轉投資</t>
    <phoneticPr fontId="1" type="noConversion"/>
  </si>
  <si>
    <t>聲學元件</t>
    <phoneticPr fontId="1" type="noConversion"/>
  </si>
  <si>
    <t>筆電樞紐</t>
    <phoneticPr fontId="1" type="noConversion"/>
  </si>
  <si>
    <t>PCB華新旗下</t>
    <phoneticPr fontId="1" type="noConversion"/>
  </si>
  <si>
    <t>CMOS載板</t>
    <phoneticPr fontId="1" type="noConversion"/>
  </si>
  <si>
    <t>電源線材</t>
    <phoneticPr fontId="1" type="noConversion"/>
  </si>
  <si>
    <t>輕油台塑旗下</t>
    <phoneticPr fontId="1" type="noConversion"/>
  </si>
  <si>
    <t>EG台塑旗下</t>
    <phoneticPr fontId="1" type="noConversion"/>
  </si>
  <si>
    <t>金控霖園旗下</t>
    <phoneticPr fontId="1" type="noConversion"/>
  </si>
  <si>
    <t>金控富邦集團</t>
    <phoneticPr fontId="1" type="noConversion"/>
  </si>
  <si>
    <t>聯貸銀行</t>
    <phoneticPr fontId="1" type="noConversion"/>
  </si>
  <si>
    <t>消費金融</t>
    <phoneticPr fontId="1" type="noConversion"/>
  </si>
  <si>
    <t>新光人壽新光旗下</t>
    <phoneticPr fontId="1" type="noConversion"/>
  </si>
  <si>
    <t>資產</t>
    <phoneticPr fontId="1" type="noConversion"/>
  </si>
  <si>
    <t>期貨</t>
    <phoneticPr fontId="1" type="noConversion"/>
  </si>
  <si>
    <t>味精</t>
    <phoneticPr fontId="1" type="noConversion"/>
  </si>
  <si>
    <t>肉雞飼料</t>
    <phoneticPr fontId="1" type="noConversion"/>
  </si>
  <si>
    <t>油脂轉投資全家便利超商</t>
    <phoneticPr fontId="1" type="noConversion"/>
  </si>
  <si>
    <t>寵物飼料</t>
    <phoneticPr fontId="1" type="noConversion"/>
  </si>
  <si>
    <t>果糖</t>
    <phoneticPr fontId="1" type="noConversion"/>
  </si>
  <si>
    <t>油脂飼料</t>
    <phoneticPr fontId="1" type="noConversion"/>
  </si>
  <si>
    <t>穀物油品</t>
    <phoneticPr fontId="1" type="noConversion"/>
  </si>
  <si>
    <t>麵粉聯華神通集團</t>
    <phoneticPr fontId="1" type="noConversion"/>
  </si>
  <si>
    <t>休閒食品</t>
    <phoneticPr fontId="1" type="noConversion"/>
  </si>
  <si>
    <t>黃豆油</t>
    <phoneticPr fontId="1" type="noConversion"/>
  </si>
  <si>
    <t>飼料</t>
    <phoneticPr fontId="1" type="noConversion"/>
  </si>
  <si>
    <t>七七巧克力</t>
    <phoneticPr fontId="1" type="noConversion"/>
  </si>
  <si>
    <t>濃縮果汁</t>
    <phoneticPr fontId="1" type="noConversion"/>
  </si>
  <si>
    <t>烘培油脂</t>
    <phoneticPr fontId="1" type="noConversion"/>
  </si>
  <si>
    <t>生技</t>
    <phoneticPr fontId="1" type="noConversion"/>
  </si>
  <si>
    <t>發卡銀行中信集團</t>
    <phoneticPr fontId="1" type="noConversion"/>
  </si>
  <si>
    <t>TOYOTA</t>
    <phoneticPr fontId="1" type="noConversion"/>
  </si>
  <si>
    <t>便利店</t>
    <phoneticPr fontId="1" type="noConversion"/>
  </si>
  <si>
    <t>網路通訊</t>
    <phoneticPr fontId="1" type="noConversion"/>
  </si>
  <si>
    <t>RFID Tag</t>
    <phoneticPr fontId="1" type="noConversion"/>
  </si>
  <si>
    <t>雲端</t>
    <phoneticPr fontId="1" type="noConversion"/>
  </si>
  <si>
    <t>植毛絨布</t>
    <phoneticPr fontId="1" type="noConversion"/>
  </si>
  <si>
    <t>EMI屏蔽材料</t>
    <phoneticPr fontId="1" type="noConversion"/>
  </si>
  <si>
    <t>PVC軟質膠布</t>
    <phoneticPr fontId="1" type="noConversion"/>
  </si>
  <si>
    <t>特殊商標</t>
    <phoneticPr fontId="1" type="noConversion"/>
  </si>
  <si>
    <t>旅行箱</t>
    <phoneticPr fontId="1" type="noConversion"/>
  </si>
  <si>
    <t>尼龍線紗</t>
    <phoneticPr fontId="1" type="noConversion"/>
  </si>
  <si>
    <t>尼龍絲</t>
    <phoneticPr fontId="1" type="noConversion"/>
  </si>
  <si>
    <t>長織布</t>
    <phoneticPr fontId="1" type="noConversion"/>
  </si>
  <si>
    <t>漁網</t>
    <phoneticPr fontId="1" type="noConversion"/>
  </si>
  <si>
    <t>新娘禮服布</t>
    <phoneticPr fontId="1" type="noConversion"/>
  </si>
  <si>
    <t>防水布</t>
    <phoneticPr fontId="1" type="noConversion"/>
  </si>
  <si>
    <t>染料</t>
    <phoneticPr fontId="1" type="noConversion"/>
  </si>
  <si>
    <t>樹脂</t>
    <phoneticPr fontId="1" type="noConversion"/>
  </si>
  <si>
    <t>雞肉</t>
    <phoneticPr fontId="1" type="noConversion"/>
  </si>
  <si>
    <t>烘培原物料</t>
    <phoneticPr fontId="1" type="noConversion"/>
  </si>
  <si>
    <t>豆腐</t>
    <phoneticPr fontId="1" type="noConversion"/>
  </si>
  <si>
    <t>過堂廠</t>
    <phoneticPr fontId="1" type="noConversion"/>
  </si>
  <si>
    <t>服飾代理</t>
    <phoneticPr fontId="1" type="noConversion"/>
  </si>
  <si>
    <t>嬰童產品</t>
    <phoneticPr fontId="1" type="noConversion"/>
  </si>
  <si>
    <t>家電通路商</t>
    <phoneticPr fontId="1" type="noConversion"/>
  </si>
  <si>
    <t>貿易商統一旗下</t>
    <phoneticPr fontId="1" type="noConversion"/>
  </si>
  <si>
    <t>高速公路休息站</t>
    <phoneticPr fontId="1" type="noConversion"/>
  </si>
  <si>
    <t>B2B家具</t>
    <phoneticPr fontId="1" type="noConversion"/>
  </si>
  <si>
    <t>烤肉爐</t>
    <phoneticPr fontId="1" type="noConversion"/>
  </si>
  <si>
    <t>高爾夫球網站</t>
    <phoneticPr fontId="1" type="noConversion"/>
  </si>
  <si>
    <t>電子材料批發</t>
    <phoneticPr fontId="1" type="noConversion"/>
  </si>
  <si>
    <t>IC通路商</t>
    <phoneticPr fontId="1" type="noConversion"/>
  </si>
  <si>
    <t>電子材料通路</t>
    <phoneticPr fontId="1" type="noConversion"/>
  </si>
  <si>
    <t>半導體零件代理</t>
    <phoneticPr fontId="1" type="noConversion"/>
  </si>
  <si>
    <t>3C通路售</t>
    <phoneticPr fontId="1" type="noConversion"/>
  </si>
  <si>
    <t>Nor Flash通路商</t>
    <phoneticPr fontId="1" type="noConversion"/>
  </si>
  <si>
    <t>三菱代理商</t>
    <phoneticPr fontId="1" type="noConversion"/>
  </si>
  <si>
    <t>多媒體電腦</t>
    <phoneticPr fontId="1" type="noConversion"/>
  </si>
  <si>
    <t>IC通路商威盛旗下</t>
    <phoneticPr fontId="1" type="noConversion"/>
  </si>
  <si>
    <t>鋼筋</t>
    <phoneticPr fontId="1" type="noConversion"/>
  </si>
  <si>
    <t>報關</t>
    <phoneticPr fontId="1" type="noConversion"/>
  </si>
  <si>
    <t>貨櫃集散</t>
    <phoneticPr fontId="1" type="noConversion"/>
  </si>
  <si>
    <t>貨櫃運輸</t>
    <phoneticPr fontId="1" type="noConversion"/>
  </si>
  <si>
    <t>貨運</t>
    <phoneticPr fontId="1" type="noConversion"/>
  </si>
  <si>
    <t>不動產</t>
    <phoneticPr fontId="1" type="noConversion"/>
  </si>
  <si>
    <t>國民住宅</t>
    <phoneticPr fontId="1" type="noConversion"/>
  </si>
  <si>
    <t>建築開發富宇旗下</t>
    <phoneticPr fontId="1" type="noConversion"/>
  </si>
  <si>
    <t>飯店仰德旗下</t>
    <phoneticPr fontId="1" type="noConversion"/>
  </si>
  <si>
    <t>混凝土</t>
    <phoneticPr fontId="1" type="noConversion"/>
  </si>
  <si>
    <t>漆包線</t>
    <phoneticPr fontId="1" type="noConversion"/>
  </si>
  <si>
    <t>摩斯東元旗下</t>
    <phoneticPr fontId="1" type="noConversion"/>
  </si>
  <si>
    <t>餐飲</t>
    <phoneticPr fontId="1" type="noConversion"/>
  </si>
  <si>
    <t>旅遊公司燦坤旗下</t>
    <phoneticPr fontId="1" type="noConversion"/>
  </si>
  <si>
    <t>商務酒店</t>
    <phoneticPr fontId="1" type="noConversion"/>
  </si>
  <si>
    <t>快樂檸檬</t>
    <phoneticPr fontId="1" type="noConversion"/>
  </si>
  <si>
    <t>旅遊業</t>
    <phoneticPr fontId="1" type="noConversion"/>
  </si>
  <si>
    <t>溫泉飯店</t>
    <phoneticPr fontId="1" type="noConversion"/>
  </si>
  <si>
    <t>牛排連鎖餐廳</t>
    <phoneticPr fontId="1" type="noConversion"/>
  </si>
  <si>
    <t>韓式連鎖餐廳</t>
    <phoneticPr fontId="1" type="noConversion"/>
  </si>
  <si>
    <t>珠寶</t>
    <phoneticPr fontId="1" type="noConversion"/>
  </si>
  <si>
    <t>飯店</t>
    <phoneticPr fontId="1" type="noConversion"/>
  </si>
  <si>
    <t>天然氣</t>
    <phoneticPr fontId="1" type="noConversion"/>
  </si>
  <si>
    <t>加油站</t>
    <phoneticPr fontId="1" type="noConversion"/>
  </si>
  <si>
    <t>電腦軟硬體</t>
    <phoneticPr fontId="1" type="noConversion"/>
  </si>
  <si>
    <t>證券金融</t>
    <phoneticPr fontId="1" type="noConversion"/>
  </si>
  <si>
    <t>手寫辨識</t>
    <phoneticPr fontId="1" type="noConversion"/>
  </si>
  <si>
    <t>系統整合</t>
    <phoneticPr fontId="1" type="noConversion"/>
  </si>
  <si>
    <t>系統整合大眾轉投資</t>
    <phoneticPr fontId="1" type="noConversion"/>
  </si>
  <si>
    <t>電子商務</t>
    <phoneticPr fontId="1" type="noConversion"/>
  </si>
  <si>
    <t>資訊圖書</t>
    <phoneticPr fontId="1" type="noConversion"/>
  </si>
  <si>
    <t>信用卡製卡</t>
    <phoneticPr fontId="1" type="noConversion"/>
  </si>
  <si>
    <t>3D軟硬體</t>
    <phoneticPr fontId="1" type="noConversion"/>
  </si>
  <si>
    <t>體感遊戲潤泰旗下</t>
    <phoneticPr fontId="1" type="noConversion"/>
  </si>
  <si>
    <t>電影版權</t>
    <phoneticPr fontId="1" type="noConversion"/>
  </si>
  <si>
    <t>美商8大片商</t>
    <phoneticPr fontId="1" type="noConversion"/>
  </si>
  <si>
    <t>補教</t>
    <phoneticPr fontId="1" type="noConversion"/>
  </si>
  <si>
    <t>遊戲智冠宇峻轉投資</t>
    <phoneticPr fontId="1" type="noConversion"/>
  </si>
  <si>
    <t>布袋戲</t>
    <phoneticPr fontId="1" type="noConversion"/>
  </si>
  <si>
    <t>數位教學</t>
    <phoneticPr fontId="1" type="noConversion"/>
  </si>
  <si>
    <t>琉璃</t>
    <phoneticPr fontId="1" type="noConversion"/>
  </si>
  <si>
    <t>交友社群</t>
    <phoneticPr fontId="1" type="noConversion"/>
  </si>
  <si>
    <t>平台</t>
    <phoneticPr fontId="1" type="noConversion"/>
  </si>
  <si>
    <t>蝦類檢測</t>
    <phoneticPr fontId="1" type="noConversion"/>
  </si>
  <si>
    <t>農地膜</t>
    <phoneticPr fontId="1" type="noConversion"/>
  </si>
  <si>
    <t>保險經紀</t>
    <phoneticPr fontId="1" type="noConversion"/>
  </si>
  <si>
    <t>券商大慶建設轉投資</t>
    <phoneticPr fontId="1" type="noConversion"/>
  </si>
  <si>
    <t>光學鏡片模具鴻海旗下</t>
    <phoneticPr fontId="1" type="noConversion"/>
  </si>
  <si>
    <t>電子公司光寶集團</t>
    <phoneticPr fontId="1" type="noConversion"/>
  </si>
  <si>
    <t>掃描器</t>
    <phoneticPr fontId="1" type="noConversion"/>
  </si>
  <si>
    <t>NB代工金仁寶集團</t>
    <phoneticPr fontId="1" type="noConversion"/>
  </si>
  <si>
    <t>主機板大同旗下</t>
    <phoneticPr fontId="1" type="noConversion"/>
  </si>
  <si>
    <t>NB宏碁集團</t>
    <phoneticPr fontId="1" type="noConversion"/>
  </si>
  <si>
    <t>百腦匯</t>
    <phoneticPr fontId="1" type="noConversion"/>
  </si>
  <si>
    <t>軍工NB</t>
    <phoneticPr fontId="1" type="noConversion"/>
  </si>
  <si>
    <t>滑鼠</t>
    <phoneticPr fontId="1" type="noConversion"/>
  </si>
  <si>
    <t>NB代工廣達集團</t>
    <phoneticPr fontId="1" type="noConversion"/>
  </si>
  <si>
    <t>矽酸鈣板國產集團旗下</t>
    <phoneticPr fontId="1" type="noConversion"/>
  </si>
  <si>
    <t>板卡比特幣</t>
    <phoneticPr fontId="1" type="noConversion"/>
  </si>
  <si>
    <t>板卡比特幣華碩旗下</t>
    <phoneticPr fontId="1" type="noConversion"/>
  </si>
  <si>
    <t>車載多媒體</t>
    <phoneticPr fontId="1" type="noConversion"/>
  </si>
  <si>
    <t>車用顯示器</t>
    <phoneticPr fontId="1" type="noConversion"/>
  </si>
  <si>
    <t>發電機</t>
    <phoneticPr fontId="1" type="noConversion"/>
  </si>
  <si>
    <t>軍工電腦聯華神通旗下</t>
    <phoneticPr fontId="1" type="noConversion"/>
  </si>
  <si>
    <t>電腦機殼</t>
    <phoneticPr fontId="1" type="noConversion"/>
  </si>
  <si>
    <t>工業電腦旗下威聯通</t>
    <phoneticPr fontId="1" type="noConversion"/>
  </si>
  <si>
    <t>RAID控制器</t>
    <phoneticPr fontId="1" type="noConversion"/>
  </si>
  <si>
    <t>硬碟零件</t>
    <phoneticPr fontId="1" type="noConversion"/>
  </si>
  <si>
    <t>NB代工緯創集團</t>
    <phoneticPr fontId="1" type="noConversion"/>
  </si>
  <si>
    <t>印表機</t>
    <phoneticPr fontId="1" type="noConversion"/>
  </si>
  <si>
    <t>GPS聯華神通旗下</t>
    <phoneticPr fontId="1" type="noConversion"/>
  </si>
  <si>
    <t>控股公司勁永,崴強,光耀科合併成立</t>
    <phoneticPr fontId="1" type="noConversion"/>
  </si>
  <si>
    <t>NB代工華碩旗下</t>
    <phoneticPr fontId="1" type="noConversion"/>
  </si>
  <si>
    <t>電梯永大集團</t>
    <phoneticPr fontId="1" type="noConversion"/>
  </si>
  <si>
    <t>汽車活塞</t>
    <phoneticPr fontId="1" type="noConversion"/>
  </si>
  <si>
    <t>配電盤</t>
    <phoneticPr fontId="1" type="noConversion"/>
  </si>
  <si>
    <t>自行車剎車</t>
    <phoneticPr fontId="1" type="noConversion"/>
  </si>
  <si>
    <t>自行車變速</t>
    <phoneticPr fontId="1" type="noConversion"/>
  </si>
  <si>
    <t>工業用縫紉機</t>
    <phoneticPr fontId="1" type="noConversion"/>
  </si>
  <si>
    <t>鑄鐵</t>
    <phoneticPr fontId="1" type="noConversion"/>
  </si>
  <si>
    <t>環保工程中鋼旗下</t>
    <phoneticPr fontId="1" type="noConversion"/>
  </si>
  <si>
    <t>線鋸機</t>
    <phoneticPr fontId="1" type="noConversion"/>
  </si>
  <si>
    <t>縫紉機</t>
    <phoneticPr fontId="1" type="noConversion"/>
  </si>
  <si>
    <t>CNC轉投資亞崴</t>
    <phoneticPr fontId="1" type="noConversion"/>
  </si>
  <si>
    <t>金屬加工</t>
    <phoneticPr fontId="1" type="noConversion"/>
  </si>
  <si>
    <t>土地</t>
    <phoneticPr fontId="1" type="noConversion"/>
  </si>
  <si>
    <t>壓縮機</t>
    <phoneticPr fontId="1" type="noConversion"/>
  </si>
  <si>
    <t>縫紉機零配件</t>
    <phoneticPr fontId="1" type="noConversion"/>
  </si>
  <si>
    <t>彎管機</t>
    <phoneticPr fontId="1" type="noConversion"/>
  </si>
  <si>
    <t>飛機引擎</t>
    <phoneticPr fontId="1" type="noConversion"/>
  </si>
  <si>
    <t>汽機車零件</t>
    <phoneticPr fontId="1" type="noConversion"/>
  </si>
  <si>
    <t>航空零組件</t>
    <phoneticPr fontId="1" type="noConversion"/>
  </si>
  <si>
    <t>自動化零組件</t>
    <phoneticPr fontId="1" type="noConversion"/>
  </si>
  <si>
    <t>PE</t>
    <phoneticPr fontId="1" type="noConversion"/>
  </si>
  <si>
    <t>SM</t>
    <phoneticPr fontId="1" type="noConversion"/>
  </si>
  <si>
    <t>CPL威京旗下</t>
    <phoneticPr fontId="1" type="noConversion"/>
  </si>
  <si>
    <t>雨衣</t>
    <phoneticPr fontId="1" type="noConversion"/>
  </si>
  <si>
    <t>PVC</t>
    <phoneticPr fontId="1" type="noConversion"/>
  </si>
  <si>
    <t>塑膠瓶</t>
    <phoneticPr fontId="1" type="noConversion"/>
  </si>
  <si>
    <t>PVC膠帶</t>
    <phoneticPr fontId="1" type="noConversion"/>
  </si>
  <si>
    <t>EVA發泡</t>
    <phoneticPr fontId="1" type="noConversion"/>
  </si>
  <si>
    <t>人造皮革</t>
    <phoneticPr fontId="1" type="noConversion"/>
  </si>
  <si>
    <t>膠帶</t>
    <phoneticPr fontId="1" type="noConversion"/>
  </si>
  <si>
    <t>聚酯棉</t>
    <phoneticPr fontId="1" type="noConversion"/>
  </si>
  <si>
    <t>加工絲遠東旗下</t>
    <phoneticPr fontId="1" type="noConversion"/>
  </si>
  <si>
    <t>混紡</t>
    <phoneticPr fontId="1" type="noConversion"/>
  </si>
  <si>
    <t>亞克力棉</t>
    <phoneticPr fontId="1" type="noConversion"/>
  </si>
  <si>
    <t>平織布新光旗下</t>
    <phoneticPr fontId="1" type="noConversion"/>
  </si>
  <si>
    <t>輪胎布台塑旗下</t>
    <phoneticPr fontId="1" type="noConversion"/>
  </si>
  <si>
    <t>棉紡紗</t>
    <phoneticPr fontId="1" type="noConversion"/>
  </si>
  <si>
    <t>織布</t>
    <phoneticPr fontId="1" type="noConversion"/>
  </si>
  <si>
    <t>長短織</t>
    <phoneticPr fontId="1" type="noConversion"/>
  </si>
  <si>
    <t>混紡紗</t>
    <phoneticPr fontId="1" type="noConversion"/>
  </si>
  <si>
    <t>絲織布</t>
    <phoneticPr fontId="1" type="noConversion"/>
  </si>
  <si>
    <t>紡織元邦旗下</t>
    <phoneticPr fontId="1" type="noConversion"/>
  </si>
  <si>
    <t>感測顯示IC</t>
    <phoneticPr fontId="1" type="noConversion"/>
  </si>
  <si>
    <t>5.08</t>
    <phoneticPr fontId="1" type="noConversion"/>
  </si>
  <si>
    <t>人力資源</t>
    <phoneticPr fontId="1" type="noConversion"/>
  </si>
  <si>
    <t>財政部</t>
    <phoneticPr fontId="1" type="noConversion"/>
  </si>
  <si>
    <t>商場租賃</t>
    <phoneticPr fontId="1" type="noConversion"/>
  </si>
  <si>
    <t>觀光飯店</t>
    <phoneticPr fontId="1" type="noConversion"/>
  </si>
  <si>
    <t>遊樂園</t>
    <phoneticPr fontId="1" type="noConversion"/>
  </si>
  <si>
    <t>飯店萬華旗下</t>
    <phoneticPr fontId="1" type="noConversion"/>
  </si>
  <si>
    <t>飯店遠雄旗下</t>
    <phoneticPr fontId="1" type="noConversion"/>
  </si>
  <si>
    <t>飯店官田鋼轉投資</t>
    <phoneticPr fontId="1" type="noConversion"/>
  </si>
  <si>
    <t>氣門嘴</t>
    <phoneticPr fontId="1" type="noConversion"/>
  </si>
  <si>
    <t>三菱裕隆旗下</t>
    <phoneticPr fontId="1" type="noConversion"/>
  </si>
  <si>
    <t>現代汽車</t>
    <phoneticPr fontId="1" type="noConversion"/>
  </si>
  <si>
    <t>NISSAN裕隆旗下</t>
    <phoneticPr fontId="1" type="noConversion"/>
  </si>
  <si>
    <t>汽車氣囊</t>
    <phoneticPr fontId="1" type="noConversion"/>
  </si>
  <si>
    <t>汽車開關</t>
    <phoneticPr fontId="1" type="noConversion"/>
  </si>
  <si>
    <t>噴油嘴</t>
    <phoneticPr fontId="1" type="noConversion"/>
  </si>
  <si>
    <t>汽車零件</t>
    <phoneticPr fontId="1" type="noConversion"/>
  </si>
  <si>
    <t>車身模具</t>
    <phoneticPr fontId="1" type="noConversion"/>
  </si>
  <si>
    <t>汽車分泵</t>
    <phoneticPr fontId="1" type="noConversion"/>
  </si>
  <si>
    <t>車鑄件</t>
    <phoneticPr fontId="1" type="noConversion"/>
  </si>
  <si>
    <t>電線電纜</t>
    <phoneticPr fontId="1" type="noConversion"/>
  </si>
  <si>
    <t>家電</t>
    <phoneticPr fontId="1" type="noConversion"/>
  </si>
  <si>
    <t>高壓電力</t>
    <phoneticPr fontId="1" type="noConversion"/>
  </si>
  <si>
    <t>電力電纜</t>
    <phoneticPr fontId="1" type="noConversion"/>
  </si>
  <si>
    <t>東亞照明</t>
    <phoneticPr fontId="1" type="noConversion"/>
  </si>
  <si>
    <t>小家電燦坤旗下</t>
    <phoneticPr fontId="1" type="noConversion"/>
  </si>
  <si>
    <t>智慧家電</t>
    <phoneticPr fontId="1" type="noConversion"/>
  </si>
  <si>
    <t>治具Tesla</t>
    <phoneticPr fontId="1" type="noConversion"/>
  </si>
  <si>
    <t>軟硬體Adobe</t>
    <phoneticPr fontId="1" type="noConversion"/>
  </si>
  <si>
    <t>IC導線架長華電旗下</t>
    <phoneticPr fontId="1" type="noConversion"/>
  </si>
  <si>
    <t>封測轉投資台星科收購聯測</t>
    <phoneticPr fontId="1" type="noConversion"/>
  </si>
  <si>
    <t>海空貨運承攬</t>
    <phoneticPr fontId="1" type="noConversion"/>
  </si>
  <si>
    <t>二極體聯電投資</t>
    <phoneticPr fontId="1" type="noConversion"/>
  </si>
  <si>
    <t>腎臟病</t>
    <phoneticPr fontId="1" type="noConversion"/>
  </si>
  <si>
    <t>肥料</t>
    <phoneticPr fontId="1" type="noConversion"/>
  </si>
  <si>
    <t>倉儲</t>
    <phoneticPr fontId="1" type="noConversion"/>
  </si>
  <si>
    <t>投資公司</t>
    <phoneticPr fontId="1" type="noConversion"/>
  </si>
  <si>
    <t>生煤</t>
    <phoneticPr fontId="1" type="noConversion"/>
  </si>
  <si>
    <t>水龍頭零件</t>
    <phoneticPr fontId="1" type="noConversion"/>
  </si>
  <si>
    <t>鋁合金</t>
    <phoneticPr fontId="1" type="noConversion"/>
  </si>
  <si>
    <t>港區物流</t>
    <phoneticPr fontId="1" type="noConversion"/>
  </si>
  <si>
    <t>陳立補習班</t>
    <phoneticPr fontId="1" type="noConversion"/>
  </si>
  <si>
    <t>石化倉儲</t>
    <phoneticPr fontId="1" type="noConversion"/>
  </si>
  <si>
    <t>孵化創業</t>
    <phoneticPr fontId="1" type="noConversion"/>
  </si>
  <si>
    <t>機構件</t>
    <phoneticPr fontId="1" type="noConversion"/>
  </si>
  <si>
    <t>租賃中信旗下</t>
    <phoneticPr fontId="1" type="noConversion"/>
  </si>
  <si>
    <t>有線電視</t>
    <phoneticPr fontId="1" type="noConversion"/>
  </si>
  <si>
    <t>電弧爐</t>
    <phoneticPr fontId="1" type="noConversion"/>
  </si>
  <si>
    <t>娛樂製作</t>
    <phoneticPr fontId="1" type="noConversion"/>
  </si>
  <si>
    <t>水處理環保</t>
    <phoneticPr fontId="1" type="noConversion"/>
  </si>
  <si>
    <t>木板</t>
    <phoneticPr fontId="1" type="noConversion"/>
  </si>
  <si>
    <t>烘培器具</t>
    <phoneticPr fontId="1" type="noConversion"/>
  </si>
  <si>
    <t>黏釦帶</t>
    <phoneticPr fontId="1" type="noConversion"/>
  </si>
  <si>
    <t>制罐</t>
    <phoneticPr fontId="1" type="noConversion"/>
  </si>
  <si>
    <t>廢棄物處理</t>
    <phoneticPr fontId="1" type="noConversion"/>
  </si>
  <si>
    <t>家具配件</t>
    <phoneticPr fontId="1" type="noConversion"/>
  </si>
  <si>
    <t>水泥預拌潤泰旗下</t>
    <phoneticPr fontId="1" type="noConversion"/>
  </si>
  <si>
    <t>塑膠地磚</t>
    <phoneticPr fontId="1" type="noConversion"/>
  </si>
  <si>
    <t>水處理力騏旗下</t>
    <phoneticPr fontId="1" type="noConversion"/>
  </si>
  <si>
    <t>遊艇</t>
    <phoneticPr fontId="1" type="noConversion"/>
  </si>
  <si>
    <t>貼標印刷</t>
    <phoneticPr fontId="1" type="noConversion"/>
  </si>
  <si>
    <t>飲料包材</t>
    <phoneticPr fontId="1" type="noConversion"/>
  </si>
  <si>
    <t>營建開發</t>
    <phoneticPr fontId="1" type="noConversion"/>
  </si>
  <si>
    <t>食品包裝</t>
    <phoneticPr fontId="1" type="noConversion"/>
  </si>
  <si>
    <t>馬口鐵</t>
    <phoneticPr fontId="1" type="noConversion"/>
  </si>
  <si>
    <t>廚具</t>
    <phoneticPr fontId="1" type="noConversion"/>
  </si>
  <si>
    <t>保全SIGMU旗下</t>
    <phoneticPr fontId="1" type="noConversion"/>
  </si>
  <si>
    <t>門鎖</t>
    <phoneticPr fontId="1" type="noConversion"/>
  </si>
  <si>
    <t>保全公司</t>
    <phoneticPr fontId="1" type="noConversion"/>
  </si>
  <si>
    <t>鉛</t>
    <phoneticPr fontId="1" type="noConversion"/>
  </si>
  <si>
    <t>電視台</t>
    <phoneticPr fontId="1" type="noConversion"/>
  </si>
  <si>
    <t>爐石粉</t>
    <phoneticPr fontId="1" type="noConversion"/>
  </si>
  <si>
    <t>統包中鼎集團</t>
    <phoneticPr fontId="1" type="noConversion"/>
  </si>
  <si>
    <t>水龍頭</t>
    <phoneticPr fontId="1" type="noConversion"/>
  </si>
  <si>
    <t>黏扣帶</t>
    <phoneticPr fontId="1" type="noConversion"/>
  </si>
  <si>
    <t>密封元件</t>
    <phoneticPr fontId="1" type="noConversion"/>
  </si>
  <si>
    <t>樹脂棉</t>
    <phoneticPr fontId="1" type="noConversion"/>
  </si>
  <si>
    <t>農藥</t>
    <phoneticPr fontId="1" type="noConversion"/>
  </si>
  <si>
    <t>保險粉</t>
    <phoneticPr fontId="1" type="noConversion"/>
  </si>
  <si>
    <t>正烷</t>
    <phoneticPr fontId="1" type="noConversion"/>
  </si>
  <si>
    <t>光阻劑</t>
    <phoneticPr fontId="1" type="noConversion"/>
  </si>
  <si>
    <t>油墨處理劑</t>
    <phoneticPr fontId="1" type="noConversion"/>
  </si>
  <si>
    <t>碼頭倉儲</t>
    <phoneticPr fontId="1" type="noConversion"/>
  </si>
  <si>
    <t>百貨業</t>
    <phoneticPr fontId="1" type="noConversion"/>
  </si>
  <si>
    <t>百貨遠東旗下</t>
    <phoneticPr fontId="1" type="noConversion"/>
  </si>
  <si>
    <t>食衣住行</t>
    <phoneticPr fontId="1" type="noConversion"/>
  </si>
  <si>
    <t>家居用品</t>
    <phoneticPr fontId="1" type="noConversion"/>
  </si>
  <si>
    <t>百貨公司</t>
    <phoneticPr fontId="1" type="noConversion"/>
  </si>
  <si>
    <t>超商統一旗下</t>
    <phoneticPr fontId="1" type="noConversion"/>
  </si>
  <si>
    <t>家具批發</t>
    <phoneticPr fontId="1" type="noConversion"/>
  </si>
  <si>
    <t>生活用品</t>
    <phoneticPr fontId="1" type="noConversion"/>
  </si>
  <si>
    <t>TONY wear</t>
    <phoneticPr fontId="1" type="noConversion"/>
  </si>
  <si>
    <t>百貨益航投資</t>
    <phoneticPr fontId="1" type="noConversion"/>
  </si>
  <si>
    <t>品牌服飾</t>
    <phoneticPr fontId="1" type="noConversion"/>
  </si>
  <si>
    <t>鞋業</t>
    <phoneticPr fontId="1" type="noConversion"/>
  </si>
  <si>
    <t>網購富邦旗下</t>
    <phoneticPr fontId="1" type="noConversion"/>
  </si>
  <si>
    <t>通路聯華旗下</t>
    <phoneticPr fontId="1" type="noConversion"/>
  </si>
  <si>
    <t>資訊通路</t>
    <phoneticPr fontId="1" type="noConversion"/>
  </si>
  <si>
    <t>連鎖通路</t>
    <phoneticPr fontId="1" type="noConversion"/>
  </si>
  <si>
    <t>電子零件</t>
    <phoneticPr fontId="1" type="noConversion"/>
  </si>
  <si>
    <t>半導體元件</t>
    <phoneticPr fontId="1" type="noConversion"/>
  </si>
  <si>
    <t>電子零組件</t>
    <phoneticPr fontId="1" type="noConversion"/>
  </si>
  <si>
    <t>IC通路</t>
    <phoneticPr fontId="1" type="noConversion"/>
  </si>
  <si>
    <t>Xcerra代理</t>
    <phoneticPr fontId="1" type="noConversion"/>
  </si>
  <si>
    <t>通訊元件</t>
    <phoneticPr fontId="1" type="noConversion"/>
  </si>
  <si>
    <t>半導體零件</t>
    <phoneticPr fontId="1" type="noConversion"/>
  </si>
  <si>
    <t>晶圓日本信越</t>
    <phoneticPr fontId="1" type="noConversion"/>
  </si>
  <si>
    <t>3C通路</t>
    <phoneticPr fontId="1" type="noConversion"/>
  </si>
  <si>
    <t>IC封裝材料</t>
    <phoneticPr fontId="1" type="noConversion"/>
  </si>
  <si>
    <t>DVR安控</t>
    <phoneticPr fontId="1" type="noConversion"/>
  </si>
  <si>
    <t>19.81</t>
    <phoneticPr fontId="1" type="noConversion"/>
  </si>
  <si>
    <t>57.2</t>
    <phoneticPr fontId="1" type="noConversion"/>
  </si>
  <si>
    <t>散熱機構件</t>
    <phoneticPr fontId="1" type="noConversion"/>
  </si>
  <si>
    <t>連接器連展科、連騰、連訊、連淨生技</t>
    <phoneticPr fontId="1" type="noConversion"/>
  </si>
  <si>
    <t>條碼印表機台半投資</t>
    <phoneticPr fontId="1" type="noConversion"/>
  </si>
  <si>
    <t>軸承MacPro</t>
    <phoneticPr fontId="1" type="noConversion"/>
  </si>
  <si>
    <t>汽車鍛壓件</t>
    <phoneticPr fontId="1" type="noConversion"/>
  </si>
  <si>
    <t>半導體鐳射設備</t>
    <phoneticPr fontId="1" type="noConversion"/>
  </si>
  <si>
    <t>網通IC聯發科入股</t>
    <phoneticPr fontId="1" type="noConversion"/>
  </si>
  <si>
    <t>手工具</t>
    <phoneticPr fontId="1" type="noConversion"/>
  </si>
  <si>
    <t>損益</t>
    <phoneticPr fontId="1" type="noConversion"/>
  </si>
  <si>
    <t>損益率</t>
    <phoneticPr fontId="1" type="noConversion"/>
  </si>
  <si>
    <t>成分</t>
    <phoneticPr fontId="1" type="noConversion"/>
  </si>
  <si>
    <t>持股</t>
    <phoneticPr fontId="1" type="noConversion"/>
  </si>
  <si>
    <t>類股</t>
    <phoneticPr fontId="1" type="noConversion"/>
  </si>
  <si>
    <t>買進日期</t>
    <phoneticPr fontId="1" type="noConversion"/>
  </si>
  <si>
    <t>賣出日期</t>
    <phoneticPr fontId="1" type="noConversion"/>
  </si>
  <si>
    <t>天數</t>
    <phoneticPr fontId="1" type="noConversion"/>
  </si>
  <si>
    <t>01月21年</t>
    <phoneticPr fontId="1" type="noConversion"/>
  </si>
  <si>
    <t>54.6</t>
    <phoneticPr fontId="1" type="noConversion"/>
  </si>
  <si>
    <t>2368</t>
    <phoneticPr fontId="1" type="noConversion"/>
  </si>
  <si>
    <t>金像電</t>
    <phoneticPr fontId="1" type="noConversion"/>
  </si>
  <si>
    <t>南珠</t>
    <phoneticPr fontId="1" type="noConversion"/>
  </si>
  <si>
    <t>1</t>
    <phoneticPr fontId="35" type="noConversion"/>
  </si>
  <si>
    <t>568</t>
    <phoneticPr fontId="1" type="noConversion"/>
  </si>
  <si>
    <t>1216</t>
    <phoneticPr fontId="1" type="noConversion"/>
  </si>
  <si>
    <t>統一</t>
    <phoneticPr fontId="1" type="noConversion"/>
  </si>
  <si>
    <t>8.60</t>
    <phoneticPr fontId="1" type="noConversion"/>
  </si>
  <si>
    <t>5439</t>
    <phoneticPr fontId="1" type="noConversion"/>
  </si>
  <si>
    <t>高技</t>
    <phoneticPr fontId="1" type="noConversion"/>
  </si>
  <si>
    <t>1</t>
    <phoneticPr fontId="1" type="noConversion"/>
  </si>
  <si>
    <t>49.0</t>
    <phoneticPr fontId="1" type="noConversion"/>
  </si>
  <si>
    <t>3264</t>
    <phoneticPr fontId="1" type="noConversion"/>
  </si>
  <si>
    <t>欣銓</t>
    <phoneticPr fontId="1" type="noConversion"/>
  </si>
  <si>
    <t>67.1</t>
    <phoneticPr fontId="1" type="noConversion"/>
  </si>
  <si>
    <t>6147</t>
    <phoneticPr fontId="1" type="noConversion"/>
  </si>
  <si>
    <t>頎邦</t>
    <phoneticPr fontId="1" type="noConversion"/>
  </si>
  <si>
    <t>150</t>
    <phoneticPr fontId="1" type="noConversion"/>
  </si>
  <si>
    <t>3037</t>
    <phoneticPr fontId="1" type="noConversion"/>
  </si>
  <si>
    <t>欣興</t>
    <phoneticPr fontId="1" type="noConversion"/>
  </si>
  <si>
    <t>25.2</t>
    <phoneticPr fontId="1" type="noConversion"/>
  </si>
  <si>
    <t>8358</t>
    <phoneticPr fontId="1" type="noConversion"/>
  </si>
  <si>
    <t>金居</t>
    <phoneticPr fontId="1" type="noConversion"/>
  </si>
  <si>
    <t>南珠</t>
    <phoneticPr fontId="1" type="noConversion"/>
  </si>
  <si>
    <t>1</t>
    <phoneticPr fontId="1" type="noConversion"/>
  </si>
  <si>
    <t>25.2</t>
    <phoneticPr fontId="1" type="noConversion"/>
  </si>
  <si>
    <t>8358</t>
    <phoneticPr fontId="1" type="noConversion"/>
  </si>
  <si>
    <t>日本CNC車床</t>
    <phoneticPr fontId="1" type="noConversion"/>
  </si>
  <si>
    <t>IP矽智財</t>
    <phoneticPr fontId="1" type="noConversion"/>
  </si>
  <si>
    <t>散熱1</t>
    <phoneticPr fontId="1" type="noConversion"/>
  </si>
  <si>
    <t>散熱4</t>
    <phoneticPr fontId="1" type="noConversion"/>
  </si>
  <si>
    <t>散熱5旗下富世逹軸承</t>
    <phoneticPr fontId="1" type="noConversion"/>
  </si>
  <si>
    <t>散熱6</t>
    <phoneticPr fontId="1" type="noConversion"/>
  </si>
  <si>
    <t>11.43</t>
    <phoneticPr fontId="1" type="noConversion"/>
  </si>
  <si>
    <t>21.8</t>
    <phoneticPr fontId="1" type="noConversion"/>
  </si>
  <si>
    <t>日出茶太</t>
    <phoneticPr fontId="1" type="noConversion"/>
  </si>
  <si>
    <t>法人</t>
    <phoneticPr fontId="1" type="noConversion"/>
  </si>
  <si>
    <t>資本</t>
    <phoneticPr fontId="1" type="noConversion"/>
  </si>
  <si>
    <t>稅</t>
    <phoneticPr fontId="1" type="noConversion"/>
  </si>
  <si>
    <t>營</t>
    <phoneticPr fontId="1" type="noConversion"/>
  </si>
  <si>
    <t>年</t>
    <phoneticPr fontId="1" type="noConversion"/>
  </si>
  <si>
    <t>營益率</t>
    <phoneticPr fontId="1" type="noConversion"/>
  </si>
  <si>
    <t>2.42</t>
    <phoneticPr fontId="1" type="noConversion"/>
  </si>
  <si>
    <t>44.47</t>
    <phoneticPr fontId="1" type="noConversion"/>
  </si>
  <si>
    <t>3.36</t>
    <phoneticPr fontId="1" type="noConversion"/>
  </si>
  <si>
    <t>電腦周邊</t>
    <phoneticPr fontId="1" type="noConversion"/>
  </si>
  <si>
    <t>網通線材</t>
    <phoneticPr fontId="1" type="noConversion"/>
  </si>
  <si>
    <t>二極體美國達爾大股東旗下晶圓廠亞昕</t>
    <phoneticPr fontId="1" type="noConversion"/>
  </si>
  <si>
    <t>33.33</t>
    <phoneticPr fontId="1" type="noConversion"/>
  </si>
  <si>
    <t>半導體設備真空</t>
    <phoneticPr fontId="1" type="noConversion"/>
  </si>
  <si>
    <t>8.30</t>
    <phoneticPr fontId="1" type="noConversion"/>
  </si>
  <si>
    <t>IC測試</t>
    <phoneticPr fontId="1" type="noConversion"/>
  </si>
  <si>
    <t>2.91</t>
    <phoneticPr fontId="1" type="noConversion"/>
  </si>
  <si>
    <t>13.53</t>
    <phoneticPr fontId="1" type="noConversion"/>
  </si>
  <si>
    <t>58.09</t>
    <phoneticPr fontId="1" type="noConversion"/>
  </si>
  <si>
    <t>3.76</t>
    <phoneticPr fontId="1" type="noConversion"/>
  </si>
  <si>
    <t>投報率大</t>
    <phoneticPr fontId="1" type="noConversion"/>
  </si>
  <si>
    <t>現在價法</t>
    <phoneticPr fontId="1" type="noConversion"/>
  </si>
  <si>
    <t>股息券</t>
    <phoneticPr fontId="1" type="noConversion"/>
  </si>
  <si>
    <t>買賣價資</t>
    <phoneticPr fontId="1" type="noConversion"/>
  </si>
  <si>
    <t>9.10</t>
    <phoneticPr fontId="1" type="noConversion"/>
  </si>
  <si>
    <t>冶金粉末件車用縫紉</t>
    <phoneticPr fontId="1" type="noConversion"/>
  </si>
  <si>
    <t>8.41</t>
    <phoneticPr fontId="1" type="noConversion"/>
  </si>
  <si>
    <t>檢測驗證</t>
    <phoneticPr fontId="1" type="noConversion"/>
  </si>
  <si>
    <t>4938</t>
    <phoneticPr fontId="1" type="noConversion"/>
  </si>
  <si>
    <t>倚強股份</t>
    <phoneticPr fontId="1" type="noConversion"/>
  </si>
  <si>
    <t>7.03</t>
    <phoneticPr fontId="1" type="noConversion"/>
  </si>
  <si>
    <t>3.34</t>
    <phoneticPr fontId="1" type="noConversion"/>
  </si>
  <si>
    <t>重鵬</t>
    <phoneticPr fontId="1" type="noConversion"/>
  </si>
  <si>
    <t>5.10</t>
    <phoneticPr fontId="1" type="noConversion"/>
  </si>
  <si>
    <t>6.35</t>
    <phoneticPr fontId="1" type="noConversion"/>
  </si>
  <si>
    <t>7.94</t>
    <phoneticPr fontId="1" type="noConversion"/>
  </si>
  <si>
    <t>2.78</t>
    <phoneticPr fontId="1" type="noConversion"/>
  </si>
  <si>
    <t>2.38</t>
    <phoneticPr fontId="1" type="noConversion"/>
  </si>
  <si>
    <t>2.26</t>
    <phoneticPr fontId="1" type="noConversion"/>
  </si>
  <si>
    <t>43.8</t>
    <phoneticPr fontId="1" type="noConversion"/>
  </si>
  <si>
    <t>2.70</t>
    <phoneticPr fontId="1" type="noConversion"/>
  </si>
  <si>
    <t>3.26</t>
    <phoneticPr fontId="1" type="noConversion"/>
  </si>
  <si>
    <t>4.52</t>
    <phoneticPr fontId="1" type="noConversion"/>
  </si>
  <si>
    <t>9.16</t>
    <phoneticPr fontId="1" type="noConversion"/>
  </si>
  <si>
    <t>4.37</t>
    <phoneticPr fontId="1" type="noConversion"/>
  </si>
  <si>
    <t>9.88</t>
    <phoneticPr fontId="1" type="noConversion"/>
  </si>
  <si>
    <t>4.81</t>
    <phoneticPr fontId="1" type="noConversion"/>
  </si>
  <si>
    <t>7.01</t>
    <phoneticPr fontId="1" type="noConversion"/>
  </si>
  <si>
    <t>進泰電子</t>
    <phoneticPr fontId="1" type="noConversion"/>
  </si>
  <si>
    <t>3.22</t>
    <phoneticPr fontId="1" type="noConversion"/>
  </si>
  <si>
    <t>4.88</t>
    <phoneticPr fontId="1" type="noConversion"/>
  </si>
  <si>
    <t>華盈</t>
    <phoneticPr fontId="1" type="noConversion"/>
  </si>
  <si>
    <t>3.07</t>
    <phoneticPr fontId="1" type="noConversion"/>
  </si>
  <si>
    <t>7.99</t>
    <phoneticPr fontId="1" type="noConversion"/>
  </si>
  <si>
    <t>3.50</t>
    <phoneticPr fontId="1" type="noConversion"/>
  </si>
  <si>
    <t>4.75</t>
    <phoneticPr fontId="1" type="noConversion"/>
  </si>
  <si>
    <t>6.12</t>
    <phoneticPr fontId="1" type="noConversion"/>
  </si>
  <si>
    <t>7.11</t>
    <phoneticPr fontId="1" type="noConversion"/>
  </si>
  <si>
    <t>4.39</t>
    <phoneticPr fontId="1" type="noConversion"/>
  </si>
  <si>
    <t>5.37</t>
    <phoneticPr fontId="1" type="noConversion"/>
  </si>
  <si>
    <t>5.00</t>
    <phoneticPr fontId="1" type="noConversion"/>
  </si>
  <si>
    <t>1.55</t>
    <phoneticPr fontId="1" type="noConversion"/>
  </si>
  <si>
    <t>詠昇</t>
    <phoneticPr fontId="1" type="noConversion"/>
  </si>
  <si>
    <t>3.45</t>
    <phoneticPr fontId="1" type="noConversion"/>
  </si>
  <si>
    <t>能率網通</t>
    <phoneticPr fontId="1" type="noConversion"/>
  </si>
  <si>
    <t>8.71</t>
    <phoneticPr fontId="1" type="noConversion"/>
  </si>
  <si>
    <t>4.03</t>
    <phoneticPr fontId="1" type="noConversion"/>
  </si>
  <si>
    <t>永利聯合</t>
    <phoneticPr fontId="1" type="noConversion"/>
  </si>
  <si>
    <t>6.42</t>
    <phoneticPr fontId="1" type="noConversion"/>
  </si>
  <si>
    <t>18.3</t>
    <phoneticPr fontId="1" type="noConversion"/>
  </si>
  <si>
    <t>8.31</t>
    <phoneticPr fontId="1" type="noConversion"/>
  </si>
  <si>
    <t>3.68</t>
    <phoneticPr fontId="1" type="noConversion"/>
  </si>
  <si>
    <t>5.70</t>
    <phoneticPr fontId="1" type="noConversion"/>
  </si>
  <si>
    <t>5.06</t>
    <phoneticPr fontId="1" type="noConversion"/>
  </si>
  <si>
    <t>3.99</t>
    <phoneticPr fontId="1" type="noConversion"/>
  </si>
  <si>
    <t>3.54</t>
    <phoneticPr fontId="1" type="noConversion"/>
  </si>
  <si>
    <t>3.70</t>
    <phoneticPr fontId="1" type="noConversion"/>
  </si>
  <si>
    <t>3.08</t>
    <phoneticPr fontId="1" type="noConversion"/>
  </si>
  <si>
    <t>1.32</t>
    <phoneticPr fontId="1" type="noConversion"/>
  </si>
  <si>
    <t>10.9</t>
    <phoneticPr fontId="1" type="noConversion"/>
  </si>
  <si>
    <t>5.55</t>
    <phoneticPr fontId="1" type="noConversion"/>
  </si>
  <si>
    <t>4.40</t>
    <phoneticPr fontId="1" type="noConversion"/>
  </si>
  <si>
    <t>7.12</t>
    <phoneticPr fontId="1" type="noConversion"/>
  </si>
  <si>
    <t>新盛力</t>
    <phoneticPr fontId="1" type="noConversion"/>
  </si>
  <si>
    <t>鋰電池模組</t>
    <phoneticPr fontId="1" type="noConversion"/>
  </si>
  <si>
    <t>3.72</t>
    <phoneticPr fontId="1" type="noConversion"/>
  </si>
  <si>
    <t>6.34</t>
    <phoneticPr fontId="1" type="noConversion"/>
  </si>
  <si>
    <t>8.20</t>
    <phoneticPr fontId="1" type="noConversion"/>
  </si>
  <si>
    <t>11.2</t>
    <phoneticPr fontId="1" type="noConversion"/>
  </si>
  <si>
    <t>9.63</t>
    <phoneticPr fontId="1" type="noConversion"/>
  </si>
  <si>
    <t>POS刷卡機</t>
    <phoneticPr fontId="1" type="noConversion"/>
  </si>
  <si>
    <t>7.90</t>
    <phoneticPr fontId="1" type="noConversion"/>
  </si>
  <si>
    <t>3.63</t>
    <phoneticPr fontId="1" type="noConversion"/>
  </si>
  <si>
    <t>2.90</t>
    <phoneticPr fontId="1" type="noConversion"/>
  </si>
  <si>
    <t>4.41</t>
    <phoneticPr fontId="1" type="noConversion"/>
  </si>
  <si>
    <t>9.61</t>
    <phoneticPr fontId="1" type="noConversion"/>
  </si>
  <si>
    <t>7.35</t>
    <phoneticPr fontId="1" type="noConversion"/>
  </si>
  <si>
    <t>1.93</t>
    <phoneticPr fontId="1" type="noConversion"/>
  </si>
  <si>
    <t>5.53</t>
    <phoneticPr fontId="1" type="noConversion"/>
  </si>
  <si>
    <t>4.17</t>
    <phoneticPr fontId="1" type="noConversion"/>
  </si>
  <si>
    <t>4.45</t>
    <phoneticPr fontId="1" type="noConversion"/>
  </si>
  <si>
    <t>5.50</t>
    <phoneticPr fontId="1" type="noConversion"/>
  </si>
  <si>
    <t>3.23</t>
    <phoneticPr fontId="1" type="noConversion"/>
  </si>
  <si>
    <t>2.60</t>
    <phoneticPr fontId="1" type="noConversion"/>
  </si>
  <si>
    <t>6.43</t>
    <phoneticPr fontId="1" type="noConversion"/>
  </si>
  <si>
    <t>7.63</t>
    <phoneticPr fontId="1" type="noConversion"/>
  </si>
  <si>
    <t>3.59</t>
    <phoneticPr fontId="1" type="noConversion"/>
  </si>
  <si>
    <t>6.44</t>
    <phoneticPr fontId="1" type="noConversion"/>
  </si>
  <si>
    <t>2.64</t>
    <phoneticPr fontId="1" type="noConversion"/>
  </si>
  <si>
    <t>6.40</t>
    <phoneticPr fontId="1" type="noConversion"/>
  </si>
  <si>
    <t>4.62</t>
    <phoneticPr fontId="1" type="noConversion"/>
  </si>
  <si>
    <t>7.57</t>
    <phoneticPr fontId="1" type="noConversion"/>
  </si>
  <si>
    <t>5.05</t>
    <phoneticPr fontId="1" type="noConversion"/>
  </si>
  <si>
    <t>大詠城</t>
    <phoneticPr fontId="1" type="noConversion"/>
  </si>
  <si>
    <t>工具機鑄件</t>
    <phoneticPr fontId="1" type="noConversion"/>
  </si>
  <si>
    <t>3.04</t>
    <phoneticPr fontId="1" type="noConversion"/>
  </si>
  <si>
    <t>7.08</t>
    <phoneticPr fontId="1" type="noConversion"/>
  </si>
  <si>
    <t>易發</t>
    <phoneticPr fontId="1" type="noConversion"/>
  </si>
  <si>
    <t>4.36</t>
    <phoneticPr fontId="1" type="noConversion"/>
  </si>
  <si>
    <t>3.60</t>
    <phoneticPr fontId="1" type="noConversion"/>
  </si>
  <si>
    <t>7.85</t>
    <phoneticPr fontId="1" type="noConversion"/>
  </si>
  <si>
    <t>4.96</t>
    <phoneticPr fontId="1" type="noConversion"/>
  </si>
  <si>
    <t>4.66</t>
    <phoneticPr fontId="1" type="noConversion"/>
  </si>
  <si>
    <t>8.89</t>
    <phoneticPr fontId="1" type="noConversion"/>
  </si>
  <si>
    <t>4.46</t>
    <phoneticPr fontId="1" type="noConversion"/>
  </si>
  <si>
    <t>4.83</t>
    <phoneticPr fontId="1" type="noConversion"/>
  </si>
  <si>
    <t>6.18</t>
    <phoneticPr fontId="1" type="noConversion"/>
  </si>
  <si>
    <t>6.55</t>
    <phoneticPr fontId="1" type="noConversion"/>
  </si>
  <si>
    <t>蛋白質藥晟德旗下</t>
    <phoneticPr fontId="1" type="noConversion"/>
  </si>
  <si>
    <t>5.45</t>
    <phoneticPr fontId="1" type="noConversion"/>
  </si>
  <si>
    <t>9.22</t>
    <phoneticPr fontId="1" type="noConversion"/>
  </si>
  <si>
    <t>7.74</t>
    <phoneticPr fontId="1" type="noConversion"/>
  </si>
  <si>
    <t>3.40</t>
    <phoneticPr fontId="1" type="noConversion"/>
  </si>
  <si>
    <t>5.60</t>
    <phoneticPr fontId="1" type="noConversion"/>
  </si>
  <si>
    <t>慕康生醫</t>
    <phoneticPr fontId="1" type="noConversion"/>
  </si>
  <si>
    <t>南良</t>
    <phoneticPr fontId="1" type="noConversion"/>
  </si>
  <si>
    <t>新華</t>
    <phoneticPr fontId="1" type="noConversion"/>
  </si>
  <si>
    <t>醫材代理</t>
    <phoneticPr fontId="1" type="noConversion"/>
  </si>
  <si>
    <t>特殊紡織品</t>
    <phoneticPr fontId="1" type="noConversion"/>
  </si>
  <si>
    <t>芝麻街英語</t>
    <phoneticPr fontId="1" type="noConversion"/>
  </si>
  <si>
    <t>1.80</t>
    <phoneticPr fontId="1" type="noConversion"/>
  </si>
  <si>
    <t>8.43</t>
    <phoneticPr fontId="1" type="noConversion"/>
  </si>
  <si>
    <t>4.6</t>
    <phoneticPr fontId="1" type="noConversion"/>
  </si>
  <si>
    <t>4.05</t>
    <phoneticPr fontId="1" type="noConversion"/>
  </si>
  <si>
    <t>50.6</t>
    <phoneticPr fontId="1" type="noConversion"/>
  </si>
  <si>
    <t>7.16</t>
    <phoneticPr fontId="1" type="noConversion"/>
  </si>
  <si>
    <t>6.11</t>
    <phoneticPr fontId="1" type="noConversion"/>
  </si>
  <si>
    <t>8.24</t>
    <phoneticPr fontId="1" type="noConversion"/>
  </si>
  <si>
    <t>17.3</t>
    <phoneticPr fontId="1" type="noConversion"/>
  </si>
  <si>
    <t>5.46</t>
    <phoneticPr fontId="1" type="noConversion"/>
  </si>
  <si>
    <t>3.29</t>
    <phoneticPr fontId="1" type="noConversion"/>
  </si>
  <si>
    <t>9.45</t>
    <phoneticPr fontId="1" type="noConversion"/>
  </si>
  <si>
    <t>5.21</t>
    <phoneticPr fontId="1" type="noConversion"/>
  </si>
  <si>
    <t>SONY.SHARP代理</t>
    <phoneticPr fontId="1" type="noConversion"/>
  </si>
  <si>
    <t>7.21</t>
    <phoneticPr fontId="1" type="noConversion"/>
  </si>
  <si>
    <t>5.18</t>
    <phoneticPr fontId="1" type="noConversion"/>
  </si>
  <si>
    <t>6.48</t>
    <phoneticPr fontId="1" type="noConversion"/>
  </si>
  <si>
    <t>7.83</t>
    <phoneticPr fontId="1" type="noConversion"/>
  </si>
  <si>
    <t>34.6</t>
    <phoneticPr fontId="1" type="noConversion"/>
  </si>
  <si>
    <t>昇益</t>
    <phoneticPr fontId="1" type="noConversion"/>
  </si>
  <si>
    <t>建材買賣</t>
    <phoneticPr fontId="1" type="noConversion"/>
  </si>
  <si>
    <t>74.4</t>
    <phoneticPr fontId="1" type="noConversion"/>
  </si>
  <si>
    <t>桓鼎KY</t>
    <phoneticPr fontId="1" type="noConversion"/>
  </si>
  <si>
    <t>金屬建材</t>
    <phoneticPr fontId="1" type="noConversion"/>
  </si>
  <si>
    <t>3.11</t>
    <phoneticPr fontId="1" type="noConversion"/>
  </si>
  <si>
    <t>6.82</t>
    <phoneticPr fontId="1" type="noConversion"/>
  </si>
  <si>
    <t>4.90</t>
    <phoneticPr fontId="1" type="noConversion"/>
  </si>
  <si>
    <t>3.20</t>
    <phoneticPr fontId="1" type="noConversion"/>
  </si>
  <si>
    <t>2.93</t>
    <phoneticPr fontId="1" type="noConversion"/>
  </si>
  <si>
    <t>連鎖餐飲</t>
    <phoneticPr fontId="1" type="noConversion"/>
  </si>
  <si>
    <t>CAD繪圖軟體</t>
    <phoneticPr fontId="1" type="noConversion"/>
  </si>
  <si>
    <t>2.29</t>
    <phoneticPr fontId="1" type="noConversion"/>
  </si>
  <si>
    <t>3.74</t>
    <phoneticPr fontId="1" type="noConversion"/>
  </si>
  <si>
    <t>2.02</t>
    <phoneticPr fontId="1" type="noConversion"/>
  </si>
  <si>
    <t>叡揚</t>
    <phoneticPr fontId="1" type="noConversion"/>
  </si>
  <si>
    <t>地心引力</t>
    <phoneticPr fontId="1" type="noConversion"/>
  </si>
  <si>
    <t>手機遊戲</t>
    <phoneticPr fontId="1" type="noConversion"/>
  </si>
  <si>
    <t>4.80</t>
    <phoneticPr fontId="1" type="noConversion"/>
  </si>
  <si>
    <t>1.77</t>
    <phoneticPr fontId="1" type="noConversion"/>
  </si>
  <si>
    <t>63.1</t>
    <phoneticPr fontId="1" type="noConversion"/>
  </si>
  <si>
    <t>49.4</t>
    <phoneticPr fontId="1" type="noConversion"/>
  </si>
  <si>
    <t>59.2</t>
    <phoneticPr fontId="1" type="noConversion"/>
  </si>
  <si>
    <t>8.76</t>
    <phoneticPr fontId="1" type="noConversion"/>
  </si>
  <si>
    <t>15.2</t>
    <phoneticPr fontId="1" type="noConversion"/>
  </si>
  <si>
    <t>9.40</t>
    <phoneticPr fontId="1" type="noConversion"/>
  </si>
  <si>
    <t>8.50</t>
    <phoneticPr fontId="1" type="noConversion"/>
  </si>
  <si>
    <t>9.30</t>
    <phoneticPr fontId="1" type="noConversion"/>
  </si>
  <si>
    <t>5.23</t>
    <phoneticPr fontId="1" type="noConversion"/>
  </si>
  <si>
    <t>20.2</t>
    <phoneticPr fontId="1" type="noConversion"/>
  </si>
  <si>
    <t>8.98</t>
    <phoneticPr fontId="1" type="noConversion"/>
  </si>
  <si>
    <t>20.5</t>
    <phoneticPr fontId="1" type="noConversion"/>
  </si>
  <si>
    <t>17.9</t>
    <phoneticPr fontId="1" type="noConversion"/>
  </si>
  <si>
    <t>22.4</t>
    <phoneticPr fontId="1" type="noConversion"/>
  </si>
  <si>
    <t>34.3</t>
    <phoneticPr fontId="1" type="noConversion"/>
  </si>
  <si>
    <t>1.90</t>
    <phoneticPr fontId="1" type="noConversion"/>
  </si>
  <si>
    <t>24.0</t>
    <phoneticPr fontId="1" type="noConversion"/>
  </si>
  <si>
    <t>8.81</t>
    <phoneticPr fontId="1" type="noConversion"/>
  </si>
  <si>
    <t>24.6</t>
    <phoneticPr fontId="1" type="noConversion"/>
  </si>
  <si>
    <t>8.87</t>
    <phoneticPr fontId="1" type="noConversion"/>
  </si>
  <si>
    <t>17.1</t>
    <phoneticPr fontId="1" type="noConversion"/>
  </si>
  <si>
    <t>21.4</t>
    <phoneticPr fontId="1" type="noConversion"/>
  </si>
  <si>
    <t>6.15</t>
    <phoneticPr fontId="1" type="noConversion"/>
  </si>
  <si>
    <t>8.92</t>
    <phoneticPr fontId="1" type="noConversion"/>
  </si>
  <si>
    <t>8.28</t>
    <phoneticPr fontId="1" type="noConversion"/>
  </si>
  <si>
    <t>10.5</t>
    <phoneticPr fontId="1" type="noConversion"/>
  </si>
  <si>
    <t>6.70</t>
    <phoneticPr fontId="1" type="noConversion"/>
  </si>
  <si>
    <t>9.42</t>
    <phoneticPr fontId="1" type="noConversion"/>
  </si>
  <si>
    <t>元翎</t>
    <phoneticPr fontId="1" type="noConversion"/>
  </si>
  <si>
    <t>高壓鋼瓶</t>
    <phoneticPr fontId="1" type="noConversion"/>
  </si>
  <si>
    <t>6.86</t>
    <phoneticPr fontId="1" type="noConversion"/>
  </si>
  <si>
    <t>9.13</t>
    <phoneticPr fontId="1" type="noConversion"/>
  </si>
  <si>
    <t>7.51</t>
    <phoneticPr fontId="1" type="noConversion"/>
  </si>
  <si>
    <t>大宗物資</t>
    <phoneticPr fontId="1" type="noConversion"/>
  </si>
  <si>
    <t>20.3</t>
    <phoneticPr fontId="1" type="noConversion"/>
  </si>
  <si>
    <t>39.4</t>
    <phoneticPr fontId="1" type="noConversion"/>
  </si>
  <si>
    <t>6.9</t>
    <phoneticPr fontId="1" type="noConversion"/>
  </si>
  <si>
    <t>6.3</t>
    <phoneticPr fontId="1" type="noConversion"/>
  </si>
  <si>
    <t>7.40</t>
    <phoneticPr fontId="1" type="noConversion"/>
  </si>
  <si>
    <t>6.08</t>
    <phoneticPr fontId="1" type="noConversion"/>
  </si>
  <si>
    <t>6.60</t>
    <phoneticPr fontId="1" type="noConversion"/>
  </si>
  <si>
    <t>31.5</t>
    <phoneticPr fontId="1" type="noConversion"/>
  </si>
  <si>
    <t>4.95</t>
    <phoneticPr fontId="1" type="noConversion"/>
  </si>
  <si>
    <t>9.80</t>
    <phoneticPr fontId="1" type="noConversion"/>
  </si>
  <si>
    <t>157</t>
    <phoneticPr fontId="1" type="noConversion"/>
  </si>
  <si>
    <t>6.30</t>
    <phoneticPr fontId="1" type="noConversion"/>
  </si>
  <si>
    <t>22.0</t>
    <phoneticPr fontId="1" type="noConversion"/>
  </si>
  <si>
    <t>9.20</t>
    <phoneticPr fontId="1" type="noConversion"/>
  </si>
  <si>
    <t>53.1</t>
    <phoneticPr fontId="1" type="noConversion"/>
  </si>
  <si>
    <t>9.37</t>
    <phoneticPr fontId="1" type="noConversion"/>
  </si>
  <si>
    <t>23.3</t>
    <phoneticPr fontId="1" type="noConversion"/>
  </si>
  <si>
    <t>8.58</t>
    <phoneticPr fontId="1" type="noConversion"/>
  </si>
  <si>
    <t>業旺</t>
    <phoneticPr fontId="1" type="noConversion"/>
  </si>
  <si>
    <t>羽絨服</t>
    <phoneticPr fontId="1" type="noConversion"/>
  </si>
  <si>
    <t>47.7</t>
    <phoneticPr fontId="1" type="noConversion"/>
  </si>
  <si>
    <t>101</t>
    <phoneticPr fontId="1" type="noConversion"/>
  </si>
  <si>
    <t>9.06</t>
    <phoneticPr fontId="1" type="noConversion"/>
  </si>
  <si>
    <t>5.66</t>
    <phoneticPr fontId="1" type="noConversion"/>
  </si>
  <si>
    <t>32.3</t>
    <phoneticPr fontId="1" type="noConversion"/>
  </si>
  <si>
    <t>50.0</t>
    <phoneticPr fontId="1" type="noConversion"/>
  </si>
  <si>
    <t>68.6</t>
    <phoneticPr fontId="1" type="noConversion"/>
  </si>
  <si>
    <t>7.66</t>
    <phoneticPr fontId="1" type="noConversion"/>
  </si>
  <si>
    <t>6.68</t>
    <phoneticPr fontId="1" type="noConversion"/>
  </si>
  <si>
    <t>21.3</t>
    <phoneticPr fontId="1" type="noConversion"/>
  </si>
  <si>
    <t>36.7</t>
    <phoneticPr fontId="1" type="noConversion"/>
  </si>
  <si>
    <t>78.8</t>
    <phoneticPr fontId="1" type="noConversion"/>
  </si>
  <si>
    <t>9.92</t>
    <phoneticPr fontId="1" type="noConversion"/>
  </si>
  <si>
    <t>40.4</t>
    <phoneticPr fontId="1" type="noConversion"/>
  </si>
  <si>
    <t>106</t>
    <phoneticPr fontId="1" type="noConversion"/>
  </si>
  <si>
    <t>三地開發</t>
    <phoneticPr fontId="1" type="noConversion"/>
  </si>
  <si>
    <t>37.0</t>
    <phoneticPr fontId="1" type="noConversion"/>
  </si>
  <si>
    <t>153</t>
    <phoneticPr fontId="1" type="noConversion"/>
  </si>
  <si>
    <t>27.0</t>
    <phoneticPr fontId="1" type="noConversion"/>
  </si>
  <si>
    <t>47.4</t>
    <phoneticPr fontId="1" type="noConversion"/>
  </si>
  <si>
    <t>33.4</t>
    <phoneticPr fontId="1" type="noConversion"/>
  </si>
  <si>
    <t>129</t>
    <phoneticPr fontId="1" type="noConversion"/>
  </si>
  <si>
    <t>32.7</t>
    <phoneticPr fontId="1" type="noConversion"/>
  </si>
  <si>
    <t>90.0</t>
    <phoneticPr fontId="1" type="noConversion"/>
  </si>
  <si>
    <t>76.0</t>
    <phoneticPr fontId="1" type="noConversion"/>
  </si>
  <si>
    <t>174</t>
    <phoneticPr fontId="1" type="noConversion"/>
  </si>
  <si>
    <t>35.2</t>
    <phoneticPr fontId="1" type="noConversion"/>
  </si>
  <si>
    <t>21.9</t>
    <phoneticPr fontId="1" type="noConversion"/>
  </si>
  <si>
    <t>44.7</t>
    <phoneticPr fontId="1" type="noConversion"/>
  </si>
  <si>
    <t>26.4</t>
    <phoneticPr fontId="1" type="noConversion"/>
  </si>
  <si>
    <t>大陸房地產日月光轉投資</t>
    <phoneticPr fontId="1" type="noConversion"/>
  </si>
  <si>
    <t>營造潤泰旗下</t>
    <phoneticPr fontId="1" type="noConversion"/>
  </si>
  <si>
    <t>營造冠德旗下</t>
    <phoneticPr fontId="1" type="noConversion"/>
  </si>
  <si>
    <t>建商帝寶宏泰旗下</t>
    <phoneticPr fontId="1" type="noConversion"/>
  </si>
  <si>
    <t>32.2</t>
    <phoneticPr fontId="1" type="noConversion"/>
  </si>
  <si>
    <t>9.04</t>
    <phoneticPr fontId="1" type="noConversion"/>
  </si>
  <si>
    <t>80.3</t>
    <phoneticPr fontId="1" type="noConversion"/>
  </si>
  <si>
    <t>4.64</t>
    <phoneticPr fontId="1" type="noConversion"/>
  </si>
  <si>
    <t>8.06</t>
    <phoneticPr fontId="1" type="noConversion"/>
  </si>
  <si>
    <t>59.0</t>
    <phoneticPr fontId="1" type="noConversion"/>
  </si>
  <si>
    <t>139</t>
    <phoneticPr fontId="1" type="noConversion"/>
  </si>
  <si>
    <t>5.31</t>
    <phoneticPr fontId="1" type="noConversion"/>
  </si>
  <si>
    <t>車用導線架同業順德</t>
    <phoneticPr fontId="1" type="noConversion"/>
  </si>
  <si>
    <t>MCU封測力成投資</t>
    <phoneticPr fontId="1" type="noConversion"/>
  </si>
  <si>
    <t>MCU封測華新麗華旗下</t>
    <phoneticPr fontId="1" type="noConversion"/>
  </si>
  <si>
    <t>MCU封測聯電旗下</t>
    <phoneticPr fontId="1" type="noConversion"/>
  </si>
  <si>
    <t>2.09</t>
    <phoneticPr fontId="1" type="noConversion"/>
  </si>
  <si>
    <t>2.87</t>
    <phoneticPr fontId="1" type="noConversion"/>
  </si>
  <si>
    <t>-0.3</t>
    <phoneticPr fontId="1" type="noConversion"/>
  </si>
  <si>
    <t>1.05</t>
    <phoneticPr fontId="1" type="noConversion"/>
  </si>
  <si>
    <t>7.77</t>
    <phoneticPr fontId="1" type="noConversion"/>
  </si>
  <si>
    <t>-1.77</t>
    <phoneticPr fontId="1" type="noConversion"/>
  </si>
  <si>
    <t>-3.81</t>
    <phoneticPr fontId="1" type="noConversion"/>
  </si>
  <si>
    <t>2.21</t>
    <phoneticPr fontId="1" type="noConversion"/>
  </si>
  <si>
    <t>4.43</t>
    <phoneticPr fontId="1" type="noConversion"/>
  </si>
  <si>
    <t>0.3</t>
    <phoneticPr fontId="1" type="noConversion"/>
  </si>
  <si>
    <t>0.4</t>
    <phoneticPr fontId="1" type="noConversion"/>
  </si>
  <si>
    <t>10.79</t>
    <phoneticPr fontId="1" type="noConversion"/>
  </si>
  <si>
    <t>-1.11</t>
    <phoneticPr fontId="1" type="noConversion"/>
  </si>
  <si>
    <t>14.33</t>
    <phoneticPr fontId="1" type="noConversion"/>
  </si>
  <si>
    <t>25.98</t>
    <phoneticPr fontId="1" type="noConversion"/>
  </si>
  <si>
    <t>17.84</t>
    <phoneticPr fontId="1" type="noConversion"/>
  </si>
  <si>
    <t>半導</t>
    <phoneticPr fontId="1" type="noConversion"/>
  </si>
  <si>
    <t>現在價</t>
    <phoneticPr fontId="1" type="noConversion"/>
  </si>
  <si>
    <t>ASIC比特幣</t>
    <phoneticPr fontId="1" type="noConversion"/>
  </si>
  <si>
    <t>龍門機CNC</t>
    <phoneticPr fontId="1" type="noConversion"/>
  </si>
  <si>
    <t>聯德控股KY</t>
    <phoneticPr fontId="1" type="noConversion"/>
  </si>
  <si>
    <t>污水處理海水淡化</t>
    <phoneticPr fontId="1" type="noConversion"/>
  </si>
  <si>
    <t>貴金屬再生</t>
    <phoneticPr fontId="1" type="noConversion"/>
  </si>
  <si>
    <t>Type-C MacPro SD</t>
    <phoneticPr fontId="1" type="noConversion"/>
  </si>
  <si>
    <t>8155</t>
    <phoneticPr fontId="1" type="noConversion"/>
  </si>
  <si>
    <t>574</t>
    <phoneticPr fontId="1" type="noConversion"/>
  </si>
  <si>
    <t>1101</t>
    <phoneticPr fontId="1" type="noConversion"/>
  </si>
  <si>
    <t>台橡</t>
    <phoneticPr fontId="1" type="noConversion"/>
  </si>
  <si>
    <t>02月21年</t>
    <phoneticPr fontId="1" type="noConversion"/>
  </si>
  <si>
    <t>-0.7</t>
    <phoneticPr fontId="1" type="noConversion"/>
  </si>
  <si>
    <t>-2.42</t>
    <phoneticPr fontId="1" type="noConversion"/>
  </si>
  <si>
    <t>6.72</t>
    <phoneticPr fontId="1" type="noConversion"/>
  </si>
  <si>
    <t>-1.08</t>
    <phoneticPr fontId="1" type="noConversion"/>
  </si>
  <si>
    <t>2.68</t>
    <phoneticPr fontId="1" type="noConversion"/>
  </si>
  <si>
    <t>7.5</t>
    <phoneticPr fontId="1" type="noConversion"/>
  </si>
  <si>
    <t>2.9</t>
    <phoneticPr fontId="1" type="noConversion"/>
  </si>
  <si>
    <t>無塵室海水淡化</t>
    <phoneticPr fontId="1" type="noConversion"/>
  </si>
  <si>
    <t>5.69</t>
    <phoneticPr fontId="1" type="noConversion"/>
  </si>
  <si>
    <t>-0.52</t>
    <phoneticPr fontId="1" type="noConversion"/>
  </si>
  <si>
    <t>高球桿頭4雄</t>
    <phoneticPr fontId="1" type="noConversion"/>
  </si>
  <si>
    <t>記憶體IC VR商機</t>
    <phoneticPr fontId="1" type="noConversion"/>
  </si>
  <si>
    <t>音效IC VR商機</t>
    <phoneticPr fontId="1" type="noConversion"/>
  </si>
  <si>
    <t>測試設備電動車3雄</t>
    <phoneticPr fontId="1" type="noConversion"/>
  </si>
  <si>
    <t>03月21年</t>
    <phoneticPr fontId="1" type="noConversion"/>
  </si>
  <si>
    <t>紅外線量測</t>
    <phoneticPr fontId="1" type="noConversion"/>
  </si>
  <si>
    <t>封測矽格旗下比特幣概念</t>
    <phoneticPr fontId="1" type="noConversion"/>
  </si>
  <si>
    <t>熱交換器 綠色氫氣</t>
    <phoneticPr fontId="1" type="noConversion"/>
  </si>
  <si>
    <t>電源供應器金仁寶旗下 綠色氫氣</t>
    <phoneticPr fontId="1" type="noConversion"/>
  </si>
  <si>
    <t>遊戲雙雄</t>
    <phoneticPr fontId="1" type="noConversion"/>
  </si>
  <si>
    <t>23.02</t>
    <phoneticPr fontId="1" type="noConversion"/>
  </si>
  <si>
    <t>4.92</t>
    <phoneticPr fontId="1" type="noConversion"/>
  </si>
  <si>
    <t>92.3</t>
    <phoneticPr fontId="1" type="noConversion"/>
  </si>
  <si>
    <t>保護元件3大廠</t>
    <phoneticPr fontId="1" type="noConversion"/>
  </si>
  <si>
    <t>保護元件3大廠保險絲</t>
    <phoneticPr fontId="1" type="noConversion"/>
  </si>
  <si>
    <t>統計</t>
    <phoneticPr fontId="1" type="noConversion"/>
  </si>
  <si>
    <t>直得、訊聯、世德、台星科、家登、聿新科、光明、永捷、達威、三聯、晉泰、保瑞、</t>
    <phoneticPr fontId="1" type="noConversion"/>
  </si>
  <si>
    <t>長科、英格爾、駿吉-KY、東凌-KY、VHQ-KY、特昇-KY等 18 家。</t>
  </si>
  <si>
    <t>台積電、晶電、晶華、光寶科、昆盈、光群雷、閎暉、敦泰、三福化、傳奇、華興、</t>
    <phoneticPr fontId="1" type="noConversion"/>
  </si>
  <si>
    <t>宏正科、興富發、聯德控股-KY、福貞-KY、波力-KY、泰昇-KY等 17 家。</t>
  </si>
  <si>
    <t>幸福、上曜、宏州、宜進、寶隆、榮成、南港、國巨、精英、華邦電、所羅門、虹光、浩鑫、鼎元、可成、瑞軒、皇普、</t>
    <phoneticPr fontId="1" type="noConversion"/>
  </si>
  <si>
    <t>聯邦銀、和鑫、正達、玉晶光、牧德、碩天、如興、</t>
    <phoneticPr fontId="1" type="noConversion"/>
  </si>
  <si>
    <t>低檔爆量打不下去是好事。高檔爆量留實體黑K或上引線。出貨意謂濃厚。</t>
    <phoneticPr fontId="1" type="noConversion"/>
  </si>
  <si>
    <t>左右手做量。製造買盤氣氛。順便嘎前些日子卷單。往後幾個交易日。</t>
  </si>
  <si>
    <t>2.長黑趕底破底翻：一般出現在第一種情況之後，</t>
    <phoneticPr fontId="1" type="noConversion"/>
  </si>
  <si>
    <t>底部出現一根超長的帶量長黑，把最後還抱希望的人全部洗光。之後才開始緩步走揚。</t>
  </si>
  <si>
    <t>3.日出東方，長紅突破：也是第一種情況之後，在底部出現一根超級帶量長紅。</t>
    <phoneticPr fontId="1" type="noConversion"/>
  </si>
  <si>
    <t>正式宣告空頭結束。之後量能逐步放大開始下一波多頭。</t>
  </si>
  <si>
    <t>QQ號</t>
    <phoneticPr fontId="1" type="noConversion"/>
  </si>
  <si>
    <t>XQ帳號</t>
    <phoneticPr fontId="1" type="noConversion"/>
  </si>
  <si>
    <t>sukibayashi/第一珠/華南斌</t>
    <phoneticPr fontId="1" type="noConversion"/>
  </si>
  <si>
    <t>buffettdong/第一斌/華南珠</t>
    <phoneticPr fontId="1" type="noConversion"/>
  </si>
  <si>
    <t>鋼鐵</t>
    <phoneticPr fontId="1" type="noConversion"/>
  </si>
  <si>
    <t>展碁國際</t>
    <phoneticPr fontId="1" type="noConversion"/>
  </si>
  <si>
    <t>AES-KY</t>
    <phoneticPr fontId="1" type="noConversion"/>
  </si>
  <si>
    <t>股息</t>
    <phoneticPr fontId="1" type="noConversion"/>
  </si>
  <si>
    <t>費稅</t>
    <phoneticPr fontId="1" type="noConversion"/>
  </si>
  <si>
    <t>獲利</t>
    <phoneticPr fontId="1" type="noConversion"/>
  </si>
  <si>
    <t>179.2</t>
    <phoneticPr fontId="1" type="noConversion"/>
  </si>
  <si>
    <t>8.54</t>
    <phoneticPr fontId="1" type="noConversion"/>
  </si>
  <si>
    <t>鋰電池模組新普旗下</t>
    <phoneticPr fontId="1" type="noConversion"/>
  </si>
  <si>
    <t>0981189079</t>
    <phoneticPr fontId="1" type="noConversion"/>
  </si>
  <si>
    <t>0960900916</t>
    <phoneticPr fontId="1" type="noConversion"/>
  </si>
  <si>
    <t>0960905918</t>
    <phoneticPr fontId="1" type="noConversion"/>
  </si>
  <si>
    <t>0916009079</t>
    <phoneticPr fontId="1" type="noConversion"/>
  </si>
  <si>
    <t>東</t>
    <phoneticPr fontId="1" type="noConversion"/>
  </si>
  <si>
    <t>buffettju/華南博/華南斌</t>
    <phoneticPr fontId="1" type="noConversion"/>
  </si>
  <si>
    <t>生日</t>
    <phoneticPr fontId="1" type="noConversion"/>
  </si>
  <si>
    <t>長榮鋼</t>
    <phoneticPr fontId="1" type="noConversion"/>
  </si>
  <si>
    <t>鋼結構長榮旗下</t>
    <phoneticPr fontId="1" type="noConversion"/>
  </si>
  <si>
    <t>4938</t>
    <phoneticPr fontId="1" type="noConversion"/>
  </si>
  <si>
    <t>33.81</t>
    <phoneticPr fontId="1" type="noConversion"/>
  </si>
  <si>
    <t>台燿</t>
    <phoneticPr fontId="1" type="noConversion"/>
  </si>
  <si>
    <t>1</t>
    <phoneticPr fontId="1" type="noConversion"/>
  </si>
  <si>
    <t>67.1</t>
    <phoneticPr fontId="1" type="noConversion"/>
  </si>
  <si>
    <t>6147</t>
    <phoneticPr fontId="1" type="noConversion"/>
  </si>
  <si>
    <t>頎邦</t>
    <phoneticPr fontId="1" type="noConversion"/>
  </si>
  <si>
    <t>26.7</t>
    <phoneticPr fontId="1" type="noConversion"/>
  </si>
  <si>
    <t>6274</t>
    <phoneticPr fontId="1" type="noConversion"/>
  </si>
  <si>
    <t>台燿</t>
    <phoneticPr fontId="1" type="noConversion"/>
  </si>
  <si>
    <t>8086</t>
    <phoneticPr fontId="1" type="noConversion"/>
  </si>
  <si>
    <t>宏捷科</t>
    <phoneticPr fontId="1" type="noConversion"/>
  </si>
  <si>
    <t>3</t>
    <phoneticPr fontId="1" type="noConversion"/>
  </si>
  <si>
    <t>03月21年</t>
    <phoneticPr fontId="1" type="noConversion"/>
  </si>
  <si>
    <t>16.9</t>
    <phoneticPr fontId="1" type="noConversion"/>
  </si>
  <si>
    <t>5457</t>
    <phoneticPr fontId="1" type="noConversion"/>
  </si>
  <si>
    <t>宣德</t>
    <phoneticPr fontId="1" type="noConversion"/>
  </si>
  <si>
    <t>南珠</t>
    <phoneticPr fontId="1" type="noConversion"/>
  </si>
  <si>
    <t>1</t>
    <phoneticPr fontId="35" type="noConversion"/>
  </si>
  <si>
    <t>19.9</t>
    <phoneticPr fontId="1" type="noConversion"/>
  </si>
  <si>
    <t>9.27</t>
    <phoneticPr fontId="1" type="noConversion"/>
  </si>
  <si>
    <t>8.36</t>
    <phoneticPr fontId="1" type="noConversion"/>
  </si>
  <si>
    <t>8.51</t>
    <phoneticPr fontId="1" type="noConversion"/>
  </si>
  <si>
    <t>568</t>
    <phoneticPr fontId="1" type="noConversion"/>
  </si>
  <si>
    <t>1216</t>
    <phoneticPr fontId="1" type="noConversion"/>
  </si>
  <si>
    <t>統一</t>
    <phoneticPr fontId="1" type="noConversion"/>
  </si>
  <si>
    <t>0.59</t>
    <phoneticPr fontId="35" type="noConversion"/>
  </si>
  <si>
    <t>0.44</t>
    <phoneticPr fontId="35" type="noConversion"/>
  </si>
  <si>
    <t>0.29</t>
    <phoneticPr fontId="35" type="noConversion"/>
  </si>
  <si>
    <t>0.73</t>
    <phoneticPr fontId="35" type="noConversion"/>
  </si>
  <si>
    <t>82.5</t>
    <phoneticPr fontId="1" type="noConversion"/>
  </si>
  <si>
    <t>2103</t>
    <phoneticPr fontId="1" type="noConversion"/>
  </si>
  <si>
    <t>台橡</t>
    <phoneticPr fontId="1" type="noConversion"/>
  </si>
  <si>
    <t>1.83</t>
    <phoneticPr fontId="1" type="noConversion"/>
  </si>
  <si>
    <t>橡膠</t>
    <phoneticPr fontId="1" type="noConversion"/>
  </si>
  <si>
    <t>2489</t>
    <phoneticPr fontId="1" type="noConversion"/>
  </si>
  <si>
    <t>瑞軒</t>
    <phoneticPr fontId="1" type="noConversion"/>
  </si>
  <si>
    <t>-39.08</t>
    <phoneticPr fontId="1" type="noConversion"/>
  </si>
  <si>
    <t>瑞軒</t>
    <phoneticPr fontId="1" type="noConversion"/>
  </si>
  <si>
    <t>南斌</t>
    <phoneticPr fontId="1" type="noConversion"/>
  </si>
  <si>
    <t>-5.7</t>
    <phoneticPr fontId="1" type="noConversion"/>
  </si>
  <si>
    <t>-0.93</t>
    <phoneticPr fontId="1" type="noConversion"/>
  </si>
  <si>
    <t>15.38</t>
    <phoneticPr fontId="1" type="noConversion"/>
  </si>
  <si>
    <t>15.91</t>
    <phoneticPr fontId="1" type="noConversion"/>
  </si>
  <si>
    <t>5</t>
    <phoneticPr fontId="1" type="noConversion"/>
  </si>
  <si>
    <t>16.44</t>
    <phoneticPr fontId="1" type="noConversion"/>
  </si>
  <si>
    <t>瑞軒</t>
    <phoneticPr fontId="1" type="noConversion"/>
  </si>
  <si>
    <t>南斌</t>
    <phoneticPr fontId="1" type="noConversion"/>
  </si>
  <si>
    <t>1</t>
    <phoneticPr fontId="1" type="noConversion"/>
  </si>
  <si>
    <t>2489</t>
    <phoneticPr fontId="1" type="noConversion"/>
  </si>
  <si>
    <t>19.16</t>
    <phoneticPr fontId="1" type="noConversion"/>
  </si>
  <si>
    <t>19.72</t>
    <phoneticPr fontId="1" type="noConversion"/>
  </si>
  <si>
    <t>67.1</t>
    <phoneticPr fontId="1" type="noConversion"/>
  </si>
  <si>
    <t>6147</t>
    <phoneticPr fontId="1" type="noConversion"/>
  </si>
  <si>
    <t>頎邦</t>
    <phoneticPr fontId="1" type="noConversion"/>
  </si>
  <si>
    <t>4.38</t>
    <phoneticPr fontId="1" type="noConversion"/>
  </si>
  <si>
    <t>南珠</t>
    <phoneticPr fontId="1" type="noConversion"/>
  </si>
  <si>
    <t>0.26</t>
    <phoneticPr fontId="1" type="noConversion"/>
  </si>
  <si>
    <t>178.8</t>
    <phoneticPr fontId="1" type="noConversion"/>
  </si>
  <si>
    <t>04月21年</t>
    <phoneticPr fontId="1" type="noConversion"/>
  </si>
  <si>
    <t>手機</t>
    <phoneticPr fontId="1" type="noConversion"/>
  </si>
  <si>
    <t>天方能源</t>
    <phoneticPr fontId="1" type="noConversion"/>
  </si>
  <si>
    <t>太陽能電廠</t>
    <phoneticPr fontId="1" type="noConversion"/>
  </si>
  <si>
    <t>13.82</t>
    <phoneticPr fontId="1" type="noConversion"/>
  </si>
  <si>
    <t>8.99</t>
    <phoneticPr fontId="1" type="noConversion"/>
  </si>
  <si>
    <t>1.65</t>
    <phoneticPr fontId="1" type="noConversion"/>
  </si>
  <si>
    <t>-3.55</t>
    <phoneticPr fontId="1" type="noConversion"/>
  </si>
  <si>
    <t>-8.97</t>
    <phoneticPr fontId="1" type="noConversion"/>
  </si>
  <si>
    <t>1.29</t>
    <phoneticPr fontId="1" type="noConversion"/>
  </si>
  <si>
    <t>12.15</t>
    <phoneticPr fontId="1" type="noConversion"/>
  </si>
  <si>
    <t>7.72</t>
    <phoneticPr fontId="1" type="noConversion"/>
  </si>
  <si>
    <t>3017</t>
    <phoneticPr fontId="1" type="noConversion"/>
  </si>
  <si>
    <t>土地開發</t>
    <phoneticPr fontId="1" type="noConversion"/>
  </si>
  <si>
    <t>9.22</t>
    <phoneticPr fontId="1" type="noConversion"/>
  </si>
  <si>
    <t>73.9</t>
    <phoneticPr fontId="1" type="noConversion"/>
  </si>
  <si>
    <t>51.03</t>
    <phoneticPr fontId="1" type="noConversion"/>
  </si>
  <si>
    <t>紡織</t>
    <phoneticPr fontId="1" type="noConversion"/>
  </si>
  <si>
    <t>汽車</t>
    <phoneticPr fontId="1" type="noConversion"/>
  </si>
  <si>
    <t>大億金茂</t>
    <phoneticPr fontId="1" type="noConversion"/>
  </si>
  <si>
    <t>25.44</t>
    <phoneticPr fontId="1" type="noConversion"/>
  </si>
  <si>
    <t>10.65</t>
    <phoneticPr fontId="1" type="noConversion"/>
  </si>
  <si>
    <t>TSE</t>
    <phoneticPr fontId="1" type="noConversion"/>
  </si>
  <si>
    <t>加權指</t>
    <phoneticPr fontId="1" type="noConversion"/>
  </si>
  <si>
    <t>SAR</t>
    <phoneticPr fontId="1" type="noConversion"/>
  </si>
  <si>
    <t>OTC</t>
    <phoneticPr fontId="1" type="noConversion"/>
  </si>
  <si>
    <t>櫃買指</t>
    <phoneticPr fontId="1" type="noConversion"/>
  </si>
  <si>
    <t>資本</t>
    <phoneticPr fontId="1" type="noConversion"/>
  </si>
  <si>
    <t>稅</t>
    <phoneticPr fontId="1" type="noConversion"/>
  </si>
  <si>
    <t>營</t>
    <phoneticPr fontId="1" type="noConversion"/>
  </si>
  <si>
    <t>期</t>
    <phoneticPr fontId="1" type="noConversion"/>
  </si>
  <si>
    <t>年</t>
    <phoneticPr fontId="1" type="noConversion"/>
  </si>
  <si>
    <t>營益率</t>
    <phoneticPr fontId="1" type="noConversion"/>
  </si>
  <si>
    <t>持股</t>
    <phoneticPr fontId="1" type="noConversion"/>
  </si>
  <si>
    <t>法人</t>
    <phoneticPr fontId="1" type="noConversion"/>
  </si>
  <si>
    <t>融資</t>
    <phoneticPr fontId="1" type="noConversion"/>
  </si>
  <si>
    <t>損益</t>
    <phoneticPr fontId="1" type="noConversion"/>
  </si>
  <si>
    <t>損益率</t>
    <phoneticPr fontId="1" type="noConversion"/>
  </si>
  <si>
    <t>成分</t>
    <phoneticPr fontId="1" type="noConversion"/>
  </si>
  <si>
    <t>買進日期</t>
    <phoneticPr fontId="1" type="noConversion"/>
  </si>
  <si>
    <t>賣出日期</t>
    <phoneticPr fontId="1" type="noConversion"/>
  </si>
  <si>
    <t>和碩</t>
    <phoneticPr fontId="1" type="noConversion"/>
  </si>
  <si>
    <t>南橋</t>
    <phoneticPr fontId="1" type="noConversion"/>
  </si>
  <si>
    <t>期</t>
    <phoneticPr fontId="1" type="noConversion"/>
  </si>
  <si>
    <t>持股</t>
    <phoneticPr fontId="1" type="noConversion"/>
  </si>
  <si>
    <t>大戶</t>
    <phoneticPr fontId="1" type="noConversion"/>
  </si>
  <si>
    <t>天數</t>
    <phoneticPr fontId="1" type="noConversion"/>
  </si>
  <si>
    <t>-0.28</t>
    <phoneticPr fontId="1" type="noConversion"/>
  </si>
  <si>
    <t>2</t>
    <phoneticPr fontId="1" type="noConversion"/>
  </si>
  <si>
    <t>-51.64</t>
    <phoneticPr fontId="1" type="noConversion"/>
  </si>
  <si>
    <t>-34.15</t>
    <phoneticPr fontId="1" type="noConversion"/>
  </si>
  <si>
    <t>-14.44</t>
    <phoneticPr fontId="1" type="noConversion"/>
  </si>
  <si>
    <t>-10.74</t>
    <phoneticPr fontId="1" type="noConversion"/>
  </si>
  <si>
    <t>266</t>
    <phoneticPr fontId="1" type="noConversion"/>
  </si>
  <si>
    <t>9907</t>
    <phoneticPr fontId="1" type="noConversion"/>
  </si>
  <si>
    <t>統一實</t>
    <phoneticPr fontId="1" type="noConversion"/>
  </si>
  <si>
    <t>南博</t>
    <phoneticPr fontId="1" type="noConversion"/>
  </si>
  <si>
    <t>4</t>
    <phoneticPr fontId="1" type="noConversion"/>
  </si>
  <si>
    <t>1727</t>
    <phoneticPr fontId="1" type="noConversion"/>
  </si>
  <si>
    <t>中華化</t>
    <phoneticPr fontId="1" type="noConversion"/>
  </si>
  <si>
    <t>18.9</t>
    <phoneticPr fontId="1" type="noConversion"/>
  </si>
  <si>
    <t>泰鼎KY</t>
    <phoneticPr fontId="1" type="noConversion"/>
  </si>
  <si>
    <t>26.9</t>
    <phoneticPr fontId="1" type="noConversion"/>
  </si>
  <si>
    <t>精誠</t>
    <phoneticPr fontId="1" type="noConversion"/>
  </si>
  <si>
    <t>電腦Win 10</t>
    <phoneticPr fontId="1" type="noConversion"/>
  </si>
  <si>
    <t>浪凡</t>
    <phoneticPr fontId="1" type="noConversion"/>
  </si>
  <si>
    <t>億麗</t>
    <phoneticPr fontId="1" type="noConversion"/>
  </si>
  <si>
    <t>志強KY</t>
    <phoneticPr fontId="1" type="noConversion"/>
  </si>
  <si>
    <t>足球鞋</t>
    <phoneticPr fontId="1" type="noConversion"/>
  </si>
  <si>
    <t>-10.51</t>
    <phoneticPr fontId="1" type="noConversion"/>
  </si>
  <si>
    <t>0.92</t>
    <phoneticPr fontId="1" type="noConversion"/>
  </si>
  <si>
    <t>9.96</t>
    <phoneticPr fontId="1" type="noConversion"/>
  </si>
  <si>
    <t>10.42</t>
    <phoneticPr fontId="1" type="noConversion"/>
  </si>
  <si>
    <t>造船</t>
    <phoneticPr fontId="1" type="noConversion"/>
  </si>
  <si>
    <t>電通</t>
    <phoneticPr fontId="1" type="noConversion"/>
  </si>
  <si>
    <t>76.83</t>
    <phoneticPr fontId="1" type="noConversion"/>
  </si>
  <si>
    <t>13.16</t>
    <phoneticPr fontId="1" type="noConversion"/>
  </si>
  <si>
    <t>11.48</t>
    <phoneticPr fontId="1" type="noConversion"/>
  </si>
  <si>
    <t>1.66</t>
    <phoneticPr fontId="1" type="noConversion"/>
  </si>
  <si>
    <t>3.81</t>
    <phoneticPr fontId="1" type="noConversion"/>
  </si>
  <si>
    <t>-10.17</t>
    <phoneticPr fontId="1" type="noConversion"/>
  </si>
  <si>
    <t>1.95</t>
    <phoneticPr fontId="1" type="noConversion"/>
  </si>
  <si>
    <t>8.66</t>
    <phoneticPr fontId="1" type="noConversion"/>
  </si>
  <si>
    <t>0.81</t>
    <phoneticPr fontId="1" type="noConversion"/>
  </si>
  <si>
    <t>1.79</t>
    <phoneticPr fontId="1" type="noConversion"/>
  </si>
  <si>
    <t>-0.12</t>
    <phoneticPr fontId="1" type="noConversion"/>
  </si>
  <si>
    <t>月營收每月10日前</t>
    <phoneticPr fontId="1" type="noConversion"/>
  </si>
  <si>
    <t>去年度和第四季3月31日前</t>
    <phoneticPr fontId="1" type="noConversion"/>
  </si>
  <si>
    <t>第一季5月15日前</t>
    <phoneticPr fontId="1" type="noConversion"/>
  </si>
  <si>
    <t>第二季8月14日前</t>
    <phoneticPr fontId="1" type="noConversion"/>
  </si>
  <si>
    <t>第三季11月14日前</t>
    <phoneticPr fontId="1" type="noConversion"/>
  </si>
  <si>
    <t>生醫指</t>
    <phoneticPr fontId="1" type="noConversion"/>
  </si>
  <si>
    <t>臺慶科</t>
    <phoneticPr fontId="1" type="noConversion"/>
  </si>
  <si>
    <t>電感股王</t>
    <phoneticPr fontId="1" type="noConversion"/>
  </si>
  <si>
    <t>單腳島狀反轉通常一波到頂，抱緊</t>
    <phoneticPr fontId="1" type="noConversion"/>
  </si>
  <si>
    <t>量騙不了人</t>
    <phoneticPr fontId="1" type="noConversion"/>
  </si>
  <si>
    <t>2個跳空缺口，算強勢反彈，不用考慮量的問題</t>
    <phoneticPr fontId="1" type="noConversion"/>
  </si>
  <si>
    <t>勤凱</t>
    <phoneticPr fontId="1" type="noConversion"/>
  </si>
  <si>
    <t>0.15</t>
    <phoneticPr fontId="1" type="noConversion"/>
  </si>
  <si>
    <t>-3.05</t>
    <phoneticPr fontId="1" type="noConversion"/>
  </si>
  <si>
    <t>9.43</t>
    <phoneticPr fontId="1" type="noConversion"/>
  </si>
  <si>
    <t>金融指</t>
    <phoneticPr fontId="1" type="noConversion"/>
  </si>
  <si>
    <t>13.96</t>
    <phoneticPr fontId="1" type="noConversion"/>
  </si>
  <si>
    <t>14.44</t>
    <phoneticPr fontId="1" type="noConversion"/>
  </si>
  <si>
    <t>11.96</t>
    <phoneticPr fontId="1" type="noConversion"/>
  </si>
  <si>
    <t>15.36</t>
    <phoneticPr fontId="1" type="noConversion"/>
  </si>
  <si>
    <t>1.49</t>
    <phoneticPr fontId="1" type="noConversion"/>
  </si>
  <si>
    <t>-0.17</t>
    <phoneticPr fontId="1" type="noConversion"/>
  </si>
  <si>
    <t>0.67</t>
    <phoneticPr fontId="1" type="noConversion"/>
  </si>
  <si>
    <t>2.18</t>
    <phoneticPr fontId="1" type="noConversion"/>
  </si>
  <si>
    <t>9.12</t>
    <phoneticPr fontId="1" type="noConversion"/>
  </si>
  <si>
    <t>6.63</t>
    <phoneticPr fontId="1" type="noConversion"/>
  </si>
  <si>
    <t>63.06</t>
    <phoneticPr fontId="1" type="noConversion"/>
  </si>
  <si>
    <t>26.5</t>
    <phoneticPr fontId="1" type="noConversion"/>
  </si>
  <si>
    <t>面板設備對手迅得</t>
    <phoneticPr fontId="1" type="noConversion"/>
  </si>
  <si>
    <t>非金電</t>
    <phoneticPr fontId="1" type="noConversion"/>
  </si>
  <si>
    <t>-1.87</t>
    <phoneticPr fontId="1" type="noConversion"/>
  </si>
  <si>
    <t>不鏽鋼管</t>
    <phoneticPr fontId="1" type="noConversion"/>
  </si>
  <si>
    <t>不鏽鋼緊固件</t>
    <phoneticPr fontId="1" type="noConversion"/>
  </si>
  <si>
    <t>水泥和信旗下</t>
    <phoneticPr fontId="1" type="noConversion"/>
  </si>
  <si>
    <t>水泥遠東旗下</t>
    <phoneticPr fontId="1" type="noConversion"/>
  </si>
  <si>
    <t>石膏板</t>
    <phoneticPr fontId="1" type="noConversion"/>
  </si>
  <si>
    <t>貨櫃</t>
    <phoneticPr fontId="1" type="noConversion"/>
  </si>
  <si>
    <t>航運遠東旗下</t>
    <phoneticPr fontId="1" type="noConversion"/>
  </si>
  <si>
    <t>貨櫃運輸倉儲長榮旗下</t>
    <phoneticPr fontId="1" type="noConversion"/>
  </si>
  <si>
    <t>貨運嘉里物流最大股東</t>
    <phoneticPr fontId="1" type="noConversion"/>
  </si>
  <si>
    <t>航空</t>
    <phoneticPr fontId="1" type="noConversion"/>
  </si>
  <si>
    <t>散裝航運中航大股東</t>
    <phoneticPr fontId="1" type="noConversion"/>
  </si>
  <si>
    <t>航空公司長榮旗下</t>
    <phoneticPr fontId="1" type="noConversion"/>
  </si>
  <si>
    <t>盈4</t>
    <phoneticPr fontId="1" type="noConversion"/>
  </si>
  <si>
    <t>48.59</t>
    <phoneticPr fontId="1" type="noConversion"/>
  </si>
  <si>
    <t>直播平台</t>
    <phoneticPr fontId="1" type="noConversion"/>
  </si>
  <si>
    <t>46.08</t>
    <phoneticPr fontId="1" type="noConversion"/>
  </si>
  <si>
    <t>05月21年</t>
    <phoneticPr fontId="1" type="noConversion"/>
  </si>
  <si>
    <t>銅箔基板4大</t>
    <phoneticPr fontId="1" type="noConversion"/>
  </si>
  <si>
    <t>建商興富發旗下</t>
    <phoneticPr fontId="1" type="noConversion"/>
  </si>
  <si>
    <t>N</t>
    <phoneticPr fontId="1" type="noConversion"/>
  </si>
  <si>
    <t>39.2</t>
    <phoneticPr fontId="1" type="noConversion"/>
  </si>
  <si>
    <t>42.8</t>
    <phoneticPr fontId="1" type="noConversion"/>
  </si>
  <si>
    <t>記憶體封測結盟頎邦</t>
    <phoneticPr fontId="1" type="noConversion"/>
  </si>
  <si>
    <t>9033bin</t>
    <phoneticPr fontId="1" type="noConversion"/>
  </si>
  <si>
    <t>2.72</t>
    <phoneticPr fontId="1" type="noConversion"/>
  </si>
  <si>
    <t>天</t>
    <phoneticPr fontId="1" type="noConversion"/>
  </si>
  <si>
    <t>4958</t>
    <phoneticPr fontId="1" type="noConversion"/>
  </si>
  <si>
    <t>19.3</t>
    <phoneticPr fontId="1" type="noConversion"/>
  </si>
  <si>
    <t>16.18</t>
    <phoneticPr fontId="1" type="noConversion"/>
  </si>
  <si>
    <t>11.67</t>
    <phoneticPr fontId="1" type="noConversion"/>
  </si>
  <si>
    <t>11.23</t>
    <phoneticPr fontId="1" type="noConversion"/>
  </si>
  <si>
    <t>11.16</t>
    <phoneticPr fontId="1" type="noConversion"/>
  </si>
  <si>
    <t>9.28</t>
    <phoneticPr fontId="1" type="noConversion"/>
  </si>
  <si>
    <t>10.94</t>
    <phoneticPr fontId="1" type="noConversion"/>
  </si>
  <si>
    <t>5.2</t>
    <phoneticPr fontId="1" type="noConversion"/>
  </si>
  <si>
    <t>5.9</t>
    <phoneticPr fontId="1" type="noConversion"/>
  </si>
  <si>
    <t>6</t>
    <phoneticPr fontId="1" type="noConversion"/>
  </si>
  <si>
    <t>5.24</t>
    <phoneticPr fontId="1" type="noConversion"/>
  </si>
  <si>
    <t>4.07</t>
    <phoneticPr fontId="1" type="noConversion"/>
  </si>
  <si>
    <t>榮科</t>
    <phoneticPr fontId="1" type="noConversion"/>
  </si>
  <si>
    <t>銅箔榮化轉投資</t>
    <phoneticPr fontId="1" type="noConversion"/>
  </si>
  <si>
    <t>14.79</t>
    <phoneticPr fontId="1" type="noConversion"/>
  </si>
  <si>
    <t>14.77</t>
    <phoneticPr fontId="1" type="noConversion"/>
  </si>
  <si>
    <t>-11.84</t>
    <phoneticPr fontId="1" type="noConversion"/>
  </si>
  <si>
    <t>87.43</t>
    <phoneticPr fontId="1" type="noConversion"/>
  </si>
  <si>
    <t>0.49</t>
    <phoneticPr fontId="1" type="noConversion"/>
  </si>
  <si>
    <t>0.65</t>
    <phoneticPr fontId="1" type="noConversion"/>
  </si>
  <si>
    <t>1.61</t>
    <phoneticPr fontId="1" type="noConversion"/>
  </si>
  <si>
    <t>2.49</t>
    <phoneticPr fontId="1" type="noConversion"/>
  </si>
  <si>
    <t>1.07</t>
    <phoneticPr fontId="1" type="noConversion"/>
  </si>
  <si>
    <t>-1.92</t>
    <phoneticPr fontId="1" type="noConversion"/>
  </si>
  <si>
    <t>-1.93</t>
    <phoneticPr fontId="1" type="noConversion"/>
  </si>
  <si>
    <t>20.16</t>
    <phoneticPr fontId="1" type="noConversion"/>
  </si>
  <si>
    <t>2.62</t>
    <phoneticPr fontId="1" type="noConversion"/>
  </si>
  <si>
    <t>0.33</t>
    <phoneticPr fontId="1" type="noConversion"/>
  </si>
  <si>
    <t>1.51</t>
    <phoneticPr fontId="1" type="noConversion"/>
  </si>
  <si>
    <t>-2.21</t>
    <phoneticPr fontId="1" type="noConversion"/>
  </si>
  <si>
    <t>16.56</t>
    <phoneticPr fontId="1" type="noConversion"/>
  </si>
  <si>
    <t>IP台積電旗下</t>
    <phoneticPr fontId="1" type="noConversion"/>
  </si>
  <si>
    <t>2.74</t>
    <phoneticPr fontId="1" type="noConversion"/>
  </si>
  <si>
    <t>1.45</t>
    <phoneticPr fontId="1" type="noConversion"/>
  </si>
  <si>
    <t>0.99</t>
    <phoneticPr fontId="1" type="noConversion"/>
  </si>
  <si>
    <t>1.21</t>
    <phoneticPr fontId="1" type="noConversion"/>
  </si>
  <si>
    <t>-1.66</t>
    <phoneticPr fontId="1" type="noConversion"/>
  </si>
  <si>
    <t>1.35</t>
    <phoneticPr fontId="1" type="noConversion"/>
  </si>
  <si>
    <t>-2.0</t>
    <phoneticPr fontId="1" type="noConversion"/>
  </si>
  <si>
    <t>6494</t>
    <phoneticPr fontId="1" type="noConversion"/>
  </si>
  <si>
    <t>漲停</t>
    <phoneticPr fontId="1" type="noConversion"/>
  </si>
  <si>
    <t>汽車輪圈</t>
    <phoneticPr fontId="1" type="noConversion"/>
  </si>
  <si>
    <t>電子指</t>
    <phoneticPr fontId="1" type="noConversion"/>
  </si>
  <si>
    <t>咖啡紗防護衣</t>
    <phoneticPr fontId="1" type="noConversion"/>
  </si>
  <si>
    <t>40.0</t>
    <phoneticPr fontId="1" type="noConversion"/>
  </si>
  <si>
    <t>0.53</t>
    <phoneticPr fontId="1" type="noConversion"/>
  </si>
  <si>
    <t>塑膠</t>
    <phoneticPr fontId="1" type="noConversion"/>
  </si>
  <si>
    <t>91APPKY</t>
    <phoneticPr fontId="1" type="noConversion"/>
  </si>
  <si>
    <t>總數</t>
    <phoneticPr fontId="1" type="noConversion"/>
  </si>
  <si>
    <t>長短織布防護衣遠東旗下</t>
    <phoneticPr fontId="1" type="noConversion"/>
  </si>
  <si>
    <t>成衣防護衣</t>
    <phoneticPr fontId="1" type="noConversion"/>
  </si>
  <si>
    <t>2.32</t>
    <phoneticPr fontId="1" type="noConversion"/>
  </si>
  <si>
    <t>24.3</t>
    <phoneticPr fontId="1" type="noConversion"/>
  </si>
  <si>
    <t>5.6</t>
    <phoneticPr fontId="1" type="noConversion"/>
  </si>
  <si>
    <t>新零售服務</t>
    <phoneticPr fontId="1" type="noConversion"/>
  </si>
  <si>
    <t>526</t>
    <phoneticPr fontId="1" type="noConversion"/>
  </si>
  <si>
    <t>平均交易額</t>
    <phoneticPr fontId="1" type="noConversion"/>
  </si>
  <si>
    <t>券資比</t>
    <phoneticPr fontId="1" type="noConversion"/>
  </si>
  <si>
    <t>大</t>
    <phoneticPr fontId="1" type="noConversion"/>
  </si>
  <si>
    <t>8.45</t>
    <phoneticPr fontId="1" type="noConversion"/>
  </si>
  <si>
    <t>3.49</t>
    <phoneticPr fontId="1" type="noConversion"/>
  </si>
  <si>
    <t>7.81</t>
    <phoneticPr fontId="1" type="noConversion"/>
  </si>
  <si>
    <t>-4.35</t>
    <phoneticPr fontId="1" type="noConversion"/>
  </si>
  <si>
    <t>06月21年</t>
    <phoneticPr fontId="1" type="noConversion"/>
  </si>
  <si>
    <t>109.2</t>
    <phoneticPr fontId="1" type="noConversion"/>
  </si>
  <si>
    <t>2.70</t>
    <phoneticPr fontId="1" type="noConversion"/>
  </si>
  <si>
    <t>車用沖壓件日本</t>
    <phoneticPr fontId="1" type="noConversion"/>
  </si>
  <si>
    <t>21.92</t>
    <phoneticPr fontId="1" type="noConversion"/>
  </si>
  <si>
    <t>0.83</t>
    <phoneticPr fontId="1" type="noConversion"/>
  </si>
  <si>
    <t>IKKA-KY</t>
    <phoneticPr fontId="1" type="noConversion"/>
  </si>
  <si>
    <t>18.34</t>
    <phoneticPr fontId="1" type="noConversion"/>
  </si>
  <si>
    <t>7.06</t>
    <phoneticPr fontId="1" type="noConversion"/>
  </si>
  <si>
    <t>機能布醫療氣墊逃生滑梯</t>
    <phoneticPr fontId="1" type="noConversion"/>
  </si>
  <si>
    <t>-45.35</t>
    <phoneticPr fontId="1" type="noConversion"/>
  </si>
  <si>
    <t>-33.94</t>
    <phoneticPr fontId="1" type="noConversion"/>
  </si>
  <si>
    <t>他電</t>
    <phoneticPr fontId="1" type="noConversion"/>
  </si>
  <si>
    <t>-3.38</t>
    <phoneticPr fontId="1" type="noConversion"/>
  </si>
  <si>
    <t>電機</t>
    <phoneticPr fontId="1" type="noConversion"/>
  </si>
  <si>
    <t>漲在題材、盤在營收、跌在盈餘</t>
    <phoneticPr fontId="1" type="noConversion"/>
  </si>
  <si>
    <t>10.28</t>
    <phoneticPr fontId="1" type="noConversion"/>
  </si>
  <si>
    <t>2387</t>
    <phoneticPr fontId="1" type="noConversion"/>
  </si>
  <si>
    <t>庫存</t>
    <phoneticPr fontId="1" type="noConversion"/>
  </si>
  <si>
    <t>9.65</t>
    <phoneticPr fontId="1" type="noConversion"/>
  </si>
  <si>
    <t>25.19</t>
    <phoneticPr fontId="1" type="noConversion"/>
  </si>
  <si>
    <t>預估量</t>
    <phoneticPr fontId="1" type="noConversion"/>
  </si>
  <si>
    <t>耳機TWS</t>
    <phoneticPr fontId="1" type="noConversion"/>
  </si>
  <si>
    <t>07月21年</t>
    <phoneticPr fontId="1" type="noConversion"/>
  </si>
  <si>
    <t>華南銀行珠</t>
    <phoneticPr fontId="1" type="noConversion"/>
  </si>
  <si>
    <t>華南銀行斌</t>
    <phoneticPr fontId="1" type="noConversion"/>
  </si>
  <si>
    <t>7月29日除息</t>
    <phoneticPr fontId="1" type="noConversion"/>
  </si>
  <si>
    <t>7月6日除息</t>
    <phoneticPr fontId="1" type="noConversion"/>
  </si>
  <si>
    <t>28.4</t>
    <phoneticPr fontId="1" type="noConversion"/>
  </si>
  <si>
    <t>導線架Tesla</t>
    <phoneticPr fontId="1" type="noConversion"/>
  </si>
  <si>
    <t>16.69</t>
    <phoneticPr fontId="1" type="noConversion"/>
  </si>
  <si>
    <t>16.46</t>
    <phoneticPr fontId="1" type="noConversion"/>
  </si>
  <si>
    <t>27.93</t>
    <phoneticPr fontId="1" type="noConversion"/>
  </si>
  <si>
    <t>15.61</t>
    <phoneticPr fontId="1" type="noConversion"/>
  </si>
  <si>
    <t>同買</t>
    <phoneticPr fontId="1" type="noConversion"/>
  </si>
  <si>
    <t>同賣</t>
    <phoneticPr fontId="1" type="noConversion"/>
  </si>
  <si>
    <t>-35.9</t>
    <phoneticPr fontId="1" type="noConversion"/>
  </si>
  <si>
    <t>349</t>
    <phoneticPr fontId="1" type="noConversion"/>
  </si>
  <si>
    <t>GMAIL帳號</t>
    <phoneticPr fontId="1" type="noConversion"/>
  </si>
  <si>
    <t>pandong0428</t>
    <phoneticPr fontId="1" type="noConversion"/>
  </si>
  <si>
    <t>密碼</t>
    <phoneticPr fontId="1" type="noConversion"/>
  </si>
  <si>
    <t>pan04280428</t>
    <phoneticPr fontId="1" type="noConversion"/>
  </si>
  <si>
    <t>23.36</t>
    <phoneticPr fontId="1" type="noConversion"/>
  </si>
  <si>
    <t>263</t>
    <phoneticPr fontId="1" type="noConversion"/>
  </si>
  <si>
    <t>3.87</t>
    <phoneticPr fontId="1" type="noConversion"/>
  </si>
  <si>
    <t>微星</t>
    <phoneticPr fontId="1" type="noConversion"/>
  </si>
  <si>
    <t>16G八核</t>
    <phoneticPr fontId="1" type="noConversion"/>
  </si>
  <si>
    <t>AMD3700X</t>
    <phoneticPr fontId="1" type="noConversion"/>
  </si>
  <si>
    <t>凌陽創新</t>
    <phoneticPr fontId="1" type="noConversion"/>
  </si>
  <si>
    <t>MCU網路攝影機晶片凌陽旗下</t>
    <phoneticPr fontId="1" type="noConversion"/>
  </si>
  <si>
    <t>N</t>
    <phoneticPr fontId="1" type="noConversion"/>
  </si>
  <si>
    <t>19.24</t>
    <phoneticPr fontId="1" type="noConversion"/>
  </si>
  <si>
    <t>22.77</t>
    <phoneticPr fontId="1" type="noConversion"/>
  </si>
  <si>
    <t>529</t>
    <phoneticPr fontId="1" type="noConversion"/>
  </si>
  <si>
    <t>54.64</t>
    <phoneticPr fontId="1" type="noConversion"/>
  </si>
  <si>
    <t>組件</t>
    <phoneticPr fontId="1" type="noConversion"/>
  </si>
  <si>
    <t>24.14</t>
    <phoneticPr fontId="1" type="noConversion"/>
  </si>
  <si>
    <t>40.31</t>
    <phoneticPr fontId="1" type="noConversion"/>
  </si>
  <si>
    <t>50.59</t>
    <phoneticPr fontId="1" type="noConversion"/>
  </si>
  <si>
    <t>11.33</t>
    <phoneticPr fontId="1" type="noConversion"/>
  </si>
  <si>
    <t>安格</t>
    <phoneticPr fontId="1" type="noConversion"/>
  </si>
  <si>
    <t>視訊晶片安國旗下</t>
    <phoneticPr fontId="1" type="noConversion"/>
  </si>
  <si>
    <t>08月21年</t>
    <phoneticPr fontId="1" type="noConversion"/>
  </si>
  <si>
    <t>ptt帳號</t>
    <phoneticPr fontId="1" type="noConversion"/>
  </si>
  <si>
    <t>hanna711</t>
    <phoneticPr fontId="1" type="noConversion"/>
  </si>
  <si>
    <t>ju54193806</t>
    <phoneticPr fontId="1" type="noConversion"/>
  </si>
  <si>
    <t>密碼</t>
    <phoneticPr fontId="1" type="noConversion"/>
  </si>
  <si>
    <t>長榮集團旗下</t>
    <phoneticPr fontId="1" type="noConversion"/>
  </si>
  <si>
    <t>15.10</t>
    <phoneticPr fontId="1" type="noConversion"/>
  </si>
  <si>
    <t>28.97</t>
    <phoneticPr fontId="1" type="noConversion"/>
  </si>
  <si>
    <t>5.75</t>
    <phoneticPr fontId="1" type="noConversion"/>
  </si>
  <si>
    <t>7.10</t>
    <phoneticPr fontId="1" type="noConversion"/>
  </si>
  <si>
    <t>餐飲用品貿易商</t>
    <phoneticPr fontId="1" type="noConversion"/>
  </si>
  <si>
    <t>2.45</t>
    <phoneticPr fontId="1" type="noConversion"/>
  </si>
  <si>
    <t>-2.50</t>
    <phoneticPr fontId="1" type="noConversion"/>
  </si>
  <si>
    <t>4.35</t>
    <phoneticPr fontId="1" type="noConversion"/>
  </si>
  <si>
    <t>4.57</t>
    <phoneticPr fontId="1" type="noConversion"/>
  </si>
  <si>
    <t>28.6</t>
    <phoneticPr fontId="1" type="noConversion"/>
  </si>
  <si>
    <t>3.90</t>
    <phoneticPr fontId="1" type="noConversion"/>
  </si>
  <si>
    <t>3.91</t>
    <phoneticPr fontId="1" type="noConversion"/>
  </si>
  <si>
    <t>M800</t>
    <phoneticPr fontId="1" type="noConversion"/>
  </si>
  <si>
    <t>CZ75</t>
    <phoneticPr fontId="1" type="noConversion"/>
  </si>
  <si>
    <t>44 AUTOMAG</t>
    <phoneticPr fontId="1" type="noConversion"/>
  </si>
  <si>
    <t>21.6</t>
    <phoneticPr fontId="1" type="noConversion"/>
  </si>
  <si>
    <t>Y</t>
    <phoneticPr fontId="1" type="noConversion"/>
  </si>
  <si>
    <t>KP85 RUGER</t>
    <phoneticPr fontId="1" type="noConversion"/>
  </si>
  <si>
    <t>48.04</t>
    <phoneticPr fontId="1" type="noConversion"/>
  </si>
  <si>
    <t>顯示器驅動IC鴻海旗下</t>
    <phoneticPr fontId="1" type="noConversion"/>
  </si>
  <si>
    <t>造紙</t>
    <phoneticPr fontId="1" type="noConversion"/>
  </si>
  <si>
    <t>外盤</t>
    <phoneticPr fontId="1" type="noConversion"/>
  </si>
  <si>
    <t>主力</t>
    <phoneticPr fontId="1" type="noConversion"/>
  </si>
  <si>
    <t>零組件</t>
    <phoneticPr fontId="1" type="noConversion"/>
  </si>
  <si>
    <t>304</t>
    <phoneticPr fontId="1" type="noConversion"/>
  </si>
  <si>
    <t>金融</t>
    <phoneticPr fontId="1" type="noConversion"/>
  </si>
  <si>
    <t>人造化纖EG</t>
    <phoneticPr fontId="1" type="noConversion"/>
  </si>
  <si>
    <t>14.53</t>
    <phoneticPr fontId="1" type="noConversion"/>
  </si>
  <si>
    <t>38.3</t>
    <phoneticPr fontId="1" type="noConversion"/>
  </si>
  <si>
    <t>5.56</t>
    <phoneticPr fontId="1" type="noConversion"/>
  </si>
  <si>
    <t>10.85</t>
    <phoneticPr fontId="1" type="noConversion"/>
  </si>
  <si>
    <t>八方雲集</t>
    <phoneticPr fontId="1" type="noConversion"/>
  </si>
  <si>
    <t>N</t>
    <phoneticPr fontId="1" type="noConversion"/>
  </si>
  <si>
    <t>非金電</t>
    <phoneticPr fontId="1" type="noConversion"/>
  </si>
  <si>
    <t>7.4</t>
    <phoneticPr fontId="1" type="noConversion"/>
  </si>
  <si>
    <t>強勢股、出量出價，必出行情</t>
    <phoneticPr fontId="1" type="noConversion"/>
  </si>
  <si>
    <t>3天2缺口的強勢走勢</t>
    <phoneticPr fontId="1" type="noConversion"/>
  </si>
  <si>
    <t>09月21年</t>
    <phoneticPr fontId="1" type="noConversion"/>
  </si>
  <si>
    <t>8.3</t>
    <phoneticPr fontId="1" type="noConversion"/>
  </si>
  <si>
    <t>19.21</t>
    <phoneticPr fontId="1" type="noConversion"/>
  </si>
  <si>
    <t>20.1</t>
    <phoneticPr fontId="1" type="noConversion"/>
  </si>
  <si>
    <t>69.4</t>
    <phoneticPr fontId="1" type="noConversion"/>
  </si>
  <si>
    <t>244</t>
    <phoneticPr fontId="1" type="noConversion"/>
  </si>
  <si>
    <t>25.45</t>
    <phoneticPr fontId="1" type="noConversion"/>
  </si>
  <si>
    <t>7.59</t>
    <phoneticPr fontId="1" type="noConversion"/>
  </si>
  <si>
    <t>29.63</t>
    <phoneticPr fontId="1" type="noConversion"/>
  </si>
  <si>
    <t>9.65</t>
    <phoneticPr fontId="1" type="noConversion"/>
  </si>
  <si>
    <t>18.92</t>
    <phoneticPr fontId="1" type="noConversion"/>
  </si>
  <si>
    <t>19.58</t>
    <phoneticPr fontId="1" type="noConversion"/>
  </si>
  <si>
    <t>15.23</t>
    <phoneticPr fontId="1" type="noConversion"/>
  </si>
  <si>
    <t>資訊</t>
    <phoneticPr fontId="1" type="noConversion"/>
  </si>
  <si>
    <t>3.74</t>
    <phoneticPr fontId="1" type="noConversion"/>
  </si>
  <si>
    <t>6.80</t>
    <phoneticPr fontId="1" type="noConversion"/>
  </si>
  <si>
    <t>22.6</t>
    <phoneticPr fontId="1" type="noConversion"/>
  </si>
  <si>
    <t>8.57</t>
    <phoneticPr fontId="1" type="noConversion"/>
  </si>
  <si>
    <t>成衣代工Wal-mart</t>
    <phoneticPr fontId="1" type="noConversion"/>
  </si>
  <si>
    <t>永豐實</t>
    <phoneticPr fontId="1" type="noConversion"/>
  </si>
  <si>
    <t>N</t>
    <phoneticPr fontId="1" type="noConversion"/>
  </si>
  <si>
    <t>家庭用紙</t>
    <phoneticPr fontId="1" type="noConversion"/>
  </si>
  <si>
    <t>華景電</t>
    <phoneticPr fontId="1" type="noConversion"/>
  </si>
  <si>
    <t>晶圓設備</t>
    <phoneticPr fontId="1" type="noConversion"/>
  </si>
  <si>
    <t>52.9</t>
    <phoneticPr fontId="1" type="noConversion"/>
  </si>
  <si>
    <t>1.70</t>
    <phoneticPr fontId="1" type="noConversion"/>
  </si>
  <si>
    <t>季線</t>
    <phoneticPr fontId="1" type="noConversion"/>
  </si>
  <si>
    <t>合計</t>
    <phoneticPr fontId="1" type="noConversion"/>
  </si>
  <si>
    <t>SIG P228</t>
    <phoneticPr fontId="1" type="noConversion"/>
  </si>
  <si>
    <t xml:space="preserve">COLT M1911A </t>
    <phoneticPr fontId="1" type="noConversion"/>
  </si>
  <si>
    <t>COLT DOUBLE EAGLE</t>
    <phoneticPr fontId="1" type="noConversion"/>
  </si>
  <si>
    <t>S &amp; W PC365</t>
    <phoneticPr fontId="1" type="noConversion"/>
  </si>
  <si>
    <t xml:space="preserve">HK USP </t>
    <phoneticPr fontId="1" type="noConversion"/>
  </si>
  <si>
    <t>HK MK23</t>
    <phoneticPr fontId="1" type="noConversion"/>
  </si>
  <si>
    <t xml:space="preserve">GLOCK 17L HG </t>
    <phoneticPr fontId="1" type="noConversion"/>
  </si>
  <si>
    <t>GLOCK 17 HG</t>
    <phoneticPr fontId="1" type="noConversion"/>
  </si>
  <si>
    <t xml:space="preserve">HK P7M13 </t>
    <phoneticPr fontId="1" type="noConversion"/>
  </si>
  <si>
    <t>3.0</t>
    <phoneticPr fontId="1" type="noConversion"/>
  </si>
  <si>
    <t>1055</t>
    <phoneticPr fontId="1" type="noConversion"/>
  </si>
  <si>
    <t>鋁電池盒客戶福斯敏實集團旗下</t>
    <phoneticPr fontId="1" type="noConversion"/>
  </si>
  <si>
    <t>33.56</t>
    <phoneticPr fontId="1" type="noConversion"/>
  </si>
  <si>
    <t>振宇五金</t>
    <phoneticPr fontId="1" type="noConversion"/>
  </si>
  <si>
    <t>五金賣場</t>
    <phoneticPr fontId="1" type="noConversion"/>
  </si>
  <si>
    <t>Goole</t>
    <phoneticPr fontId="1" type="noConversion"/>
  </si>
  <si>
    <t>Apple東</t>
    <phoneticPr fontId="1" type="noConversion"/>
  </si>
  <si>
    <t>Apple珠</t>
    <phoneticPr fontId="1" type="noConversion"/>
  </si>
  <si>
    <t>Pan04280428</t>
    <phoneticPr fontId="1" type="noConversion"/>
  </si>
  <si>
    <t>robertpandong@icloud.com</t>
    <phoneticPr fontId="1" type="noConversion"/>
  </si>
  <si>
    <t>secretshop@163.com</t>
    <phoneticPr fontId="1" type="noConversion"/>
  </si>
  <si>
    <t>JUDY54186755a</t>
    <phoneticPr fontId="1" type="noConversion"/>
  </si>
  <si>
    <t>2020/1/20起開始建立XQ新聞資料</t>
    <phoneticPr fontId="1" type="noConversion"/>
  </si>
  <si>
    <t>2021/8/18起開始建立主力買進資料</t>
    <phoneticPr fontId="1" type="noConversion"/>
  </si>
  <si>
    <t>9.47</t>
    <phoneticPr fontId="1" type="noConversion"/>
  </si>
  <si>
    <t>5.07</t>
    <phoneticPr fontId="1" type="noConversion"/>
  </si>
  <si>
    <t>9.41</t>
    <phoneticPr fontId="1" type="noConversion"/>
  </si>
  <si>
    <t>34.0</t>
    <phoneticPr fontId="1" type="noConversion"/>
  </si>
  <si>
    <t>珠</t>
    <phoneticPr fontId="1" type="noConversion"/>
  </si>
  <si>
    <t>33.1</t>
    <phoneticPr fontId="1" type="noConversion"/>
  </si>
  <si>
    <t>25.48</t>
    <phoneticPr fontId="1" type="noConversion"/>
  </si>
  <si>
    <t>0.29</t>
    <phoneticPr fontId="1" type="noConversion"/>
  </si>
  <si>
    <t>-2.63</t>
    <phoneticPr fontId="1" type="noConversion"/>
  </si>
  <si>
    <t>54.8</t>
    <phoneticPr fontId="1" type="noConversion"/>
  </si>
  <si>
    <t>7.31</t>
    <phoneticPr fontId="1" type="noConversion"/>
  </si>
  <si>
    <t>8.98</t>
    <phoneticPr fontId="1" type="noConversion"/>
  </si>
  <si>
    <t>54.0</t>
    <phoneticPr fontId="1" type="noConversion"/>
  </si>
  <si>
    <t>12</t>
    <phoneticPr fontId="1" type="noConversion"/>
  </si>
  <si>
    <t>15.88</t>
    <phoneticPr fontId="1" type="noConversion"/>
  </si>
  <si>
    <t>35.1</t>
    <phoneticPr fontId="1" type="noConversion"/>
  </si>
  <si>
    <t>0.12</t>
    <phoneticPr fontId="1" type="noConversion"/>
  </si>
  <si>
    <t>8.85</t>
    <phoneticPr fontId="1" type="noConversion"/>
  </si>
  <si>
    <t>Loss aversion損失趨避心裡</t>
    <phoneticPr fontId="1" type="noConversion"/>
  </si>
  <si>
    <t>更愛避免損失，而非追求獲利</t>
    <phoneticPr fontId="1" type="noConversion"/>
  </si>
  <si>
    <t>5.89</t>
    <phoneticPr fontId="1" type="noConversion"/>
  </si>
  <si>
    <t>-2.5</t>
    <phoneticPr fontId="1" type="noConversion"/>
  </si>
  <si>
    <t>7.92</t>
    <phoneticPr fontId="1" type="noConversion"/>
  </si>
  <si>
    <t>帳號</t>
    <phoneticPr fontId="1" type="noConversion"/>
  </si>
  <si>
    <t>密碼</t>
    <phoneticPr fontId="1" type="noConversion"/>
  </si>
  <si>
    <t>JUDY54186755a</t>
    <phoneticPr fontId="1" type="noConversion"/>
  </si>
  <si>
    <t>手機號</t>
    <phoneticPr fontId="1" type="noConversion"/>
  </si>
  <si>
    <t>富途牛牛</t>
    <phoneticPr fontId="1" type="noConversion"/>
  </si>
  <si>
    <t>0050</t>
    <phoneticPr fontId="1" type="noConversion"/>
  </si>
  <si>
    <t>台灣50</t>
    <phoneticPr fontId="1" type="noConversion"/>
  </si>
  <si>
    <t>40.63</t>
    <phoneticPr fontId="1" type="noConversion"/>
  </si>
  <si>
    <t>1180</t>
    <phoneticPr fontId="1" type="noConversion"/>
  </si>
  <si>
    <t>145</t>
    <phoneticPr fontId="1" type="noConversion"/>
  </si>
  <si>
    <t>10月21年</t>
    <phoneticPr fontId="1" type="noConversion"/>
  </si>
  <si>
    <t>612</t>
    <phoneticPr fontId="1" type="noConversion"/>
  </si>
  <si>
    <t>3.47</t>
    <phoneticPr fontId="1" type="noConversion"/>
  </si>
  <si>
    <t>16.49</t>
    <phoneticPr fontId="1" type="noConversion"/>
  </si>
  <si>
    <t>全訊</t>
    <phoneticPr fontId="1" type="noConversion"/>
  </si>
  <si>
    <t>宜新實業</t>
    <phoneticPr fontId="1" type="noConversion"/>
  </si>
  <si>
    <t>14.9</t>
    <phoneticPr fontId="1" type="noConversion"/>
  </si>
  <si>
    <t>200</t>
    <phoneticPr fontId="1" type="noConversion"/>
  </si>
  <si>
    <t>功率放大器</t>
    <phoneticPr fontId="1" type="noConversion"/>
  </si>
  <si>
    <t>彈性紗</t>
    <phoneticPr fontId="1" type="noConversion"/>
  </si>
  <si>
    <t>N</t>
    <phoneticPr fontId="1" type="noConversion"/>
  </si>
  <si>
    <t>359</t>
    <phoneticPr fontId="1" type="noConversion"/>
  </si>
  <si>
    <t>華南期貨</t>
    <phoneticPr fontId="1" type="noConversion"/>
  </si>
  <si>
    <t>9.23</t>
    <phoneticPr fontId="1" type="noConversion"/>
  </si>
  <si>
    <t>38.2</t>
    <phoneticPr fontId="1" type="noConversion"/>
  </si>
  <si>
    <t>31.67</t>
    <phoneticPr fontId="1" type="noConversion"/>
  </si>
  <si>
    <t>電器</t>
    <phoneticPr fontId="1" type="noConversion"/>
  </si>
  <si>
    <t>299</t>
    <phoneticPr fontId="1" type="noConversion"/>
  </si>
  <si>
    <t>4.87</t>
    <phoneticPr fontId="1" type="noConversion"/>
  </si>
  <si>
    <t>18.25</t>
    <phoneticPr fontId="1" type="noConversion"/>
  </si>
  <si>
    <t>33.02</t>
    <phoneticPr fontId="1" type="noConversion"/>
  </si>
  <si>
    <t>73.4</t>
    <phoneticPr fontId="1" type="noConversion"/>
  </si>
  <si>
    <t>210</t>
    <phoneticPr fontId="1" type="noConversion"/>
  </si>
  <si>
    <t>24.96</t>
    <phoneticPr fontId="1" type="noConversion"/>
  </si>
  <si>
    <t>34.33</t>
    <phoneticPr fontId="1" type="noConversion"/>
  </si>
  <si>
    <t>12.98</t>
    <phoneticPr fontId="1" type="noConversion"/>
  </si>
  <si>
    <t>13.33</t>
    <phoneticPr fontId="1" type="noConversion"/>
  </si>
  <si>
    <t>73.22</t>
    <phoneticPr fontId="1" type="noConversion"/>
  </si>
  <si>
    <t>15.79</t>
    <phoneticPr fontId="1" type="noConversion"/>
  </si>
  <si>
    <t>7.75</t>
    <phoneticPr fontId="1" type="noConversion"/>
  </si>
  <si>
    <t>穩得</t>
    <phoneticPr fontId="1" type="noConversion"/>
  </si>
  <si>
    <t>EMC電磁相容</t>
    <phoneticPr fontId="1" type="noConversion"/>
  </si>
  <si>
    <t>10.89</t>
    <phoneticPr fontId="1" type="noConversion"/>
  </si>
  <si>
    <t>太陽能4大模組</t>
  </si>
  <si>
    <t>45.18</t>
    <phoneticPr fontId="1" type="noConversion"/>
  </si>
  <si>
    <t>森崴能源</t>
    <phoneticPr fontId="1" type="noConversion"/>
  </si>
  <si>
    <t>能源工程正崴旗下</t>
    <phoneticPr fontId="1" type="noConversion"/>
  </si>
  <si>
    <t>3.75</t>
    <phoneticPr fontId="1" type="noConversion"/>
  </si>
  <si>
    <t>醫美醫藥採購</t>
    <phoneticPr fontId="1" type="noConversion"/>
  </si>
  <si>
    <t>142.6</t>
    <phoneticPr fontId="1" type="noConversion"/>
  </si>
  <si>
    <t>64.5</t>
    <phoneticPr fontId="1" type="noConversion"/>
  </si>
  <si>
    <t>4.82</t>
    <phoneticPr fontId="1" type="noConversion"/>
  </si>
  <si>
    <t>5.34</t>
    <phoneticPr fontId="1" type="noConversion"/>
  </si>
  <si>
    <t>12.07</t>
    <phoneticPr fontId="1" type="noConversion"/>
  </si>
  <si>
    <t>三商家購</t>
    <phoneticPr fontId="1" type="noConversion"/>
  </si>
  <si>
    <t>超市三商旗下</t>
    <phoneticPr fontId="1" type="noConversion"/>
  </si>
  <si>
    <t>-0.22</t>
    <phoneticPr fontId="1" type="noConversion"/>
  </si>
  <si>
    <t>2.39</t>
    <phoneticPr fontId="1" type="noConversion"/>
  </si>
  <si>
    <t>72.78</t>
    <phoneticPr fontId="1" type="noConversion"/>
  </si>
  <si>
    <t>81.84</t>
    <phoneticPr fontId="1" type="noConversion"/>
  </si>
  <si>
    <t>電競周邊</t>
    <phoneticPr fontId="1" type="noConversion"/>
  </si>
  <si>
    <t>大城地產</t>
    <phoneticPr fontId="1" type="noConversion"/>
  </si>
  <si>
    <t>期</t>
    <phoneticPr fontId="1" type="noConversion"/>
  </si>
  <si>
    <t>全聯福利卡號</t>
    <phoneticPr fontId="1" type="noConversion"/>
  </si>
  <si>
    <t>1999001645938590</t>
    <phoneticPr fontId="1" type="noConversion"/>
  </si>
  <si>
    <t>2021//11/24新聞主力改為累積數據</t>
    <phoneticPr fontId="1" type="noConversion"/>
  </si>
  <si>
    <t>55.4</t>
    <phoneticPr fontId="1" type="noConversion"/>
  </si>
  <si>
    <t>藍色日</t>
    <phoneticPr fontId="1" type="noConversion"/>
  </si>
  <si>
    <t>紅色周</t>
    <phoneticPr fontId="1" type="noConversion"/>
  </si>
  <si>
    <t>力積電</t>
    <phoneticPr fontId="1" type="noConversion"/>
  </si>
  <si>
    <t>2.86</t>
    <phoneticPr fontId="1" type="noConversion"/>
  </si>
  <si>
    <t>59.6</t>
    <phoneticPr fontId="1" type="noConversion"/>
  </si>
  <si>
    <t>-36.07</t>
    <phoneticPr fontId="1" type="noConversion"/>
  </si>
  <si>
    <t>新低量必有新低價</t>
    <phoneticPr fontId="1" type="noConversion"/>
  </si>
  <si>
    <t>詠業</t>
    <phoneticPr fontId="1" type="noConversion"/>
  </si>
  <si>
    <t>4.27</t>
    <phoneticPr fontId="1" type="noConversion"/>
  </si>
  <si>
    <t>天線陶瓷元件達方旗下</t>
    <phoneticPr fontId="1" type="noConversion"/>
  </si>
  <si>
    <t>5大泛用樹脂台聚旗下</t>
    <phoneticPr fontId="1" type="noConversion"/>
  </si>
  <si>
    <t>5大泛用樹脂台塑集團</t>
    <phoneticPr fontId="1" type="noConversion"/>
  </si>
  <si>
    <t>5大泛用樹脂轉投資台氯</t>
    <phoneticPr fontId="1" type="noConversion"/>
  </si>
  <si>
    <t>5大泛用樹脂</t>
  </si>
  <si>
    <t>5大泛用樹脂</t>
    <phoneticPr fontId="1" type="noConversion"/>
  </si>
  <si>
    <t>5大泛用樹脂台塑旗下</t>
    <phoneticPr fontId="1" type="noConversion"/>
  </si>
  <si>
    <t>1.84</t>
    <phoneticPr fontId="1" type="noConversion"/>
  </si>
  <si>
    <t>4.01</t>
    <phoneticPr fontId="1" type="noConversion"/>
  </si>
  <si>
    <t>天線保護元件衛星華新旗下</t>
    <phoneticPr fontId="1" type="noConversion"/>
  </si>
  <si>
    <t>17.01</t>
    <phoneticPr fontId="1" type="noConversion"/>
  </si>
  <si>
    <t>19.23</t>
    <phoneticPr fontId="1" type="noConversion"/>
  </si>
  <si>
    <t>21.74</t>
    <phoneticPr fontId="1" type="noConversion"/>
  </si>
  <si>
    <t>9.05</t>
    <phoneticPr fontId="1" type="noConversion"/>
  </si>
  <si>
    <t>飯店日月潭溫泉</t>
    <phoneticPr fontId="1" type="noConversion"/>
  </si>
  <si>
    <t>準</t>
    <phoneticPr fontId="1" type="noConversion"/>
  </si>
  <si>
    <t>資</t>
    <phoneticPr fontId="1" type="noConversion"/>
  </si>
  <si>
    <t>外</t>
    <phoneticPr fontId="1" type="noConversion"/>
  </si>
  <si>
    <t>自</t>
    <phoneticPr fontId="1" type="noConversion"/>
  </si>
  <si>
    <t>投</t>
    <phoneticPr fontId="1" type="noConversion"/>
  </si>
  <si>
    <t>6.88</t>
    <phoneticPr fontId="1" type="noConversion"/>
  </si>
  <si>
    <t>52.17</t>
    <phoneticPr fontId="1" type="noConversion"/>
  </si>
  <si>
    <t>富消息</t>
    <phoneticPr fontId="1" type="noConversion"/>
  </si>
  <si>
    <t>資</t>
    <phoneticPr fontId="1" type="noConversion"/>
  </si>
  <si>
    <t>富股3消</t>
    <phoneticPr fontId="1" type="noConversion"/>
  </si>
  <si>
    <t>積消息</t>
    <phoneticPr fontId="1" type="noConversion"/>
  </si>
  <si>
    <t>國股3消</t>
    <phoneticPr fontId="1" type="noConversion"/>
  </si>
  <si>
    <t>國消息</t>
    <phoneticPr fontId="1" type="noConversion"/>
  </si>
  <si>
    <t>-8.32</t>
    <phoneticPr fontId="1" type="noConversion"/>
  </si>
  <si>
    <t>104.1</t>
    <phoneticPr fontId="1" type="noConversion"/>
  </si>
  <si>
    <t>22.15</t>
    <phoneticPr fontId="1" type="noConversion"/>
  </si>
  <si>
    <t>1.0</t>
    <phoneticPr fontId="1" type="noConversion"/>
  </si>
  <si>
    <t>上品</t>
    <phoneticPr fontId="1" type="noConversion"/>
  </si>
  <si>
    <t>378</t>
    <phoneticPr fontId="1" type="noConversion"/>
  </si>
  <si>
    <t>9.00</t>
    <phoneticPr fontId="1" type="noConversion"/>
  </si>
  <si>
    <t>元股3消</t>
    <phoneticPr fontId="1" type="noConversion"/>
  </si>
  <si>
    <t>453</t>
    <phoneticPr fontId="1" type="noConversion"/>
  </si>
  <si>
    <t>資</t>
    <phoneticPr fontId="1" type="noConversion"/>
  </si>
  <si>
    <t>籌碼內</t>
    <phoneticPr fontId="1" type="noConversion"/>
  </si>
  <si>
    <t>大戶增減1%用星星</t>
    <phoneticPr fontId="1" type="noConversion"/>
  </si>
  <si>
    <t>外</t>
    <phoneticPr fontId="1" type="noConversion"/>
  </si>
  <si>
    <t>借券</t>
    <phoneticPr fontId="1" type="noConversion"/>
  </si>
  <si>
    <t>借融比</t>
    <phoneticPr fontId="1" type="noConversion"/>
  </si>
  <si>
    <t>2021/12/10起將券資比改為借融比</t>
    <phoneticPr fontId="1" type="noConversion"/>
  </si>
  <si>
    <t>2021/12/10起增加內部人籌碼統計</t>
    <phoneticPr fontId="1" type="noConversion"/>
  </si>
  <si>
    <t>2021/12/10起新聞主力量大強勢合計</t>
    <phoneticPr fontId="1" type="noConversion"/>
  </si>
  <si>
    <t>黃色月</t>
    <phoneticPr fontId="1" type="noConversion"/>
  </si>
  <si>
    <t>2021/12/10券資比改為借融比</t>
    <phoneticPr fontId="1" type="noConversion"/>
  </si>
  <si>
    <t>2021/12/13起只做資本額20億以下的公司</t>
    <phoneticPr fontId="1" type="noConversion"/>
  </si>
  <si>
    <t>7</t>
    <phoneticPr fontId="1" type="noConversion"/>
  </si>
  <si>
    <t>大盈4</t>
    <phoneticPr fontId="1" type="noConversion"/>
  </si>
  <si>
    <t>2021/12/13起XQ雙螢幕</t>
    <phoneticPr fontId="1" type="noConversion"/>
  </si>
  <si>
    <t>出量就會帶出趨勢</t>
    <phoneticPr fontId="1" type="noConversion"/>
  </si>
  <si>
    <t>是“股死燈滅”</t>
    <phoneticPr fontId="1" type="noConversion"/>
  </si>
  <si>
    <t>還是“黎明前最後的黑暗”</t>
    <phoneticPr fontId="1" type="noConversion"/>
  </si>
  <si>
    <t>籌碼會給答案！</t>
    <phoneticPr fontId="1" type="noConversion"/>
  </si>
  <si>
    <t>電動樁無人支付新零售</t>
    <phoneticPr fontId="1" type="noConversion"/>
  </si>
  <si>
    <t>博弈機台新零售</t>
    <phoneticPr fontId="1" type="noConversion"/>
  </si>
  <si>
    <t>預周</t>
    <phoneticPr fontId="1" type="noConversion"/>
  </si>
  <si>
    <t>3.69</t>
    <phoneticPr fontId="1" type="noConversion"/>
  </si>
  <si>
    <t>11.0</t>
    <phoneticPr fontId="1" type="noConversion"/>
  </si>
  <si>
    <t>8.75</t>
    <phoneticPr fontId="1" type="noConversion"/>
  </si>
  <si>
    <t>外</t>
    <phoneticPr fontId="1" type="noConversion"/>
  </si>
  <si>
    <t>電源風扇IC旗下大中</t>
    <phoneticPr fontId="1" type="noConversion"/>
  </si>
  <si>
    <t>快充電競MCU</t>
    <phoneticPr fontId="1" type="noConversion"/>
  </si>
  <si>
    <t>快充Type-C電源管理IC</t>
    <phoneticPr fontId="1" type="noConversion"/>
  </si>
  <si>
    <t>新手看價，老手看量，高手看籌碼</t>
    <phoneticPr fontId="1" type="noConversion"/>
  </si>
  <si>
    <t>7.56</t>
    <phoneticPr fontId="1" type="noConversion"/>
  </si>
  <si>
    <t>法現在價</t>
    <phoneticPr fontId="1" type="noConversion"/>
  </si>
  <si>
    <t>12.89</t>
    <phoneticPr fontId="1" type="noConversion"/>
  </si>
  <si>
    <t>15.59</t>
    <phoneticPr fontId="1" type="noConversion"/>
  </si>
  <si>
    <t>353</t>
    <phoneticPr fontId="1" type="noConversion"/>
  </si>
  <si>
    <t>自</t>
    <phoneticPr fontId="1" type="noConversion"/>
  </si>
  <si>
    <t>3.23</t>
    <phoneticPr fontId="1" type="noConversion"/>
  </si>
  <si>
    <t>台北通</t>
    <phoneticPr fontId="1" type="noConversion"/>
  </si>
  <si>
    <t>Pan04280428</t>
    <phoneticPr fontId="1" type="noConversion"/>
  </si>
  <si>
    <t>18.88</t>
    <phoneticPr fontId="1" type="noConversion"/>
  </si>
  <si>
    <t>洋基工程</t>
    <phoneticPr fontId="1" type="noConversion"/>
  </si>
  <si>
    <t>無塵室機電</t>
    <phoneticPr fontId="1" type="noConversion"/>
  </si>
  <si>
    <t>量縮到底，接下來就是帶量沖</t>
    <phoneticPr fontId="1" type="noConversion"/>
  </si>
  <si>
    <t>51.81</t>
    <phoneticPr fontId="1" type="noConversion"/>
  </si>
  <si>
    <t>2.48</t>
    <phoneticPr fontId="1" type="noConversion"/>
  </si>
  <si>
    <t>7.79</t>
    <phoneticPr fontId="1" type="noConversion"/>
  </si>
  <si>
    <t>5.99</t>
    <phoneticPr fontId="1" type="noConversion"/>
  </si>
  <si>
    <t>7.73</t>
    <phoneticPr fontId="1" type="noConversion"/>
  </si>
  <si>
    <t>5.96</t>
    <phoneticPr fontId="1" type="noConversion"/>
  </si>
  <si>
    <t>瑞鼎</t>
    <phoneticPr fontId="1" type="noConversion"/>
  </si>
  <si>
    <t>N</t>
    <phoneticPr fontId="1" type="noConversion"/>
  </si>
  <si>
    <t>驅動IC友達旗下</t>
    <phoneticPr fontId="1" type="noConversion"/>
  </si>
  <si>
    <t>化工</t>
    <phoneticPr fontId="1" type="noConversion"/>
  </si>
  <si>
    <t>外</t>
    <phoneticPr fontId="1" type="noConversion"/>
  </si>
  <si>
    <t>19</t>
    <phoneticPr fontId="1" type="noConversion"/>
  </si>
  <si>
    <t>低檔出量，低基期</t>
    <phoneticPr fontId="1" type="noConversion"/>
  </si>
  <si>
    <t>水泥</t>
    <phoneticPr fontId="1" type="noConversion"/>
  </si>
  <si>
    <t>食品</t>
    <phoneticPr fontId="1" type="noConversion"/>
  </si>
  <si>
    <t>佳格</t>
    <phoneticPr fontId="1" type="noConversion"/>
  </si>
  <si>
    <t>台聚</t>
    <phoneticPr fontId="1" type="noConversion"/>
  </si>
  <si>
    <t>台達化</t>
    <phoneticPr fontId="1" type="noConversion"/>
  </si>
  <si>
    <t>中石化</t>
    <phoneticPr fontId="1" type="noConversion"/>
  </si>
  <si>
    <t>台化</t>
    <phoneticPr fontId="1" type="noConversion"/>
  </si>
  <si>
    <t>力麗</t>
    <phoneticPr fontId="1" type="noConversion"/>
  </si>
  <si>
    <t>儒鴻</t>
    <phoneticPr fontId="1" type="noConversion"/>
  </si>
  <si>
    <t>聚陽</t>
    <phoneticPr fontId="1" type="noConversion"/>
  </si>
  <si>
    <t>銘旺實</t>
    <phoneticPr fontId="1" type="noConversion"/>
  </si>
  <si>
    <t>東元</t>
    <phoneticPr fontId="1" type="noConversion"/>
  </si>
  <si>
    <t>亞德客KY</t>
    <phoneticPr fontId="1" type="noConversion"/>
  </si>
  <si>
    <t>宏佳騰</t>
    <phoneticPr fontId="1" type="noConversion"/>
  </si>
  <si>
    <t>大量</t>
    <phoneticPr fontId="1" type="noConversion"/>
  </si>
  <si>
    <t>崇友</t>
    <phoneticPr fontId="1" type="noConversion"/>
  </si>
  <si>
    <t>江興鍛</t>
    <phoneticPr fontId="1" type="noConversion"/>
  </si>
  <si>
    <t>朋程</t>
    <phoneticPr fontId="1" type="noConversion"/>
  </si>
  <si>
    <t>華新</t>
    <phoneticPr fontId="1" type="noConversion"/>
  </si>
  <si>
    <t>台肥</t>
    <phoneticPr fontId="1" type="noConversion"/>
  </si>
  <si>
    <t>18.1</t>
    <phoneticPr fontId="1" type="noConversion"/>
  </si>
  <si>
    <t>石化原料</t>
    <phoneticPr fontId="1" type="noConversion"/>
  </si>
  <si>
    <t>16.2</t>
    <phoneticPr fontId="1" type="noConversion"/>
  </si>
  <si>
    <t>永記</t>
    <phoneticPr fontId="1" type="noConversion"/>
  </si>
  <si>
    <t>股3</t>
    <phoneticPr fontId="1" type="noConversion"/>
  </si>
  <si>
    <t>油漆</t>
    <phoneticPr fontId="1" type="noConversion"/>
  </si>
  <si>
    <t>10.8</t>
    <phoneticPr fontId="1" type="noConversion"/>
  </si>
  <si>
    <t>中華化</t>
    <phoneticPr fontId="1" type="noConversion"/>
  </si>
  <si>
    <t>消息</t>
    <phoneticPr fontId="1" type="noConversion"/>
  </si>
  <si>
    <t>硫酸電子級</t>
    <phoneticPr fontId="1" type="noConversion"/>
  </si>
  <si>
    <t>6.32</t>
    <phoneticPr fontId="1" type="noConversion"/>
  </si>
  <si>
    <t>花仙子</t>
    <phoneticPr fontId="1" type="noConversion"/>
  </si>
  <si>
    <t>日用品</t>
    <phoneticPr fontId="1" type="noConversion"/>
  </si>
  <si>
    <t>4.24</t>
    <phoneticPr fontId="1" type="noConversion"/>
  </si>
  <si>
    <t>毛寶</t>
    <phoneticPr fontId="1" type="noConversion"/>
  </si>
  <si>
    <t>資</t>
    <phoneticPr fontId="1" type="noConversion"/>
  </si>
  <si>
    <t>清潔用品</t>
    <phoneticPr fontId="1" type="noConversion"/>
  </si>
  <si>
    <t>9.94</t>
    <phoneticPr fontId="1" type="noConversion"/>
  </si>
  <si>
    <t>日勝化</t>
    <phoneticPr fontId="1" type="noConversion"/>
  </si>
  <si>
    <t>7.16</t>
    <phoneticPr fontId="1" type="noConversion"/>
  </si>
  <si>
    <t>台蠟</t>
    <phoneticPr fontId="1" type="noConversion"/>
  </si>
  <si>
    <t>蠟品</t>
    <phoneticPr fontId="1" type="noConversion"/>
  </si>
  <si>
    <t>18.0</t>
    <phoneticPr fontId="1" type="noConversion"/>
  </si>
  <si>
    <t>勝一</t>
    <phoneticPr fontId="1" type="noConversion"/>
  </si>
  <si>
    <t>股3消</t>
    <phoneticPr fontId="1" type="noConversion"/>
  </si>
  <si>
    <t>溶劑</t>
    <phoneticPr fontId="1" type="noConversion"/>
  </si>
  <si>
    <t>7.03</t>
    <phoneticPr fontId="1" type="noConversion"/>
  </si>
  <si>
    <t>展宇</t>
    <phoneticPr fontId="1" type="noConversion"/>
  </si>
  <si>
    <t>PU硬化劑</t>
    <phoneticPr fontId="1" type="noConversion"/>
  </si>
  <si>
    <t>9.35</t>
    <phoneticPr fontId="1" type="noConversion"/>
  </si>
  <si>
    <t>上緯投控</t>
    <phoneticPr fontId="1" type="noConversion"/>
  </si>
  <si>
    <t>外</t>
    <phoneticPr fontId="1" type="noConversion"/>
  </si>
  <si>
    <t>環氧樹脂</t>
    <phoneticPr fontId="1" type="noConversion"/>
  </si>
  <si>
    <t>7.23</t>
    <phoneticPr fontId="1" type="noConversion"/>
  </si>
  <si>
    <t>中美實</t>
    <phoneticPr fontId="1" type="noConversion"/>
  </si>
  <si>
    <t>7.9</t>
    <phoneticPr fontId="1" type="noConversion"/>
  </si>
  <si>
    <t>大恭</t>
    <phoneticPr fontId="1" type="noConversion"/>
  </si>
  <si>
    <t>顏料</t>
    <phoneticPr fontId="1" type="noConversion"/>
  </si>
  <si>
    <t>30.2</t>
    <phoneticPr fontId="1" type="noConversion"/>
  </si>
  <si>
    <t>磐亞</t>
    <phoneticPr fontId="1" type="noConversion"/>
  </si>
  <si>
    <t>界面活性劑</t>
    <phoneticPr fontId="1" type="noConversion"/>
  </si>
  <si>
    <t>6.11</t>
    <phoneticPr fontId="1" type="noConversion"/>
  </si>
  <si>
    <t>永純</t>
    <phoneticPr fontId="1" type="noConversion"/>
  </si>
  <si>
    <t>11.6</t>
    <phoneticPr fontId="1" type="noConversion"/>
  </si>
  <si>
    <t>永捷</t>
    <phoneticPr fontId="1" type="noConversion"/>
  </si>
  <si>
    <t>PU樹脂</t>
    <phoneticPr fontId="1" type="noConversion"/>
  </si>
  <si>
    <t>7.52</t>
    <phoneticPr fontId="1" type="noConversion"/>
  </si>
  <si>
    <t>大立</t>
    <phoneticPr fontId="1" type="noConversion"/>
  </si>
  <si>
    <t>9.06</t>
    <phoneticPr fontId="1" type="noConversion"/>
  </si>
  <si>
    <t>德淵</t>
    <phoneticPr fontId="1" type="noConversion"/>
  </si>
  <si>
    <t>熱熔膠</t>
    <phoneticPr fontId="1" type="noConversion"/>
  </si>
  <si>
    <t>7.50</t>
    <phoneticPr fontId="1" type="noConversion"/>
  </si>
  <si>
    <t>美琪瑪</t>
    <phoneticPr fontId="1" type="noConversion"/>
  </si>
  <si>
    <t>10.0</t>
    <phoneticPr fontId="1" type="noConversion"/>
  </si>
  <si>
    <t>國精化</t>
    <phoneticPr fontId="1" type="noConversion"/>
  </si>
  <si>
    <t>不飽和聚酯</t>
    <phoneticPr fontId="1" type="noConversion"/>
  </si>
  <si>
    <t>10.7</t>
    <phoneticPr fontId="1" type="noConversion"/>
  </si>
  <si>
    <t>康普</t>
    <phoneticPr fontId="1" type="noConversion"/>
  </si>
  <si>
    <t>3.28</t>
    <phoneticPr fontId="1" type="noConversion"/>
  </si>
  <si>
    <t>泓瀚</t>
    <phoneticPr fontId="1" type="noConversion"/>
  </si>
  <si>
    <t>打印墨水</t>
    <phoneticPr fontId="1" type="noConversion"/>
  </si>
  <si>
    <t>2.16</t>
    <phoneticPr fontId="1" type="noConversion"/>
  </si>
  <si>
    <t>國碳科</t>
    <phoneticPr fontId="1" type="noConversion"/>
  </si>
  <si>
    <t>防火材料</t>
    <phoneticPr fontId="1" type="noConversion"/>
  </si>
  <si>
    <t>食品添加劑</t>
    <phoneticPr fontId="1" type="noConversion"/>
  </si>
  <si>
    <t>5.86</t>
    <phoneticPr fontId="1" type="noConversion"/>
  </si>
  <si>
    <t>材料KY</t>
    <phoneticPr fontId="1" type="noConversion"/>
  </si>
  <si>
    <t>纖維絲</t>
    <phoneticPr fontId="1" type="noConversion"/>
  </si>
  <si>
    <t>7.54</t>
    <phoneticPr fontId="1" type="noConversion"/>
  </si>
  <si>
    <t>雙鍵</t>
    <phoneticPr fontId="1" type="noConversion"/>
  </si>
  <si>
    <t>光固化</t>
    <phoneticPr fontId="1" type="noConversion"/>
  </si>
  <si>
    <t>12.0</t>
    <phoneticPr fontId="1" type="noConversion"/>
  </si>
  <si>
    <t>南寶</t>
    <phoneticPr fontId="1" type="noConversion"/>
  </si>
  <si>
    <t>接著劑</t>
    <phoneticPr fontId="1" type="noConversion"/>
  </si>
  <si>
    <t>3.14</t>
    <phoneticPr fontId="1" type="noConversion"/>
  </si>
  <si>
    <t>誠泰科技</t>
    <phoneticPr fontId="1" type="noConversion"/>
  </si>
  <si>
    <t>熱溶膠</t>
    <phoneticPr fontId="1" type="noConversion"/>
  </si>
  <si>
    <t>上品</t>
    <phoneticPr fontId="1" type="noConversion"/>
  </si>
  <si>
    <t>8.24</t>
    <phoneticPr fontId="1" type="noConversion"/>
  </si>
  <si>
    <t>雙邦</t>
    <phoneticPr fontId="1" type="noConversion"/>
  </si>
  <si>
    <t>特用化學原料</t>
    <phoneticPr fontId="1" type="noConversion"/>
  </si>
  <si>
    <t>17.3</t>
    <phoneticPr fontId="1" type="noConversion"/>
  </si>
  <si>
    <t>聚合</t>
    <phoneticPr fontId="1" type="noConversion"/>
  </si>
  <si>
    <t>自黏便條紙</t>
    <phoneticPr fontId="1" type="noConversion"/>
  </si>
  <si>
    <t>資本</t>
    <phoneticPr fontId="1" type="noConversion"/>
  </si>
  <si>
    <t>稅</t>
    <phoneticPr fontId="1" type="noConversion"/>
  </si>
  <si>
    <t>營</t>
    <phoneticPr fontId="1" type="noConversion"/>
  </si>
  <si>
    <t>期</t>
    <phoneticPr fontId="1" type="noConversion"/>
  </si>
  <si>
    <t>年</t>
    <phoneticPr fontId="1" type="noConversion"/>
  </si>
  <si>
    <t>營益率</t>
    <phoneticPr fontId="1" type="noConversion"/>
  </si>
  <si>
    <t>09</t>
    <phoneticPr fontId="1" type="noConversion"/>
  </si>
  <si>
    <t>生技醫療</t>
    <phoneticPr fontId="1" type="noConversion"/>
  </si>
  <si>
    <t>大戶</t>
    <phoneticPr fontId="1" type="noConversion"/>
  </si>
  <si>
    <t>法人</t>
    <phoneticPr fontId="1" type="noConversion"/>
  </si>
  <si>
    <t>融資</t>
    <phoneticPr fontId="1" type="noConversion"/>
  </si>
  <si>
    <t>內部人</t>
    <phoneticPr fontId="1" type="noConversion"/>
  </si>
  <si>
    <t>準</t>
    <phoneticPr fontId="1" type="noConversion"/>
  </si>
  <si>
    <t>借融比</t>
    <phoneticPr fontId="1" type="noConversion"/>
  </si>
  <si>
    <t>股息</t>
    <phoneticPr fontId="1" type="noConversion"/>
  </si>
  <si>
    <t>盈4</t>
    <phoneticPr fontId="1" type="noConversion"/>
  </si>
  <si>
    <t>現在價</t>
    <phoneticPr fontId="1" type="noConversion"/>
  </si>
  <si>
    <t>買賣價</t>
    <phoneticPr fontId="1" type="noConversion"/>
  </si>
  <si>
    <t>損益</t>
    <phoneticPr fontId="1" type="noConversion"/>
  </si>
  <si>
    <t>損益率</t>
    <phoneticPr fontId="1" type="noConversion"/>
  </si>
  <si>
    <t>成分</t>
    <phoneticPr fontId="1" type="noConversion"/>
  </si>
  <si>
    <t>買進日期</t>
    <phoneticPr fontId="1" type="noConversion"/>
  </si>
  <si>
    <t>賣出日期</t>
    <phoneticPr fontId="1" type="noConversion"/>
  </si>
  <si>
    <t>天數</t>
    <phoneticPr fontId="1" type="noConversion"/>
  </si>
  <si>
    <t>預周</t>
    <phoneticPr fontId="1" type="noConversion"/>
  </si>
  <si>
    <t>預估量</t>
    <phoneticPr fontId="1" type="noConversion"/>
  </si>
  <si>
    <t>5.04</t>
    <phoneticPr fontId="1" type="noConversion"/>
  </si>
  <si>
    <t>精華</t>
    <phoneticPr fontId="1" type="noConversion"/>
  </si>
  <si>
    <t>隱形眼鏡3雄</t>
    <phoneticPr fontId="1" type="noConversion"/>
  </si>
  <si>
    <t>3.39</t>
    <phoneticPr fontId="1" type="noConversion"/>
  </si>
  <si>
    <t>祺驊</t>
    <phoneticPr fontId="1" type="noConversion"/>
  </si>
  <si>
    <t>13.4</t>
    <phoneticPr fontId="1" type="noConversion"/>
  </si>
  <si>
    <t>岱宇</t>
    <phoneticPr fontId="1" type="noConversion"/>
  </si>
  <si>
    <t>富股3消</t>
    <phoneticPr fontId="1" type="noConversion"/>
  </si>
  <si>
    <t>6%庫藏股健身器材</t>
    <phoneticPr fontId="1" type="noConversion"/>
  </si>
  <si>
    <t>29.8</t>
    <phoneticPr fontId="1" type="noConversion"/>
  </si>
  <si>
    <t>中化</t>
    <phoneticPr fontId="1" type="noConversion"/>
  </si>
  <si>
    <t>製劑</t>
    <phoneticPr fontId="1" type="noConversion"/>
  </si>
  <si>
    <t>14.8</t>
    <phoneticPr fontId="1" type="noConversion"/>
  </si>
  <si>
    <t>葡萄王</t>
    <phoneticPr fontId="1" type="noConversion"/>
  </si>
  <si>
    <t>保健食品</t>
    <phoneticPr fontId="1" type="noConversion"/>
  </si>
  <si>
    <t>17.8</t>
    <phoneticPr fontId="1" type="noConversion"/>
  </si>
  <si>
    <t>生達</t>
    <phoneticPr fontId="1" type="noConversion"/>
  </si>
  <si>
    <t>學名藥</t>
    <phoneticPr fontId="1" type="noConversion"/>
  </si>
  <si>
    <t>13.2</t>
    <phoneticPr fontId="1" type="noConversion"/>
  </si>
  <si>
    <t>美吾華</t>
    <phoneticPr fontId="1" type="noConversion"/>
  </si>
  <si>
    <t>染髮劑</t>
    <phoneticPr fontId="1" type="noConversion"/>
  </si>
  <si>
    <t>五鼎</t>
    <phoneticPr fontId="1" type="noConversion"/>
  </si>
  <si>
    <t>血糖儀</t>
    <phoneticPr fontId="1" type="noConversion"/>
  </si>
  <si>
    <t>16.7</t>
    <phoneticPr fontId="1" type="noConversion"/>
  </si>
  <si>
    <t>杏輝</t>
    <phoneticPr fontId="1" type="noConversion"/>
  </si>
  <si>
    <t>30.3</t>
    <phoneticPr fontId="1" type="noConversion"/>
  </si>
  <si>
    <t>喬山</t>
    <phoneticPr fontId="1" type="noConversion"/>
  </si>
  <si>
    <t>10.1</t>
    <phoneticPr fontId="1" type="noConversion"/>
  </si>
  <si>
    <t>南光</t>
    <phoneticPr fontId="1" type="noConversion"/>
  </si>
  <si>
    <t>針劑</t>
    <phoneticPr fontId="1" type="noConversion"/>
  </si>
  <si>
    <t>7.76</t>
    <phoneticPr fontId="1" type="noConversion"/>
  </si>
  <si>
    <t>中化生</t>
    <phoneticPr fontId="1" type="noConversion"/>
  </si>
  <si>
    <t>原料藥中化旗下</t>
    <phoneticPr fontId="1" type="noConversion"/>
  </si>
  <si>
    <t>4.01</t>
    <phoneticPr fontId="1" type="noConversion"/>
  </si>
  <si>
    <t>生泰</t>
    <phoneticPr fontId="1" type="noConversion"/>
  </si>
  <si>
    <t>4.74</t>
    <phoneticPr fontId="1" type="noConversion"/>
  </si>
  <si>
    <t>合世</t>
    <phoneticPr fontId="1" type="noConversion"/>
  </si>
  <si>
    <t>血壓計</t>
    <phoneticPr fontId="1" type="noConversion"/>
  </si>
  <si>
    <t>6.95</t>
    <phoneticPr fontId="1" type="noConversion"/>
  </si>
  <si>
    <t>和康生</t>
    <phoneticPr fontId="1" type="noConversion"/>
  </si>
  <si>
    <t>膠原蛋白</t>
    <phoneticPr fontId="1" type="noConversion"/>
  </si>
  <si>
    <t>4.96</t>
    <phoneticPr fontId="1" type="noConversion"/>
  </si>
  <si>
    <t>訊聯</t>
    <phoneticPr fontId="1" type="noConversion"/>
  </si>
  <si>
    <t>臍帶血</t>
    <phoneticPr fontId="1" type="noConversion"/>
  </si>
  <si>
    <t>6.10</t>
    <phoneticPr fontId="1" type="noConversion"/>
  </si>
  <si>
    <t>科妍</t>
    <phoneticPr fontId="1" type="noConversion"/>
  </si>
  <si>
    <t>玻尿酸</t>
    <phoneticPr fontId="1" type="noConversion"/>
  </si>
  <si>
    <t>3.76</t>
    <phoneticPr fontId="1" type="noConversion"/>
  </si>
  <si>
    <t>杏昌</t>
    <phoneticPr fontId="1" type="noConversion"/>
  </si>
  <si>
    <t>醫療器材代理</t>
    <phoneticPr fontId="1" type="noConversion"/>
  </si>
  <si>
    <t>79.0</t>
    <phoneticPr fontId="1" type="noConversion"/>
  </si>
  <si>
    <t>神隆</t>
    <phoneticPr fontId="1" type="noConversion"/>
  </si>
  <si>
    <t>原料藥統一旗下</t>
    <phoneticPr fontId="1" type="noConversion"/>
  </si>
  <si>
    <t>26.2</t>
    <phoneticPr fontId="1" type="noConversion"/>
  </si>
  <si>
    <t>美時</t>
    <phoneticPr fontId="1" type="noConversion"/>
  </si>
  <si>
    <t>學名藥Alvogen持股7成</t>
    <phoneticPr fontId="1" type="noConversion"/>
  </si>
  <si>
    <t>13.9</t>
    <phoneticPr fontId="1" type="noConversion"/>
  </si>
  <si>
    <t>易威</t>
    <phoneticPr fontId="1" type="noConversion"/>
  </si>
  <si>
    <t>4.66</t>
    <phoneticPr fontId="1" type="noConversion"/>
  </si>
  <si>
    <t>寶利徠</t>
    <phoneticPr fontId="1" type="noConversion"/>
  </si>
  <si>
    <t>光學鏡片</t>
    <phoneticPr fontId="1" type="noConversion"/>
  </si>
  <si>
    <t>3.25</t>
    <phoneticPr fontId="1" type="noConversion"/>
  </si>
  <si>
    <t>進階</t>
    <phoneticPr fontId="1" type="noConversion"/>
  </si>
  <si>
    <t>生醫通路公司</t>
    <phoneticPr fontId="1" type="noConversion"/>
  </si>
  <si>
    <t>8.63</t>
    <phoneticPr fontId="1" type="noConversion"/>
  </si>
  <si>
    <t>景岳</t>
    <phoneticPr fontId="1" type="noConversion"/>
  </si>
  <si>
    <t>益生菌</t>
    <phoneticPr fontId="1" type="noConversion"/>
  </si>
  <si>
    <t>基亞</t>
    <phoneticPr fontId="1" type="noConversion"/>
  </si>
  <si>
    <t>肝癌新藥</t>
    <phoneticPr fontId="1" type="noConversion"/>
  </si>
  <si>
    <t>佰研</t>
    <phoneticPr fontId="1" type="noConversion"/>
  </si>
  <si>
    <t>克緹直銷</t>
    <phoneticPr fontId="1" type="noConversion"/>
  </si>
  <si>
    <t>7.61</t>
    <phoneticPr fontId="1" type="noConversion"/>
  </si>
  <si>
    <t>大學光</t>
    <phoneticPr fontId="1" type="noConversion"/>
  </si>
  <si>
    <t>眼科醫療</t>
    <phoneticPr fontId="1" type="noConversion"/>
  </si>
  <si>
    <t>26.6</t>
    <phoneticPr fontId="1" type="noConversion"/>
  </si>
  <si>
    <t>永信</t>
    <phoneticPr fontId="1" type="noConversion"/>
  </si>
  <si>
    <t>製藥</t>
    <phoneticPr fontId="1" type="noConversion"/>
  </si>
  <si>
    <t>永日</t>
    <phoneticPr fontId="1" type="noConversion"/>
  </si>
  <si>
    <t>原料藥永信旗下</t>
    <phoneticPr fontId="1" type="noConversion"/>
  </si>
  <si>
    <t>14.1</t>
    <phoneticPr fontId="1" type="noConversion"/>
  </si>
  <si>
    <t>佳醫</t>
    <phoneticPr fontId="1" type="noConversion"/>
  </si>
  <si>
    <t>洗腎</t>
    <phoneticPr fontId="1" type="noConversion"/>
  </si>
  <si>
    <t>24.8</t>
    <phoneticPr fontId="1" type="noConversion"/>
  </si>
  <si>
    <t>東洋</t>
    <phoneticPr fontId="1" type="noConversion"/>
  </si>
  <si>
    <t>抗癌東洋集團</t>
    <phoneticPr fontId="1" type="noConversion"/>
  </si>
  <si>
    <t>雃博</t>
    <phoneticPr fontId="1" type="noConversion"/>
  </si>
  <si>
    <t>防褥瘡床</t>
    <phoneticPr fontId="1" type="noConversion"/>
  </si>
  <si>
    <t>6.93</t>
    <phoneticPr fontId="1" type="noConversion"/>
  </si>
  <si>
    <t>邦特</t>
    <phoneticPr fontId="1" type="noConversion"/>
  </si>
  <si>
    <t>血液耗材</t>
    <phoneticPr fontId="1" type="noConversion"/>
  </si>
  <si>
    <t>19.8</t>
    <phoneticPr fontId="1" type="noConversion"/>
  </si>
  <si>
    <t>懷特</t>
    <phoneticPr fontId="1" type="noConversion"/>
  </si>
  <si>
    <t>8.89</t>
    <phoneticPr fontId="1" type="noConversion"/>
  </si>
  <si>
    <t>穆拉德加捷</t>
    <phoneticPr fontId="1" type="noConversion"/>
  </si>
  <si>
    <t>甲魚</t>
    <phoneticPr fontId="1" type="noConversion"/>
  </si>
  <si>
    <t>5.70</t>
    <phoneticPr fontId="1" type="noConversion"/>
  </si>
  <si>
    <t>濟生</t>
    <phoneticPr fontId="1" type="noConversion"/>
  </si>
  <si>
    <t>血液透析</t>
    <phoneticPr fontId="1" type="noConversion"/>
  </si>
  <si>
    <t>28.0</t>
    <phoneticPr fontId="1" type="noConversion"/>
  </si>
  <si>
    <t>健喬</t>
    <phoneticPr fontId="1" type="noConversion"/>
  </si>
  <si>
    <t>鼻噴劑</t>
    <phoneticPr fontId="1" type="noConversion"/>
  </si>
  <si>
    <t>4.46</t>
    <phoneticPr fontId="1" type="noConversion"/>
  </si>
  <si>
    <t>明基醫</t>
    <phoneticPr fontId="1" type="noConversion"/>
  </si>
  <si>
    <t>醫療器材明基旗下</t>
    <phoneticPr fontId="1" type="noConversion"/>
  </si>
  <si>
    <t>7.95</t>
    <phoneticPr fontId="1" type="noConversion"/>
  </si>
  <si>
    <t>旭富</t>
    <phoneticPr fontId="1" type="noConversion"/>
  </si>
  <si>
    <t>8.67</t>
    <phoneticPr fontId="1" type="noConversion"/>
  </si>
  <si>
    <t>友華</t>
    <phoneticPr fontId="1" type="noConversion"/>
  </si>
  <si>
    <t>優盛</t>
    <phoneticPr fontId="1" type="noConversion"/>
  </si>
  <si>
    <t>45.9</t>
    <phoneticPr fontId="1" type="noConversion"/>
  </si>
  <si>
    <t>晟德</t>
    <phoneticPr fontId="1" type="noConversion"/>
  </si>
  <si>
    <t>生技投控旗下HK澳優乳業,豐華生技,順藥,益安,東曜</t>
    <phoneticPr fontId="1" type="noConversion"/>
  </si>
  <si>
    <t>7.26</t>
    <phoneticPr fontId="1" type="noConversion"/>
  </si>
  <si>
    <t>太醫</t>
    <phoneticPr fontId="1" type="noConversion"/>
  </si>
  <si>
    <t>醫療耗材</t>
    <phoneticPr fontId="1" type="noConversion"/>
  </si>
  <si>
    <t>4.58</t>
    <phoneticPr fontId="1" type="noConversion"/>
  </si>
  <si>
    <t>天良</t>
    <phoneticPr fontId="1" type="noConversion"/>
  </si>
  <si>
    <t>42.5</t>
    <phoneticPr fontId="1" type="noConversion"/>
  </si>
  <si>
    <t>中天</t>
    <phoneticPr fontId="1" type="noConversion"/>
  </si>
  <si>
    <t>富消息</t>
    <phoneticPr fontId="1" type="noConversion"/>
  </si>
  <si>
    <t>GMP中藥</t>
    <phoneticPr fontId="1" type="noConversion"/>
  </si>
  <si>
    <t>7.84</t>
    <phoneticPr fontId="1" type="noConversion"/>
  </si>
  <si>
    <t>聯合</t>
    <phoneticPr fontId="1" type="noConversion"/>
  </si>
  <si>
    <t>骨科器材</t>
    <phoneticPr fontId="1" type="noConversion"/>
  </si>
  <si>
    <t>健亞</t>
    <phoneticPr fontId="1" type="noConversion"/>
  </si>
  <si>
    <t>學名藥旗下6575心悅、6567生控、6479瑞寶、6872浩宇生醫</t>
    <phoneticPr fontId="1" type="noConversion"/>
  </si>
  <si>
    <t>4.83</t>
    <phoneticPr fontId="1" type="noConversion"/>
  </si>
  <si>
    <t>晶宇</t>
    <phoneticPr fontId="1" type="noConversion"/>
  </si>
  <si>
    <t>生物檢驗晶片</t>
    <phoneticPr fontId="1" type="noConversion"/>
  </si>
  <si>
    <t>6.06</t>
    <phoneticPr fontId="1" type="noConversion"/>
  </si>
  <si>
    <t>亞諾法</t>
    <phoneticPr fontId="1" type="noConversion"/>
  </si>
  <si>
    <t>消息</t>
    <phoneticPr fontId="1" type="noConversion"/>
  </si>
  <si>
    <t>抗體蛋白</t>
    <phoneticPr fontId="1" type="noConversion"/>
  </si>
  <si>
    <t>7.95</t>
    <phoneticPr fontId="1" type="noConversion"/>
  </si>
  <si>
    <t>麗豐KY</t>
    <phoneticPr fontId="1" type="noConversion"/>
  </si>
  <si>
    <t>股3消</t>
    <phoneticPr fontId="1" type="noConversion"/>
  </si>
  <si>
    <t>克麗緹娜</t>
    <phoneticPr fontId="1" type="noConversion"/>
  </si>
  <si>
    <t>3.00</t>
    <phoneticPr fontId="1" type="noConversion"/>
  </si>
  <si>
    <t>曜亞</t>
    <phoneticPr fontId="1" type="noConversion"/>
  </si>
  <si>
    <t>股3</t>
    <phoneticPr fontId="1" type="noConversion"/>
  </si>
  <si>
    <t>醫美器材佳醫旗下</t>
    <phoneticPr fontId="1" type="noConversion"/>
  </si>
  <si>
    <t>4.25</t>
    <phoneticPr fontId="1" type="noConversion"/>
  </si>
  <si>
    <t>馬光KY</t>
    <phoneticPr fontId="1" type="noConversion"/>
  </si>
  <si>
    <t>中醫連鎖</t>
    <phoneticPr fontId="1" type="noConversion"/>
  </si>
  <si>
    <t>17.5</t>
    <phoneticPr fontId="1" type="noConversion"/>
  </si>
  <si>
    <t>龍燈KY</t>
    <phoneticPr fontId="1" type="noConversion"/>
  </si>
  <si>
    <t>植物保護劑</t>
    <phoneticPr fontId="1" type="noConversion"/>
  </si>
  <si>
    <t>42.9</t>
    <phoneticPr fontId="1" type="noConversion"/>
  </si>
  <si>
    <t>國光生</t>
    <phoneticPr fontId="1" type="noConversion"/>
  </si>
  <si>
    <t>資</t>
    <phoneticPr fontId="1" type="noConversion"/>
  </si>
  <si>
    <t>流感疫苗</t>
    <phoneticPr fontId="1" type="noConversion"/>
  </si>
  <si>
    <t>25.2</t>
    <phoneticPr fontId="1" type="noConversion"/>
  </si>
  <si>
    <t>中裕</t>
    <phoneticPr fontId="1" type="noConversion"/>
  </si>
  <si>
    <t>愛滋藥潤泰旗下</t>
    <phoneticPr fontId="1" type="noConversion"/>
  </si>
  <si>
    <t>6.40</t>
    <phoneticPr fontId="1" type="noConversion"/>
  </si>
  <si>
    <t>全宇生技KY</t>
    <phoneticPr fontId="1" type="noConversion"/>
  </si>
  <si>
    <t>6.18</t>
    <phoneticPr fontId="1" type="noConversion"/>
  </si>
  <si>
    <t>鈺緯</t>
    <phoneticPr fontId="1" type="noConversion"/>
  </si>
  <si>
    <t>醫療顯示器</t>
    <phoneticPr fontId="1" type="noConversion"/>
  </si>
  <si>
    <t>3.03</t>
    <phoneticPr fontId="1" type="noConversion"/>
  </si>
  <si>
    <t>康樂KY</t>
    <phoneticPr fontId="1" type="noConversion"/>
  </si>
  <si>
    <t>機能性飲品</t>
    <phoneticPr fontId="1" type="noConversion"/>
  </si>
  <si>
    <t>9.49</t>
    <phoneticPr fontId="1" type="noConversion"/>
  </si>
  <si>
    <t>訊映</t>
    <phoneticPr fontId="1" type="noConversion"/>
  </si>
  <si>
    <t>0.01</t>
    <phoneticPr fontId="1" type="noConversion"/>
  </si>
  <si>
    <t>太景KY</t>
    <phoneticPr fontId="1" type="noConversion"/>
  </si>
  <si>
    <t>新藥</t>
    <phoneticPr fontId="1" type="noConversion"/>
  </si>
  <si>
    <t>2.42</t>
    <phoneticPr fontId="1" type="noConversion"/>
  </si>
  <si>
    <t>創源</t>
    <phoneticPr fontId="1" type="noConversion"/>
  </si>
  <si>
    <t>基因檢測訊聯旗下</t>
    <phoneticPr fontId="1" type="noConversion"/>
  </si>
  <si>
    <t>5.27</t>
    <phoneticPr fontId="1" type="noConversion"/>
  </si>
  <si>
    <t>聿新科</t>
    <phoneticPr fontId="1" type="noConversion"/>
  </si>
  <si>
    <t>血糖測試</t>
    <phoneticPr fontId="1" type="noConversion"/>
  </si>
  <si>
    <t>14.6</t>
    <phoneticPr fontId="1" type="noConversion"/>
  </si>
  <si>
    <t>智擎</t>
    <phoneticPr fontId="1" type="noConversion"/>
  </si>
  <si>
    <t>自</t>
    <phoneticPr fontId="1" type="noConversion"/>
  </si>
  <si>
    <t>富消息</t>
    <phoneticPr fontId="1" type="noConversion"/>
  </si>
  <si>
    <t>2.05%庫藏股胰臟癌東洋旗下</t>
    <phoneticPr fontId="1" type="noConversion"/>
  </si>
  <si>
    <t>4.83</t>
    <phoneticPr fontId="1" type="noConversion"/>
  </si>
  <si>
    <t>鐿鈦</t>
    <phoneticPr fontId="1" type="noConversion"/>
  </si>
  <si>
    <t>富股3</t>
    <phoneticPr fontId="1" type="noConversion"/>
  </si>
  <si>
    <t>醫療機械</t>
    <phoneticPr fontId="1" type="noConversion"/>
  </si>
  <si>
    <t>15.7</t>
    <phoneticPr fontId="1" type="noConversion"/>
  </si>
  <si>
    <t>承業醫</t>
    <phoneticPr fontId="1" type="noConversion"/>
  </si>
  <si>
    <t>腫瘤設備</t>
    <phoneticPr fontId="1" type="noConversion"/>
  </si>
  <si>
    <t>30.1</t>
    <phoneticPr fontId="1" type="noConversion"/>
  </si>
  <si>
    <t>松瑞藥</t>
    <phoneticPr fontId="1" type="noConversion"/>
  </si>
  <si>
    <t>9.75</t>
    <phoneticPr fontId="1" type="noConversion"/>
  </si>
  <si>
    <t>醣聯</t>
    <phoneticPr fontId="1" type="noConversion"/>
  </si>
  <si>
    <t>7.46</t>
    <phoneticPr fontId="1" type="noConversion"/>
  </si>
  <si>
    <t>久裕</t>
    <phoneticPr fontId="1" type="noConversion"/>
  </si>
  <si>
    <t>藥品物流佳醫旗下</t>
    <phoneticPr fontId="1" type="noConversion"/>
  </si>
  <si>
    <t>19.9</t>
    <phoneticPr fontId="1" type="noConversion"/>
  </si>
  <si>
    <t>浩鼎</t>
    <phoneticPr fontId="1" type="noConversion"/>
  </si>
  <si>
    <t>醣基新藥潤泰旗下</t>
    <phoneticPr fontId="1" type="noConversion"/>
  </si>
  <si>
    <t>3.16</t>
    <phoneticPr fontId="1" type="noConversion"/>
  </si>
  <si>
    <t>杏一</t>
    <phoneticPr fontId="1" type="noConversion"/>
  </si>
  <si>
    <t>醫療連鎖通路</t>
    <phoneticPr fontId="1" type="noConversion"/>
  </si>
  <si>
    <t>2.38</t>
    <phoneticPr fontId="1" type="noConversion"/>
  </si>
  <si>
    <t>福永生技</t>
    <phoneticPr fontId="1" type="noConversion"/>
  </si>
  <si>
    <t>5.32</t>
    <phoneticPr fontId="1" type="noConversion"/>
  </si>
  <si>
    <t>安克</t>
    <phoneticPr fontId="1" type="noConversion"/>
  </si>
  <si>
    <t>電腦診斷美吾華懷特旗下</t>
    <phoneticPr fontId="1" type="noConversion"/>
  </si>
  <si>
    <t>6.09</t>
    <phoneticPr fontId="1" type="noConversion"/>
  </si>
  <si>
    <t>佐登KY</t>
    <phoneticPr fontId="1" type="noConversion"/>
  </si>
  <si>
    <t>美容集團</t>
    <phoneticPr fontId="1" type="noConversion"/>
  </si>
  <si>
    <t>10.6</t>
    <phoneticPr fontId="1" type="noConversion"/>
  </si>
  <si>
    <t>杏國</t>
    <phoneticPr fontId="1" type="noConversion"/>
  </si>
  <si>
    <t>新藥杏輝旗下</t>
    <phoneticPr fontId="1" type="noConversion"/>
  </si>
  <si>
    <t>6.55</t>
    <phoneticPr fontId="1" type="noConversion"/>
  </si>
  <si>
    <t>欣大健康</t>
    <phoneticPr fontId="1" type="noConversion"/>
  </si>
  <si>
    <t>X光機</t>
    <phoneticPr fontId="1" type="noConversion"/>
  </si>
  <si>
    <t>15.3</t>
    <phoneticPr fontId="1" type="noConversion"/>
  </si>
  <si>
    <t>永昕</t>
    <phoneticPr fontId="1" type="noConversion"/>
  </si>
  <si>
    <t>5.45</t>
    <phoneticPr fontId="1" type="noConversion"/>
  </si>
  <si>
    <t>雙美</t>
    <phoneticPr fontId="1" type="noConversion"/>
  </si>
  <si>
    <t>3.69</t>
    <phoneticPr fontId="1" type="noConversion"/>
  </si>
  <si>
    <t>豪展</t>
    <phoneticPr fontId="1" type="noConversion"/>
  </si>
  <si>
    <t>耳溫槍</t>
    <phoneticPr fontId="1" type="noConversion"/>
  </si>
  <si>
    <t>9.28</t>
    <phoneticPr fontId="1" type="noConversion"/>
  </si>
  <si>
    <t>泰博</t>
    <phoneticPr fontId="1" type="noConversion"/>
  </si>
  <si>
    <t>體溫血糖</t>
    <phoneticPr fontId="1" type="noConversion"/>
  </si>
  <si>
    <t>6.21</t>
    <phoneticPr fontId="1" type="noConversion"/>
  </si>
  <si>
    <t>華廣</t>
    <phoneticPr fontId="1" type="noConversion"/>
  </si>
  <si>
    <t>38.2</t>
    <phoneticPr fontId="1" type="noConversion"/>
  </si>
  <si>
    <t>合一</t>
    <phoneticPr fontId="1" type="noConversion"/>
  </si>
  <si>
    <t>糖尿病中天轉投資</t>
    <phoneticPr fontId="1" type="noConversion"/>
  </si>
  <si>
    <t>4.72</t>
    <phoneticPr fontId="1" type="noConversion"/>
  </si>
  <si>
    <t>皇將</t>
    <phoneticPr fontId="1" type="noConversion"/>
  </si>
  <si>
    <t>製藥設備</t>
    <phoneticPr fontId="1" type="noConversion"/>
  </si>
  <si>
    <t>7.74</t>
    <phoneticPr fontId="1" type="noConversion"/>
  </si>
  <si>
    <t>合富KY</t>
    <phoneticPr fontId="1" type="noConversion"/>
  </si>
  <si>
    <t>醫療通路</t>
    <phoneticPr fontId="1" type="noConversion"/>
  </si>
  <si>
    <t>12.0</t>
    <phoneticPr fontId="1" type="noConversion"/>
  </si>
  <si>
    <t>台耀</t>
    <phoneticPr fontId="1" type="noConversion"/>
  </si>
  <si>
    <t>維他命D</t>
    <phoneticPr fontId="1" type="noConversion"/>
  </si>
  <si>
    <t>強生</t>
    <phoneticPr fontId="1" type="noConversion"/>
  </si>
  <si>
    <t>5.57</t>
    <phoneticPr fontId="1" type="noConversion"/>
  </si>
  <si>
    <t>德英</t>
    <phoneticPr fontId="1" type="noConversion"/>
  </si>
  <si>
    <t>抗癌</t>
    <phoneticPr fontId="1" type="noConversion"/>
  </si>
  <si>
    <t>6.01</t>
    <phoneticPr fontId="1" type="noConversion"/>
  </si>
  <si>
    <t>寶島科</t>
    <phoneticPr fontId="1" type="noConversion"/>
  </si>
  <si>
    <t>眼鏡通路</t>
    <phoneticPr fontId="1" type="noConversion"/>
  </si>
  <si>
    <t>3.75</t>
    <phoneticPr fontId="1" type="noConversion"/>
  </si>
  <si>
    <t>星寶國際</t>
    <phoneticPr fontId="1" type="noConversion"/>
  </si>
  <si>
    <t>2.22</t>
    <phoneticPr fontId="1" type="noConversion"/>
  </si>
  <si>
    <t>立康</t>
    <phoneticPr fontId="1" type="noConversion"/>
  </si>
  <si>
    <t>中草藥</t>
    <phoneticPr fontId="1" type="noConversion"/>
  </si>
  <si>
    <t>27.0</t>
    <phoneticPr fontId="1" type="noConversion"/>
  </si>
  <si>
    <t>藥華藥</t>
    <phoneticPr fontId="1" type="noConversion"/>
  </si>
  <si>
    <t>外</t>
    <phoneticPr fontId="1" type="noConversion"/>
  </si>
  <si>
    <t>紅血球增生</t>
    <phoneticPr fontId="1" type="noConversion"/>
  </si>
  <si>
    <t>11.6</t>
    <phoneticPr fontId="1" type="noConversion"/>
  </si>
  <si>
    <t>益得</t>
    <phoneticPr fontId="1" type="noConversion"/>
  </si>
  <si>
    <t>大樹</t>
    <phoneticPr fontId="1" type="noConversion"/>
  </si>
  <si>
    <t>連鎖藥局</t>
    <phoneticPr fontId="1" type="noConversion"/>
  </si>
  <si>
    <t>6.85</t>
    <phoneticPr fontId="1" type="noConversion"/>
  </si>
  <si>
    <t>保瑞</t>
    <phoneticPr fontId="1" type="noConversion"/>
  </si>
  <si>
    <t>7.00</t>
    <phoneticPr fontId="1" type="noConversion"/>
  </si>
  <si>
    <t>晶碩</t>
    <phoneticPr fontId="1" type="noConversion"/>
  </si>
  <si>
    <t>投</t>
    <phoneticPr fontId="1" type="noConversion"/>
  </si>
  <si>
    <t>隱形眼鏡3雄和碩轉投資</t>
    <phoneticPr fontId="1" type="noConversion"/>
  </si>
  <si>
    <t>8.97</t>
    <phoneticPr fontId="1" type="noConversion"/>
  </si>
  <si>
    <t>生華科</t>
    <phoneticPr fontId="1" type="noConversion"/>
  </si>
  <si>
    <t>抗癌新藥</t>
    <phoneticPr fontId="1" type="noConversion"/>
  </si>
  <si>
    <t>4.67</t>
    <phoneticPr fontId="1" type="noConversion"/>
  </si>
  <si>
    <t>科懋</t>
    <phoneticPr fontId="1" type="noConversion"/>
  </si>
  <si>
    <t>檢驗試劑</t>
    <phoneticPr fontId="1" type="noConversion"/>
  </si>
  <si>
    <t>6.66</t>
    <phoneticPr fontId="1" type="noConversion"/>
  </si>
  <si>
    <t>益安</t>
    <phoneticPr fontId="1" type="noConversion"/>
  </si>
  <si>
    <t>內視鏡心導管</t>
    <phoneticPr fontId="1" type="noConversion"/>
  </si>
  <si>
    <t>4.50</t>
    <phoneticPr fontId="1" type="noConversion"/>
  </si>
  <si>
    <t>達爾膚</t>
    <phoneticPr fontId="1" type="noConversion"/>
  </si>
  <si>
    <t>2.43</t>
    <phoneticPr fontId="1" type="noConversion"/>
  </si>
  <si>
    <t>明達醫</t>
    <phoneticPr fontId="1" type="noConversion"/>
  </si>
  <si>
    <t>眼科儀器</t>
    <phoneticPr fontId="1" type="noConversion"/>
  </si>
  <si>
    <t>順藥</t>
    <phoneticPr fontId="1" type="noConversion"/>
  </si>
  <si>
    <t>元消息</t>
    <phoneticPr fontId="1" type="noConversion"/>
  </si>
  <si>
    <t>35.2</t>
    <phoneticPr fontId="1" type="noConversion"/>
  </si>
  <si>
    <t>泰福KY</t>
    <phoneticPr fontId="1" type="noConversion"/>
  </si>
  <si>
    <t>21.1</t>
    <phoneticPr fontId="1" type="noConversion"/>
  </si>
  <si>
    <t>高端疫苗</t>
    <phoneticPr fontId="1" type="noConversion"/>
  </si>
  <si>
    <t>流感疫苗基亞旗下</t>
    <phoneticPr fontId="1" type="noConversion"/>
  </si>
  <si>
    <t>醫揚</t>
    <phoneticPr fontId="1" type="noConversion"/>
  </si>
  <si>
    <t>醫療電腦華碩旗下</t>
    <phoneticPr fontId="1" type="noConversion"/>
  </si>
  <si>
    <t>2.20</t>
    <phoneticPr fontId="1" type="noConversion"/>
  </si>
  <si>
    <t>保養品</t>
    <phoneticPr fontId="1" type="noConversion"/>
  </si>
  <si>
    <t>11.7</t>
    <phoneticPr fontId="1" type="noConversion"/>
  </si>
  <si>
    <t>逸達</t>
    <phoneticPr fontId="1" type="noConversion"/>
  </si>
  <si>
    <t>24.3</t>
    <phoneticPr fontId="1" type="noConversion"/>
  </si>
  <si>
    <t>台康生技</t>
    <phoneticPr fontId="1" type="noConversion"/>
  </si>
  <si>
    <t>8.16</t>
    <phoneticPr fontId="1" type="noConversion"/>
  </si>
  <si>
    <t>ABC-KY</t>
    <phoneticPr fontId="1" type="noConversion"/>
  </si>
  <si>
    <t>3.40</t>
    <phoneticPr fontId="1" type="noConversion"/>
  </si>
  <si>
    <t>奈米醫材</t>
    <phoneticPr fontId="1" type="noConversion"/>
  </si>
  <si>
    <t>人工水晶體</t>
    <phoneticPr fontId="1" type="noConversion"/>
  </si>
  <si>
    <t>2.13</t>
    <phoneticPr fontId="1" type="noConversion"/>
  </si>
  <si>
    <t>慧智</t>
    <phoneticPr fontId="1" type="noConversion"/>
  </si>
  <si>
    <t>基因檢測</t>
    <phoneticPr fontId="1" type="noConversion"/>
  </si>
  <si>
    <t>台生材</t>
    <phoneticPr fontId="1" type="noConversion"/>
  </si>
  <si>
    <t>人工腦膜</t>
    <phoneticPr fontId="1" type="noConversion"/>
  </si>
  <si>
    <t>2.33</t>
    <phoneticPr fontId="1" type="noConversion"/>
  </si>
  <si>
    <t>威健生技</t>
    <phoneticPr fontId="1" type="noConversion"/>
  </si>
  <si>
    <t>2.56</t>
    <phoneticPr fontId="1" type="noConversion"/>
  </si>
  <si>
    <t>樂斯科</t>
    <phoneticPr fontId="1" type="noConversion"/>
  </si>
  <si>
    <t>實驗鼠</t>
    <phoneticPr fontId="1" type="noConversion"/>
  </si>
  <si>
    <t>4.74</t>
    <phoneticPr fontId="1" type="noConversion"/>
  </si>
  <si>
    <t>羅麗芬KY</t>
    <phoneticPr fontId="1" type="noConversion"/>
  </si>
  <si>
    <t>美妝面部</t>
    <phoneticPr fontId="1" type="noConversion"/>
  </si>
  <si>
    <t>2.08</t>
    <phoneticPr fontId="1" type="noConversion"/>
  </si>
  <si>
    <t>軒郁</t>
    <phoneticPr fontId="1" type="noConversion"/>
  </si>
  <si>
    <t>6.16</t>
    <phoneticPr fontId="1" type="noConversion"/>
  </si>
  <si>
    <t>長聖</t>
    <phoneticPr fontId="1" type="noConversion"/>
  </si>
  <si>
    <t>10.1</t>
    <phoneticPr fontId="1" type="noConversion"/>
  </si>
  <si>
    <t>博晟生醫</t>
    <phoneticPr fontId="1" type="noConversion"/>
  </si>
  <si>
    <t>N</t>
    <phoneticPr fontId="1" type="noConversion"/>
  </si>
  <si>
    <t>亨泰光</t>
    <phoneticPr fontId="1" type="noConversion"/>
  </si>
  <si>
    <t>2.07</t>
    <phoneticPr fontId="1" type="noConversion"/>
  </si>
  <si>
    <t>逹亞</t>
    <phoneticPr fontId="1" type="noConversion"/>
  </si>
  <si>
    <t>2.91</t>
    <phoneticPr fontId="1" type="noConversion"/>
  </si>
  <si>
    <t>台微醫</t>
    <phoneticPr fontId="1" type="noConversion"/>
  </si>
  <si>
    <t>脊椎醫材鐿鈦旗下</t>
    <phoneticPr fontId="1" type="noConversion"/>
  </si>
  <si>
    <t>2.71</t>
    <phoneticPr fontId="1" type="noConversion"/>
  </si>
  <si>
    <t>生展</t>
    <phoneticPr fontId="1" type="noConversion"/>
  </si>
  <si>
    <t>原料藥生達旗下</t>
    <phoneticPr fontId="1" type="noConversion"/>
  </si>
  <si>
    <t>10.8</t>
    <phoneticPr fontId="1" type="noConversion"/>
  </si>
  <si>
    <t>盛弘</t>
    <phoneticPr fontId="1" type="noConversion"/>
  </si>
  <si>
    <t>醫藥流通敏盛醫旗下</t>
    <phoneticPr fontId="1" type="noConversion"/>
  </si>
  <si>
    <t>9.71</t>
    <phoneticPr fontId="1" type="noConversion"/>
  </si>
  <si>
    <t>金可KY</t>
    <phoneticPr fontId="1" type="noConversion"/>
  </si>
  <si>
    <t>3.20</t>
    <phoneticPr fontId="1" type="noConversion"/>
  </si>
  <si>
    <t>商之器</t>
    <phoneticPr fontId="1" type="noConversion"/>
  </si>
  <si>
    <t>3.84</t>
    <phoneticPr fontId="1" type="noConversion"/>
  </si>
  <si>
    <t>東生華</t>
    <phoneticPr fontId="1" type="noConversion"/>
  </si>
  <si>
    <t>新藥東洋旗下</t>
    <phoneticPr fontId="1" type="noConversion"/>
  </si>
  <si>
    <t>11.8</t>
    <phoneticPr fontId="1" type="noConversion"/>
  </si>
  <si>
    <t>大江</t>
    <phoneticPr fontId="1" type="noConversion"/>
  </si>
  <si>
    <t>面膜</t>
    <phoneticPr fontId="1" type="noConversion"/>
  </si>
  <si>
    <t>資本</t>
    <phoneticPr fontId="1" type="noConversion"/>
  </si>
  <si>
    <t>稅</t>
    <phoneticPr fontId="1" type="noConversion"/>
  </si>
  <si>
    <t>營</t>
    <phoneticPr fontId="1" type="noConversion"/>
  </si>
  <si>
    <t>期</t>
    <phoneticPr fontId="1" type="noConversion"/>
  </si>
  <si>
    <t>年</t>
    <phoneticPr fontId="1" type="noConversion"/>
  </si>
  <si>
    <t>營益率</t>
    <phoneticPr fontId="1" type="noConversion"/>
  </si>
  <si>
    <t>27</t>
    <phoneticPr fontId="1" type="noConversion"/>
  </si>
  <si>
    <t>玻陶</t>
    <phoneticPr fontId="1" type="noConversion"/>
  </si>
  <si>
    <t>大戶</t>
    <phoneticPr fontId="1" type="noConversion"/>
  </si>
  <si>
    <t>法人</t>
    <phoneticPr fontId="1" type="noConversion"/>
  </si>
  <si>
    <t>融資</t>
    <phoneticPr fontId="1" type="noConversion"/>
  </si>
  <si>
    <t>內部人</t>
    <phoneticPr fontId="1" type="noConversion"/>
  </si>
  <si>
    <t>準</t>
    <phoneticPr fontId="1" type="noConversion"/>
  </si>
  <si>
    <t>借融比</t>
    <phoneticPr fontId="1" type="noConversion"/>
  </si>
  <si>
    <t>股息</t>
    <phoneticPr fontId="1" type="noConversion"/>
  </si>
  <si>
    <t>盈4</t>
    <phoneticPr fontId="1" type="noConversion"/>
  </si>
  <si>
    <t>現在價</t>
    <phoneticPr fontId="1" type="noConversion"/>
  </si>
  <si>
    <t>買賣價</t>
    <phoneticPr fontId="1" type="noConversion"/>
  </si>
  <si>
    <t>損益</t>
    <phoneticPr fontId="1" type="noConversion"/>
  </si>
  <si>
    <t>損益率</t>
    <phoneticPr fontId="1" type="noConversion"/>
  </si>
  <si>
    <t>成分</t>
    <phoneticPr fontId="1" type="noConversion"/>
  </si>
  <si>
    <t>買進日期</t>
    <phoneticPr fontId="1" type="noConversion"/>
  </si>
  <si>
    <t>賣出日期</t>
    <phoneticPr fontId="1" type="noConversion"/>
  </si>
  <si>
    <t>天數</t>
    <phoneticPr fontId="1" type="noConversion"/>
  </si>
  <si>
    <t>預周</t>
    <phoneticPr fontId="1" type="noConversion"/>
  </si>
  <si>
    <t>預估量</t>
    <phoneticPr fontId="1" type="noConversion"/>
  </si>
  <si>
    <t>290</t>
    <phoneticPr fontId="1" type="noConversion"/>
  </si>
  <si>
    <t>台玻</t>
    <phoneticPr fontId="1" type="noConversion"/>
  </si>
  <si>
    <t>玻璃</t>
    <phoneticPr fontId="1" type="noConversion"/>
  </si>
  <si>
    <t>43.3</t>
    <phoneticPr fontId="1" type="noConversion"/>
  </si>
  <si>
    <t>冠軍</t>
    <phoneticPr fontId="1" type="noConversion"/>
  </si>
  <si>
    <t>瓷磚</t>
    <phoneticPr fontId="1" type="noConversion"/>
  </si>
  <si>
    <t>16.7</t>
    <phoneticPr fontId="1" type="noConversion"/>
  </si>
  <si>
    <t>中釉</t>
    <phoneticPr fontId="1" type="noConversion"/>
  </si>
  <si>
    <t>釉料</t>
    <phoneticPr fontId="1" type="noConversion"/>
  </si>
  <si>
    <t>36.9</t>
    <phoneticPr fontId="1" type="noConversion"/>
  </si>
  <si>
    <t>和成</t>
    <phoneticPr fontId="1" type="noConversion"/>
  </si>
  <si>
    <t>衛浴</t>
    <phoneticPr fontId="1" type="noConversion"/>
  </si>
  <si>
    <t>7.26</t>
    <phoneticPr fontId="1" type="noConversion"/>
  </si>
  <si>
    <t>凱撒衛</t>
    <phoneticPr fontId="1" type="noConversion"/>
  </si>
  <si>
    <t>造紙</t>
    <phoneticPr fontId="1" type="noConversion"/>
  </si>
  <si>
    <t>26.0</t>
    <phoneticPr fontId="1" type="noConversion"/>
  </si>
  <si>
    <t>士紙</t>
    <phoneticPr fontId="1" type="noConversion"/>
  </si>
  <si>
    <t>白紙板</t>
    <phoneticPr fontId="1" type="noConversion"/>
  </si>
  <si>
    <t>110</t>
    <phoneticPr fontId="1" type="noConversion"/>
  </si>
  <si>
    <t>正隆</t>
    <phoneticPr fontId="1" type="noConversion"/>
  </si>
  <si>
    <t>工紙3雄</t>
    <phoneticPr fontId="1" type="noConversion"/>
  </si>
  <si>
    <t>華紙</t>
    <phoneticPr fontId="1" type="noConversion"/>
  </si>
  <si>
    <t>紙漿</t>
    <phoneticPr fontId="1" type="noConversion"/>
  </si>
  <si>
    <t>15.1</t>
    <phoneticPr fontId="1" type="noConversion"/>
  </si>
  <si>
    <t>寶隆</t>
    <phoneticPr fontId="1" type="noConversion"/>
  </si>
  <si>
    <t>工業紙</t>
    <phoneticPr fontId="1" type="noConversion"/>
  </si>
  <si>
    <t>166</t>
    <phoneticPr fontId="1" type="noConversion"/>
  </si>
  <si>
    <t>永豐餘</t>
    <phoneticPr fontId="1" type="noConversion"/>
  </si>
  <si>
    <t>127</t>
    <phoneticPr fontId="1" type="noConversion"/>
  </si>
  <si>
    <t>榮成</t>
    <phoneticPr fontId="1" type="noConversion"/>
  </si>
  <si>
    <t>16</t>
    <phoneticPr fontId="1" type="noConversion"/>
  </si>
  <si>
    <t>鋼鐵</t>
    <phoneticPr fontId="1" type="noConversion"/>
  </si>
  <si>
    <t>台灣鋼鐵集團旗下有6家上市櫃公司，春雨、久陽、沛波、官田鋼、慶欣欣、易昇</t>
    <phoneticPr fontId="1" type="noConversion"/>
  </si>
  <si>
    <t>1573</t>
    <phoneticPr fontId="1" type="noConversion"/>
  </si>
  <si>
    <t>中鋼</t>
    <phoneticPr fontId="1" type="noConversion"/>
  </si>
  <si>
    <t>108</t>
    <phoneticPr fontId="1" type="noConversion"/>
  </si>
  <si>
    <t>東和鋼鐵</t>
    <phoneticPr fontId="1" type="noConversion"/>
  </si>
  <si>
    <t>型鋼鋼筋</t>
    <phoneticPr fontId="1" type="noConversion"/>
  </si>
  <si>
    <t>53.0</t>
    <phoneticPr fontId="1" type="noConversion"/>
  </si>
  <si>
    <t>燁興</t>
    <phoneticPr fontId="1" type="noConversion"/>
  </si>
  <si>
    <t>不鏽鋼線材</t>
    <phoneticPr fontId="1" type="noConversion"/>
  </si>
  <si>
    <t>20.0</t>
    <phoneticPr fontId="1" type="noConversion"/>
  </si>
  <si>
    <t>高興昌</t>
    <phoneticPr fontId="1" type="noConversion"/>
  </si>
  <si>
    <t>制管雙雄</t>
    <phoneticPr fontId="1" type="noConversion"/>
  </si>
  <si>
    <t>35.9</t>
    <phoneticPr fontId="1" type="noConversion"/>
  </si>
  <si>
    <t>第一銅</t>
    <phoneticPr fontId="1" type="noConversion"/>
  </si>
  <si>
    <t>銅產品</t>
    <phoneticPr fontId="1" type="noConversion"/>
  </si>
  <si>
    <t>64.7</t>
    <phoneticPr fontId="1" type="noConversion"/>
  </si>
  <si>
    <t>春源</t>
    <phoneticPr fontId="1" type="noConversion"/>
  </si>
  <si>
    <t>鋼鐵剪裁通路</t>
    <phoneticPr fontId="1" type="noConversion"/>
  </si>
  <si>
    <t>28.7</t>
    <phoneticPr fontId="1" type="noConversion"/>
  </si>
  <si>
    <t>春雨</t>
    <phoneticPr fontId="1" type="noConversion"/>
  </si>
  <si>
    <t>線材螺絲</t>
    <phoneticPr fontId="1" type="noConversion"/>
  </si>
  <si>
    <t>中鋼構</t>
    <phoneticPr fontId="1" type="noConversion"/>
  </si>
  <si>
    <t>鋼結構中鋼旗下</t>
    <phoneticPr fontId="1" type="noConversion"/>
  </si>
  <si>
    <t>143</t>
    <phoneticPr fontId="1" type="noConversion"/>
  </si>
  <si>
    <t>中鴻</t>
    <phoneticPr fontId="1" type="noConversion"/>
  </si>
  <si>
    <t>熱軋中鋼旗下</t>
    <phoneticPr fontId="1" type="noConversion"/>
  </si>
  <si>
    <t>58.1</t>
    <phoneticPr fontId="1" type="noConversion"/>
  </si>
  <si>
    <t>豐興</t>
    <phoneticPr fontId="1" type="noConversion"/>
  </si>
  <si>
    <t>34.1</t>
    <phoneticPr fontId="1" type="noConversion"/>
  </si>
  <si>
    <t>官田鋼</t>
    <phoneticPr fontId="1" type="noConversion"/>
  </si>
  <si>
    <t>盤元和鐵絲</t>
    <phoneticPr fontId="1" type="noConversion"/>
  </si>
  <si>
    <t>22.2</t>
    <phoneticPr fontId="1" type="noConversion"/>
  </si>
  <si>
    <t>美亞</t>
    <phoneticPr fontId="1" type="noConversion"/>
  </si>
  <si>
    <t>47.9</t>
    <phoneticPr fontId="1" type="noConversion"/>
  </si>
  <si>
    <t>聚亨</t>
    <phoneticPr fontId="1" type="noConversion"/>
  </si>
  <si>
    <t>線材盤元</t>
    <phoneticPr fontId="1" type="noConversion"/>
  </si>
  <si>
    <t>189</t>
    <phoneticPr fontId="1" type="noConversion"/>
  </si>
  <si>
    <t>燁輝</t>
    <phoneticPr fontId="1" type="noConversion"/>
  </si>
  <si>
    <t>鍍鋅烤漆義聯集團</t>
    <phoneticPr fontId="1" type="noConversion"/>
  </si>
  <si>
    <t>志聯</t>
    <phoneticPr fontId="1" type="noConversion"/>
  </si>
  <si>
    <t>鋼棒鋼線</t>
    <phoneticPr fontId="1" type="noConversion"/>
  </si>
  <si>
    <t>28.1</t>
    <phoneticPr fontId="1" type="noConversion"/>
  </si>
  <si>
    <t>千興</t>
    <phoneticPr fontId="1" type="noConversion"/>
  </si>
  <si>
    <t>冷軋</t>
    <phoneticPr fontId="1" type="noConversion"/>
  </si>
  <si>
    <t>200</t>
    <phoneticPr fontId="1" type="noConversion"/>
  </si>
  <si>
    <t>大成鋼</t>
    <phoneticPr fontId="1" type="noConversion"/>
  </si>
  <si>
    <t>32.5</t>
    <phoneticPr fontId="1" type="noConversion"/>
  </si>
  <si>
    <t>威致</t>
    <phoneticPr fontId="1" type="noConversion"/>
  </si>
  <si>
    <t>32.1</t>
    <phoneticPr fontId="1" type="noConversion"/>
  </si>
  <si>
    <t>盛餘</t>
    <phoneticPr fontId="1" type="noConversion"/>
  </si>
  <si>
    <t>鋼卷</t>
    <phoneticPr fontId="1" type="noConversion"/>
  </si>
  <si>
    <t>28.0</t>
    <phoneticPr fontId="1" type="noConversion"/>
  </si>
  <si>
    <t>彰源</t>
    <phoneticPr fontId="1" type="noConversion"/>
  </si>
  <si>
    <t>新光鋼</t>
    <phoneticPr fontId="1" type="noConversion"/>
  </si>
  <si>
    <t>鋼剪裁</t>
    <phoneticPr fontId="1" type="noConversion"/>
  </si>
  <si>
    <t>13.0</t>
    <phoneticPr fontId="1" type="noConversion"/>
  </si>
  <si>
    <t>新鋼</t>
    <phoneticPr fontId="1" type="noConversion"/>
  </si>
  <si>
    <t>不鏽鋼剪裁</t>
    <phoneticPr fontId="1" type="noConversion"/>
  </si>
  <si>
    <t>8.07</t>
    <phoneticPr fontId="1" type="noConversion"/>
  </si>
  <si>
    <t>佳大</t>
    <phoneticPr fontId="1" type="noConversion"/>
  </si>
  <si>
    <t>鋼線鋼纜產品</t>
    <phoneticPr fontId="1" type="noConversion"/>
  </si>
  <si>
    <t>43.7</t>
    <phoneticPr fontId="1" type="noConversion"/>
  </si>
  <si>
    <t>允強</t>
    <phoneticPr fontId="1" type="noConversion"/>
  </si>
  <si>
    <t>35.0</t>
    <phoneticPr fontId="1" type="noConversion"/>
  </si>
  <si>
    <t>唐榮</t>
    <phoneticPr fontId="1" type="noConversion"/>
  </si>
  <si>
    <t>不鏽鋼</t>
    <phoneticPr fontId="1" type="noConversion"/>
  </si>
  <si>
    <t>18.1</t>
    <phoneticPr fontId="1" type="noConversion"/>
  </si>
  <si>
    <t>海光</t>
    <phoneticPr fontId="1" type="noConversion"/>
  </si>
  <si>
    <t>世鎧</t>
    <phoneticPr fontId="1" type="noConversion"/>
  </si>
  <si>
    <t>螺絲</t>
    <phoneticPr fontId="1" type="noConversion"/>
  </si>
  <si>
    <t>6.96</t>
    <phoneticPr fontId="1" type="noConversion"/>
  </si>
  <si>
    <t>晉椿</t>
    <phoneticPr fontId="1" type="noConversion"/>
  </si>
  <si>
    <t>棒鋼</t>
    <phoneticPr fontId="1" type="noConversion"/>
  </si>
  <si>
    <t>5.26</t>
    <phoneticPr fontId="1" type="noConversion"/>
  </si>
  <si>
    <t>世豐</t>
    <phoneticPr fontId="1" type="noConversion"/>
  </si>
  <si>
    <t>16.6</t>
    <phoneticPr fontId="1" type="noConversion"/>
  </si>
  <si>
    <t>運錩</t>
    <phoneticPr fontId="1" type="noConversion"/>
  </si>
  <si>
    <t>42.0</t>
    <phoneticPr fontId="1" type="noConversion"/>
  </si>
  <si>
    <t>長榮鋼</t>
    <phoneticPr fontId="1" type="noConversion"/>
  </si>
  <si>
    <t>豐達科</t>
    <phoneticPr fontId="1" type="noConversion"/>
  </si>
  <si>
    <t>航太扣件</t>
    <phoneticPr fontId="1" type="noConversion"/>
  </si>
  <si>
    <t>29.4</t>
    <phoneticPr fontId="1" type="noConversion"/>
  </si>
  <si>
    <t>三星</t>
    <phoneticPr fontId="1" type="noConversion"/>
  </si>
  <si>
    <t>螺帽</t>
    <phoneticPr fontId="1" type="noConversion"/>
  </si>
  <si>
    <t>46.6</t>
    <phoneticPr fontId="1" type="noConversion"/>
  </si>
  <si>
    <t>榮剛</t>
    <phoneticPr fontId="1" type="noConversion"/>
  </si>
  <si>
    <t>合金棒鋼台灣鋼鐵旗下</t>
    <phoneticPr fontId="1" type="noConversion"/>
  </si>
  <si>
    <t>7.52</t>
    <phoneticPr fontId="1" type="noConversion"/>
  </si>
  <si>
    <t>久陽</t>
    <phoneticPr fontId="1" type="noConversion"/>
  </si>
  <si>
    <t>螺絲帽台鋼旗下</t>
    <phoneticPr fontId="1" type="noConversion"/>
  </si>
  <si>
    <t>13.34</t>
    <phoneticPr fontId="1" type="noConversion"/>
  </si>
  <si>
    <t>強新</t>
    <phoneticPr fontId="1" type="noConversion"/>
  </si>
  <si>
    <t>拋光管件</t>
    <phoneticPr fontId="1" type="noConversion"/>
  </si>
  <si>
    <t>16.5</t>
    <phoneticPr fontId="1" type="noConversion"/>
  </si>
  <si>
    <t>建錩</t>
    <phoneticPr fontId="1" type="noConversion"/>
  </si>
  <si>
    <t>不鏽鋼板裁剪</t>
    <phoneticPr fontId="1" type="noConversion"/>
  </si>
  <si>
    <t>華祺</t>
    <phoneticPr fontId="1" type="noConversion"/>
  </si>
  <si>
    <t>4.96</t>
    <phoneticPr fontId="1" type="noConversion"/>
  </si>
  <si>
    <t>松和</t>
    <phoneticPr fontId="1" type="noConversion"/>
  </si>
  <si>
    <t>鋼纜</t>
    <phoneticPr fontId="1" type="noConversion"/>
  </si>
  <si>
    <t>20.1</t>
    <phoneticPr fontId="1" type="noConversion"/>
  </si>
  <si>
    <t>東明KY</t>
    <phoneticPr fontId="1" type="noConversion"/>
  </si>
  <si>
    <t>4.57</t>
    <phoneticPr fontId="1" type="noConversion"/>
  </si>
  <si>
    <t>沛波</t>
    <phoneticPr fontId="1" type="noConversion"/>
  </si>
  <si>
    <t>恒耀</t>
    <phoneticPr fontId="1" type="noConversion"/>
  </si>
  <si>
    <t>扣件車用</t>
    <phoneticPr fontId="1" type="noConversion"/>
  </si>
  <si>
    <t>103</t>
    <phoneticPr fontId="1" type="noConversion"/>
  </si>
  <si>
    <t>大國鋼</t>
    <phoneticPr fontId="1" type="noConversion"/>
  </si>
  <si>
    <t>螺絲大成鋼投資</t>
    <phoneticPr fontId="1" type="noConversion"/>
  </si>
  <si>
    <t>青鋼</t>
    <phoneticPr fontId="1" type="noConversion"/>
  </si>
  <si>
    <t>輕鋼架</t>
    <phoneticPr fontId="1" type="noConversion"/>
  </si>
  <si>
    <t>世紀鋼</t>
    <phoneticPr fontId="1" type="noConversion"/>
  </si>
  <si>
    <t>鋼構工程</t>
    <phoneticPr fontId="1" type="noConversion"/>
  </si>
  <si>
    <t>9.02</t>
    <phoneticPr fontId="1" type="noConversion"/>
  </si>
  <si>
    <t>有益</t>
    <phoneticPr fontId="1" type="noConversion"/>
  </si>
  <si>
    <t>不鏽鋼厚板</t>
    <phoneticPr fontId="1" type="noConversion"/>
  </si>
  <si>
    <t>橡膠</t>
    <phoneticPr fontId="1" type="noConversion"/>
  </si>
  <si>
    <t>83.3</t>
    <phoneticPr fontId="1" type="noConversion"/>
  </si>
  <si>
    <t>南港</t>
    <phoneticPr fontId="1" type="noConversion"/>
  </si>
  <si>
    <t>輪胎土地</t>
    <phoneticPr fontId="1" type="noConversion"/>
  </si>
  <si>
    <t>47.3</t>
    <phoneticPr fontId="1" type="noConversion"/>
  </si>
  <si>
    <t>泰豐</t>
    <phoneticPr fontId="1" type="noConversion"/>
  </si>
  <si>
    <t>輪胎</t>
    <phoneticPr fontId="1" type="noConversion"/>
  </si>
  <si>
    <t>82.5</t>
    <phoneticPr fontId="1" type="noConversion"/>
  </si>
  <si>
    <t>台橡</t>
    <phoneticPr fontId="1" type="noConversion"/>
  </si>
  <si>
    <t>98.4</t>
    <phoneticPr fontId="1" type="noConversion"/>
  </si>
  <si>
    <t>國際中橡</t>
    <phoneticPr fontId="1" type="noConversion"/>
  </si>
  <si>
    <t>碳煙和信旗下</t>
    <phoneticPr fontId="1" type="noConversion"/>
  </si>
  <si>
    <t>324</t>
    <phoneticPr fontId="1" type="noConversion"/>
  </si>
  <si>
    <t>正新</t>
    <phoneticPr fontId="1" type="noConversion"/>
  </si>
  <si>
    <t>90.9</t>
    <phoneticPr fontId="1" type="noConversion"/>
  </si>
  <si>
    <t>建大</t>
    <phoneticPr fontId="1" type="noConversion"/>
  </si>
  <si>
    <t>34.2</t>
    <phoneticPr fontId="1" type="noConversion"/>
  </si>
  <si>
    <t>厚生</t>
    <phoneticPr fontId="1" type="noConversion"/>
  </si>
  <si>
    <t>營建</t>
    <phoneticPr fontId="1" type="noConversion"/>
  </si>
  <si>
    <t>49.2</t>
    <phoneticPr fontId="1" type="noConversion"/>
  </si>
  <si>
    <t>南帝</t>
    <phoneticPr fontId="1" type="noConversion"/>
  </si>
  <si>
    <t>乳膠</t>
    <phoneticPr fontId="1" type="noConversion"/>
  </si>
  <si>
    <t>33.2</t>
    <phoneticPr fontId="1" type="noConversion"/>
  </si>
  <si>
    <t>華豐</t>
    <phoneticPr fontId="1" type="noConversion"/>
  </si>
  <si>
    <t>7.09</t>
    <phoneticPr fontId="1" type="noConversion"/>
  </si>
  <si>
    <t>鑫永銓</t>
    <phoneticPr fontId="1" type="noConversion"/>
  </si>
  <si>
    <t>橡膠輸送帶</t>
    <phoneticPr fontId="1" type="noConversion"/>
  </si>
  <si>
    <t>6.41</t>
    <phoneticPr fontId="1" type="noConversion"/>
  </si>
  <si>
    <t>富強</t>
    <phoneticPr fontId="1" type="noConversion"/>
  </si>
  <si>
    <t>再生胎</t>
    <phoneticPr fontId="1" type="noConversion"/>
  </si>
  <si>
    <t>申豐</t>
    <phoneticPr fontId="1" type="noConversion"/>
  </si>
  <si>
    <t>乳膠永豐余旗下</t>
    <phoneticPr fontId="1" type="noConversion"/>
  </si>
  <si>
    <t>22</t>
    <phoneticPr fontId="1" type="noConversion"/>
  </si>
  <si>
    <t>汽車</t>
    <phoneticPr fontId="1" type="noConversion"/>
  </si>
  <si>
    <t>59.1</t>
    <phoneticPr fontId="1" type="noConversion"/>
  </si>
  <si>
    <t>東陽</t>
    <phoneticPr fontId="1" type="noConversion"/>
  </si>
  <si>
    <t>汽車塑件</t>
    <phoneticPr fontId="1" type="noConversion"/>
  </si>
  <si>
    <t>8.38</t>
    <phoneticPr fontId="1" type="noConversion"/>
  </si>
  <si>
    <t>廣華KY</t>
    <phoneticPr fontId="1" type="noConversion"/>
  </si>
  <si>
    <t>塑膠內飾</t>
    <phoneticPr fontId="1" type="noConversion"/>
  </si>
  <si>
    <t>7.41</t>
    <phoneticPr fontId="1" type="noConversion"/>
  </si>
  <si>
    <t>昭輝</t>
    <phoneticPr fontId="1" type="noConversion"/>
  </si>
  <si>
    <t>23.6</t>
    <phoneticPr fontId="1" type="noConversion"/>
  </si>
  <si>
    <t>瑞利</t>
    <phoneticPr fontId="1" type="noConversion"/>
  </si>
  <si>
    <t>汽車鈑金</t>
    <phoneticPr fontId="1" type="noConversion"/>
  </si>
  <si>
    <t>7.62</t>
    <phoneticPr fontId="1" type="noConversion"/>
  </si>
  <si>
    <t>大億</t>
    <phoneticPr fontId="1" type="noConversion"/>
  </si>
  <si>
    <t>31.2</t>
    <phoneticPr fontId="1" type="noConversion"/>
  </si>
  <si>
    <t>堤維西</t>
    <phoneticPr fontId="1" type="noConversion"/>
  </si>
  <si>
    <t>耿鼎</t>
    <phoneticPr fontId="1" type="noConversion"/>
  </si>
  <si>
    <t>鈑金件</t>
    <phoneticPr fontId="1" type="noConversion"/>
  </si>
  <si>
    <t>7.34</t>
    <phoneticPr fontId="1" type="noConversion"/>
  </si>
  <si>
    <t>江申</t>
    <phoneticPr fontId="1" type="noConversion"/>
  </si>
  <si>
    <t>車底盤</t>
    <phoneticPr fontId="1" type="noConversion"/>
  </si>
  <si>
    <t>9.85</t>
    <phoneticPr fontId="1" type="noConversion"/>
  </si>
  <si>
    <t>車王電</t>
    <phoneticPr fontId="1" type="noConversion"/>
  </si>
  <si>
    <t>車用電子零件</t>
    <phoneticPr fontId="1" type="noConversion"/>
  </si>
  <si>
    <t>27.9</t>
    <phoneticPr fontId="1" type="noConversion"/>
  </si>
  <si>
    <t>和大</t>
    <phoneticPr fontId="1" type="noConversion"/>
  </si>
  <si>
    <t>減速齒輪Tesla電動車3雄</t>
    <phoneticPr fontId="1" type="noConversion"/>
  </si>
  <si>
    <t>10.3</t>
    <phoneticPr fontId="1" type="noConversion"/>
  </si>
  <si>
    <t>倉佑</t>
    <phoneticPr fontId="1" type="noConversion"/>
  </si>
  <si>
    <t>變速箱零件</t>
    <phoneticPr fontId="1" type="noConversion"/>
  </si>
  <si>
    <t>6.54</t>
    <phoneticPr fontId="1" type="noConversion"/>
  </si>
  <si>
    <t>吉茂</t>
    <phoneticPr fontId="1" type="noConversion"/>
  </si>
  <si>
    <t>汽車水箱</t>
    <phoneticPr fontId="1" type="noConversion"/>
  </si>
  <si>
    <t>11.1</t>
    <phoneticPr fontId="1" type="noConversion"/>
  </si>
  <si>
    <t>帝寶</t>
    <phoneticPr fontId="1" type="noConversion"/>
  </si>
  <si>
    <t>麗正</t>
    <phoneticPr fontId="1" type="noConversion"/>
  </si>
  <si>
    <t>茂矽</t>
    <phoneticPr fontId="1" type="noConversion"/>
  </si>
  <si>
    <t>華邦電</t>
    <phoneticPr fontId="1" type="noConversion"/>
  </si>
  <si>
    <t>菱生</t>
    <phoneticPr fontId="1" type="noConversion"/>
  </si>
  <si>
    <t>聯詠</t>
    <phoneticPr fontId="1" type="noConversion"/>
  </si>
  <si>
    <t>揚智</t>
    <phoneticPr fontId="1" type="noConversion"/>
  </si>
  <si>
    <t>立萬利</t>
    <phoneticPr fontId="1" type="noConversion"/>
  </si>
  <si>
    <t>景碩</t>
    <phoneticPr fontId="1" type="noConversion"/>
  </si>
  <si>
    <t>原相</t>
    <phoneticPr fontId="1" type="noConversion"/>
  </si>
  <si>
    <t>金麗科</t>
    <phoneticPr fontId="1" type="noConversion"/>
  </si>
  <si>
    <t>虹冠電</t>
    <phoneticPr fontId="1" type="noConversion"/>
  </si>
  <si>
    <t>鑫創</t>
    <phoneticPr fontId="1" type="noConversion"/>
  </si>
  <si>
    <t>典範</t>
    <phoneticPr fontId="1" type="noConversion"/>
  </si>
  <si>
    <t>精材</t>
    <phoneticPr fontId="1" type="noConversion"/>
  </si>
  <si>
    <t>誠創</t>
    <phoneticPr fontId="1" type="noConversion"/>
  </si>
  <si>
    <t>逸昌</t>
    <phoneticPr fontId="1" type="noConversion"/>
  </si>
  <si>
    <t>世芯KY</t>
    <phoneticPr fontId="1" type="noConversion"/>
  </si>
  <si>
    <t>漢磊</t>
    <phoneticPr fontId="1" type="noConversion"/>
  </si>
  <si>
    <t>新唐</t>
    <phoneticPr fontId="1" type="noConversion"/>
  </si>
  <si>
    <t>譜瑞KY</t>
    <phoneticPr fontId="1" type="noConversion"/>
  </si>
  <si>
    <t>IET-KY</t>
    <phoneticPr fontId="1" type="noConversion"/>
  </si>
  <si>
    <t>笙科</t>
    <phoneticPr fontId="1" type="noConversion"/>
  </si>
  <si>
    <t>世紀</t>
    <phoneticPr fontId="1" type="noConversion"/>
  </si>
  <si>
    <t>凱鈺</t>
    <phoneticPr fontId="1" type="noConversion"/>
  </si>
  <si>
    <t>松翰</t>
    <phoneticPr fontId="1" type="noConversion"/>
  </si>
  <si>
    <t>中美晶</t>
    <phoneticPr fontId="1" type="noConversion"/>
  </si>
  <si>
    <t>普誠</t>
    <phoneticPr fontId="1" type="noConversion"/>
  </si>
  <si>
    <t>旺矽</t>
    <phoneticPr fontId="1" type="noConversion"/>
  </si>
  <si>
    <t>矽格</t>
    <phoneticPr fontId="1" type="noConversion"/>
  </si>
  <si>
    <t>大中</t>
    <phoneticPr fontId="1" type="noConversion"/>
  </si>
  <si>
    <t>晶心科</t>
    <phoneticPr fontId="1" type="noConversion"/>
  </si>
  <si>
    <t>宏觀</t>
    <phoneticPr fontId="1" type="noConversion"/>
  </si>
  <si>
    <t>展匯科</t>
    <phoneticPr fontId="1" type="noConversion"/>
  </si>
  <si>
    <t>矽創</t>
    <phoneticPr fontId="1" type="noConversion"/>
  </si>
  <si>
    <t>安國</t>
    <phoneticPr fontId="1" type="noConversion"/>
  </si>
  <si>
    <t>華東</t>
    <phoneticPr fontId="1" type="noConversion"/>
  </si>
  <si>
    <t>福懋科</t>
    <phoneticPr fontId="1" type="noConversion"/>
  </si>
  <si>
    <t>宇瞻</t>
    <phoneticPr fontId="1" type="noConversion"/>
  </si>
  <si>
    <t>商丞</t>
    <phoneticPr fontId="1" type="noConversion"/>
  </si>
  <si>
    <t>群聯</t>
    <phoneticPr fontId="1" type="noConversion"/>
  </si>
  <si>
    <t>04</t>
    <phoneticPr fontId="1" type="noConversion"/>
  </si>
  <si>
    <t>光寶科</t>
    <phoneticPr fontId="1" type="noConversion"/>
  </si>
  <si>
    <t>宏碁</t>
    <phoneticPr fontId="1" type="noConversion"/>
  </si>
  <si>
    <t>昆盈</t>
    <phoneticPr fontId="1" type="noConversion"/>
  </si>
  <si>
    <t>技嘉</t>
    <phoneticPr fontId="1" type="noConversion"/>
  </si>
  <si>
    <t>虹光</t>
    <phoneticPr fontId="1" type="noConversion"/>
  </si>
  <si>
    <t>浩鑫</t>
    <phoneticPr fontId="1" type="noConversion"/>
  </si>
  <si>
    <t>新美齊</t>
    <phoneticPr fontId="1" type="noConversion"/>
  </si>
  <si>
    <t>麗台</t>
    <phoneticPr fontId="1" type="noConversion"/>
  </si>
  <si>
    <t>歐格</t>
    <phoneticPr fontId="1" type="noConversion"/>
  </si>
  <si>
    <t>晟銘電</t>
    <phoneticPr fontId="1" type="noConversion"/>
  </si>
  <si>
    <t>建碁</t>
    <phoneticPr fontId="1" type="noConversion"/>
  </si>
  <si>
    <t>順達</t>
    <phoneticPr fontId="1" type="noConversion"/>
  </si>
  <si>
    <t>曜越</t>
    <phoneticPr fontId="1" type="noConversion"/>
  </si>
  <si>
    <t>大眾控</t>
    <phoneticPr fontId="1" type="noConversion"/>
  </si>
  <si>
    <t>科嘉KY</t>
    <phoneticPr fontId="1" type="noConversion"/>
  </si>
  <si>
    <t>宜鼎</t>
    <phoneticPr fontId="1" type="noConversion"/>
  </si>
  <si>
    <t>迎廣</t>
    <phoneticPr fontId="1" type="noConversion"/>
  </si>
  <si>
    <t>新普</t>
    <phoneticPr fontId="1" type="noConversion"/>
  </si>
  <si>
    <t>27.8</t>
    <phoneticPr fontId="1" type="noConversion"/>
  </si>
  <si>
    <t>廣明</t>
    <phoneticPr fontId="1" type="noConversion"/>
  </si>
  <si>
    <t>SSD代工廣達旗下</t>
    <phoneticPr fontId="1" type="noConversion"/>
  </si>
  <si>
    <t>14.3</t>
    <phoneticPr fontId="1" type="noConversion"/>
  </si>
  <si>
    <t>飛捷</t>
    <phoneticPr fontId="1" type="noConversion"/>
  </si>
  <si>
    <t>POS新零售</t>
    <phoneticPr fontId="1" type="noConversion"/>
  </si>
  <si>
    <t>3.70</t>
    <phoneticPr fontId="1" type="noConversion"/>
  </si>
  <si>
    <t>全譜</t>
    <phoneticPr fontId="1" type="noConversion"/>
  </si>
  <si>
    <t>生物影像</t>
    <phoneticPr fontId="1" type="noConversion"/>
  </si>
  <si>
    <t>8.63</t>
    <phoneticPr fontId="1" type="noConversion"/>
  </si>
  <si>
    <t>尼得科超眾</t>
    <phoneticPr fontId="1" type="noConversion"/>
  </si>
  <si>
    <t>散熱3</t>
    <phoneticPr fontId="1" type="noConversion"/>
  </si>
  <si>
    <t>17.2</t>
    <phoneticPr fontId="1" type="noConversion"/>
  </si>
  <si>
    <t>華孚</t>
    <phoneticPr fontId="1" type="noConversion"/>
  </si>
  <si>
    <t>NB外殼</t>
    <phoneticPr fontId="1" type="noConversion"/>
  </si>
  <si>
    <t>3.28</t>
    <phoneticPr fontId="1" type="noConversion"/>
  </si>
  <si>
    <t>安鈦克</t>
    <phoneticPr fontId="1" type="noConversion"/>
  </si>
  <si>
    <t>11.9</t>
    <phoneticPr fontId="1" type="noConversion"/>
  </si>
  <si>
    <t>宏正</t>
    <phoneticPr fontId="1" type="noConversion"/>
  </si>
  <si>
    <t>KVM</t>
    <phoneticPr fontId="1" type="noConversion"/>
  </si>
  <si>
    <t>4.27</t>
    <phoneticPr fontId="1" type="noConversion"/>
  </si>
  <si>
    <t>廣錠</t>
    <phoneticPr fontId="1" type="noConversion"/>
  </si>
  <si>
    <t>博弈廣積旗下</t>
    <phoneticPr fontId="1" type="noConversion"/>
  </si>
  <si>
    <t>3.01</t>
    <phoneticPr fontId="1" type="noConversion"/>
  </si>
  <si>
    <t>維田</t>
    <phoneticPr fontId="1" type="noConversion"/>
  </si>
  <si>
    <t>3.83</t>
    <phoneticPr fontId="1" type="noConversion"/>
  </si>
  <si>
    <t>勁豐</t>
    <phoneticPr fontId="1" type="noConversion"/>
  </si>
  <si>
    <t>工業電腦豐藝旗下</t>
    <phoneticPr fontId="1" type="noConversion"/>
  </si>
  <si>
    <t>14.8</t>
    <phoneticPr fontId="1" type="noConversion"/>
  </si>
  <si>
    <t>研揚</t>
    <phoneticPr fontId="1" type="noConversion"/>
  </si>
  <si>
    <t>3.41</t>
    <phoneticPr fontId="1" type="noConversion"/>
  </si>
  <si>
    <t>動力KY</t>
    <phoneticPr fontId="1" type="noConversion"/>
  </si>
  <si>
    <t>17.4</t>
    <phoneticPr fontId="1" type="noConversion"/>
  </si>
  <si>
    <t>緯穎</t>
    <phoneticPr fontId="1" type="noConversion"/>
  </si>
  <si>
    <t>雲端緯創旗下</t>
    <phoneticPr fontId="1" type="noConversion"/>
  </si>
  <si>
    <t>1.86</t>
    <phoneticPr fontId="1" type="noConversion"/>
  </si>
  <si>
    <t>鑫創電子</t>
    <phoneticPr fontId="1" type="noConversion"/>
  </si>
  <si>
    <t>車載電腦</t>
    <phoneticPr fontId="1" type="noConversion"/>
  </si>
  <si>
    <t>17.7</t>
    <phoneticPr fontId="1" type="noConversion"/>
  </si>
  <si>
    <t>廣積</t>
    <phoneticPr fontId="1" type="noConversion"/>
  </si>
  <si>
    <t>27.7</t>
    <phoneticPr fontId="1" type="noConversion"/>
  </si>
  <si>
    <t>伍豐</t>
    <phoneticPr fontId="1" type="noConversion"/>
  </si>
  <si>
    <t>賭場新零售</t>
    <phoneticPr fontId="1" type="noConversion"/>
  </si>
  <si>
    <t>7.49</t>
    <phoneticPr fontId="1" type="noConversion"/>
  </si>
  <si>
    <t>振樺電</t>
    <phoneticPr fontId="1" type="noConversion"/>
  </si>
  <si>
    <t>達方</t>
    <phoneticPr fontId="1" type="noConversion"/>
  </si>
  <si>
    <t>鍵盤明基友達旗下</t>
    <phoneticPr fontId="1" type="noConversion"/>
  </si>
  <si>
    <t>勤誠</t>
    <phoneticPr fontId="1" type="noConversion"/>
  </si>
  <si>
    <t>14.1</t>
    <phoneticPr fontId="1" type="noConversion"/>
  </si>
  <si>
    <t>新漢</t>
    <phoneticPr fontId="1" type="noConversion"/>
  </si>
  <si>
    <t>3.66</t>
    <phoneticPr fontId="1" type="noConversion"/>
  </si>
  <si>
    <t>森田</t>
    <phoneticPr fontId="1" type="noConversion"/>
  </si>
  <si>
    <t>熱轉印</t>
    <phoneticPr fontId="1" type="noConversion"/>
  </si>
  <si>
    <t>5.50</t>
    <phoneticPr fontId="1" type="noConversion"/>
  </si>
  <si>
    <t>偉聯</t>
    <phoneticPr fontId="1" type="noConversion"/>
  </si>
  <si>
    <t>顯示器</t>
    <phoneticPr fontId="1" type="noConversion"/>
  </si>
  <si>
    <t>光電</t>
    <phoneticPr fontId="1" type="noConversion"/>
  </si>
  <si>
    <t>115</t>
    <phoneticPr fontId="1" type="noConversion"/>
  </si>
  <si>
    <t>中環</t>
    <phoneticPr fontId="1" type="noConversion"/>
  </si>
  <si>
    <t>光碟片</t>
    <phoneticPr fontId="1" type="noConversion"/>
  </si>
  <si>
    <t>37.8</t>
    <phoneticPr fontId="1" type="noConversion"/>
  </si>
  <si>
    <t>光磊</t>
    <phoneticPr fontId="1" type="noConversion"/>
  </si>
  <si>
    <t>LED晶粒日亞化授權</t>
    <phoneticPr fontId="1" type="noConversion"/>
  </si>
  <si>
    <t>69.3</t>
    <phoneticPr fontId="1" type="noConversion"/>
  </si>
  <si>
    <t>錸德</t>
    <phoneticPr fontId="1" type="noConversion"/>
  </si>
  <si>
    <t>28.2</t>
    <phoneticPr fontId="1" type="noConversion"/>
  </si>
  <si>
    <t>佳能</t>
    <phoneticPr fontId="1" type="noConversion"/>
  </si>
  <si>
    <t>相機組裝</t>
    <phoneticPr fontId="1" type="noConversion"/>
  </si>
  <si>
    <t>44.3</t>
    <phoneticPr fontId="1" type="noConversion"/>
  </si>
  <si>
    <t>億光</t>
    <phoneticPr fontId="1" type="noConversion"/>
  </si>
  <si>
    <t>太陽能矽晶圓轉投資碩禾</t>
    <phoneticPr fontId="1" type="noConversion"/>
  </si>
  <si>
    <t>962</t>
    <phoneticPr fontId="1" type="noConversion"/>
  </si>
  <si>
    <t>30.0</t>
    <phoneticPr fontId="1" type="noConversion"/>
  </si>
  <si>
    <t>鼎元</t>
    <phoneticPr fontId="1" type="noConversion"/>
  </si>
  <si>
    <t>LED晶粒</t>
    <phoneticPr fontId="1" type="noConversion"/>
  </si>
  <si>
    <t>6.02</t>
    <phoneticPr fontId="1" type="noConversion"/>
  </si>
  <si>
    <t>翔耀</t>
    <phoneticPr fontId="1" type="noConversion"/>
  </si>
  <si>
    <t>玻璃基板</t>
    <phoneticPr fontId="1" type="noConversion"/>
  </si>
  <si>
    <t>15.6</t>
    <phoneticPr fontId="1" type="noConversion"/>
  </si>
  <si>
    <t>冠西電</t>
    <phoneticPr fontId="1" type="noConversion"/>
  </si>
  <si>
    <t>光纖耦合器</t>
    <phoneticPr fontId="1" type="noConversion"/>
  </si>
  <si>
    <t>20.2</t>
    <phoneticPr fontId="1" type="noConversion"/>
  </si>
  <si>
    <t>一詮</t>
    <phoneticPr fontId="1" type="noConversion"/>
  </si>
  <si>
    <t>瑞軒</t>
    <phoneticPr fontId="1" type="noConversion"/>
  </si>
  <si>
    <t>電視</t>
    <phoneticPr fontId="1" type="noConversion"/>
  </si>
  <si>
    <t>8.20</t>
    <phoneticPr fontId="1" type="noConversion"/>
  </si>
  <si>
    <t>吉祥全</t>
    <phoneticPr fontId="1" type="noConversion"/>
  </si>
  <si>
    <t>LED照明</t>
    <phoneticPr fontId="1" type="noConversion"/>
  </si>
  <si>
    <t>手機鏡頭</t>
    <phoneticPr fontId="1" type="noConversion"/>
  </si>
  <si>
    <t>亞光</t>
    <phoneticPr fontId="1" type="noConversion"/>
  </si>
  <si>
    <t>憶聲</t>
    <phoneticPr fontId="1" type="noConversion"/>
  </si>
  <si>
    <t>家電歌林轉投資</t>
    <phoneticPr fontId="1" type="noConversion"/>
  </si>
  <si>
    <t>佰鴻</t>
    <phoneticPr fontId="1" type="noConversion"/>
  </si>
  <si>
    <t>LED封裝</t>
    <phoneticPr fontId="1" type="noConversion"/>
  </si>
  <si>
    <t>16.2</t>
    <phoneticPr fontId="1" type="noConversion"/>
  </si>
  <si>
    <t>全台</t>
    <phoneticPr fontId="1" type="noConversion"/>
  </si>
  <si>
    <t>面板模組</t>
    <phoneticPr fontId="1" type="noConversion"/>
  </si>
  <si>
    <t>80.6</t>
    <phoneticPr fontId="1" type="noConversion"/>
  </si>
  <si>
    <t>和鑫</t>
    <phoneticPr fontId="1" type="noConversion"/>
  </si>
  <si>
    <t>觸控面板華新旗下彩晶轉投資</t>
    <phoneticPr fontId="1" type="noConversion"/>
  </si>
  <si>
    <t>鈺德</t>
    <phoneticPr fontId="1" type="noConversion"/>
  </si>
  <si>
    <t>太陽能錸德旗下</t>
    <phoneticPr fontId="1" type="noConversion"/>
  </si>
  <si>
    <t>力特</t>
    <phoneticPr fontId="1" type="noConversion"/>
  </si>
  <si>
    <t>偏光板</t>
    <phoneticPr fontId="1" type="noConversion"/>
  </si>
  <si>
    <t>華晶科</t>
    <phoneticPr fontId="1" type="noConversion"/>
  </si>
  <si>
    <t>數位影像</t>
    <phoneticPr fontId="1" type="noConversion"/>
  </si>
  <si>
    <t>8.31</t>
    <phoneticPr fontId="1" type="noConversion"/>
  </si>
  <si>
    <t>李洲</t>
    <phoneticPr fontId="1" type="noConversion"/>
  </si>
  <si>
    <t>4.20</t>
    <phoneticPr fontId="1" type="noConversion"/>
  </si>
  <si>
    <t>昇銳</t>
    <phoneticPr fontId="1" type="noConversion"/>
  </si>
  <si>
    <t>安控</t>
    <phoneticPr fontId="1" type="noConversion"/>
  </si>
  <si>
    <t>20.6</t>
    <phoneticPr fontId="1" type="noConversion"/>
  </si>
  <si>
    <t>正達</t>
    <phoneticPr fontId="1" type="noConversion"/>
  </si>
  <si>
    <t>玻璃加工鴻海旗下</t>
    <phoneticPr fontId="1" type="noConversion"/>
  </si>
  <si>
    <t>7.10</t>
    <phoneticPr fontId="1" type="noConversion"/>
  </si>
  <si>
    <t>錦明</t>
    <phoneticPr fontId="1" type="noConversion"/>
  </si>
  <si>
    <t>3.68</t>
    <phoneticPr fontId="1" type="noConversion"/>
  </si>
  <si>
    <t>杭特</t>
    <phoneticPr fontId="1" type="noConversion"/>
  </si>
  <si>
    <t>安全監控</t>
    <phoneticPr fontId="1" type="noConversion"/>
  </si>
  <si>
    <t>5.09</t>
    <phoneticPr fontId="1" type="noConversion"/>
  </si>
  <si>
    <t>泰谷</t>
    <phoneticPr fontId="1" type="noConversion"/>
  </si>
  <si>
    <t>8.98</t>
    <phoneticPr fontId="1" type="noConversion"/>
  </si>
  <si>
    <t>奇偶</t>
    <phoneticPr fontId="1" type="noConversion"/>
  </si>
  <si>
    <t>先進光</t>
    <phoneticPr fontId="1" type="noConversion"/>
  </si>
  <si>
    <t>IT鏡頭</t>
    <phoneticPr fontId="1" type="noConversion"/>
  </si>
  <si>
    <t>新世紀</t>
    <phoneticPr fontId="1" type="noConversion"/>
  </si>
  <si>
    <t>LED晶粒群光旗下</t>
    <phoneticPr fontId="1" type="noConversion"/>
  </si>
  <si>
    <t>11.2</t>
    <phoneticPr fontId="1" type="noConversion"/>
  </si>
  <si>
    <t>玉晶光</t>
    <phoneticPr fontId="1" type="noConversion"/>
  </si>
  <si>
    <t>鏡頭3D感測</t>
    <phoneticPr fontId="1" type="noConversion"/>
  </si>
  <si>
    <t>2.27</t>
    <phoneticPr fontId="1" type="noConversion"/>
  </si>
  <si>
    <t>哲固</t>
    <phoneticPr fontId="1" type="noConversion"/>
  </si>
  <si>
    <t>14.4</t>
    <phoneticPr fontId="1" type="noConversion"/>
  </si>
  <si>
    <t>榮創</t>
    <phoneticPr fontId="1" type="noConversion"/>
  </si>
  <si>
    <t>LED封裝鴻海旗下</t>
    <phoneticPr fontId="1" type="noConversion"/>
  </si>
  <si>
    <t>4.00</t>
    <phoneticPr fontId="1" type="noConversion"/>
  </si>
  <si>
    <t>聯一光</t>
    <phoneticPr fontId="1" type="noConversion"/>
  </si>
  <si>
    <t>光學鏡頭上游</t>
    <phoneticPr fontId="1" type="noConversion"/>
  </si>
  <si>
    <t>8.70</t>
    <phoneticPr fontId="1" type="noConversion"/>
  </si>
  <si>
    <t>晶睿</t>
    <phoneticPr fontId="1" type="noConversion"/>
  </si>
  <si>
    <t>IP Camera</t>
    <phoneticPr fontId="1" type="noConversion"/>
  </si>
  <si>
    <t>由田</t>
    <phoneticPr fontId="1" type="noConversion"/>
  </si>
  <si>
    <t>面板鴻海旗下</t>
    <phoneticPr fontId="1" type="noConversion"/>
  </si>
  <si>
    <t>5.70</t>
    <phoneticPr fontId="1" type="noConversion"/>
  </si>
  <si>
    <t>單井</t>
    <phoneticPr fontId="1" type="noConversion"/>
  </si>
  <si>
    <t>半導體封裝模具</t>
    <phoneticPr fontId="1" type="noConversion"/>
  </si>
  <si>
    <t>11.4</t>
    <phoneticPr fontId="1" type="noConversion"/>
  </si>
  <si>
    <t>揚名光</t>
    <phoneticPr fontId="1" type="noConversion"/>
  </si>
  <si>
    <t>微投影</t>
    <phoneticPr fontId="1" type="noConversion"/>
  </si>
  <si>
    <t>5.06</t>
    <phoneticPr fontId="1" type="noConversion"/>
  </si>
  <si>
    <t>亞帝歐</t>
    <phoneticPr fontId="1" type="noConversion"/>
  </si>
  <si>
    <t>6.12</t>
    <phoneticPr fontId="1" type="noConversion"/>
  </si>
  <si>
    <t>先益</t>
    <phoneticPr fontId="1" type="noConversion"/>
  </si>
  <si>
    <t>背光模組</t>
    <phoneticPr fontId="1" type="noConversion"/>
  </si>
  <si>
    <t>7.91</t>
    <phoneticPr fontId="1" type="noConversion"/>
  </si>
  <si>
    <t>晶彩科</t>
    <phoneticPr fontId="1" type="noConversion"/>
  </si>
  <si>
    <t>檢測設備</t>
    <phoneticPr fontId="1" type="noConversion"/>
  </si>
  <si>
    <t>8.93</t>
    <phoneticPr fontId="1" type="noConversion"/>
  </si>
  <si>
    <t>州巧</t>
    <phoneticPr fontId="1" type="noConversion"/>
  </si>
  <si>
    <t>4.47</t>
    <phoneticPr fontId="1" type="noConversion"/>
  </si>
  <si>
    <t>牧德</t>
    <phoneticPr fontId="1" type="noConversion"/>
  </si>
  <si>
    <t>光學檢測</t>
    <phoneticPr fontId="1" type="noConversion"/>
  </si>
  <si>
    <t>162</t>
    <phoneticPr fontId="1" type="noConversion"/>
  </si>
  <si>
    <t>聯合再生</t>
    <phoneticPr fontId="1" type="noConversion"/>
  </si>
  <si>
    <t>太陽能4大模組</t>
    <phoneticPr fontId="1" type="noConversion"/>
  </si>
  <si>
    <t>12.2</t>
    <phoneticPr fontId="1" type="noConversion"/>
  </si>
  <si>
    <t>艾笛森</t>
    <phoneticPr fontId="1" type="noConversion"/>
  </si>
  <si>
    <t>LED產品</t>
    <phoneticPr fontId="1" type="noConversion"/>
  </si>
  <si>
    <t>安可</t>
    <phoneticPr fontId="1" type="noConversion"/>
  </si>
  <si>
    <t>導電玻璃錸德轉投資</t>
    <phoneticPr fontId="1" type="noConversion"/>
  </si>
  <si>
    <t>洋華</t>
    <phoneticPr fontId="1" type="noConversion"/>
  </si>
  <si>
    <t>觸控面板健身器材</t>
    <phoneticPr fontId="1" type="noConversion"/>
  </si>
  <si>
    <t>富晶通</t>
    <phoneticPr fontId="1" type="noConversion"/>
  </si>
  <si>
    <t>觸控面板中環與富士通合資</t>
    <phoneticPr fontId="1" type="noConversion"/>
  </si>
  <si>
    <t>18.4</t>
    <phoneticPr fontId="1" type="noConversion"/>
  </si>
  <si>
    <t>新钜科</t>
    <phoneticPr fontId="1" type="noConversion"/>
  </si>
  <si>
    <t>感測鏡頭</t>
    <phoneticPr fontId="1" type="noConversion"/>
  </si>
  <si>
    <t>5.87</t>
    <phoneticPr fontId="1" type="noConversion"/>
  </si>
  <si>
    <t>光學膜/菱鏡片光群雷轉投資</t>
    <phoneticPr fontId="1" type="noConversion"/>
  </si>
  <si>
    <t>9.29</t>
    <phoneticPr fontId="1" type="noConversion"/>
  </si>
  <si>
    <t>圓展</t>
    <phoneticPr fontId="1" type="noConversion"/>
  </si>
  <si>
    <t>攝影機圓剛轉投資</t>
    <phoneticPr fontId="1" type="noConversion"/>
  </si>
  <si>
    <t>40.6</t>
    <phoneticPr fontId="1" type="noConversion"/>
  </si>
  <si>
    <t>TPK-KY</t>
    <phoneticPr fontId="1" type="noConversion"/>
  </si>
  <si>
    <t>觸控模組</t>
    <phoneticPr fontId="1" type="noConversion"/>
  </si>
  <si>
    <t>8.00</t>
    <phoneticPr fontId="1" type="noConversion"/>
  </si>
  <si>
    <t>元創精密</t>
    <phoneticPr fontId="1" type="noConversion"/>
  </si>
  <si>
    <t>車用導光板</t>
    <phoneticPr fontId="1" type="noConversion"/>
  </si>
  <si>
    <t>6.59</t>
    <phoneticPr fontId="1" type="noConversion"/>
  </si>
  <si>
    <t>碩禾</t>
    <phoneticPr fontId="1" type="noConversion"/>
  </si>
  <si>
    <t>太陽能導電漿國碩旗下</t>
    <phoneticPr fontId="1" type="noConversion"/>
  </si>
  <si>
    <t>7.81</t>
    <phoneticPr fontId="1" type="noConversion"/>
  </si>
  <si>
    <t>新晶投控</t>
    <phoneticPr fontId="1" type="noConversion"/>
  </si>
  <si>
    <t>太陽能控股持股頂晶科</t>
    <phoneticPr fontId="1" type="noConversion"/>
  </si>
  <si>
    <t>68.5</t>
    <phoneticPr fontId="1" type="noConversion"/>
  </si>
  <si>
    <t>富采投控</t>
    <phoneticPr fontId="1" type="noConversion"/>
  </si>
  <si>
    <t>10.2</t>
    <phoneticPr fontId="1" type="noConversion"/>
  </si>
  <si>
    <t>熒茂</t>
    <phoneticPr fontId="1" type="noConversion"/>
  </si>
  <si>
    <t>觸控面板強茂轉投資</t>
    <phoneticPr fontId="1" type="noConversion"/>
  </si>
  <si>
    <t>友輝</t>
    <phoneticPr fontId="1" type="noConversion"/>
  </si>
  <si>
    <t>光學膜新纖轉投資</t>
    <phoneticPr fontId="1" type="noConversion"/>
  </si>
  <si>
    <t>22.5</t>
    <phoneticPr fontId="1" type="noConversion"/>
  </si>
  <si>
    <t>太極</t>
    <phoneticPr fontId="1" type="noConversion"/>
  </si>
  <si>
    <t>茂林KY</t>
    <phoneticPr fontId="1" type="noConversion"/>
  </si>
  <si>
    <t>14.2</t>
    <phoneticPr fontId="1" type="noConversion"/>
  </si>
  <si>
    <t>嘉彰</t>
    <phoneticPr fontId="1" type="noConversion"/>
  </si>
  <si>
    <t>8.71</t>
    <phoneticPr fontId="1" type="noConversion"/>
  </si>
  <si>
    <t>兆遠</t>
    <phoneticPr fontId="1" type="noConversion"/>
  </si>
  <si>
    <t>LED藍寶石基板</t>
    <phoneticPr fontId="1" type="noConversion"/>
  </si>
  <si>
    <t>10.0</t>
    <phoneticPr fontId="1" type="noConversion"/>
  </si>
  <si>
    <t>光鋐</t>
    <phoneticPr fontId="1" type="noConversion"/>
  </si>
  <si>
    <t>LED磊晶可成轉投資</t>
    <phoneticPr fontId="1" type="noConversion"/>
  </si>
  <si>
    <t>66.5</t>
    <phoneticPr fontId="1" type="noConversion"/>
  </si>
  <si>
    <t>誠美材</t>
    <phoneticPr fontId="1" type="noConversion"/>
  </si>
  <si>
    <t>湯石照明</t>
    <phoneticPr fontId="1" type="noConversion"/>
  </si>
  <si>
    <t>LED燈具</t>
    <phoneticPr fontId="1" type="noConversion"/>
  </si>
  <si>
    <t>13.8</t>
    <phoneticPr fontId="1" type="noConversion"/>
  </si>
  <si>
    <t>佳凌</t>
    <phoneticPr fontId="1" type="noConversion"/>
  </si>
  <si>
    <t>4.18</t>
    <phoneticPr fontId="1" type="noConversion"/>
  </si>
  <si>
    <t>晶達</t>
    <phoneticPr fontId="1" type="noConversion"/>
  </si>
  <si>
    <t>面板</t>
    <phoneticPr fontId="1" type="noConversion"/>
  </si>
  <si>
    <t>3.97</t>
    <phoneticPr fontId="1" type="noConversion"/>
  </si>
  <si>
    <t>萬達光電</t>
    <phoneticPr fontId="1" type="noConversion"/>
  </si>
  <si>
    <t>萬達光</t>
    <phoneticPr fontId="1" type="noConversion"/>
  </si>
  <si>
    <t>觸控面板</t>
    <phoneticPr fontId="1" type="noConversion"/>
  </si>
  <si>
    <t>4.70</t>
    <phoneticPr fontId="1" type="noConversion"/>
  </si>
  <si>
    <t>雷笛克</t>
    <phoneticPr fontId="1" type="noConversion"/>
  </si>
  <si>
    <t>LED透鏡</t>
    <phoneticPr fontId="1" type="noConversion"/>
  </si>
  <si>
    <t>達興材料</t>
    <phoneticPr fontId="1" type="noConversion"/>
  </si>
  <si>
    <t>化學材料友達大股東</t>
    <phoneticPr fontId="1" type="noConversion"/>
  </si>
  <si>
    <t>16.8</t>
    <phoneticPr fontId="1" type="noConversion"/>
  </si>
  <si>
    <t>乙盛KY</t>
    <phoneticPr fontId="1" type="noConversion"/>
  </si>
  <si>
    <t>模具鴻海旗下</t>
    <phoneticPr fontId="1" type="noConversion"/>
  </si>
  <si>
    <t>智晶</t>
    <phoneticPr fontId="1" type="noConversion"/>
  </si>
  <si>
    <t>PMOLED</t>
    <phoneticPr fontId="1" type="noConversion"/>
  </si>
  <si>
    <t>3.54</t>
    <phoneticPr fontId="1" type="noConversion"/>
  </si>
  <si>
    <t>天鉞電</t>
    <phoneticPr fontId="1" type="noConversion"/>
  </si>
  <si>
    <t>大峽谷KY</t>
    <phoneticPr fontId="1" type="noConversion"/>
  </si>
  <si>
    <t>光聯</t>
    <phoneticPr fontId="1" type="noConversion"/>
  </si>
  <si>
    <t>39.1</t>
    <phoneticPr fontId="1" type="noConversion"/>
  </si>
  <si>
    <t>中光電</t>
    <phoneticPr fontId="1" type="noConversion"/>
  </si>
  <si>
    <t>17.0</t>
    <phoneticPr fontId="1" type="noConversion"/>
  </si>
  <si>
    <t>應華</t>
    <phoneticPr fontId="1" type="noConversion"/>
  </si>
  <si>
    <t>機殼佳能轉投資</t>
    <phoneticPr fontId="1" type="noConversion"/>
  </si>
  <si>
    <t>達威</t>
    <phoneticPr fontId="1" type="noConversion"/>
  </si>
  <si>
    <t>均豪</t>
    <phoneticPr fontId="1" type="noConversion"/>
  </si>
  <si>
    <t>6.81</t>
    <phoneticPr fontId="1" type="noConversion"/>
  </si>
  <si>
    <t>慧友</t>
    <phoneticPr fontId="1" type="noConversion"/>
  </si>
  <si>
    <t>DVR</t>
    <phoneticPr fontId="1" type="noConversion"/>
  </si>
  <si>
    <t>317</t>
    <phoneticPr fontId="1" type="noConversion"/>
  </si>
  <si>
    <t>彩晶</t>
    <phoneticPr fontId="1" type="noConversion"/>
  </si>
  <si>
    <t>觸控面板華新旗下</t>
    <phoneticPr fontId="1" type="noConversion"/>
  </si>
  <si>
    <t>達運</t>
    <phoneticPr fontId="1" type="noConversion"/>
  </si>
  <si>
    <t>背光模組友達旗下</t>
    <phoneticPr fontId="1" type="noConversion"/>
  </si>
  <si>
    <t>24.9</t>
    <phoneticPr fontId="1" type="noConversion"/>
  </si>
  <si>
    <t>廣運</t>
    <phoneticPr fontId="1" type="noConversion"/>
  </si>
  <si>
    <t>華興</t>
    <phoneticPr fontId="1" type="noConversion"/>
  </si>
  <si>
    <t>LED照明元件和模組廠</t>
    <phoneticPr fontId="1" type="noConversion"/>
  </si>
  <si>
    <t>久正</t>
    <phoneticPr fontId="1" type="noConversion"/>
  </si>
  <si>
    <t>宏齊</t>
    <phoneticPr fontId="1" type="noConversion"/>
  </si>
  <si>
    <t>46.5</t>
    <phoneticPr fontId="1" type="noConversion"/>
  </si>
  <si>
    <t>瑞儀</t>
    <phoneticPr fontId="1" type="noConversion"/>
  </si>
  <si>
    <t>今國光</t>
    <phoneticPr fontId="1" type="noConversion"/>
  </si>
  <si>
    <t>4.06</t>
    <phoneticPr fontId="1" type="noConversion"/>
  </si>
  <si>
    <t>上揚</t>
    <phoneticPr fontId="1" type="noConversion"/>
  </si>
  <si>
    <t>12.7</t>
    <phoneticPr fontId="1" type="noConversion"/>
  </si>
  <si>
    <t>天瀚</t>
    <phoneticPr fontId="1" type="noConversion"/>
  </si>
  <si>
    <t>DSC和DV</t>
    <phoneticPr fontId="1" type="noConversion"/>
  </si>
  <si>
    <t>11.5</t>
    <phoneticPr fontId="1" type="noConversion"/>
  </si>
  <si>
    <t>光鼎</t>
    <phoneticPr fontId="1" type="noConversion"/>
  </si>
  <si>
    <t>高僑</t>
    <phoneticPr fontId="1" type="noConversion"/>
  </si>
  <si>
    <t>35.5</t>
    <phoneticPr fontId="1" type="noConversion"/>
  </si>
  <si>
    <t>茂迪</t>
    <phoneticPr fontId="1" type="noConversion"/>
  </si>
  <si>
    <t>3.08</t>
    <phoneticPr fontId="1" type="noConversion"/>
  </si>
  <si>
    <t>臺龍</t>
    <phoneticPr fontId="1" type="noConversion"/>
  </si>
  <si>
    <t>29.2</t>
    <phoneticPr fontId="1" type="noConversion"/>
  </si>
  <si>
    <t>台表科</t>
    <phoneticPr fontId="1" type="noConversion"/>
  </si>
  <si>
    <t>SMT代工</t>
    <phoneticPr fontId="1" type="noConversion"/>
  </si>
  <si>
    <t>10.4</t>
    <phoneticPr fontId="1" type="noConversion"/>
  </si>
  <si>
    <t>華上</t>
    <phoneticPr fontId="1" type="noConversion"/>
  </si>
  <si>
    <t>LED晶粒磊晶片</t>
    <phoneticPr fontId="1" type="noConversion"/>
  </si>
  <si>
    <t>6.58</t>
    <phoneticPr fontId="1" type="noConversion"/>
  </si>
  <si>
    <t>悅城</t>
    <phoneticPr fontId="1" type="noConversion"/>
  </si>
  <si>
    <t>1.32</t>
    <phoneticPr fontId="1" type="noConversion"/>
  </si>
  <si>
    <t>京晨科</t>
    <phoneticPr fontId="1" type="noConversion"/>
  </si>
  <si>
    <t>5.04</t>
    <phoneticPr fontId="1" type="noConversion"/>
  </si>
  <si>
    <t>光麗KY</t>
    <phoneticPr fontId="1" type="noConversion"/>
  </si>
  <si>
    <t>44.5</t>
    <phoneticPr fontId="1" type="noConversion"/>
  </si>
  <si>
    <t>元晶</t>
    <phoneticPr fontId="1" type="noConversion"/>
  </si>
  <si>
    <t>太陽能4大模組遠雄轉投資</t>
    <phoneticPr fontId="1" type="noConversion"/>
  </si>
  <si>
    <t>33.7</t>
    <phoneticPr fontId="1" type="noConversion"/>
  </si>
  <si>
    <t>GIS-KY</t>
    <phoneticPr fontId="1" type="noConversion"/>
  </si>
  <si>
    <t>觸控模組鴻海旗下</t>
    <phoneticPr fontId="1" type="noConversion"/>
  </si>
  <si>
    <t>2.88</t>
    <phoneticPr fontId="1" type="noConversion"/>
  </si>
  <si>
    <t>勝品</t>
    <phoneticPr fontId="1" type="noConversion"/>
  </si>
  <si>
    <t>監控崇越電通旗下</t>
    <phoneticPr fontId="1" type="noConversion"/>
  </si>
  <si>
    <t>1.75</t>
    <phoneticPr fontId="1" type="noConversion"/>
  </si>
  <si>
    <t>欣普羅</t>
    <phoneticPr fontId="1" type="noConversion"/>
  </si>
  <si>
    <t>7.83</t>
    <phoneticPr fontId="1" type="noConversion"/>
  </si>
  <si>
    <t>中揚光</t>
    <phoneticPr fontId="1" type="noConversion"/>
  </si>
  <si>
    <t>2.37</t>
    <phoneticPr fontId="1" type="noConversion"/>
  </si>
  <si>
    <t>邑錡</t>
    <phoneticPr fontId="1" type="noConversion"/>
  </si>
  <si>
    <t>縮時攝影機</t>
    <phoneticPr fontId="1" type="noConversion"/>
  </si>
  <si>
    <t>晶采</t>
    <phoneticPr fontId="1" type="noConversion"/>
  </si>
  <si>
    <t>液晶模組</t>
    <phoneticPr fontId="1" type="noConversion"/>
  </si>
  <si>
    <t>16.4</t>
    <phoneticPr fontId="1" type="noConversion"/>
  </si>
  <si>
    <t>東捷</t>
    <phoneticPr fontId="1" type="noConversion"/>
  </si>
  <si>
    <t>設備鴻海旗下群創轉投資</t>
    <phoneticPr fontId="1" type="noConversion"/>
  </si>
  <si>
    <t>114</t>
    <phoneticPr fontId="1" type="noConversion"/>
  </si>
  <si>
    <t>元太</t>
    <phoneticPr fontId="1" type="noConversion"/>
  </si>
  <si>
    <t>電子紙永豐餘旗下</t>
    <phoneticPr fontId="1" type="noConversion"/>
  </si>
  <si>
    <t>華鎂鑫</t>
    <phoneticPr fontId="1" type="noConversion"/>
  </si>
  <si>
    <t>碟片預錄</t>
    <phoneticPr fontId="1" type="noConversion"/>
  </si>
  <si>
    <t>6.80</t>
    <phoneticPr fontId="1" type="noConversion"/>
  </si>
  <si>
    <t>錸寶</t>
    <phoneticPr fontId="1" type="noConversion"/>
  </si>
  <si>
    <t>PMOLED錸德轉投資</t>
    <phoneticPr fontId="1" type="noConversion"/>
  </si>
  <si>
    <t>44.1</t>
    <phoneticPr fontId="1" type="noConversion"/>
  </si>
  <si>
    <t>淩巨</t>
    <phoneticPr fontId="1" type="noConversion"/>
  </si>
  <si>
    <t>顯示模組華映旗下</t>
    <phoneticPr fontId="1" type="noConversion"/>
  </si>
  <si>
    <t>10.9</t>
    <phoneticPr fontId="1" type="noConversion"/>
  </si>
  <si>
    <t>立碁</t>
    <phoneticPr fontId="1" type="noConversion"/>
  </si>
  <si>
    <t>LED元件</t>
    <phoneticPr fontId="1" type="noConversion"/>
  </si>
  <si>
    <t>32.0</t>
    <phoneticPr fontId="1" type="noConversion"/>
  </si>
  <si>
    <t>明基材</t>
    <phoneticPr fontId="1" type="noConversion"/>
  </si>
  <si>
    <t>華宏</t>
    <phoneticPr fontId="1" type="noConversion"/>
  </si>
  <si>
    <t>光學膜片</t>
    <phoneticPr fontId="1" type="noConversion"/>
  </si>
  <si>
    <t>通信</t>
    <phoneticPr fontId="1" type="noConversion"/>
  </si>
  <si>
    <t>台揚</t>
    <phoneticPr fontId="1" type="noConversion"/>
  </si>
  <si>
    <t>衛星鴻海轉投資</t>
    <phoneticPr fontId="1" type="noConversion"/>
  </si>
  <si>
    <t>4.46</t>
    <phoneticPr fontId="1" type="noConversion"/>
  </si>
  <si>
    <t>東訊</t>
    <phoneticPr fontId="1" type="noConversion"/>
  </si>
  <si>
    <t>通訊設備東元轉投資</t>
    <phoneticPr fontId="1" type="noConversion"/>
  </si>
  <si>
    <t>65.2</t>
    <phoneticPr fontId="1" type="noConversion"/>
  </si>
  <si>
    <t>友訊</t>
    <phoneticPr fontId="1" type="noConversion"/>
  </si>
  <si>
    <t>網通設備</t>
    <phoneticPr fontId="1" type="noConversion"/>
  </si>
  <si>
    <t>55.9</t>
    <phoneticPr fontId="1" type="noConversion"/>
  </si>
  <si>
    <t>智邦</t>
    <phoneticPr fontId="1" type="noConversion"/>
  </si>
  <si>
    <t>網絡交換器</t>
    <phoneticPr fontId="1" type="noConversion"/>
  </si>
  <si>
    <t>775</t>
    <phoneticPr fontId="1" type="noConversion"/>
  </si>
  <si>
    <t>中華電</t>
    <phoneticPr fontId="1" type="noConversion"/>
  </si>
  <si>
    <t>電信</t>
    <phoneticPr fontId="1" type="noConversion"/>
  </si>
  <si>
    <t>32.9</t>
    <phoneticPr fontId="1" type="noConversion"/>
  </si>
  <si>
    <t>仲琦</t>
    <phoneticPr fontId="1" type="noConversion"/>
  </si>
  <si>
    <t>Cable CPE</t>
    <phoneticPr fontId="1" type="noConversion"/>
  </si>
  <si>
    <t>21.7</t>
    <phoneticPr fontId="1" type="noConversion"/>
  </si>
  <si>
    <t>美律</t>
    <phoneticPr fontId="1" type="noConversion"/>
  </si>
  <si>
    <t>10.5</t>
    <phoneticPr fontId="1" type="noConversion"/>
  </si>
  <si>
    <t>兆勁</t>
    <phoneticPr fontId="1" type="noConversion"/>
  </si>
  <si>
    <t>通路代理中華電信轉投資</t>
    <phoneticPr fontId="1" type="noConversion"/>
  </si>
  <si>
    <t>25.8</t>
    <phoneticPr fontId="1" type="noConversion"/>
  </si>
  <si>
    <t>神腦</t>
    <phoneticPr fontId="1" type="noConversion"/>
  </si>
  <si>
    <t>通路代理</t>
    <phoneticPr fontId="1" type="noConversion"/>
  </si>
  <si>
    <t>全新</t>
    <phoneticPr fontId="1" type="noConversion"/>
  </si>
  <si>
    <t>31.7</t>
    <phoneticPr fontId="1" type="noConversion"/>
  </si>
  <si>
    <t>兆赫</t>
    <phoneticPr fontId="1" type="noConversion"/>
  </si>
  <si>
    <t>機上盒LNB</t>
    <phoneticPr fontId="1" type="noConversion"/>
  </si>
  <si>
    <t>HTC威盛旗下</t>
    <phoneticPr fontId="1" type="noConversion"/>
  </si>
  <si>
    <t>星通</t>
    <phoneticPr fontId="1" type="noConversion"/>
  </si>
  <si>
    <t>電信局設備</t>
    <phoneticPr fontId="1" type="noConversion"/>
  </si>
  <si>
    <t>9.89</t>
    <phoneticPr fontId="1" type="noConversion"/>
  </si>
  <si>
    <t>盛達</t>
    <phoneticPr fontId="1" type="noConversion"/>
  </si>
  <si>
    <t>通訊設備</t>
    <phoneticPr fontId="1" type="noConversion"/>
  </si>
  <si>
    <t>351</t>
    <phoneticPr fontId="1" type="noConversion"/>
  </si>
  <si>
    <t>台灣大</t>
    <phoneticPr fontId="1" type="noConversion"/>
  </si>
  <si>
    <t>電信富邦旗下</t>
    <phoneticPr fontId="1" type="noConversion"/>
  </si>
  <si>
    <t>訊舟</t>
    <phoneticPr fontId="1" type="noConversion"/>
  </si>
  <si>
    <t>32.8</t>
    <phoneticPr fontId="1" type="noConversion"/>
  </si>
  <si>
    <t>建漢</t>
    <phoneticPr fontId="1" type="noConversion"/>
  </si>
  <si>
    <t>無線設備鴻海旗下</t>
    <phoneticPr fontId="1" type="noConversion"/>
  </si>
  <si>
    <t>9.14</t>
    <phoneticPr fontId="1" type="noConversion"/>
  </si>
  <si>
    <t>聯亞</t>
    <phoneticPr fontId="1" type="noConversion"/>
  </si>
  <si>
    <t>磊晶片光通訊</t>
    <phoneticPr fontId="1" type="noConversion"/>
  </si>
  <si>
    <t>及成</t>
    <phoneticPr fontId="1" type="noConversion"/>
  </si>
  <si>
    <t>4.66</t>
    <phoneticPr fontId="1" type="noConversion"/>
  </si>
  <si>
    <t>耀登</t>
    <phoneticPr fontId="1" type="noConversion"/>
  </si>
  <si>
    <t>天線</t>
    <phoneticPr fontId="1" type="noConversion"/>
  </si>
  <si>
    <t>6.90</t>
    <phoneticPr fontId="1" type="noConversion"/>
  </si>
  <si>
    <t>璟德</t>
    <phoneticPr fontId="1" type="noConversion"/>
  </si>
  <si>
    <t>高頻被動元件</t>
    <phoneticPr fontId="1" type="noConversion"/>
  </si>
  <si>
    <t>7.53</t>
    <phoneticPr fontId="1" type="noConversion"/>
  </si>
  <si>
    <t>波若威</t>
    <phoneticPr fontId="1" type="noConversion"/>
  </si>
  <si>
    <t>光通訊器件</t>
    <phoneticPr fontId="1" type="noConversion"/>
  </si>
  <si>
    <t>台嘉碩</t>
    <phoneticPr fontId="1" type="noConversion"/>
  </si>
  <si>
    <t>濾波器石英元件</t>
    <phoneticPr fontId="1" type="noConversion"/>
  </si>
  <si>
    <t>7.65</t>
    <phoneticPr fontId="1" type="noConversion"/>
  </si>
  <si>
    <t>光環</t>
    <phoneticPr fontId="1" type="noConversion"/>
  </si>
  <si>
    <t>光收發模組</t>
    <phoneticPr fontId="1" type="noConversion"/>
  </si>
  <si>
    <t>鼎天</t>
    <phoneticPr fontId="1" type="noConversion"/>
  </si>
  <si>
    <t>GPS廣達轉投資</t>
    <phoneticPr fontId="1" type="noConversion"/>
  </si>
  <si>
    <t>6.00</t>
    <phoneticPr fontId="1" type="noConversion"/>
  </si>
  <si>
    <t>閎暉</t>
    <phoneticPr fontId="1" type="noConversion"/>
  </si>
  <si>
    <t>手機按鍵華新旗下</t>
    <phoneticPr fontId="1" type="noConversion"/>
  </si>
  <si>
    <t>上詮</t>
    <phoneticPr fontId="1" type="noConversion"/>
  </si>
  <si>
    <t>光纖被動元件</t>
    <phoneticPr fontId="1" type="noConversion"/>
  </si>
  <si>
    <t>54.1</t>
    <phoneticPr fontId="1" type="noConversion"/>
  </si>
  <si>
    <t>明泰</t>
    <phoneticPr fontId="1" type="noConversion"/>
  </si>
  <si>
    <t>譁裕</t>
    <phoneticPr fontId="1" type="noConversion"/>
  </si>
  <si>
    <t>致振</t>
    <phoneticPr fontId="1" type="noConversion"/>
  </si>
  <si>
    <t>機上盒</t>
    <phoneticPr fontId="1" type="noConversion"/>
  </si>
  <si>
    <t>昇達科</t>
    <phoneticPr fontId="1" type="noConversion"/>
  </si>
  <si>
    <t>微波通訊</t>
    <phoneticPr fontId="1" type="noConversion"/>
  </si>
  <si>
    <t>環天科</t>
    <phoneticPr fontId="1" type="noConversion"/>
  </si>
  <si>
    <t>GPS</t>
    <phoneticPr fontId="1" type="noConversion"/>
  </si>
  <si>
    <t>4.91</t>
    <phoneticPr fontId="1" type="noConversion"/>
  </si>
  <si>
    <t>神準</t>
    <phoneticPr fontId="1" type="noConversion"/>
  </si>
  <si>
    <t>網路神腦投資</t>
    <phoneticPr fontId="1" type="noConversion"/>
  </si>
  <si>
    <t>5.91</t>
    <phoneticPr fontId="1" type="noConversion"/>
  </si>
  <si>
    <t>其陽</t>
    <phoneticPr fontId="1" type="noConversion"/>
  </si>
  <si>
    <t>智易</t>
    <phoneticPr fontId="1" type="noConversion"/>
  </si>
  <si>
    <t>網通設備仁寶轉投資</t>
    <phoneticPr fontId="1" type="noConversion"/>
  </si>
  <si>
    <t>4.09</t>
    <phoneticPr fontId="1" type="noConversion"/>
  </si>
  <si>
    <t>研勤</t>
    <phoneticPr fontId="1" type="noConversion"/>
  </si>
  <si>
    <t>導航軟體</t>
    <phoneticPr fontId="1" type="noConversion"/>
  </si>
  <si>
    <t>5.11</t>
    <phoneticPr fontId="1" type="noConversion"/>
  </si>
  <si>
    <t>安瑞KY</t>
    <phoneticPr fontId="1" type="noConversion"/>
  </si>
  <si>
    <t>雲端ADC</t>
    <phoneticPr fontId="1" type="noConversion"/>
  </si>
  <si>
    <t>3.23</t>
    <phoneticPr fontId="1" type="noConversion"/>
  </si>
  <si>
    <t>康聯訊</t>
    <phoneticPr fontId="1" type="noConversion"/>
  </si>
  <si>
    <t>光纖</t>
    <phoneticPr fontId="1" type="noConversion"/>
  </si>
  <si>
    <t>381</t>
    <phoneticPr fontId="1" type="noConversion"/>
  </si>
  <si>
    <t>亞太電</t>
    <phoneticPr fontId="1" type="noConversion"/>
  </si>
  <si>
    <t>電信鴻海旗下</t>
    <phoneticPr fontId="1" type="noConversion"/>
  </si>
  <si>
    <t>2.46</t>
    <phoneticPr fontId="1" type="noConversion"/>
  </si>
  <si>
    <t>榮昌</t>
    <phoneticPr fontId="1" type="noConversion"/>
  </si>
  <si>
    <t>15.0</t>
    <phoneticPr fontId="1" type="noConversion"/>
  </si>
  <si>
    <t>海華</t>
    <phoneticPr fontId="1" type="noConversion"/>
  </si>
  <si>
    <t>無線網絡華碩旗下</t>
    <phoneticPr fontId="1" type="noConversion"/>
  </si>
  <si>
    <t>44.8</t>
    <phoneticPr fontId="1" type="noConversion"/>
  </si>
  <si>
    <t>合勤控</t>
    <phoneticPr fontId="1" type="noConversion"/>
  </si>
  <si>
    <t>9.03</t>
    <phoneticPr fontId="1" type="noConversion"/>
  </si>
  <si>
    <t>聯光通</t>
    <phoneticPr fontId="1" type="noConversion"/>
  </si>
  <si>
    <t>光通訊</t>
    <phoneticPr fontId="1" type="noConversion"/>
  </si>
  <si>
    <t>325</t>
    <phoneticPr fontId="1" type="noConversion"/>
  </si>
  <si>
    <t>遠傳</t>
    <phoneticPr fontId="1" type="noConversion"/>
  </si>
  <si>
    <t>電信遠東旗下</t>
    <phoneticPr fontId="1" type="noConversion"/>
  </si>
  <si>
    <t>36.6</t>
    <phoneticPr fontId="1" type="noConversion"/>
  </si>
  <si>
    <t>正文</t>
    <phoneticPr fontId="1" type="noConversion"/>
  </si>
  <si>
    <t>區域網路</t>
    <phoneticPr fontId="1" type="noConversion"/>
  </si>
  <si>
    <t>7.82</t>
    <phoneticPr fontId="1" type="noConversion"/>
  </si>
  <si>
    <t>前鼎</t>
    <phoneticPr fontId="1" type="noConversion"/>
  </si>
  <si>
    <t>9.34</t>
    <phoneticPr fontId="1" type="noConversion"/>
  </si>
  <si>
    <t>新復興</t>
    <phoneticPr fontId="1" type="noConversion"/>
  </si>
  <si>
    <t>衛星降頻器</t>
    <phoneticPr fontId="1" type="noConversion"/>
  </si>
  <si>
    <t>6.87</t>
    <phoneticPr fontId="1" type="noConversion"/>
  </si>
  <si>
    <t>眾達KY</t>
    <phoneticPr fontId="1" type="noConversion"/>
  </si>
  <si>
    <t>華星光</t>
    <phoneticPr fontId="1" type="noConversion"/>
  </si>
  <si>
    <t>2.60</t>
    <phoneticPr fontId="1" type="noConversion"/>
  </si>
  <si>
    <t>系通</t>
    <phoneticPr fontId="1" type="noConversion"/>
  </si>
  <si>
    <t>7.50</t>
    <phoneticPr fontId="1" type="noConversion"/>
  </si>
  <si>
    <t>台林</t>
    <phoneticPr fontId="1" type="noConversion"/>
  </si>
  <si>
    <t>25.1</t>
    <phoneticPr fontId="1" type="noConversion"/>
  </si>
  <si>
    <t>中磊</t>
    <phoneticPr fontId="1" type="noConversion"/>
  </si>
  <si>
    <t>5.94</t>
    <phoneticPr fontId="1" type="noConversion"/>
  </si>
  <si>
    <t>亞元</t>
    <phoneticPr fontId="1" type="noConversion"/>
  </si>
  <si>
    <t>富爾特</t>
    <phoneticPr fontId="1" type="noConversion"/>
  </si>
  <si>
    <t>訂票服務</t>
    <phoneticPr fontId="1" type="noConversion"/>
  </si>
  <si>
    <t>39.0</t>
    <phoneticPr fontId="1" type="noConversion"/>
  </si>
  <si>
    <t>友勁</t>
    <phoneticPr fontId="1" type="noConversion"/>
  </si>
  <si>
    <t>無線產品友訊轉投資虧損減資</t>
    <phoneticPr fontId="1" type="noConversion"/>
  </si>
  <si>
    <t>8.30</t>
    <phoneticPr fontId="1" type="noConversion"/>
  </si>
  <si>
    <t>振曜</t>
    <phoneticPr fontId="1" type="noConversion"/>
  </si>
  <si>
    <t>電子紙同業元太</t>
    <phoneticPr fontId="1" type="noConversion"/>
  </si>
  <si>
    <t>百一</t>
    <phoneticPr fontId="1" type="noConversion"/>
  </si>
  <si>
    <t>STB,LNB,LTE</t>
    <phoneticPr fontId="1" type="noConversion"/>
  </si>
  <si>
    <t>華電網</t>
    <phoneticPr fontId="1" type="noConversion"/>
  </si>
  <si>
    <t>電信系統</t>
    <phoneticPr fontId="1" type="noConversion"/>
  </si>
  <si>
    <t>統振</t>
    <phoneticPr fontId="1" type="noConversion"/>
  </si>
  <si>
    <t>自行車電池</t>
    <phoneticPr fontId="1" type="noConversion"/>
  </si>
  <si>
    <t>14.9</t>
    <phoneticPr fontId="1" type="noConversion"/>
  </si>
  <si>
    <t>萬泰科</t>
    <phoneticPr fontId="1" type="noConversion"/>
  </si>
  <si>
    <t>8.65</t>
    <phoneticPr fontId="1" type="noConversion"/>
  </si>
  <si>
    <t>居易</t>
    <phoneticPr fontId="1" type="noConversion"/>
  </si>
  <si>
    <t>6.43</t>
    <phoneticPr fontId="1" type="noConversion"/>
  </si>
  <si>
    <t>豪勉</t>
    <phoneticPr fontId="1" type="noConversion"/>
  </si>
  <si>
    <t>半導體封測設備</t>
    <phoneticPr fontId="1" type="noConversion"/>
  </si>
  <si>
    <t>3.37</t>
    <phoneticPr fontId="1" type="noConversion"/>
  </si>
  <si>
    <t>易通展</t>
    <phoneticPr fontId="1" type="noConversion"/>
  </si>
  <si>
    <t>立端</t>
    <phoneticPr fontId="1" type="noConversion"/>
  </si>
  <si>
    <t>資安工業電腦</t>
    <phoneticPr fontId="1" type="noConversion"/>
  </si>
  <si>
    <t>6.25</t>
    <phoneticPr fontId="1" type="noConversion"/>
  </si>
  <si>
    <t>普萊德</t>
    <phoneticPr fontId="1" type="noConversion"/>
  </si>
  <si>
    <t>39.7</t>
    <phoneticPr fontId="1" type="noConversion"/>
  </si>
  <si>
    <t>啟碁</t>
    <phoneticPr fontId="1" type="noConversion"/>
  </si>
  <si>
    <t>衛星緯創旗下</t>
    <phoneticPr fontId="1" type="noConversion"/>
  </si>
  <si>
    <t>7.32</t>
    <phoneticPr fontId="1" type="noConversion"/>
  </si>
  <si>
    <t>瑞祺電通</t>
    <phoneticPr fontId="1" type="noConversion"/>
  </si>
  <si>
    <t>資安鴻海樺漢旗下</t>
    <phoneticPr fontId="1" type="noConversion"/>
  </si>
  <si>
    <t>4.23</t>
    <phoneticPr fontId="1" type="noConversion"/>
  </si>
  <si>
    <t>韋僑</t>
    <phoneticPr fontId="1" type="noConversion"/>
  </si>
  <si>
    <t>3.85</t>
    <phoneticPr fontId="1" type="noConversion"/>
  </si>
  <si>
    <t>統新</t>
    <phoneticPr fontId="1" type="noConversion"/>
  </si>
  <si>
    <t>濾光鏡光通訊南寶樹脂旗下</t>
    <phoneticPr fontId="1" type="noConversion"/>
  </si>
  <si>
    <t>6.93</t>
    <phoneticPr fontId="1" type="noConversion"/>
  </si>
  <si>
    <t>光聖</t>
    <phoneticPr fontId="1" type="noConversion"/>
  </si>
  <si>
    <t>3.27</t>
    <phoneticPr fontId="1" type="noConversion"/>
  </si>
  <si>
    <t>宇智</t>
    <phoneticPr fontId="1" type="noConversion"/>
  </si>
  <si>
    <t>網路設備聯電轉投資</t>
    <phoneticPr fontId="1" type="noConversion"/>
  </si>
  <si>
    <t>3.88</t>
    <phoneticPr fontId="1" type="noConversion"/>
  </si>
  <si>
    <t>互動</t>
    <phoneticPr fontId="1" type="noConversion"/>
  </si>
  <si>
    <t>電信系統仲琦旗下</t>
    <phoneticPr fontId="1" type="noConversion"/>
  </si>
  <si>
    <t>芮特KY</t>
    <phoneticPr fontId="1" type="noConversion"/>
  </si>
  <si>
    <t>天線昇達旗下</t>
    <phoneticPr fontId="1" type="noConversion"/>
  </si>
  <si>
    <t>3.38</t>
    <phoneticPr fontId="1" type="noConversion"/>
  </si>
  <si>
    <t>創威</t>
    <phoneticPr fontId="1" type="noConversion"/>
  </si>
  <si>
    <t>7.05</t>
    <phoneticPr fontId="1" type="noConversion"/>
  </si>
  <si>
    <t>是方</t>
    <phoneticPr fontId="1" type="noConversion"/>
  </si>
  <si>
    <t>電信中華電投資</t>
    <phoneticPr fontId="1" type="noConversion"/>
  </si>
  <si>
    <t>2.67</t>
    <phoneticPr fontId="1" type="noConversion"/>
  </si>
  <si>
    <t>東典光電</t>
    <phoneticPr fontId="1" type="noConversion"/>
  </si>
  <si>
    <t>東典</t>
    <phoneticPr fontId="1" type="noConversion"/>
  </si>
  <si>
    <t>6.70</t>
    <phoneticPr fontId="1" type="noConversion"/>
  </si>
  <si>
    <t>鋐寶科技</t>
    <phoneticPr fontId="1" type="noConversion"/>
  </si>
  <si>
    <t>Cable Modem仁寶轉投資</t>
    <phoneticPr fontId="1" type="noConversion"/>
  </si>
  <si>
    <t>4.79</t>
    <phoneticPr fontId="1" type="noConversion"/>
  </si>
  <si>
    <t>詠業</t>
    <phoneticPr fontId="1" type="noConversion"/>
  </si>
  <si>
    <t>14.7</t>
    <phoneticPr fontId="1" type="noConversion"/>
  </si>
  <si>
    <t>台通</t>
    <phoneticPr fontId="1" type="noConversion"/>
  </si>
  <si>
    <t>光纜鴻海轉投資</t>
    <phoneticPr fontId="1" type="noConversion"/>
  </si>
  <si>
    <t>6.29</t>
    <phoneticPr fontId="1" type="noConversion"/>
  </si>
  <si>
    <t>榮群</t>
    <phoneticPr fontId="1" type="noConversion"/>
  </si>
  <si>
    <t>網路設備</t>
    <phoneticPr fontId="1" type="noConversion"/>
  </si>
  <si>
    <t>5.29</t>
    <phoneticPr fontId="1" type="noConversion"/>
  </si>
  <si>
    <t>德勝</t>
    <phoneticPr fontId="1" type="noConversion"/>
  </si>
  <si>
    <t>光纖設備</t>
    <phoneticPr fontId="1" type="noConversion"/>
  </si>
  <si>
    <t>18.8</t>
    <phoneticPr fontId="1" type="noConversion"/>
  </si>
  <si>
    <t>凱碩</t>
    <phoneticPr fontId="1" type="noConversion"/>
  </si>
  <si>
    <t>Cable Modem新金寶轉投資</t>
    <phoneticPr fontId="1" type="noConversion"/>
  </si>
  <si>
    <t>5.73</t>
    <phoneticPr fontId="1" type="noConversion"/>
  </si>
  <si>
    <t>康全電訊</t>
    <phoneticPr fontId="1" type="noConversion"/>
  </si>
  <si>
    <t>3.87</t>
    <phoneticPr fontId="1" type="noConversion"/>
  </si>
  <si>
    <t>常珵</t>
    <phoneticPr fontId="1" type="noConversion"/>
  </si>
  <si>
    <t>20.8</t>
    <phoneticPr fontId="1" type="noConversion"/>
  </si>
  <si>
    <t>華冠</t>
    <phoneticPr fontId="1" type="noConversion"/>
  </si>
  <si>
    <t>手機代工華宇旗下</t>
    <phoneticPr fontId="1" type="noConversion"/>
  </si>
  <si>
    <t>天宇</t>
    <phoneticPr fontId="1" type="noConversion"/>
  </si>
  <si>
    <t>7.25</t>
    <phoneticPr fontId="1" type="noConversion"/>
  </si>
  <si>
    <t>智捷</t>
    <phoneticPr fontId="1" type="noConversion"/>
  </si>
  <si>
    <t>組件</t>
    <phoneticPr fontId="1" type="noConversion"/>
  </si>
  <si>
    <t>7.71</t>
    <phoneticPr fontId="1" type="noConversion"/>
  </si>
  <si>
    <t>台瀚</t>
    <phoneticPr fontId="1" type="noConversion"/>
  </si>
  <si>
    <t>模具宣德大股東</t>
    <phoneticPr fontId="1" type="noConversion"/>
  </si>
  <si>
    <t>首利</t>
    <phoneticPr fontId="1" type="noConversion"/>
  </si>
  <si>
    <t>12.3</t>
    <phoneticPr fontId="1" type="noConversion"/>
  </si>
  <si>
    <t>信錦</t>
    <phoneticPr fontId="1" type="noConversion"/>
  </si>
  <si>
    <t>LCD樞軸</t>
    <phoneticPr fontId="1" type="noConversion"/>
  </si>
  <si>
    <t>4.71</t>
    <phoneticPr fontId="1" type="noConversion"/>
  </si>
  <si>
    <t>川寶</t>
    <phoneticPr fontId="1" type="noConversion"/>
  </si>
  <si>
    <t>PCB曝光機</t>
    <phoneticPr fontId="1" type="noConversion"/>
  </si>
  <si>
    <t>41.7</t>
    <phoneticPr fontId="1" type="noConversion"/>
  </si>
  <si>
    <t>富喬</t>
    <phoneticPr fontId="1" type="noConversion"/>
  </si>
  <si>
    <t>9.53</t>
    <phoneticPr fontId="1" type="noConversion"/>
  </si>
  <si>
    <t>川湖</t>
    <phoneticPr fontId="1" type="noConversion"/>
  </si>
  <si>
    <t>伺服器導軌</t>
    <phoneticPr fontId="1" type="noConversion"/>
  </si>
  <si>
    <t>259</t>
    <phoneticPr fontId="1" type="noConversion"/>
  </si>
  <si>
    <t>台達電</t>
    <phoneticPr fontId="1" type="noConversion"/>
  </si>
  <si>
    <t>電源供應器台達電集團電動車3雄</t>
    <phoneticPr fontId="1" type="noConversion"/>
  </si>
  <si>
    <t>119</t>
    <phoneticPr fontId="1" type="noConversion"/>
  </si>
  <si>
    <t>華通</t>
    <phoneticPr fontId="1" type="noConversion"/>
  </si>
  <si>
    <t>PCB硬板</t>
    <phoneticPr fontId="1" type="noConversion"/>
  </si>
  <si>
    <t>18.2</t>
    <phoneticPr fontId="1" type="noConversion"/>
  </si>
  <si>
    <t>楠梓電</t>
    <phoneticPr fontId="1" type="noConversion"/>
  </si>
  <si>
    <t>PCB轉投資滬電股份深交所掛牌</t>
    <phoneticPr fontId="1" type="noConversion"/>
  </si>
  <si>
    <t>49.5</t>
    <phoneticPr fontId="1" type="noConversion"/>
  </si>
  <si>
    <t>國巨</t>
    <phoneticPr fontId="1" type="noConversion"/>
  </si>
  <si>
    <t>電容電阻國巨集團</t>
    <phoneticPr fontId="1" type="noConversion"/>
  </si>
  <si>
    <t>51.8</t>
    <phoneticPr fontId="1" type="noConversion"/>
  </si>
  <si>
    <t>廣宇</t>
    <phoneticPr fontId="1" type="noConversion"/>
  </si>
  <si>
    <t>連接器鴻海旗下</t>
    <phoneticPr fontId="1" type="noConversion"/>
  </si>
  <si>
    <t>敬鵬</t>
    <phoneticPr fontId="1" type="noConversion"/>
  </si>
  <si>
    <t>車用PCB</t>
    <phoneticPr fontId="1" type="noConversion"/>
  </si>
  <si>
    <t>61.9</t>
    <phoneticPr fontId="1" type="noConversion"/>
  </si>
  <si>
    <t>燿華</t>
    <phoneticPr fontId="1" type="noConversion"/>
  </si>
  <si>
    <t>54.6</t>
    <phoneticPr fontId="1" type="noConversion"/>
  </si>
  <si>
    <t>金像電</t>
    <phoneticPr fontId="1" type="noConversion"/>
  </si>
  <si>
    <t>13.5</t>
    <phoneticPr fontId="1" type="noConversion"/>
  </si>
  <si>
    <t>凱美</t>
    <phoneticPr fontId="1" type="noConversion"/>
  </si>
  <si>
    <t>電容國巨旗下</t>
    <phoneticPr fontId="1" type="noConversion"/>
  </si>
  <si>
    <t>台光電</t>
    <phoneticPr fontId="1" type="noConversion"/>
  </si>
  <si>
    <t>74.5</t>
    <phoneticPr fontId="1" type="noConversion"/>
  </si>
  <si>
    <t>群光</t>
    <phoneticPr fontId="1" type="noConversion"/>
  </si>
  <si>
    <t>鍵盤群光藍天集團</t>
    <phoneticPr fontId="1" type="noConversion"/>
  </si>
  <si>
    <t>51.2</t>
    <phoneticPr fontId="1" type="noConversion"/>
  </si>
  <si>
    <t>正崴</t>
    <phoneticPr fontId="1" type="noConversion"/>
  </si>
  <si>
    <t>連接器正崴集團</t>
    <phoneticPr fontId="1" type="noConversion"/>
  </si>
  <si>
    <t>30.7</t>
    <phoneticPr fontId="1" type="noConversion"/>
  </si>
  <si>
    <t>毅嘉</t>
    <phoneticPr fontId="1" type="noConversion"/>
  </si>
  <si>
    <t>軟板FPC</t>
    <phoneticPr fontId="1" type="noConversion"/>
  </si>
  <si>
    <t>環科</t>
    <phoneticPr fontId="1" type="noConversion"/>
  </si>
  <si>
    <t>錩新</t>
    <phoneticPr fontId="1" type="noConversion"/>
  </si>
  <si>
    <t>揚聲器鍛造</t>
    <phoneticPr fontId="1" type="noConversion"/>
  </si>
  <si>
    <t>15.2</t>
    <phoneticPr fontId="1" type="noConversion"/>
  </si>
  <si>
    <t>新巨</t>
    <phoneticPr fontId="1" type="noConversion"/>
  </si>
  <si>
    <t>25.0</t>
    <phoneticPr fontId="1" type="noConversion"/>
  </si>
  <si>
    <t>建準</t>
    <phoneticPr fontId="1" type="noConversion"/>
  </si>
  <si>
    <t>12.8</t>
    <phoneticPr fontId="1" type="noConversion"/>
  </si>
  <si>
    <t>興勤</t>
    <phoneticPr fontId="1" type="noConversion"/>
  </si>
  <si>
    <t>保護元件3大廠熱敏電阻</t>
    <phoneticPr fontId="1" type="noConversion"/>
  </si>
  <si>
    <t>銘旺科</t>
    <phoneticPr fontId="1" type="noConversion"/>
  </si>
  <si>
    <t>11.0</t>
    <phoneticPr fontId="1" type="noConversion"/>
  </si>
  <si>
    <t>聯昌</t>
    <phoneticPr fontId="1" type="noConversion"/>
  </si>
  <si>
    <t>電源供應器東元轉投資</t>
    <phoneticPr fontId="1" type="noConversion"/>
  </si>
  <si>
    <t>13.9</t>
    <phoneticPr fontId="1" type="noConversion"/>
  </si>
  <si>
    <t>太空梭</t>
    <phoneticPr fontId="1" type="noConversion"/>
  </si>
  <si>
    <t>絞銅線</t>
    <phoneticPr fontId="1" type="noConversion"/>
  </si>
  <si>
    <t>37.5</t>
    <phoneticPr fontId="1" type="noConversion"/>
  </si>
  <si>
    <t>飛宏</t>
    <phoneticPr fontId="1" type="noConversion"/>
  </si>
  <si>
    <t>16.9</t>
    <phoneticPr fontId="1" type="noConversion"/>
  </si>
  <si>
    <t>建通</t>
    <phoneticPr fontId="1" type="noConversion"/>
  </si>
  <si>
    <t>良得電</t>
    <phoneticPr fontId="1" type="noConversion"/>
  </si>
  <si>
    <t>電源線</t>
    <phoneticPr fontId="1" type="noConversion"/>
  </si>
  <si>
    <t>志聖</t>
    <phoneticPr fontId="1" type="noConversion"/>
  </si>
  <si>
    <t>光熱設備</t>
    <phoneticPr fontId="1" type="noConversion"/>
  </si>
  <si>
    <t>15.9</t>
    <phoneticPr fontId="1" type="noConversion"/>
  </si>
  <si>
    <t>立隆電</t>
    <phoneticPr fontId="1" type="noConversion"/>
  </si>
  <si>
    <t>18.7</t>
    <phoneticPr fontId="1" type="noConversion"/>
  </si>
  <si>
    <t>鉅祥</t>
    <phoneticPr fontId="1" type="noConversion"/>
  </si>
  <si>
    <t>大毅</t>
    <phoneticPr fontId="1" type="noConversion"/>
  </si>
  <si>
    <t>晶片電阻</t>
    <phoneticPr fontId="1" type="noConversion"/>
  </si>
  <si>
    <t>百容</t>
    <phoneticPr fontId="1" type="noConversion"/>
  </si>
  <si>
    <t>程式開關</t>
    <phoneticPr fontId="1" type="noConversion"/>
  </si>
  <si>
    <t>希華</t>
    <phoneticPr fontId="1" type="noConversion"/>
  </si>
  <si>
    <t>48.5</t>
    <phoneticPr fontId="1" type="noConversion"/>
  </si>
  <si>
    <t>華新科</t>
    <phoneticPr fontId="1" type="noConversion"/>
  </si>
  <si>
    <t>MLCC華新旗下</t>
    <phoneticPr fontId="1" type="noConversion"/>
  </si>
  <si>
    <t>揚博</t>
    <phoneticPr fontId="1" type="noConversion"/>
  </si>
  <si>
    <t>PCB濕製程</t>
    <phoneticPr fontId="1" type="noConversion"/>
  </si>
  <si>
    <t>15.5</t>
    <phoneticPr fontId="1" type="noConversion"/>
  </si>
  <si>
    <t>健和興</t>
    <phoneticPr fontId="1" type="noConversion"/>
  </si>
  <si>
    <t>端子Tesla</t>
    <phoneticPr fontId="1" type="noConversion"/>
  </si>
  <si>
    <t>今皓</t>
    <phoneticPr fontId="1" type="noConversion"/>
  </si>
  <si>
    <t>全漢</t>
    <phoneticPr fontId="1" type="noConversion"/>
  </si>
  <si>
    <t>9.40</t>
    <phoneticPr fontId="1" type="noConversion"/>
  </si>
  <si>
    <t>鴻名</t>
    <phoneticPr fontId="1" type="noConversion"/>
  </si>
  <si>
    <t>23.2</t>
    <phoneticPr fontId="1" type="noConversion"/>
  </si>
  <si>
    <t>信邦</t>
    <phoneticPr fontId="1" type="noConversion"/>
  </si>
  <si>
    <t>線材連接元件</t>
    <phoneticPr fontId="1" type="noConversion"/>
  </si>
  <si>
    <t>15.8</t>
    <phoneticPr fontId="1" type="noConversion"/>
  </si>
  <si>
    <t>禾伸堂</t>
    <phoneticPr fontId="1" type="noConversion"/>
  </si>
  <si>
    <t>MLCC</t>
    <phoneticPr fontId="1" type="noConversion"/>
  </si>
  <si>
    <t>11.3</t>
    <phoneticPr fontId="1" type="noConversion"/>
  </si>
  <si>
    <t>偉訓</t>
    <phoneticPr fontId="1" type="noConversion"/>
  </si>
  <si>
    <t>PCB4雄聯電旗下</t>
    <phoneticPr fontId="1" type="noConversion"/>
  </si>
  <si>
    <t>30.9</t>
    <phoneticPr fontId="1" type="noConversion"/>
  </si>
  <si>
    <t>晶技</t>
    <phoneticPr fontId="1" type="noConversion"/>
  </si>
  <si>
    <t>52.5</t>
    <phoneticPr fontId="1" type="noConversion"/>
  </si>
  <si>
    <t>健鼎</t>
    <phoneticPr fontId="1" type="noConversion"/>
  </si>
  <si>
    <t>15.86</t>
    <phoneticPr fontId="1" type="noConversion"/>
  </si>
  <si>
    <t>立德</t>
    <phoneticPr fontId="1" type="noConversion"/>
  </si>
  <si>
    <t>充電樁</t>
    <phoneticPr fontId="1" type="noConversion"/>
  </si>
  <si>
    <t>22.7</t>
    <phoneticPr fontId="1" type="noConversion"/>
  </si>
  <si>
    <t>僑威</t>
    <phoneticPr fontId="1" type="noConversion"/>
  </si>
  <si>
    <t>17.8</t>
    <phoneticPr fontId="1" type="noConversion"/>
  </si>
  <si>
    <t>日電貿</t>
    <phoneticPr fontId="1" type="noConversion"/>
  </si>
  <si>
    <t>被動元件代理商</t>
    <phoneticPr fontId="1" type="noConversion"/>
  </si>
  <si>
    <t>9.23</t>
    <phoneticPr fontId="1" type="noConversion"/>
  </si>
  <si>
    <t>鴻碩</t>
    <phoneticPr fontId="1" type="noConversion"/>
  </si>
  <si>
    <t>好得</t>
    <phoneticPr fontId="1" type="noConversion"/>
  </si>
  <si>
    <t>電子零件商</t>
    <phoneticPr fontId="1" type="noConversion"/>
  </si>
  <si>
    <t>4.37</t>
    <phoneticPr fontId="1" type="noConversion"/>
  </si>
  <si>
    <t>寶島極</t>
    <phoneticPr fontId="1" type="noConversion"/>
  </si>
  <si>
    <t>PCB檢測</t>
    <phoneticPr fontId="1" type="noConversion"/>
  </si>
  <si>
    <t>5.72</t>
    <phoneticPr fontId="1" type="noConversion"/>
  </si>
  <si>
    <t>和進</t>
    <phoneticPr fontId="1" type="noConversion"/>
  </si>
  <si>
    <t>變壓器線架</t>
    <phoneticPr fontId="1" type="noConversion"/>
  </si>
  <si>
    <t>11.7</t>
    <phoneticPr fontId="1" type="noConversion"/>
  </si>
  <si>
    <t>樺晟</t>
    <phoneticPr fontId="1" type="noConversion"/>
  </si>
  <si>
    <t>線材離岸風電世紀鋼</t>
    <phoneticPr fontId="1" type="noConversion"/>
  </si>
  <si>
    <t>5.89</t>
    <phoneticPr fontId="1" type="noConversion"/>
  </si>
  <si>
    <t>志豐</t>
    <phoneticPr fontId="1" type="noConversion"/>
  </si>
  <si>
    <t>4.38</t>
    <phoneticPr fontId="1" type="noConversion"/>
  </si>
  <si>
    <t>耀勝</t>
    <phoneticPr fontId="1" type="noConversion"/>
  </si>
  <si>
    <t>電感線圈</t>
    <phoneticPr fontId="1" type="noConversion"/>
  </si>
  <si>
    <t>優群</t>
    <phoneticPr fontId="1" type="noConversion"/>
  </si>
  <si>
    <t>連接器對手嘉澤</t>
    <phoneticPr fontId="1" type="noConversion"/>
  </si>
  <si>
    <t>晟鈦</t>
    <phoneticPr fontId="1" type="noConversion"/>
  </si>
  <si>
    <t>千如</t>
    <phoneticPr fontId="1" type="noConversion"/>
  </si>
  <si>
    <t>6.97</t>
    <phoneticPr fontId="1" type="noConversion"/>
  </si>
  <si>
    <t>宇環</t>
    <phoneticPr fontId="1" type="noConversion"/>
  </si>
  <si>
    <t>軟板志超轉投資</t>
    <phoneticPr fontId="1" type="noConversion"/>
  </si>
  <si>
    <t>點晶</t>
    <phoneticPr fontId="1" type="noConversion"/>
  </si>
  <si>
    <t>馬達驅動IC</t>
    <phoneticPr fontId="1" type="noConversion"/>
  </si>
  <si>
    <t>9.95</t>
    <phoneticPr fontId="1" type="noConversion"/>
  </si>
  <si>
    <t>東浦</t>
    <phoneticPr fontId="1" type="noConversion"/>
  </si>
  <si>
    <t>13.2</t>
    <phoneticPr fontId="1" type="noConversion"/>
  </si>
  <si>
    <t>英濟</t>
    <phoneticPr fontId="1" type="noConversion"/>
  </si>
  <si>
    <t>塑膠零組件</t>
    <phoneticPr fontId="1" type="noConversion"/>
  </si>
  <si>
    <t>9.67</t>
    <phoneticPr fontId="1" type="noConversion"/>
  </si>
  <si>
    <t>勝德</t>
    <phoneticPr fontId="1" type="noConversion"/>
  </si>
  <si>
    <t>電源保護器</t>
    <phoneticPr fontId="1" type="noConversion"/>
  </si>
  <si>
    <t>9.86</t>
    <phoneticPr fontId="1" type="noConversion"/>
  </si>
  <si>
    <t>聯德</t>
    <phoneticPr fontId="1" type="noConversion"/>
  </si>
  <si>
    <t>聯德</t>
    <phoneticPr fontId="1" type="noConversion"/>
  </si>
  <si>
    <t>幸康</t>
    <phoneticPr fontId="1" type="noConversion"/>
  </si>
  <si>
    <t>律勝</t>
    <phoneticPr fontId="1" type="noConversion"/>
  </si>
  <si>
    <t>崇越電</t>
    <phoneticPr fontId="1" type="noConversion"/>
  </si>
  <si>
    <t>旭軟</t>
    <phoneticPr fontId="1" type="noConversion"/>
  </si>
  <si>
    <t>維熹</t>
    <phoneticPr fontId="1" type="noConversion"/>
  </si>
  <si>
    <t>矽瑪</t>
    <phoneticPr fontId="1" type="noConversion"/>
  </si>
  <si>
    <t>嘉澤</t>
    <phoneticPr fontId="1" type="noConversion"/>
  </si>
  <si>
    <t>堡達</t>
    <phoneticPr fontId="1" type="noConversion"/>
  </si>
  <si>
    <t>聯穎</t>
    <phoneticPr fontId="1" type="noConversion"/>
  </si>
  <si>
    <t>力銘</t>
    <phoneticPr fontId="1" type="noConversion"/>
  </si>
  <si>
    <t>東林</t>
    <phoneticPr fontId="1" type="noConversion"/>
  </si>
  <si>
    <t>光頡</t>
    <phoneticPr fontId="1" type="noConversion"/>
  </si>
  <si>
    <t>艾恩特</t>
    <phoneticPr fontId="1" type="noConversion"/>
  </si>
  <si>
    <t>湧德</t>
    <phoneticPr fontId="1" type="noConversion"/>
  </si>
  <si>
    <t>科嶠</t>
    <phoneticPr fontId="1" type="noConversion"/>
  </si>
  <si>
    <t>亞泰</t>
    <phoneticPr fontId="1" type="noConversion"/>
  </si>
  <si>
    <t>鑫禾</t>
    <phoneticPr fontId="1" type="noConversion"/>
  </si>
  <si>
    <t>友銓</t>
    <phoneticPr fontId="1" type="noConversion"/>
  </si>
  <si>
    <t>佳總</t>
    <phoneticPr fontId="1" type="noConversion"/>
  </si>
  <si>
    <t>合正</t>
    <phoneticPr fontId="1" type="noConversion"/>
  </si>
  <si>
    <t>同協</t>
    <phoneticPr fontId="1" type="noConversion"/>
  </si>
  <si>
    <t>競國</t>
    <phoneticPr fontId="1" type="noConversion"/>
  </si>
  <si>
    <t>久威</t>
    <phoneticPr fontId="1" type="noConversion"/>
  </si>
  <si>
    <t>金橋</t>
    <phoneticPr fontId="1" type="noConversion"/>
  </si>
  <si>
    <t>萬旭</t>
    <phoneticPr fontId="1" type="noConversion"/>
  </si>
  <si>
    <t>嘉聯益</t>
    <phoneticPr fontId="1" type="noConversion"/>
  </si>
  <si>
    <t>禾昌</t>
    <phoneticPr fontId="1" type="noConversion"/>
  </si>
  <si>
    <t>立敦</t>
    <phoneticPr fontId="1" type="noConversion"/>
  </si>
  <si>
    <t>艾華</t>
    <phoneticPr fontId="1" type="noConversion"/>
  </si>
  <si>
    <t>日揚</t>
    <phoneticPr fontId="1" type="noConversion"/>
  </si>
  <si>
    <t>岳豐</t>
    <phoneticPr fontId="1" type="noConversion"/>
  </si>
  <si>
    <t>百徽</t>
    <phoneticPr fontId="1" type="noConversion"/>
  </si>
  <si>
    <t>胡連</t>
    <phoneticPr fontId="1" type="noConversion"/>
  </si>
  <si>
    <t>鈺邦</t>
    <phoneticPr fontId="1" type="noConversion"/>
  </si>
  <si>
    <t>台虹</t>
    <phoneticPr fontId="1" type="noConversion"/>
  </si>
  <si>
    <t>金山電</t>
    <phoneticPr fontId="1" type="noConversion"/>
  </si>
  <si>
    <t>蜜望實</t>
    <phoneticPr fontId="1" type="noConversion"/>
  </si>
  <si>
    <t>保銳</t>
    <phoneticPr fontId="1" type="noConversion"/>
  </si>
  <si>
    <t>正凌</t>
    <phoneticPr fontId="1" type="noConversion"/>
  </si>
  <si>
    <t>泰藝</t>
    <phoneticPr fontId="1" type="noConversion"/>
  </si>
  <si>
    <t>大聯大</t>
    <phoneticPr fontId="1" type="noConversion"/>
  </si>
  <si>
    <t>崇越</t>
    <phoneticPr fontId="1" type="noConversion"/>
  </si>
  <si>
    <t>大車隊</t>
    <phoneticPr fontId="1" type="noConversion"/>
  </si>
  <si>
    <t>明揚</t>
    <phoneticPr fontId="1" type="noConversion"/>
  </si>
  <si>
    <t>綠河KY</t>
    <phoneticPr fontId="1" type="noConversion"/>
  </si>
  <si>
    <t>鼎炫KY</t>
    <phoneticPr fontId="1" type="noConversion"/>
  </si>
  <si>
    <t>森钜</t>
    <phoneticPr fontId="1" type="noConversion"/>
  </si>
  <si>
    <t>豐泰</t>
    <phoneticPr fontId="1" type="noConversion"/>
  </si>
  <si>
    <t>巨大</t>
    <phoneticPr fontId="1" type="noConversion"/>
  </si>
  <si>
    <t>新保</t>
    <phoneticPr fontId="1" type="noConversion"/>
  </si>
  <si>
    <t>欣陸</t>
    <phoneticPr fontId="1" type="noConversion"/>
  </si>
  <si>
    <t>力麒</t>
    <phoneticPr fontId="1" type="noConversion"/>
  </si>
  <si>
    <t>裕民</t>
    <phoneticPr fontId="1" type="noConversion"/>
  </si>
  <si>
    <t>長榮航</t>
    <phoneticPr fontId="1" type="noConversion"/>
  </si>
  <si>
    <t>瓦城</t>
    <phoneticPr fontId="1" type="noConversion"/>
  </si>
  <si>
    <t>5.02</t>
    <phoneticPr fontId="1" type="noConversion"/>
  </si>
  <si>
    <t>海灣</t>
    <phoneticPr fontId="1" type="noConversion"/>
  </si>
  <si>
    <t>觀光開發</t>
    <phoneticPr fontId="1" type="noConversion"/>
  </si>
  <si>
    <t>御頂</t>
    <phoneticPr fontId="1" type="noConversion"/>
  </si>
  <si>
    <t>4.53</t>
    <phoneticPr fontId="1" type="noConversion"/>
  </si>
  <si>
    <t>大略KY</t>
    <phoneticPr fontId="1" type="noConversion"/>
  </si>
  <si>
    <t>婚禮服務</t>
    <phoneticPr fontId="1" type="noConversion"/>
  </si>
  <si>
    <t>寶得利</t>
    <phoneticPr fontId="1" type="noConversion"/>
  </si>
  <si>
    <t>2.01</t>
    <phoneticPr fontId="1" type="noConversion"/>
  </si>
  <si>
    <t>力麗店</t>
    <phoneticPr fontId="1" type="noConversion"/>
  </si>
  <si>
    <t>25.3</t>
    <phoneticPr fontId="1" type="noConversion"/>
  </si>
  <si>
    <t>劍湖山</t>
    <phoneticPr fontId="1" type="noConversion"/>
  </si>
  <si>
    <t>遊樂園百貨飯店</t>
    <phoneticPr fontId="1" type="noConversion"/>
  </si>
  <si>
    <t>7.02</t>
    <phoneticPr fontId="1" type="noConversion"/>
  </si>
  <si>
    <t>亞都</t>
    <phoneticPr fontId="1" type="noConversion"/>
  </si>
  <si>
    <t>3.89</t>
    <phoneticPr fontId="1" type="noConversion"/>
  </si>
  <si>
    <t>老爺知</t>
    <phoneticPr fontId="1" type="noConversion"/>
  </si>
  <si>
    <t>6.71</t>
    <phoneticPr fontId="1" type="noConversion"/>
  </si>
  <si>
    <t>鳳凰</t>
    <phoneticPr fontId="1" type="noConversion"/>
  </si>
  <si>
    <t>洛碁</t>
    <phoneticPr fontId="1" type="noConversion"/>
  </si>
  <si>
    <t>7.37</t>
    <phoneticPr fontId="1" type="noConversion"/>
  </si>
  <si>
    <t>柏文</t>
    <phoneticPr fontId="1" type="noConversion"/>
  </si>
  <si>
    <t>健身</t>
    <phoneticPr fontId="1" type="noConversion"/>
  </si>
  <si>
    <t>6.75</t>
    <phoneticPr fontId="1" type="noConversion"/>
  </si>
  <si>
    <t>新天地</t>
    <phoneticPr fontId="1" type="noConversion"/>
  </si>
  <si>
    <t>婚宴</t>
    <phoneticPr fontId="1" type="noConversion"/>
  </si>
  <si>
    <t>好樂迪</t>
    <phoneticPr fontId="1" type="noConversion"/>
  </si>
  <si>
    <t>KTV業</t>
    <phoneticPr fontId="1" type="noConversion"/>
  </si>
  <si>
    <t>金融</t>
    <phoneticPr fontId="1" type="noConversion"/>
  </si>
  <si>
    <t>1038</t>
    <phoneticPr fontId="1" type="noConversion"/>
  </si>
  <si>
    <t>彰銀</t>
    <phoneticPr fontId="1" type="noConversion"/>
  </si>
  <si>
    <t>112</t>
    <phoneticPr fontId="1" type="noConversion"/>
  </si>
  <si>
    <t>京城銀</t>
    <phoneticPr fontId="1" type="noConversion"/>
  </si>
  <si>
    <t>京城建設入主台南</t>
    <phoneticPr fontId="1" type="noConversion"/>
  </si>
  <si>
    <t>台中銀</t>
    <phoneticPr fontId="1" type="noConversion"/>
  </si>
  <si>
    <t>22.3</t>
    <phoneticPr fontId="1" type="noConversion"/>
  </si>
  <si>
    <t>旺旺保</t>
    <phoneticPr fontId="1" type="noConversion"/>
  </si>
  <si>
    <t>產險業第一家上市公司</t>
    <phoneticPr fontId="1" type="noConversion"/>
  </si>
  <si>
    <t>134</t>
    <phoneticPr fontId="1" type="noConversion"/>
  </si>
  <si>
    <t>華票</t>
    <phoneticPr fontId="1" type="noConversion"/>
  </si>
  <si>
    <t>前3大票劵商</t>
    <phoneticPr fontId="1" type="noConversion"/>
  </si>
  <si>
    <t>台產</t>
    <phoneticPr fontId="1" type="noConversion"/>
  </si>
  <si>
    <t>高雄銀</t>
    <phoneticPr fontId="1" type="noConversion"/>
  </si>
  <si>
    <t>聯邦銀</t>
    <phoneticPr fontId="1" type="noConversion"/>
  </si>
  <si>
    <t>安泰銀</t>
    <phoneticPr fontId="1" type="noConversion"/>
  </si>
  <si>
    <t>第一保</t>
    <phoneticPr fontId="1" type="noConversion"/>
  </si>
  <si>
    <t>華南金</t>
    <phoneticPr fontId="1" type="noConversion"/>
  </si>
  <si>
    <t>開發金</t>
    <phoneticPr fontId="1" type="noConversion"/>
  </si>
  <si>
    <t>元大金</t>
    <phoneticPr fontId="1" type="noConversion"/>
  </si>
  <si>
    <t>新光金</t>
    <phoneticPr fontId="1" type="noConversion"/>
  </si>
  <si>
    <t>永豐金</t>
    <phoneticPr fontId="1" type="noConversion"/>
  </si>
  <si>
    <t>中信金</t>
    <phoneticPr fontId="1" type="noConversion"/>
  </si>
  <si>
    <t>日盛金</t>
    <phoneticPr fontId="1" type="noConversion"/>
  </si>
  <si>
    <t>致和證</t>
    <phoneticPr fontId="1" type="noConversion"/>
  </si>
  <si>
    <t>合庫金</t>
    <phoneticPr fontId="1" type="noConversion"/>
  </si>
  <si>
    <t>群益證</t>
    <phoneticPr fontId="1" type="noConversion"/>
  </si>
  <si>
    <t>大展證</t>
    <phoneticPr fontId="1" type="noConversion"/>
  </si>
  <si>
    <t>益航</t>
    <phoneticPr fontId="1" type="noConversion"/>
  </si>
  <si>
    <t>統一超</t>
    <phoneticPr fontId="1" type="noConversion"/>
  </si>
  <si>
    <t>潤泰全</t>
    <phoneticPr fontId="1" type="noConversion"/>
  </si>
  <si>
    <t>全家</t>
    <phoneticPr fontId="1" type="noConversion"/>
  </si>
  <si>
    <t>弘帆</t>
    <phoneticPr fontId="1" type="noConversion"/>
  </si>
  <si>
    <t>台塑化</t>
    <phoneticPr fontId="1" type="noConversion"/>
  </si>
  <si>
    <t>05</t>
    <phoneticPr fontId="1" type="noConversion"/>
  </si>
  <si>
    <t>鴻海</t>
    <phoneticPr fontId="1" type="noConversion"/>
  </si>
  <si>
    <t>鴻準</t>
    <phoneticPr fontId="1" type="noConversion"/>
  </si>
  <si>
    <t>港建</t>
    <phoneticPr fontId="1" type="noConversion"/>
  </si>
  <si>
    <t>弘塑</t>
    <phoneticPr fontId="1" type="noConversion"/>
  </si>
  <si>
    <t>微端</t>
    <phoneticPr fontId="1" type="noConversion"/>
  </si>
  <si>
    <t>聯鈞</t>
    <phoneticPr fontId="1" type="noConversion"/>
  </si>
  <si>
    <t>位速</t>
    <phoneticPr fontId="1" type="noConversion"/>
  </si>
  <si>
    <t>同致</t>
    <phoneticPr fontId="1" type="noConversion"/>
  </si>
  <si>
    <t>友威科</t>
    <phoneticPr fontId="1" type="noConversion"/>
  </si>
  <si>
    <t>盈正</t>
    <phoneticPr fontId="1" type="noConversion"/>
  </si>
  <si>
    <t>鑫科</t>
    <phoneticPr fontId="1" type="noConversion"/>
  </si>
  <si>
    <t>彩富</t>
    <phoneticPr fontId="1" type="noConversion"/>
  </si>
  <si>
    <t>三聯</t>
    <phoneticPr fontId="1" type="noConversion"/>
  </si>
  <si>
    <t>耕興</t>
    <phoneticPr fontId="1" type="noConversion"/>
  </si>
  <si>
    <t>晉倫</t>
    <phoneticPr fontId="1" type="noConversion"/>
  </si>
  <si>
    <t>萬潤</t>
    <phoneticPr fontId="1" type="noConversion"/>
  </si>
  <si>
    <t>迅得</t>
    <phoneticPr fontId="1" type="noConversion"/>
  </si>
  <si>
    <t>匯鑽科</t>
    <phoneticPr fontId="1" type="noConversion"/>
  </si>
  <si>
    <t>28</t>
    <phoneticPr fontId="1" type="noConversion"/>
  </si>
  <si>
    <t>誠品生活</t>
    <phoneticPr fontId="1" type="noConversion"/>
  </si>
  <si>
    <t>網龍</t>
    <phoneticPr fontId="1" type="noConversion"/>
  </si>
  <si>
    <t>華義</t>
    <phoneticPr fontId="1" type="noConversion"/>
  </si>
  <si>
    <t>隆中</t>
    <phoneticPr fontId="1" type="noConversion"/>
  </si>
  <si>
    <t>網家</t>
    <phoneticPr fontId="1" type="noConversion"/>
  </si>
  <si>
    <t>資</t>
    <phoneticPr fontId="1" type="noConversion"/>
  </si>
  <si>
    <t>自</t>
    <phoneticPr fontId="1" type="noConversion"/>
  </si>
  <si>
    <t>外</t>
    <phoneticPr fontId="1" type="noConversion"/>
  </si>
  <si>
    <t>外</t>
    <phoneticPr fontId="1" type="noConversion"/>
  </si>
  <si>
    <t>31.11</t>
    <phoneticPr fontId="1" type="noConversion"/>
  </si>
  <si>
    <t>自</t>
    <phoneticPr fontId="1" type="noConversion"/>
  </si>
  <si>
    <t>資</t>
    <phoneticPr fontId="1" type="noConversion"/>
  </si>
  <si>
    <t>投</t>
    <phoneticPr fontId="1" type="noConversion"/>
  </si>
  <si>
    <t>外</t>
    <phoneticPr fontId="1" type="noConversion"/>
  </si>
  <si>
    <t>82.4</t>
    <phoneticPr fontId="1" type="noConversion"/>
  </si>
  <si>
    <t>4.26</t>
    <phoneticPr fontId="1" type="noConversion"/>
  </si>
  <si>
    <t>資</t>
    <phoneticPr fontId="1" type="noConversion"/>
  </si>
  <si>
    <t>7.19</t>
    <phoneticPr fontId="1" type="noConversion"/>
  </si>
  <si>
    <t>自</t>
    <phoneticPr fontId="1" type="noConversion"/>
  </si>
  <si>
    <t>聯發國際</t>
    <phoneticPr fontId="1" type="noConversion"/>
  </si>
  <si>
    <t>力智</t>
    <phoneticPr fontId="1" type="noConversion"/>
  </si>
  <si>
    <t>7.07</t>
    <phoneticPr fontId="1" type="noConversion"/>
  </si>
  <si>
    <t>茶飲連鎖</t>
    <phoneticPr fontId="1" type="noConversion"/>
  </si>
  <si>
    <t>電源IC華碩轉投資</t>
    <phoneticPr fontId="1" type="noConversion"/>
  </si>
  <si>
    <t>7.78</t>
    <phoneticPr fontId="1" type="noConversion"/>
  </si>
  <si>
    <t>外</t>
    <phoneticPr fontId="1" type="noConversion"/>
  </si>
  <si>
    <t>最高周</t>
    <phoneticPr fontId="1" type="noConversion"/>
  </si>
  <si>
    <t>自</t>
    <phoneticPr fontId="1" type="noConversion"/>
  </si>
  <si>
    <t>外</t>
    <phoneticPr fontId="1" type="noConversion"/>
  </si>
  <si>
    <t>1月22年</t>
    <phoneticPr fontId="1" type="noConversion"/>
  </si>
  <si>
    <t>30.51</t>
    <phoneticPr fontId="1" type="noConversion"/>
  </si>
  <si>
    <t>12.11</t>
    <phoneticPr fontId="1" type="noConversion"/>
  </si>
  <si>
    <t>23.25</t>
    <phoneticPr fontId="1" type="noConversion"/>
  </si>
  <si>
    <t>41.54</t>
    <phoneticPr fontId="1" type="noConversion"/>
  </si>
  <si>
    <t>33.23</t>
    <phoneticPr fontId="1" type="noConversion"/>
  </si>
  <si>
    <t>當沖藍色</t>
    <phoneticPr fontId="1" type="noConversion"/>
  </si>
  <si>
    <t>選股</t>
    <phoneticPr fontId="1" type="noConversion"/>
  </si>
  <si>
    <t>2022/1/6程式交易（當沖為主）</t>
    <phoneticPr fontId="1" type="noConversion"/>
  </si>
  <si>
    <t>外</t>
    <phoneticPr fontId="1" type="noConversion"/>
  </si>
  <si>
    <t>8.09</t>
    <phoneticPr fontId="1" type="noConversion"/>
  </si>
  <si>
    <t>投</t>
    <phoneticPr fontId="1" type="noConversion"/>
  </si>
  <si>
    <t>資</t>
    <phoneticPr fontId="1" type="noConversion"/>
  </si>
  <si>
    <t>自</t>
    <phoneticPr fontId="1" type="noConversion"/>
  </si>
  <si>
    <t>籌130</t>
    <phoneticPr fontId="1" type="noConversion"/>
  </si>
  <si>
    <t>自</t>
    <phoneticPr fontId="1" type="noConversion"/>
  </si>
  <si>
    <t>弘凱</t>
    <phoneticPr fontId="1" type="noConversion"/>
  </si>
  <si>
    <t>N</t>
    <phoneticPr fontId="1" type="noConversion"/>
  </si>
  <si>
    <t>自</t>
    <phoneticPr fontId="1" type="noConversion"/>
  </si>
  <si>
    <t>70.78</t>
    <phoneticPr fontId="1" type="noConversion"/>
  </si>
  <si>
    <t>資本額30億以下</t>
    <phoneticPr fontId="1" type="noConversion"/>
  </si>
  <si>
    <t>日期2.48%紅色</t>
    <phoneticPr fontId="1" type="noConversion"/>
  </si>
  <si>
    <t>資</t>
    <phoneticPr fontId="1" type="noConversion"/>
  </si>
  <si>
    <t>外</t>
    <phoneticPr fontId="1" type="noConversion"/>
  </si>
  <si>
    <t>15</t>
    <phoneticPr fontId="1" type="noConversion"/>
  </si>
  <si>
    <t>10</t>
    <phoneticPr fontId="1" type="noConversion"/>
  </si>
  <si>
    <t>航運</t>
    <phoneticPr fontId="1" type="noConversion"/>
  </si>
  <si>
    <t>電商</t>
    <phoneticPr fontId="1" type="noConversion"/>
  </si>
  <si>
    <t>營造</t>
    <phoneticPr fontId="1" type="noConversion"/>
  </si>
  <si>
    <t>排行</t>
    <phoneticPr fontId="1" type="noConversion"/>
  </si>
  <si>
    <t>資</t>
    <phoneticPr fontId="1" type="noConversion"/>
  </si>
  <si>
    <t>-32.49</t>
    <phoneticPr fontId="1" type="noConversion"/>
  </si>
  <si>
    <t>外</t>
    <phoneticPr fontId="1" type="noConversion"/>
  </si>
  <si>
    <t>資</t>
    <phoneticPr fontId="1" type="noConversion"/>
  </si>
  <si>
    <t>自</t>
    <phoneticPr fontId="1" type="noConversion"/>
  </si>
  <si>
    <t>1717</t>
    <phoneticPr fontId="1" type="noConversion"/>
  </si>
  <si>
    <t>1328</t>
    <phoneticPr fontId="1" type="noConversion"/>
  </si>
  <si>
    <t>776</t>
    <phoneticPr fontId="1" type="noConversion"/>
  </si>
  <si>
    <t>70</t>
    <phoneticPr fontId="1" type="noConversion"/>
  </si>
  <si>
    <t>43</t>
    <phoneticPr fontId="1" type="noConversion"/>
  </si>
  <si>
    <t>外</t>
    <phoneticPr fontId="1" type="noConversion"/>
  </si>
  <si>
    <t>周轉</t>
    <phoneticPr fontId="1" type="noConversion"/>
  </si>
  <si>
    <t>LED雙雄</t>
    <phoneticPr fontId="1" type="noConversion"/>
  </si>
  <si>
    <t>ju54193806</t>
    <phoneticPr fontId="1" type="noConversion"/>
  </si>
  <si>
    <t>比</t>
    <phoneticPr fontId="1" type="noConversion"/>
  </si>
  <si>
    <t>融</t>
    <phoneticPr fontId="1" type="noConversion"/>
  </si>
  <si>
    <t>158</t>
    <phoneticPr fontId="1" type="noConversion"/>
  </si>
  <si>
    <t>-55.65</t>
    <phoneticPr fontId="1" type="noConversion"/>
  </si>
  <si>
    <t>469</t>
    <phoneticPr fontId="1" type="noConversion"/>
  </si>
  <si>
    <t>35.82</t>
    <phoneticPr fontId="1" type="noConversion"/>
  </si>
  <si>
    <t>1710</t>
    <phoneticPr fontId="1" type="noConversion"/>
  </si>
  <si>
    <t>6.79</t>
    <phoneticPr fontId="1" type="noConversion"/>
  </si>
  <si>
    <t>-25.82</t>
    <phoneticPr fontId="1" type="noConversion"/>
  </si>
  <si>
    <t>107</t>
    <phoneticPr fontId="1" type="noConversion"/>
  </si>
  <si>
    <t>126</t>
    <phoneticPr fontId="1" type="noConversion"/>
  </si>
  <si>
    <t>-30.92</t>
    <phoneticPr fontId="1" type="noConversion"/>
  </si>
  <si>
    <t>-37.71</t>
    <phoneticPr fontId="1" type="noConversion"/>
  </si>
  <si>
    <t>-17.48</t>
    <phoneticPr fontId="1" type="noConversion"/>
  </si>
  <si>
    <t>-22.53</t>
    <phoneticPr fontId="1" type="noConversion"/>
  </si>
  <si>
    <t>54.19</t>
    <phoneticPr fontId="1" type="noConversion"/>
  </si>
  <si>
    <t>借券增減10%用圓圈9</t>
    <phoneticPr fontId="1" type="noConversion"/>
  </si>
  <si>
    <t>券資比增減5%用圓圈7</t>
    <phoneticPr fontId="1" type="noConversion"/>
  </si>
  <si>
    <t>-40.72</t>
    <phoneticPr fontId="1" type="noConversion"/>
  </si>
  <si>
    <t>大</t>
    <phoneticPr fontId="1" type="noConversion"/>
  </si>
  <si>
    <t>240</t>
    <phoneticPr fontId="1" type="noConversion"/>
  </si>
  <si>
    <t>生醫</t>
    <phoneticPr fontId="1" type="noConversion"/>
  </si>
  <si>
    <t>802</t>
    <phoneticPr fontId="1" type="noConversion"/>
  </si>
  <si>
    <t>內</t>
    <phoneticPr fontId="1" type="noConversion"/>
  </si>
  <si>
    <t>方向正確：路再長，不覺其遠</t>
    <phoneticPr fontId="1" type="noConversion"/>
  </si>
  <si>
    <t>策略正確：指數跌，不見恐慌</t>
    <phoneticPr fontId="1" type="noConversion"/>
  </si>
  <si>
    <t>市場氣氛，對利多反應只有60%</t>
    <phoneticPr fontId="1" type="noConversion"/>
  </si>
  <si>
    <t>對利空反應卻是120%，這就是“情緒”</t>
    <phoneticPr fontId="1" type="noConversion"/>
  </si>
  <si>
    <t>-29.77</t>
    <phoneticPr fontId="1" type="noConversion"/>
  </si>
  <si>
    <t>-21.24</t>
    <phoneticPr fontId="1" type="noConversion"/>
  </si>
  <si>
    <t>回測</t>
    <phoneticPr fontId="1" type="noConversion"/>
  </si>
  <si>
    <t>殖利</t>
    <phoneticPr fontId="1" type="noConversion"/>
  </si>
  <si>
    <t>外</t>
    <phoneticPr fontId="1" type="noConversion"/>
  </si>
  <si>
    <t>自</t>
    <phoneticPr fontId="1" type="noConversion"/>
  </si>
  <si>
    <t>45.2</t>
    <phoneticPr fontId="1" type="noConversion"/>
  </si>
  <si>
    <t>8.79</t>
    <phoneticPr fontId="1" type="noConversion"/>
  </si>
  <si>
    <t>683</t>
    <phoneticPr fontId="1" type="noConversion"/>
  </si>
  <si>
    <t>392</t>
    <phoneticPr fontId="1" type="noConversion"/>
  </si>
  <si>
    <t>169</t>
    <phoneticPr fontId="1" type="noConversion"/>
  </si>
  <si>
    <t>-15.28</t>
    <phoneticPr fontId="1" type="noConversion"/>
  </si>
  <si>
    <t>-42.55</t>
    <phoneticPr fontId="1" type="noConversion"/>
  </si>
  <si>
    <t>360</t>
    <phoneticPr fontId="1" type="noConversion"/>
  </si>
  <si>
    <t>借</t>
    <phoneticPr fontId="1" type="noConversion"/>
  </si>
  <si>
    <t>11.72</t>
    <phoneticPr fontId="1" type="noConversion"/>
  </si>
  <si>
    <t>47</t>
    <phoneticPr fontId="1" type="noConversion"/>
  </si>
  <si>
    <t>-23.43</t>
    <phoneticPr fontId="1" type="noConversion"/>
  </si>
  <si>
    <t>內部人增減0.5%用正四方形</t>
    <phoneticPr fontId="1" type="noConversion"/>
  </si>
  <si>
    <t>1641</t>
    <phoneticPr fontId="1" type="noConversion"/>
  </si>
  <si>
    <t>新</t>
    <phoneticPr fontId="1" type="noConversion"/>
  </si>
  <si>
    <t>-29.97</t>
    <phoneticPr fontId="1" type="noConversion"/>
  </si>
  <si>
    <t>-17.46</t>
    <phoneticPr fontId="1" type="noConversion"/>
  </si>
  <si>
    <t>-12.59</t>
    <phoneticPr fontId="1" type="noConversion"/>
  </si>
  <si>
    <t>-24.48</t>
    <phoneticPr fontId="1" type="noConversion"/>
  </si>
  <si>
    <t>561</t>
    <phoneticPr fontId="1" type="noConversion"/>
  </si>
  <si>
    <t>-15.5</t>
    <phoneticPr fontId="1" type="noConversion"/>
  </si>
  <si>
    <t>29.27</t>
    <phoneticPr fontId="1" type="noConversion"/>
  </si>
  <si>
    <t>ju54186</t>
    <phoneticPr fontId="1" type="noConversion"/>
  </si>
  <si>
    <t>ju54193</t>
    <phoneticPr fontId="1" type="noConversion"/>
  </si>
  <si>
    <t>0916009079</t>
    <phoneticPr fontId="1" type="noConversion"/>
  </si>
  <si>
    <t>融</t>
    <phoneticPr fontId="1" type="noConversion"/>
  </si>
  <si>
    <t>227</t>
    <phoneticPr fontId="1" type="noConversion"/>
  </si>
  <si>
    <t>81</t>
    <phoneticPr fontId="1" type="noConversion"/>
  </si>
  <si>
    <t>-3.28</t>
    <phoneticPr fontId="1" type="noConversion"/>
  </si>
  <si>
    <t>-13.29</t>
    <phoneticPr fontId="1" type="noConversion"/>
  </si>
  <si>
    <t>95</t>
    <phoneticPr fontId="1" type="noConversion"/>
  </si>
  <si>
    <t>1477</t>
    <phoneticPr fontId="1" type="noConversion"/>
  </si>
  <si>
    <t>279</t>
    <phoneticPr fontId="1" type="noConversion"/>
  </si>
  <si>
    <t>1632</t>
    <phoneticPr fontId="1" type="noConversion"/>
  </si>
  <si>
    <t>新</t>
    <phoneticPr fontId="1" type="noConversion"/>
  </si>
  <si>
    <t>-15.86</t>
    <phoneticPr fontId="1" type="noConversion"/>
  </si>
  <si>
    <t>-31.85</t>
    <phoneticPr fontId="1" type="noConversion"/>
  </si>
  <si>
    <t>分析師</t>
    <phoneticPr fontId="1" type="noConversion"/>
  </si>
  <si>
    <t>散熱片設計製造商</t>
    <phoneticPr fontId="1" type="noConversion"/>
  </si>
  <si>
    <t>1298</t>
    <phoneticPr fontId="1" type="noConversion"/>
  </si>
  <si>
    <t>211</t>
    <phoneticPr fontId="1" type="noConversion"/>
  </si>
  <si>
    <t>融</t>
    <phoneticPr fontId="1" type="noConversion"/>
  </si>
  <si>
    <t>外</t>
    <phoneticPr fontId="1" type="noConversion"/>
  </si>
  <si>
    <t>1626</t>
    <phoneticPr fontId="1" type="noConversion"/>
  </si>
  <si>
    <t>1331</t>
    <phoneticPr fontId="1" type="noConversion"/>
  </si>
  <si>
    <t>1663</t>
    <phoneticPr fontId="1" type="noConversion"/>
  </si>
  <si>
    <t>-20.55</t>
    <phoneticPr fontId="1" type="noConversion"/>
  </si>
  <si>
    <t>64</t>
    <phoneticPr fontId="1" type="noConversion"/>
  </si>
  <si>
    <t>555</t>
    <phoneticPr fontId="1" type="noConversion"/>
  </si>
  <si>
    <t>-31.05</t>
    <phoneticPr fontId="1" type="noConversion"/>
  </si>
  <si>
    <t>3.09</t>
    <phoneticPr fontId="1" type="noConversion"/>
  </si>
  <si>
    <t>271</t>
    <phoneticPr fontId="1" type="noConversion"/>
  </si>
  <si>
    <t>-16.52</t>
    <phoneticPr fontId="1" type="noConversion"/>
  </si>
  <si>
    <t>283</t>
    <phoneticPr fontId="1" type="noConversion"/>
  </si>
  <si>
    <t>1708</t>
    <phoneticPr fontId="1" type="noConversion"/>
  </si>
  <si>
    <t>股利2元15%</t>
    <phoneticPr fontId="1" type="noConversion"/>
  </si>
  <si>
    <t>季線 or SAR</t>
    <phoneticPr fontId="1" type="noConversion"/>
  </si>
  <si>
    <t>源</t>
    <phoneticPr fontId="1" type="noConversion"/>
  </si>
  <si>
    <t>45</t>
    <phoneticPr fontId="1" type="noConversion"/>
  </si>
  <si>
    <t>新</t>
    <phoneticPr fontId="1" type="noConversion"/>
  </si>
  <si>
    <t>257</t>
    <phoneticPr fontId="1" type="noConversion"/>
  </si>
  <si>
    <t>71</t>
    <phoneticPr fontId="1" type="noConversion"/>
  </si>
  <si>
    <t>-9.33</t>
    <phoneticPr fontId="1" type="noConversion"/>
  </si>
  <si>
    <t>-7.88</t>
    <phoneticPr fontId="1" type="noConversion"/>
  </si>
  <si>
    <t>雙</t>
    <phoneticPr fontId="1" type="noConversion"/>
  </si>
  <si>
    <t>15.06</t>
    <phoneticPr fontId="1" type="noConversion"/>
  </si>
  <si>
    <t>74</t>
    <phoneticPr fontId="1" type="noConversion"/>
  </si>
  <si>
    <t>269</t>
    <phoneticPr fontId="1" type="noConversion"/>
  </si>
  <si>
    <t>-2.29</t>
    <phoneticPr fontId="1" type="noConversion"/>
  </si>
  <si>
    <t>-15.87</t>
    <phoneticPr fontId="1" type="noConversion"/>
  </si>
  <si>
    <t>加工絲新光旗下</t>
    <phoneticPr fontId="1" type="noConversion"/>
  </si>
  <si>
    <t>加工絲力麗旗下</t>
    <phoneticPr fontId="1" type="noConversion"/>
  </si>
  <si>
    <t>-27.1</t>
    <phoneticPr fontId="1" type="noConversion"/>
  </si>
  <si>
    <t>-19.33</t>
    <phoneticPr fontId="1" type="noConversion"/>
  </si>
  <si>
    <t>-14.89</t>
    <phoneticPr fontId="1" type="noConversion"/>
  </si>
  <si>
    <t>346</t>
    <phoneticPr fontId="1" type="noConversion"/>
  </si>
  <si>
    <t>80</t>
    <phoneticPr fontId="1" type="noConversion"/>
  </si>
  <si>
    <t>-29.01</t>
    <phoneticPr fontId="1" type="noConversion"/>
  </si>
  <si>
    <t>-3.83</t>
    <phoneticPr fontId="1" type="noConversion"/>
  </si>
  <si>
    <t>雙比</t>
    <phoneticPr fontId="1" type="noConversion"/>
  </si>
  <si>
    <t>2/7雙比股利1元</t>
    <phoneticPr fontId="1" type="noConversion"/>
  </si>
  <si>
    <t>雙</t>
    <phoneticPr fontId="1" type="noConversion"/>
  </si>
  <si>
    <t>1185</t>
    <phoneticPr fontId="1" type="noConversion"/>
  </si>
  <si>
    <t>-5.91</t>
    <phoneticPr fontId="1" type="noConversion"/>
  </si>
  <si>
    <t>-4.6</t>
    <phoneticPr fontId="1" type="noConversion"/>
  </si>
  <si>
    <t>-14.26</t>
    <phoneticPr fontId="1" type="noConversion"/>
  </si>
  <si>
    <t>-16.67</t>
    <phoneticPr fontId="1" type="noConversion"/>
  </si>
  <si>
    <t>-27.66</t>
    <phoneticPr fontId="1" type="noConversion"/>
  </si>
  <si>
    <t>-25.41</t>
    <phoneticPr fontId="1" type="noConversion"/>
  </si>
  <si>
    <t>-21.67</t>
    <phoneticPr fontId="1" type="noConversion"/>
  </si>
  <si>
    <t>2022年1月</t>
    <phoneticPr fontId="1" type="noConversion"/>
  </si>
  <si>
    <t>2022年2月</t>
    <phoneticPr fontId="1" type="noConversion"/>
  </si>
  <si>
    <t>335</t>
    <phoneticPr fontId="1" type="noConversion"/>
  </si>
  <si>
    <t>268</t>
    <phoneticPr fontId="1" type="noConversion"/>
  </si>
  <si>
    <t>-8.59</t>
    <phoneticPr fontId="1" type="noConversion"/>
  </si>
  <si>
    <t>-13.33</t>
    <phoneticPr fontId="1" type="noConversion"/>
  </si>
  <si>
    <t>-8.71</t>
    <phoneticPr fontId="1" type="noConversion"/>
  </si>
  <si>
    <t>-8.49</t>
    <phoneticPr fontId="1" type="noConversion"/>
  </si>
  <si>
    <t>三</t>
    <phoneticPr fontId="1" type="noConversion"/>
  </si>
  <si>
    <t>-36.55</t>
    <phoneticPr fontId="1" type="noConversion"/>
  </si>
  <si>
    <t>-15.22</t>
    <phoneticPr fontId="1" type="noConversion"/>
  </si>
  <si>
    <t>新</t>
    <phoneticPr fontId="1" type="noConversion"/>
  </si>
  <si>
    <t>66</t>
    <phoneticPr fontId="1" type="noConversion"/>
  </si>
  <si>
    <t>87</t>
    <phoneticPr fontId="1" type="noConversion"/>
  </si>
  <si>
    <t>84</t>
    <phoneticPr fontId="1" type="noConversion"/>
  </si>
  <si>
    <t>90</t>
    <phoneticPr fontId="1" type="noConversion"/>
  </si>
  <si>
    <t>60</t>
    <phoneticPr fontId="1" type="noConversion"/>
  </si>
  <si>
    <t>-7.56</t>
    <phoneticPr fontId="1" type="noConversion"/>
  </si>
  <si>
    <t>-7.34</t>
    <phoneticPr fontId="1" type="noConversion"/>
  </si>
  <si>
    <t>-10.71</t>
    <phoneticPr fontId="1" type="noConversion"/>
  </si>
  <si>
    <t>自</t>
    <phoneticPr fontId="1" type="noConversion"/>
  </si>
  <si>
    <t>92</t>
    <phoneticPr fontId="1" type="noConversion"/>
  </si>
  <si>
    <t>-23.84</t>
    <phoneticPr fontId="1" type="noConversion"/>
  </si>
  <si>
    <t>75</t>
    <phoneticPr fontId="1" type="noConversion"/>
  </si>
  <si>
    <t>96</t>
    <phoneticPr fontId="1" type="noConversion"/>
  </si>
  <si>
    <t>77</t>
    <phoneticPr fontId="1" type="noConversion"/>
  </si>
  <si>
    <t>50</t>
    <phoneticPr fontId="1" type="noConversion"/>
  </si>
  <si>
    <t>-2.46</t>
    <phoneticPr fontId="1" type="noConversion"/>
  </si>
  <si>
    <t>82</t>
    <phoneticPr fontId="1" type="noConversion"/>
  </si>
  <si>
    <t>78</t>
    <phoneticPr fontId="1" type="noConversion"/>
  </si>
  <si>
    <t>79</t>
    <phoneticPr fontId="1" type="noConversion"/>
  </si>
  <si>
    <t>85</t>
    <phoneticPr fontId="1" type="noConversion"/>
  </si>
  <si>
    <t>-28.97</t>
    <phoneticPr fontId="1" type="noConversion"/>
  </si>
  <si>
    <t>-2.12</t>
    <phoneticPr fontId="1" type="noConversion"/>
  </si>
  <si>
    <t>-3.47</t>
    <phoneticPr fontId="1" type="noConversion"/>
  </si>
  <si>
    <t>-26.54</t>
    <phoneticPr fontId="1" type="noConversion"/>
  </si>
  <si>
    <t>-26.64</t>
    <phoneticPr fontId="1" type="noConversion"/>
  </si>
  <si>
    <t>-34.95</t>
    <phoneticPr fontId="1" type="noConversion"/>
  </si>
  <si>
    <t>86</t>
    <phoneticPr fontId="1" type="noConversion"/>
  </si>
  <si>
    <t>新聞2/8結束</t>
    <phoneticPr fontId="1" type="noConversion"/>
  </si>
  <si>
    <t>-35.75</t>
    <phoneticPr fontId="1" type="noConversion"/>
  </si>
  <si>
    <t>-60.9</t>
    <phoneticPr fontId="1" type="noConversion"/>
  </si>
  <si>
    <t>-20</t>
    <phoneticPr fontId="1" type="noConversion"/>
  </si>
  <si>
    <t>-30.98</t>
    <phoneticPr fontId="1" type="noConversion"/>
  </si>
  <si>
    <t>-4.46</t>
    <phoneticPr fontId="1" type="noConversion"/>
  </si>
  <si>
    <t>重</t>
    <phoneticPr fontId="1" type="noConversion"/>
  </si>
  <si>
    <t>-20.97</t>
    <phoneticPr fontId="1" type="noConversion"/>
  </si>
  <si>
    <t>-21.6</t>
    <phoneticPr fontId="1" type="noConversion"/>
  </si>
  <si>
    <t>-26.67</t>
    <phoneticPr fontId="1" type="noConversion"/>
  </si>
  <si>
    <t>歷史庫存</t>
    <phoneticPr fontId="1" type="noConversion"/>
  </si>
  <si>
    <t>-10.23</t>
    <phoneticPr fontId="1" type="noConversion"/>
  </si>
  <si>
    <t>外</t>
    <phoneticPr fontId="1" type="noConversion"/>
  </si>
  <si>
    <t>-1.64</t>
    <phoneticPr fontId="1" type="noConversion"/>
  </si>
  <si>
    <t>-16.41</t>
    <phoneticPr fontId="1" type="noConversion"/>
  </si>
  <si>
    <t>4.30</t>
    <phoneticPr fontId="1" type="noConversion"/>
  </si>
  <si>
    <t>-28.01</t>
    <phoneticPr fontId="1" type="noConversion"/>
  </si>
  <si>
    <t>廣閎科</t>
    <phoneticPr fontId="1" type="noConversion"/>
  </si>
  <si>
    <t>8.77</t>
    <phoneticPr fontId="1" type="noConversion"/>
  </si>
  <si>
    <t>半導體設計茂迪轉投資</t>
    <phoneticPr fontId="1" type="noConversion"/>
  </si>
  <si>
    <t>資</t>
    <phoneticPr fontId="1" type="noConversion"/>
  </si>
  <si>
    <t>外</t>
    <phoneticPr fontId="1" type="noConversion"/>
  </si>
  <si>
    <t>-26.71</t>
    <phoneticPr fontId="1" type="noConversion"/>
  </si>
  <si>
    <t>-31.18</t>
    <phoneticPr fontId="1" type="noConversion"/>
  </si>
  <si>
    <t>-16.13</t>
    <phoneticPr fontId="1" type="noConversion"/>
  </si>
  <si>
    <t>沒有跌幅季線或SAR條件只有股利2元</t>
    <phoneticPr fontId="1" type="noConversion"/>
  </si>
  <si>
    <t>-33.33</t>
    <phoneticPr fontId="1" type="noConversion"/>
  </si>
  <si>
    <t>-16.29</t>
    <phoneticPr fontId="1" type="noConversion"/>
  </si>
  <si>
    <t>雙準</t>
    <phoneticPr fontId="1" type="noConversion"/>
  </si>
  <si>
    <t>單</t>
    <phoneticPr fontId="1" type="noConversion"/>
  </si>
  <si>
    <t>89</t>
    <phoneticPr fontId="1" type="noConversion"/>
  </si>
  <si>
    <t>81</t>
    <phoneticPr fontId="1" type="noConversion"/>
  </si>
  <si>
    <t>100</t>
    <phoneticPr fontId="1" type="noConversion"/>
  </si>
  <si>
    <t>90</t>
    <phoneticPr fontId="1" type="noConversion"/>
  </si>
  <si>
    <t>85</t>
    <phoneticPr fontId="1" type="noConversion"/>
  </si>
  <si>
    <t>87</t>
    <phoneticPr fontId="1" type="noConversion"/>
  </si>
  <si>
    <t>79</t>
    <phoneticPr fontId="1" type="noConversion"/>
  </si>
  <si>
    <t>96</t>
    <phoneticPr fontId="1" type="noConversion"/>
  </si>
  <si>
    <t>84</t>
    <phoneticPr fontId="1" type="noConversion"/>
  </si>
  <si>
    <t>93</t>
    <phoneticPr fontId="1" type="noConversion"/>
  </si>
  <si>
    <t>78</t>
    <phoneticPr fontId="1" type="noConversion"/>
  </si>
  <si>
    <t>82</t>
    <phoneticPr fontId="1" type="noConversion"/>
  </si>
  <si>
    <t>92</t>
    <phoneticPr fontId="1" type="noConversion"/>
  </si>
  <si>
    <t>66</t>
    <phoneticPr fontId="1" type="noConversion"/>
  </si>
  <si>
    <t>91</t>
    <phoneticPr fontId="1" type="noConversion"/>
  </si>
  <si>
    <t>0</t>
    <phoneticPr fontId="1" type="noConversion"/>
  </si>
  <si>
    <t>-25</t>
    <phoneticPr fontId="1" type="noConversion"/>
  </si>
  <si>
    <t>-23.71</t>
    <phoneticPr fontId="1" type="noConversion"/>
  </si>
  <si>
    <t>雙準單準</t>
    <phoneticPr fontId="1" type="noConversion"/>
  </si>
  <si>
    <t>50</t>
    <phoneticPr fontId="1" type="noConversion"/>
  </si>
  <si>
    <t>70</t>
    <phoneticPr fontId="1" type="noConversion"/>
  </si>
  <si>
    <t>69</t>
    <phoneticPr fontId="1" type="noConversion"/>
  </si>
  <si>
    <t>-37.55</t>
    <phoneticPr fontId="1" type="noConversion"/>
  </si>
  <si>
    <t>-24.04</t>
    <phoneticPr fontId="1" type="noConversion"/>
  </si>
  <si>
    <t>80</t>
    <phoneticPr fontId="1" type="noConversion"/>
  </si>
  <si>
    <t>75</t>
    <phoneticPr fontId="1" type="noConversion"/>
  </si>
  <si>
    <t>33</t>
    <phoneticPr fontId="1" type="noConversion"/>
  </si>
  <si>
    <t>88</t>
    <phoneticPr fontId="1" type="noConversion"/>
  </si>
  <si>
    <t>76</t>
    <phoneticPr fontId="1" type="noConversion"/>
  </si>
  <si>
    <t>74</t>
    <phoneticPr fontId="1" type="noConversion"/>
  </si>
  <si>
    <t>86</t>
    <phoneticPr fontId="1" type="noConversion"/>
  </si>
  <si>
    <t>71</t>
    <phoneticPr fontId="1" type="noConversion"/>
  </si>
  <si>
    <t>72</t>
    <phoneticPr fontId="1" type="noConversion"/>
  </si>
  <si>
    <t>40</t>
    <phoneticPr fontId="1" type="noConversion"/>
  </si>
  <si>
    <t>77</t>
    <phoneticPr fontId="1" type="noConversion"/>
  </si>
  <si>
    <t>廠牌</t>
    <phoneticPr fontId="1" type="noConversion"/>
  </si>
  <si>
    <t>苗數</t>
    <phoneticPr fontId="1" type="noConversion"/>
  </si>
  <si>
    <t>定植日</t>
    <phoneticPr fontId="1" type="noConversion"/>
  </si>
  <si>
    <t>發芽日</t>
    <phoneticPr fontId="1" type="noConversion"/>
  </si>
  <si>
    <t>發芽天數</t>
    <phoneticPr fontId="1" type="noConversion"/>
  </si>
  <si>
    <t>定植天數</t>
    <phoneticPr fontId="1" type="noConversion"/>
  </si>
  <si>
    <t>開花天數</t>
    <phoneticPr fontId="1" type="noConversion"/>
  </si>
  <si>
    <t>百日草</t>
    <phoneticPr fontId="1" type="noConversion"/>
  </si>
  <si>
    <t>翠筠</t>
    <phoneticPr fontId="1" type="noConversion"/>
  </si>
  <si>
    <t>開花日</t>
    <phoneticPr fontId="1" type="noConversion"/>
  </si>
  <si>
    <t>種植日</t>
    <phoneticPr fontId="1" type="noConversion"/>
  </si>
  <si>
    <t>孔雀草</t>
    <phoneticPr fontId="1" type="noConversion"/>
  </si>
  <si>
    <t>勛章菊</t>
    <phoneticPr fontId="1" type="noConversion"/>
  </si>
  <si>
    <t>2月22年</t>
    <phoneticPr fontId="1" type="noConversion"/>
  </si>
  <si>
    <t>人送</t>
    <phoneticPr fontId="1" type="noConversion"/>
  </si>
  <si>
    <t>天星牌</t>
    <phoneticPr fontId="1" type="noConversion"/>
  </si>
  <si>
    <t>中文名稱</t>
    <phoneticPr fontId="1" type="noConversion"/>
  </si>
  <si>
    <t>英文名稱</t>
    <phoneticPr fontId="1" type="noConversion"/>
  </si>
  <si>
    <t>Rosemary</t>
    <phoneticPr fontId="1" type="noConversion"/>
  </si>
  <si>
    <t>Zinnia</t>
    <phoneticPr fontId="1" type="noConversion"/>
  </si>
  <si>
    <t>Aztec marigold</t>
    <phoneticPr fontId="1" type="noConversion"/>
  </si>
  <si>
    <t>English lavender</t>
    <phoneticPr fontId="1" type="noConversion"/>
  </si>
  <si>
    <t>Treasure flower</t>
    <phoneticPr fontId="1" type="noConversion"/>
  </si>
  <si>
    <t>波斯菊</t>
    <phoneticPr fontId="1" type="noConversion"/>
  </si>
  <si>
    <t>戶外播種</t>
    <phoneticPr fontId="1" type="noConversion"/>
  </si>
  <si>
    <t>66</t>
    <phoneticPr fontId="1" type="noConversion"/>
  </si>
  <si>
    <t>84</t>
    <phoneticPr fontId="1" type="noConversion"/>
  </si>
  <si>
    <t>-2.99</t>
    <phoneticPr fontId="1" type="noConversion"/>
  </si>
  <si>
    <t>100</t>
    <phoneticPr fontId="1" type="noConversion"/>
  </si>
  <si>
    <t>60</t>
    <phoneticPr fontId="1" type="noConversion"/>
  </si>
  <si>
    <t>96</t>
    <phoneticPr fontId="1" type="noConversion"/>
  </si>
  <si>
    <t>89</t>
    <phoneticPr fontId="1" type="noConversion"/>
  </si>
  <si>
    <t>81</t>
    <phoneticPr fontId="1" type="noConversion"/>
  </si>
  <si>
    <t>0</t>
    <phoneticPr fontId="1" type="noConversion"/>
  </si>
  <si>
    <t>92</t>
    <phoneticPr fontId="1" type="noConversion"/>
  </si>
  <si>
    <t>75</t>
    <phoneticPr fontId="1" type="noConversion"/>
  </si>
  <si>
    <t>77</t>
    <phoneticPr fontId="1" type="noConversion"/>
  </si>
  <si>
    <t>85</t>
    <phoneticPr fontId="1" type="noConversion"/>
  </si>
  <si>
    <t>86</t>
    <phoneticPr fontId="1" type="noConversion"/>
  </si>
  <si>
    <t>95</t>
    <phoneticPr fontId="1" type="noConversion"/>
  </si>
  <si>
    <t>79</t>
    <phoneticPr fontId="1" type="noConversion"/>
  </si>
  <si>
    <t>80</t>
    <phoneticPr fontId="1" type="noConversion"/>
  </si>
  <si>
    <t>-31.33</t>
    <phoneticPr fontId="1" type="noConversion"/>
  </si>
  <si>
    <t>42</t>
    <phoneticPr fontId="1" type="noConversion"/>
  </si>
  <si>
    <t>82</t>
    <phoneticPr fontId="1" type="noConversion"/>
  </si>
  <si>
    <t>40</t>
    <phoneticPr fontId="1" type="noConversion"/>
  </si>
  <si>
    <t>70</t>
    <phoneticPr fontId="1" type="noConversion"/>
  </si>
  <si>
    <t>87</t>
    <phoneticPr fontId="1" type="noConversion"/>
  </si>
  <si>
    <t>90</t>
    <phoneticPr fontId="1" type="noConversion"/>
  </si>
  <si>
    <t>91</t>
    <phoneticPr fontId="1" type="noConversion"/>
  </si>
  <si>
    <t>94</t>
    <phoneticPr fontId="1" type="noConversion"/>
  </si>
  <si>
    <t>50</t>
    <phoneticPr fontId="1" type="noConversion"/>
  </si>
  <si>
    <t>71</t>
    <phoneticPr fontId="1" type="noConversion"/>
  </si>
  <si>
    <t>78</t>
    <phoneticPr fontId="1" type="noConversion"/>
  </si>
  <si>
    <t>62</t>
    <phoneticPr fontId="1" type="noConversion"/>
  </si>
  <si>
    <t>93</t>
    <phoneticPr fontId="1" type="noConversion"/>
  </si>
  <si>
    <t>76</t>
    <phoneticPr fontId="1" type="noConversion"/>
  </si>
  <si>
    <t>100</t>
    <phoneticPr fontId="1" type="noConversion"/>
  </si>
  <si>
    <t>83</t>
    <phoneticPr fontId="1" type="noConversion"/>
  </si>
  <si>
    <t>-22.13</t>
    <phoneticPr fontId="1" type="noConversion"/>
  </si>
  <si>
    <t>11.79</t>
    <phoneticPr fontId="1" type="noConversion"/>
  </si>
  <si>
    <t>23.8</t>
    <phoneticPr fontId="1" type="noConversion"/>
  </si>
  <si>
    <t>0</t>
    <phoneticPr fontId="1" type="noConversion"/>
  </si>
  <si>
    <t>100</t>
    <phoneticPr fontId="1" type="noConversion"/>
  </si>
  <si>
    <t>88</t>
    <phoneticPr fontId="1" type="noConversion"/>
  </si>
  <si>
    <t>資</t>
    <phoneticPr fontId="1" type="noConversion"/>
  </si>
  <si>
    <t>85</t>
    <phoneticPr fontId="1" type="noConversion"/>
  </si>
  <si>
    <t>78</t>
    <phoneticPr fontId="1" type="noConversion"/>
  </si>
  <si>
    <t>83</t>
    <phoneticPr fontId="1" type="noConversion"/>
  </si>
  <si>
    <t>82</t>
    <phoneticPr fontId="1" type="noConversion"/>
  </si>
  <si>
    <t>84</t>
    <phoneticPr fontId="1" type="noConversion"/>
  </si>
  <si>
    <t>四</t>
    <phoneticPr fontId="1" type="noConversion"/>
  </si>
  <si>
    <t>-18.34</t>
    <phoneticPr fontId="1" type="noConversion"/>
  </si>
  <si>
    <t>-20.13</t>
    <phoneticPr fontId="1" type="noConversion"/>
  </si>
  <si>
    <t>-4.11</t>
    <phoneticPr fontId="1" type="noConversion"/>
  </si>
  <si>
    <t>-12.64</t>
    <phoneticPr fontId="1" type="noConversion"/>
  </si>
  <si>
    <t>8.7</t>
    <phoneticPr fontId="1" type="noConversion"/>
  </si>
  <si>
    <t>147</t>
    <phoneticPr fontId="1" type="noConversion"/>
  </si>
  <si>
    <t>100</t>
    <phoneticPr fontId="1" type="noConversion"/>
  </si>
  <si>
    <t>90</t>
    <phoneticPr fontId="1" type="noConversion"/>
  </si>
  <si>
    <t>40</t>
    <phoneticPr fontId="1" type="noConversion"/>
  </si>
  <si>
    <t>70</t>
    <phoneticPr fontId="1" type="noConversion"/>
  </si>
  <si>
    <t>-23.78</t>
    <phoneticPr fontId="1" type="noConversion"/>
  </si>
  <si>
    <t>88</t>
    <phoneticPr fontId="1" type="noConversion"/>
  </si>
  <si>
    <t>75</t>
    <phoneticPr fontId="1" type="noConversion"/>
  </si>
  <si>
    <t>-10.97</t>
    <phoneticPr fontId="1" type="noConversion"/>
  </si>
  <si>
    <t>-14.69</t>
    <phoneticPr fontId="1" type="noConversion"/>
  </si>
  <si>
    <t>-58.57</t>
    <phoneticPr fontId="1" type="noConversion"/>
  </si>
  <si>
    <t>非洲菊</t>
    <phoneticPr fontId="1" type="noConversion"/>
  </si>
  <si>
    <t>三色堇</t>
    <phoneticPr fontId="1" type="noConversion"/>
  </si>
  <si>
    <t>Garden pansy</t>
    <phoneticPr fontId="1" type="noConversion"/>
  </si>
  <si>
    <t>Gerdbera</t>
    <phoneticPr fontId="1" type="noConversion"/>
  </si>
  <si>
    <t>3月22年</t>
    <phoneticPr fontId="1" type="noConversion"/>
  </si>
  <si>
    <t>3.02</t>
    <phoneticPr fontId="1" type="noConversion"/>
  </si>
  <si>
    <t>2022年3月</t>
    <phoneticPr fontId="1" type="noConversion"/>
  </si>
  <si>
    <t>3月22年</t>
    <phoneticPr fontId="1" type="noConversion"/>
  </si>
  <si>
    <t>92</t>
    <phoneticPr fontId="1" type="noConversion"/>
  </si>
  <si>
    <t>90</t>
    <phoneticPr fontId="1" type="noConversion"/>
  </si>
  <si>
    <t>100</t>
    <phoneticPr fontId="1" type="noConversion"/>
  </si>
  <si>
    <t>95</t>
    <phoneticPr fontId="1" type="noConversion"/>
  </si>
  <si>
    <t>88</t>
    <phoneticPr fontId="1" type="noConversion"/>
  </si>
  <si>
    <t>0</t>
    <phoneticPr fontId="1" type="noConversion"/>
  </si>
  <si>
    <t>-14.45</t>
    <phoneticPr fontId="1" type="noConversion"/>
  </si>
  <si>
    <t>-19.03</t>
    <phoneticPr fontId="1" type="noConversion"/>
  </si>
  <si>
    <t>-24.88</t>
    <phoneticPr fontId="1" type="noConversion"/>
  </si>
  <si>
    <t>-26.21</t>
    <phoneticPr fontId="1" type="noConversion"/>
  </si>
  <si>
    <t>17.37</t>
    <phoneticPr fontId="1" type="noConversion"/>
  </si>
  <si>
    <t>25.65</t>
    <phoneticPr fontId="1" type="noConversion"/>
  </si>
  <si>
    <t>-1.2</t>
    <phoneticPr fontId="1" type="noConversion"/>
  </si>
  <si>
    <t>-19.48</t>
    <phoneticPr fontId="1" type="noConversion"/>
  </si>
  <si>
    <t>-2.17</t>
    <phoneticPr fontId="1" type="noConversion"/>
  </si>
  <si>
    <t>72</t>
    <phoneticPr fontId="1" type="noConversion"/>
  </si>
  <si>
    <t>76</t>
    <phoneticPr fontId="1" type="noConversion"/>
  </si>
  <si>
    <t>79</t>
    <phoneticPr fontId="1" type="noConversion"/>
  </si>
  <si>
    <t>85</t>
    <phoneticPr fontId="1" type="noConversion"/>
  </si>
  <si>
    <t>75</t>
    <phoneticPr fontId="1" type="noConversion"/>
  </si>
  <si>
    <t>融</t>
    <phoneticPr fontId="1" type="noConversion"/>
  </si>
  <si>
    <t>-36.53</t>
    <phoneticPr fontId="1" type="noConversion"/>
  </si>
  <si>
    <t>-53.27</t>
    <phoneticPr fontId="1" type="noConversion"/>
  </si>
  <si>
    <t>-29.25</t>
    <phoneticPr fontId="1" type="noConversion"/>
  </si>
  <si>
    <t>0</t>
    <phoneticPr fontId="1" type="noConversion"/>
  </si>
  <si>
    <t>千附精密</t>
    <phoneticPr fontId="1" type="noConversion"/>
  </si>
  <si>
    <t>昶昕</t>
    <phoneticPr fontId="1" type="noConversion"/>
  </si>
  <si>
    <t>力士</t>
    <phoneticPr fontId="1" type="noConversion"/>
  </si>
  <si>
    <t>綠界科技</t>
    <phoneticPr fontId="1" type="noConversion"/>
  </si>
  <si>
    <t>1.48</t>
    <phoneticPr fontId="1" type="noConversion"/>
  </si>
  <si>
    <t>5.38</t>
    <phoneticPr fontId="1" type="noConversion"/>
  </si>
  <si>
    <t>第3方支付歐買尬旗下</t>
    <phoneticPr fontId="1" type="noConversion"/>
  </si>
  <si>
    <t>MOSFET斐成轉投資</t>
    <phoneticPr fontId="1" type="noConversion"/>
  </si>
  <si>
    <t>PCB廢液處理</t>
    <phoneticPr fontId="1" type="noConversion"/>
  </si>
  <si>
    <t>機密科技千附旗下</t>
    <phoneticPr fontId="1" type="noConversion"/>
  </si>
  <si>
    <t>89</t>
    <phoneticPr fontId="1" type="noConversion"/>
  </si>
  <si>
    <t>81</t>
    <phoneticPr fontId="1" type="noConversion"/>
  </si>
  <si>
    <t>-20.66</t>
    <phoneticPr fontId="1" type="noConversion"/>
  </si>
  <si>
    <t>-21.7</t>
    <phoneticPr fontId="1" type="noConversion"/>
  </si>
  <si>
    <t>-11.09</t>
    <phoneticPr fontId="1" type="noConversion"/>
  </si>
  <si>
    <t>80</t>
    <phoneticPr fontId="1" type="noConversion"/>
  </si>
  <si>
    <t>93</t>
    <phoneticPr fontId="1" type="noConversion"/>
  </si>
  <si>
    <t>-60.25</t>
    <phoneticPr fontId="1" type="noConversion"/>
  </si>
  <si>
    <t>3/7取消重不考慮股息2元限制</t>
    <phoneticPr fontId="1" type="noConversion"/>
  </si>
  <si>
    <t>0</t>
    <phoneticPr fontId="1" type="noConversion"/>
  </si>
  <si>
    <t>-15.9</t>
    <phoneticPr fontId="1" type="noConversion"/>
  </si>
  <si>
    <t>-19.06</t>
    <phoneticPr fontId="1" type="noConversion"/>
  </si>
  <si>
    <t>寶緯</t>
    <phoneticPr fontId="1" type="noConversion"/>
  </si>
  <si>
    <t>鋁窗</t>
    <phoneticPr fontId="1" type="noConversion"/>
  </si>
  <si>
    <t>-16.43</t>
    <phoneticPr fontId="1" type="noConversion"/>
  </si>
  <si>
    <t>-18.98</t>
    <phoneticPr fontId="1" type="noConversion"/>
  </si>
  <si>
    <t>-18.61</t>
    <phoneticPr fontId="1" type="noConversion"/>
  </si>
  <si>
    <t>-13.31</t>
    <phoneticPr fontId="1" type="noConversion"/>
  </si>
  <si>
    <t>-22.57</t>
    <phoneticPr fontId="1" type="noConversion"/>
  </si>
  <si>
    <t>-29.28</t>
    <phoneticPr fontId="1" type="noConversion"/>
  </si>
  <si>
    <t>2.19</t>
    <phoneticPr fontId="1" type="noConversion"/>
  </si>
  <si>
    <t>-17.57</t>
    <phoneticPr fontId="1" type="noConversion"/>
  </si>
  <si>
    <t>-7.3</t>
    <phoneticPr fontId="1" type="noConversion"/>
  </si>
  <si>
    <t>-57.19</t>
    <phoneticPr fontId="1" type="noConversion"/>
  </si>
  <si>
    <t>寶德</t>
    <phoneticPr fontId="1" type="noConversion"/>
  </si>
  <si>
    <t>滑鼠</t>
    <phoneticPr fontId="1" type="noConversion"/>
  </si>
  <si>
    <t>2022/324</t>
    <phoneticPr fontId="1" type="noConversion"/>
  </si>
  <si>
    <t>-4.96</t>
    <phoneticPr fontId="1" type="noConversion"/>
  </si>
  <si>
    <t>-9.47</t>
    <phoneticPr fontId="1" type="noConversion"/>
  </si>
  <si>
    <t>-19.59</t>
    <phoneticPr fontId="1" type="noConversion"/>
  </si>
  <si>
    <t>-38.3</t>
    <phoneticPr fontId="1" type="noConversion"/>
  </si>
  <si>
    <t>1.25</t>
    <phoneticPr fontId="1" type="noConversion"/>
  </si>
  <si>
    <t>11.36</t>
    <phoneticPr fontId="1" type="noConversion"/>
  </si>
  <si>
    <t>0.56</t>
    <phoneticPr fontId="1" type="noConversion"/>
  </si>
  <si>
    <t>9.23</t>
    <phoneticPr fontId="1" type="noConversion"/>
  </si>
  <si>
    <t>46.2</t>
    <phoneticPr fontId="1" type="noConversion"/>
  </si>
  <si>
    <t>1.23</t>
    <phoneticPr fontId="1" type="noConversion"/>
  </si>
  <si>
    <t>3.82</t>
    <phoneticPr fontId="1" type="noConversion"/>
  </si>
  <si>
    <t>2.61</t>
    <phoneticPr fontId="1" type="noConversion"/>
  </si>
  <si>
    <t>-1.91</t>
    <phoneticPr fontId="1" type="noConversion"/>
  </si>
  <si>
    <t>-3.56</t>
    <phoneticPr fontId="1" type="noConversion"/>
  </si>
  <si>
    <t>-5.88</t>
    <phoneticPr fontId="1" type="noConversion"/>
  </si>
  <si>
    <t>-6.35</t>
    <phoneticPr fontId="1" type="noConversion"/>
  </si>
  <si>
    <t>-7</t>
    <phoneticPr fontId="1" type="noConversion"/>
  </si>
  <si>
    <t>-9.59</t>
    <phoneticPr fontId="1" type="noConversion"/>
  </si>
  <si>
    <t>-10.4</t>
    <phoneticPr fontId="1" type="noConversion"/>
  </si>
  <si>
    <t>-12.77</t>
    <phoneticPr fontId="1" type="noConversion"/>
  </si>
  <si>
    <t>-15.34</t>
    <phoneticPr fontId="1" type="noConversion"/>
  </si>
  <si>
    <t>-16.4</t>
    <phoneticPr fontId="1" type="noConversion"/>
  </si>
  <si>
    <t>-16.7</t>
    <phoneticPr fontId="1" type="noConversion"/>
  </si>
  <si>
    <t>-25.47</t>
    <phoneticPr fontId="1" type="noConversion"/>
  </si>
  <si>
    <t>-17.6</t>
    <phoneticPr fontId="1" type="noConversion"/>
  </si>
  <si>
    <t>-18.64</t>
    <phoneticPr fontId="1" type="noConversion"/>
  </si>
  <si>
    <t>-24.63</t>
    <phoneticPr fontId="1" type="noConversion"/>
  </si>
  <si>
    <t>-24.36</t>
    <phoneticPr fontId="1" type="noConversion"/>
  </si>
  <si>
    <t>-47.15</t>
    <phoneticPr fontId="1" type="noConversion"/>
  </si>
  <si>
    <t>7.1</t>
    <phoneticPr fontId="1" type="noConversion"/>
  </si>
  <si>
    <t>0.61</t>
    <phoneticPr fontId="1" type="noConversion"/>
  </si>
  <si>
    <t>0.60</t>
    <phoneticPr fontId="1" type="noConversion"/>
  </si>
  <si>
    <t>1.16</t>
    <phoneticPr fontId="1" type="noConversion"/>
  </si>
</sst>
</file>

<file path=xl/styles.xml><?xml version="1.0" encoding="utf-8"?>
<styleSheet xmlns="http://schemas.openxmlformats.org/spreadsheetml/2006/main">
  <numFmts count="9">
    <numFmt numFmtId="44" formatCode="_-&quot;$&quot;* #,##0.00_-;\-&quot;$&quot;* #,##0.00_-;_-&quot;$&quot;* &quot;-&quot;??_-;_-@_-"/>
    <numFmt numFmtId="43" formatCode="_-* #,##0.00_-;\-* #,##0.00_-;_-* &quot;-&quot;??_-;_-@_-"/>
    <numFmt numFmtId="176" formatCode="0.00_);[Red]\(0.00\)"/>
    <numFmt numFmtId="177" formatCode="0.0_);[Red]\(0.0\)"/>
    <numFmt numFmtId="178" formatCode="0_);[Red]\(0\)"/>
    <numFmt numFmtId="179" formatCode="0.0%"/>
    <numFmt numFmtId="180" formatCode="_-&quot;$&quot;* #,##0_-;\-&quot;$&quot;* #,##0_-;_-&quot;$&quot;* &quot;-&quot;??_-;_-@_-"/>
    <numFmt numFmtId="181" formatCode="0.00_ "/>
    <numFmt numFmtId="182" formatCode="_-* #,##0_-;\-* #,##0_-;_-* &quot;-&quot;??_-;_-@_-"/>
  </numFmts>
  <fonts count="53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b/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b/>
      <sz val="12"/>
      <color rgb="FF00B050"/>
      <name val="新細明體"/>
      <family val="1"/>
      <charset val="136"/>
      <scheme val="minor"/>
    </font>
    <font>
      <b/>
      <sz val="12"/>
      <color rgb="FF7030A0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7030A0"/>
      <name val="新細明體"/>
      <family val="1"/>
      <charset val="136"/>
      <scheme val="minor"/>
    </font>
    <font>
      <sz val="12"/>
      <color rgb="FF00B050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b/>
      <sz val="10"/>
      <color rgb="FF7030A0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u/>
      <sz val="11"/>
      <color theme="10"/>
      <name val="新細明體"/>
      <family val="1"/>
      <charset val="136"/>
    </font>
    <font>
      <b/>
      <sz val="10"/>
      <color rgb="FF0070C0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b/>
      <sz val="11"/>
      <color rgb="FF00B050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sz val="11"/>
      <color rgb="FF0070C0"/>
      <name val="新細明體"/>
      <family val="1"/>
      <charset val="136"/>
      <scheme val="minor"/>
    </font>
    <font>
      <b/>
      <sz val="10"/>
      <color rgb="FF00B050"/>
      <name val="新細明體"/>
      <family val="1"/>
      <charset val="136"/>
      <scheme val="minor"/>
    </font>
    <font>
      <b/>
      <sz val="12"/>
      <color rgb="FFFFC000"/>
      <name val="新細明體"/>
      <family val="1"/>
      <charset val="136"/>
      <scheme val="minor"/>
    </font>
    <font>
      <sz val="12"/>
      <color rgb="FF00B0F0"/>
      <name val="新細明體"/>
      <family val="1"/>
      <charset val="136"/>
      <scheme val="minor"/>
    </font>
    <font>
      <b/>
      <sz val="1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b/>
      <sz val="11"/>
      <color rgb="FF7030A0"/>
      <name val="新細明體"/>
      <family val="1"/>
      <charset val="136"/>
      <scheme val="minor"/>
    </font>
    <font>
      <b/>
      <sz val="12"/>
      <color rgb="FF00B0F0"/>
      <name val="新細明體"/>
      <family val="1"/>
      <charset val="136"/>
      <scheme val="minor"/>
    </font>
    <font>
      <sz val="12"/>
      <color rgb="FFFFC000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12"/>
      <color rgb="FF333333"/>
      <name val="新細明體"/>
      <family val="1"/>
      <charset val="136"/>
      <scheme val="minor"/>
    </font>
    <font>
      <sz val="11"/>
      <color rgb="FF7030A0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12"/>
      <color rgb="FF00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b/>
      <sz val="9"/>
      <name val="新細明體"/>
      <family val="1"/>
      <charset val="136"/>
      <scheme val="minor"/>
    </font>
    <font>
      <b/>
      <sz val="10"/>
      <color rgb="FF00B0F0"/>
      <name val="新細明體"/>
      <family val="1"/>
      <charset val="136"/>
      <scheme val="minor"/>
    </font>
    <font>
      <sz val="11"/>
      <color theme="1"/>
      <name val="新細明體"/>
      <family val="2"/>
      <charset val="136"/>
      <scheme val="minor"/>
    </font>
    <font>
      <b/>
      <sz val="11"/>
      <color rgb="FFFFC000"/>
      <name val="新細明體"/>
      <family val="1"/>
      <charset val="136"/>
      <scheme val="minor"/>
    </font>
    <font>
      <b/>
      <sz val="9"/>
      <color rgb="FFFF0000"/>
      <name val="新細明體"/>
      <family val="1"/>
      <charset val="136"/>
      <scheme val="minor"/>
    </font>
    <font>
      <b/>
      <sz val="6"/>
      <color rgb="FFFF0000"/>
      <name val="新細明體"/>
      <family val="1"/>
      <charset val="136"/>
      <scheme val="minor"/>
    </font>
    <font>
      <sz val="10"/>
      <color rgb="FF00B050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u/>
      <sz val="11"/>
      <color theme="10"/>
      <name val="新細明體"/>
      <family val="1"/>
      <charset val="136"/>
      <scheme val="minor"/>
    </font>
    <font>
      <b/>
      <u/>
      <sz val="11"/>
      <color rgb="FFFF0000"/>
      <name val="新細明體"/>
      <family val="1"/>
      <charset val="136"/>
      <scheme val="minor"/>
    </font>
    <font>
      <sz val="11"/>
      <color rgb="FF00B050"/>
      <name val="新細明體"/>
      <family val="1"/>
      <charset val="136"/>
      <scheme val="minor"/>
    </font>
    <font>
      <sz val="10"/>
      <color rgb="FFFF0000"/>
      <name val="新細明體"/>
      <family val="1"/>
      <charset val="136"/>
      <scheme val="minor"/>
    </font>
    <font>
      <b/>
      <sz val="11"/>
      <color rgb="FF00B0F0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2"/>
      <color rgb="FFC00000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17" fillId="0" borderId="0" applyNumberFormat="0" applyFill="0" applyBorder="0" applyAlignment="0" applyProtection="0">
      <alignment vertical="top"/>
      <protection locked="0"/>
    </xf>
    <xf numFmtId="44" fontId="40" fillId="0" borderId="0" applyFont="0" applyFill="0" applyBorder="0" applyAlignment="0" applyProtection="0">
      <alignment vertical="center"/>
    </xf>
    <xf numFmtId="43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</cellStyleXfs>
  <cellXfs count="40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10" fontId="3" fillId="0" borderId="0" xfId="0" applyNumberFormat="1" applyFont="1">
      <alignment vertical="center"/>
    </xf>
    <xf numFmtId="0" fontId="5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right" vertical="center"/>
    </xf>
    <xf numFmtId="0" fontId="3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176" fontId="5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176" fontId="4" fillId="0" borderId="0" xfId="0" applyNumberFormat="1" applyFont="1">
      <alignment vertical="center"/>
    </xf>
    <xf numFmtId="176" fontId="2" fillId="0" borderId="0" xfId="0" applyNumberFormat="1" applyFont="1" applyAlignment="1">
      <alignment horizontal="center" vertical="center"/>
    </xf>
    <xf numFmtId="176" fontId="2" fillId="0" borderId="0" xfId="0" applyNumberFormat="1" applyFont="1">
      <alignment vertical="center"/>
    </xf>
    <xf numFmtId="0" fontId="9" fillId="0" borderId="0" xfId="0" applyFont="1">
      <alignment vertical="center"/>
    </xf>
    <xf numFmtId="176" fontId="6" fillId="0" borderId="0" xfId="0" applyNumberFormat="1" applyFont="1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right" vertical="center"/>
    </xf>
    <xf numFmtId="0" fontId="5" fillId="0" borderId="0" xfId="0" applyFont="1">
      <alignment vertical="center"/>
    </xf>
    <xf numFmtId="10" fontId="2" fillId="0" borderId="0" xfId="0" applyNumberFormat="1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49" fontId="5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77" fontId="4" fillId="0" borderId="0" xfId="0" applyNumberFormat="1" applyFont="1" applyAlignment="1">
      <alignment horizontal="right" vertical="center"/>
    </xf>
    <xf numFmtId="178" fontId="5" fillId="0" borderId="0" xfId="0" applyNumberFormat="1" applyFont="1" applyAlignment="1">
      <alignment horizontal="center" vertical="center"/>
    </xf>
    <xf numFmtId="178" fontId="11" fillId="0" borderId="0" xfId="0" applyNumberFormat="1" applyFont="1" applyAlignment="1">
      <alignment horizontal="right" vertical="center"/>
    </xf>
    <xf numFmtId="176" fontId="11" fillId="0" borderId="0" xfId="0" applyNumberFormat="1" applyFont="1">
      <alignment vertical="center"/>
    </xf>
    <xf numFmtId="10" fontId="11" fillId="0" borderId="0" xfId="0" applyNumberFormat="1" applyFont="1">
      <alignment vertical="center"/>
    </xf>
    <xf numFmtId="176" fontId="10" fillId="0" borderId="0" xfId="0" applyNumberFormat="1" applyFont="1">
      <alignment vertical="center"/>
    </xf>
    <xf numFmtId="178" fontId="13" fillId="0" borderId="0" xfId="0" applyNumberFormat="1" applyFont="1" applyAlignment="1">
      <alignment horizontal="right" vertical="center"/>
    </xf>
    <xf numFmtId="176" fontId="13" fillId="0" borderId="0" xfId="0" applyNumberFormat="1" applyFont="1" applyAlignment="1">
      <alignment horizontal="right" vertical="center"/>
    </xf>
    <xf numFmtId="176" fontId="10" fillId="0" borderId="0" xfId="0" applyNumberFormat="1" applyFont="1" applyAlignment="1">
      <alignment horizontal="right" vertical="center"/>
    </xf>
    <xf numFmtId="176" fontId="4" fillId="0" borderId="0" xfId="0" applyNumberFormat="1" applyFont="1" applyAlignment="1">
      <alignment horizontal="right" vertical="center"/>
    </xf>
    <xf numFmtId="49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49" fontId="11" fillId="0" borderId="0" xfId="0" applyNumberFormat="1" applyFont="1">
      <alignment vertical="center"/>
    </xf>
    <xf numFmtId="0" fontId="10" fillId="0" borderId="0" xfId="0" applyFont="1">
      <alignment vertical="center"/>
    </xf>
    <xf numFmtId="176" fontId="6" fillId="0" borderId="0" xfId="0" applyNumberFormat="1" applyFont="1">
      <alignment vertical="center"/>
    </xf>
    <xf numFmtId="49" fontId="6" fillId="0" borderId="0" xfId="0" applyNumberFormat="1" applyFont="1" applyAlignment="1">
      <alignment horizontal="left" vertical="center"/>
    </xf>
    <xf numFmtId="178" fontId="6" fillId="0" borderId="0" xfId="0" applyNumberFormat="1" applyFont="1" applyAlignment="1">
      <alignment horizontal="right" vertical="center"/>
    </xf>
    <xf numFmtId="178" fontId="4" fillId="0" borderId="0" xfId="0" applyNumberFormat="1" applyFont="1" applyAlignment="1">
      <alignment horizontal="right" vertical="center"/>
    </xf>
    <xf numFmtId="49" fontId="5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14" fontId="5" fillId="0" borderId="0" xfId="0" applyNumberFormat="1" applyFont="1">
      <alignment vertical="center"/>
    </xf>
    <xf numFmtId="10" fontId="5" fillId="0" borderId="0" xfId="0" applyNumberFormat="1" applyFont="1">
      <alignment vertical="center"/>
    </xf>
    <xf numFmtId="14" fontId="5" fillId="0" borderId="0" xfId="0" applyNumberFormat="1" applyFont="1" applyAlignment="1">
      <alignment horizontal="left" vertical="center"/>
    </xf>
    <xf numFmtId="14" fontId="6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right" vertical="center"/>
    </xf>
    <xf numFmtId="176" fontId="9" fillId="0" borderId="0" xfId="0" applyNumberFormat="1" applyFont="1" applyAlignment="1">
      <alignment horizontal="right" vertical="center"/>
    </xf>
    <xf numFmtId="176" fontId="2" fillId="0" borderId="0" xfId="0" applyNumberFormat="1" applyFont="1" applyAlignment="1">
      <alignment horizontal="left" vertical="center"/>
    </xf>
    <xf numFmtId="0" fontId="11" fillId="0" borderId="0" xfId="0" applyFont="1">
      <alignment vertical="center"/>
    </xf>
    <xf numFmtId="49" fontId="5" fillId="0" borderId="0" xfId="0" applyNumberFormat="1" applyFont="1">
      <alignment vertical="center"/>
    </xf>
    <xf numFmtId="176" fontId="5" fillId="0" borderId="0" xfId="0" applyNumberFormat="1" applyFont="1" applyAlignment="1">
      <alignment horizontal="left" vertical="center"/>
    </xf>
    <xf numFmtId="176" fontId="5" fillId="0" borderId="0" xfId="0" applyNumberFormat="1" applyFont="1" applyAlignment="1">
      <alignment horizontal="right" vertical="center"/>
    </xf>
    <xf numFmtId="10" fontId="7" fillId="0" borderId="0" xfId="0" applyNumberFormat="1" applyFont="1">
      <alignment vertical="center"/>
    </xf>
    <xf numFmtId="178" fontId="4" fillId="0" borderId="0" xfId="0" applyNumberFormat="1" applyFont="1">
      <alignment vertical="center"/>
    </xf>
    <xf numFmtId="176" fontId="7" fillId="0" borderId="0" xfId="0" applyNumberFormat="1" applyFont="1" applyAlignment="1">
      <alignment vertical="center"/>
    </xf>
    <xf numFmtId="176" fontId="7" fillId="0" borderId="0" xfId="0" applyNumberFormat="1" applyFont="1">
      <alignment vertical="center"/>
    </xf>
    <xf numFmtId="176" fontId="9" fillId="0" borderId="0" xfId="0" applyNumberFormat="1" applyFont="1" applyAlignment="1">
      <alignment horizontal="left" vertical="center"/>
    </xf>
    <xf numFmtId="176" fontId="9" fillId="0" borderId="0" xfId="0" applyNumberFormat="1" applyFont="1" applyAlignment="1">
      <alignment horizontal="center" vertical="center"/>
    </xf>
    <xf numFmtId="176" fontId="6" fillId="0" borderId="0" xfId="0" applyNumberFormat="1" applyFont="1" applyAlignment="1">
      <alignment horizontal="left" vertical="center"/>
    </xf>
    <xf numFmtId="176" fontId="5" fillId="0" borderId="0" xfId="0" applyNumberFormat="1" applyFont="1">
      <alignment vertical="center"/>
    </xf>
    <xf numFmtId="10" fontId="4" fillId="0" borderId="0" xfId="0" applyNumberFormat="1" applyFont="1">
      <alignment vertical="center"/>
    </xf>
    <xf numFmtId="14" fontId="6" fillId="0" borderId="0" xfId="0" applyNumberFormat="1" applyFont="1" applyAlignment="1">
      <alignment horizontal="right" vertical="center"/>
    </xf>
    <xf numFmtId="14" fontId="8" fillId="0" borderId="0" xfId="0" applyNumberFormat="1" applyFont="1" applyAlignment="1">
      <alignment horizontal="right" vertical="center"/>
    </xf>
    <xf numFmtId="177" fontId="6" fillId="0" borderId="0" xfId="0" applyNumberFormat="1" applyFont="1" applyAlignment="1">
      <alignment horizontal="right" vertical="center"/>
    </xf>
    <xf numFmtId="178" fontId="2" fillId="0" borderId="0" xfId="0" applyNumberFormat="1" applyFont="1">
      <alignment vertical="center"/>
    </xf>
    <xf numFmtId="176" fontId="13" fillId="0" borderId="0" xfId="0" applyNumberFormat="1" applyFont="1">
      <alignment vertical="center"/>
    </xf>
    <xf numFmtId="10" fontId="13" fillId="0" borderId="0" xfId="0" applyNumberFormat="1" applyFont="1">
      <alignment vertical="center"/>
    </xf>
    <xf numFmtId="178" fontId="21" fillId="0" borderId="0" xfId="0" applyNumberFormat="1" applyFont="1" applyAlignment="1">
      <alignment horizontal="right" vertical="center"/>
    </xf>
    <xf numFmtId="178" fontId="11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NumberFormat="1" applyFont="1" applyAlignment="1">
      <alignment horizontal="right" vertical="center"/>
    </xf>
    <xf numFmtId="0" fontId="2" fillId="0" borderId="0" xfId="0" applyNumberFormat="1" applyFont="1">
      <alignment vertical="center"/>
    </xf>
    <xf numFmtId="14" fontId="13" fillId="0" borderId="0" xfId="0" applyNumberFormat="1" applyFont="1" applyAlignment="1">
      <alignment horizontal="right" vertical="center"/>
    </xf>
    <xf numFmtId="14" fontId="7" fillId="0" borderId="0" xfId="0" applyNumberFormat="1" applyFont="1" applyAlignment="1">
      <alignment horizontal="right" vertical="center"/>
    </xf>
    <xf numFmtId="176" fontId="11" fillId="0" borderId="0" xfId="0" applyNumberFormat="1" applyFont="1" applyAlignment="1">
      <alignment horizontal="left" vertical="center"/>
    </xf>
    <xf numFmtId="14" fontId="25" fillId="0" borderId="0" xfId="0" applyNumberFormat="1" applyFont="1" applyAlignment="1">
      <alignment horizontal="right" vertical="center"/>
    </xf>
    <xf numFmtId="49" fontId="7" fillId="0" borderId="0" xfId="0" applyNumberFormat="1" applyFont="1" applyAlignment="1">
      <alignment horizontal="center" vertical="center"/>
    </xf>
    <xf numFmtId="177" fontId="26" fillId="0" borderId="0" xfId="0" applyNumberFormat="1" applyFont="1" applyAlignment="1">
      <alignment horizontal="center" vertical="center"/>
    </xf>
    <xf numFmtId="49" fontId="24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horizontal="right" vertical="center"/>
    </xf>
    <xf numFmtId="0" fontId="5" fillId="0" borderId="0" xfId="0" applyNumberFormat="1" applyFont="1" applyAlignment="1">
      <alignment horizontal="right" vertical="center"/>
    </xf>
    <xf numFmtId="0" fontId="3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right" vertical="center"/>
    </xf>
    <xf numFmtId="0" fontId="23" fillId="0" borderId="0" xfId="0" applyNumberFormat="1" applyFont="1" applyAlignment="1">
      <alignment horizontal="right" vertical="center"/>
    </xf>
    <xf numFmtId="176" fontId="12" fillId="0" borderId="0" xfId="0" applyNumberFormat="1" applyFont="1" applyAlignment="1">
      <alignment horizontal="right" vertical="center"/>
    </xf>
    <xf numFmtId="0" fontId="24" fillId="0" borderId="0" xfId="0" applyNumberFormat="1" applyFont="1" applyAlignment="1">
      <alignment horizontal="left" vertical="center"/>
    </xf>
    <xf numFmtId="0" fontId="8" fillId="0" borderId="0" xfId="0" applyNumberFormat="1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49" fontId="16" fillId="0" borderId="0" xfId="0" applyNumberFormat="1" applyFont="1" applyAlignment="1">
      <alignment horizontal="left" vertical="center"/>
    </xf>
    <xf numFmtId="49" fontId="23" fillId="0" borderId="0" xfId="0" applyNumberFormat="1" applyFont="1" applyAlignment="1">
      <alignment horizontal="left" vertical="center"/>
    </xf>
    <xf numFmtId="49" fontId="16" fillId="0" borderId="0" xfId="0" applyNumberFormat="1" applyFont="1">
      <alignment vertical="center"/>
    </xf>
    <xf numFmtId="49" fontId="18" fillId="0" borderId="0" xfId="0" applyNumberFormat="1" applyFont="1" applyAlignment="1">
      <alignment horizontal="left" vertical="center"/>
    </xf>
    <xf numFmtId="0" fontId="30" fillId="0" borderId="0" xfId="0" applyFont="1" applyAlignment="1">
      <alignment horizontal="center" vertical="center"/>
    </xf>
    <xf numFmtId="10" fontId="6" fillId="0" borderId="0" xfId="0" applyNumberFormat="1" applyFont="1" applyAlignment="1">
      <alignment horizontal="right" vertical="center"/>
    </xf>
    <xf numFmtId="0" fontId="4" fillId="0" borderId="0" xfId="0" applyNumberFormat="1" applyFont="1" applyAlignment="1">
      <alignment horizontal="center" vertical="center"/>
    </xf>
    <xf numFmtId="176" fontId="5" fillId="0" borderId="0" xfId="0" applyNumberFormat="1" applyFont="1" applyAlignment="1">
      <alignment vertical="center"/>
    </xf>
    <xf numFmtId="0" fontId="21" fillId="0" borderId="0" xfId="0" applyFont="1">
      <alignment vertical="center"/>
    </xf>
    <xf numFmtId="14" fontId="8" fillId="0" borderId="0" xfId="0" applyNumberFormat="1" applyFont="1" applyAlignment="1">
      <alignment horizontal="center" vertical="center"/>
    </xf>
    <xf numFmtId="177" fontId="16" fillId="0" borderId="0" xfId="0" applyNumberFormat="1" applyFont="1" applyAlignment="1">
      <alignment horizontal="right" vertical="center"/>
    </xf>
    <xf numFmtId="0" fontId="7" fillId="0" borderId="0" xfId="0" applyNumberFormat="1" applyFont="1" applyAlignment="1">
      <alignment horizontal="center" vertical="center"/>
    </xf>
    <xf numFmtId="176" fontId="30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left" vertical="center"/>
    </xf>
    <xf numFmtId="49" fontId="19" fillId="0" borderId="0" xfId="0" applyNumberFormat="1" applyFont="1" applyAlignment="1">
      <alignment horizontal="left" vertical="center"/>
    </xf>
    <xf numFmtId="49" fontId="20" fillId="0" borderId="0" xfId="0" applyNumberFormat="1" applyFont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14" fontId="12" fillId="0" borderId="0" xfId="0" applyNumberFormat="1" applyFont="1" applyAlignment="1">
      <alignment horizontal="right" vertical="center"/>
    </xf>
    <xf numFmtId="49" fontId="5" fillId="0" borderId="0" xfId="0" applyNumberFormat="1" applyFont="1" applyAlignment="1">
      <alignment horizontal="right" vertical="center"/>
    </xf>
    <xf numFmtId="49" fontId="11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49" fontId="11" fillId="0" borderId="0" xfId="0" applyNumberFormat="1" applyFont="1" applyAlignment="1">
      <alignment horizontal="left" vertical="center"/>
    </xf>
    <xf numFmtId="49" fontId="11" fillId="0" borderId="0" xfId="0" applyNumberFormat="1" applyFont="1" applyAlignment="1">
      <alignment horizontal="right" vertical="center"/>
    </xf>
    <xf numFmtId="49" fontId="2" fillId="0" borderId="0" xfId="0" applyNumberFormat="1" applyFont="1" applyAlignment="1">
      <alignment horizontal="left" vertical="center"/>
    </xf>
    <xf numFmtId="49" fontId="6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13" fillId="0" borderId="0" xfId="0" applyNumberFormat="1" applyFont="1" applyAlignment="1">
      <alignment horizontal="right" vertical="center"/>
    </xf>
    <xf numFmtId="14" fontId="31" fillId="0" borderId="0" xfId="0" applyNumberFormat="1" applyFont="1" applyAlignment="1">
      <alignment horizontal="right" vertical="center"/>
    </xf>
    <xf numFmtId="49" fontId="9" fillId="0" borderId="0" xfId="0" applyNumberFormat="1" applyFont="1" applyAlignment="1">
      <alignment horizontal="right" vertical="center"/>
    </xf>
    <xf numFmtId="49" fontId="19" fillId="0" borderId="0" xfId="0" applyNumberFormat="1" applyFont="1" applyAlignment="1">
      <alignment horizontal="center" vertical="center"/>
    </xf>
    <xf numFmtId="49" fontId="27" fillId="0" borderId="0" xfId="0" applyNumberFormat="1" applyFont="1">
      <alignment vertical="center"/>
    </xf>
    <xf numFmtId="49" fontId="19" fillId="0" borderId="0" xfId="0" applyNumberFormat="1" applyFont="1">
      <alignment vertical="center"/>
    </xf>
    <xf numFmtId="49" fontId="29" fillId="0" borderId="0" xfId="0" applyNumberFormat="1" applyFont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7" fontId="29" fillId="0" borderId="0" xfId="0" applyNumberFormat="1" applyFont="1" applyAlignment="1">
      <alignment horizontal="right" vertical="center"/>
    </xf>
    <xf numFmtId="177" fontId="6" fillId="0" borderId="0" xfId="0" applyNumberFormat="1" applyFont="1" applyAlignment="1">
      <alignment horizontal="left" vertical="center"/>
    </xf>
    <xf numFmtId="178" fontId="32" fillId="0" borderId="0" xfId="0" applyNumberFormat="1" applyFont="1" applyAlignment="1">
      <alignment horizontal="right" vertical="center"/>
    </xf>
    <xf numFmtId="49" fontId="23" fillId="0" borderId="0" xfId="0" applyNumberFormat="1" applyFont="1">
      <alignment vertical="center"/>
    </xf>
    <xf numFmtId="0" fontId="26" fillId="0" borderId="0" xfId="0" applyNumberFormat="1" applyFont="1" applyAlignment="1">
      <alignment horizontal="right" vertical="center"/>
    </xf>
    <xf numFmtId="177" fontId="2" fillId="0" borderId="0" xfId="0" applyNumberFormat="1" applyFont="1">
      <alignment vertical="center"/>
    </xf>
    <xf numFmtId="49" fontId="2" fillId="0" borderId="0" xfId="0" applyNumberFormat="1" applyFont="1" applyAlignment="1">
      <alignment horizontal="right" vertical="center"/>
    </xf>
    <xf numFmtId="0" fontId="33" fillId="0" borderId="0" xfId="0" applyFont="1">
      <alignment vertical="center"/>
    </xf>
    <xf numFmtId="49" fontId="15" fillId="0" borderId="0" xfId="0" applyNumberFormat="1" applyFont="1">
      <alignment vertical="center"/>
    </xf>
    <xf numFmtId="49" fontId="3" fillId="0" borderId="0" xfId="0" applyNumberFormat="1" applyFont="1" applyAlignment="1">
      <alignment horizontal="right" vertical="center"/>
    </xf>
    <xf numFmtId="49" fontId="12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178" fontId="6" fillId="0" borderId="0" xfId="0" applyNumberFormat="1" applyFont="1">
      <alignment vertical="center"/>
    </xf>
    <xf numFmtId="14" fontId="6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177" fontId="9" fillId="0" borderId="0" xfId="0" applyNumberFormat="1" applyFont="1" applyAlignment="1">
      <alignment horizontal="right" vertical="center"/>
    </xf>
    <xf numFmtId="10" fontId="8" fillId="0" borderId="0" xfId="0" applyNumberFormat="1" applyFont="1" applyAlignment="1">
      <alignment horizontal="right" vertical="center"/>
    </xf>
    <xf numFmtId="179" fontId="7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177" fontId="4" fillId="0" borderId="0" xfId="0" applyNumberFormat="1" applyFont="1">
      <alignment vertical="center"/>
    </xf>
    <xf numFmtId="10" fontId="6" fillId="0" borderId="0" xfId="0" applyNumberFormat="1" applyFont="1" applyAlignment="1">
      <alignment vertical="center"/>
    </xf>
    <xf numFmtId="0" fontId="36" fillId="0" borderId="0" xfId="0" applyFont="1">
      <alignment vertical="center"/>
    </xf>
    <xf numFmtId="0" fontId="4" fillId="0" borderId="0" xfId="0" applyFont="1" applyAlignment="1">
      <alignment vertical="center"/>
    </xf>
    <xf numFmtId="179" fontId="3" fillId="0" borderId="0" xfId="0" applyNumberFormat="1" applyFont="1">
      <alignment vertical="center"/>
    </xf>
    <xf numFmtId="176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176" fontId="13" fillId="0" borderId="0" xfId="0" applyNumberFormat="1" applyFont="1" applyAlignment="1">
      <alignment vertical="center"/>
    </xf>
    <xf numFmtId="10" fontId="7" fillId="0" borderId="0" xfId="0" applyNumberFormat="1" applyFont="1" applyAlignment="1">
      <alignment vertical="center"/>
    </xf>
    <xf numFmtId="179" fontId="11" fillId="0" borderId="0" xfId="0" applyNumberFormat="1" applyFont="1">
      <alignment vertical="center"/>
    </xf>
    <xf numFmtId="49" fontId="12" fillId="0" borderId="0" xfId="0" applyNumberFormat="1" applyFont="1" applyAlignment="1">
      <alignment vertical="center"/>
    </xf>
    <xf numFmtId="176" fontId="10" fillId="0" borderId="0" xfId="0" applyNumberFormat="1" applyFont="1" applyAlignment="1">
      <alignment vertical="center"/>
    </xf>
    <xf numFmtId="176" fontId="2" fillId="0" borderId="0" xfId="0" applyNumberFormat="1" applyFont="1" applyAlignment="1">
      <alignment vertical="center"/>
    </xf>
    <xf numFmtId="49" fontId="3" fillId="0" borderId="0" xfId="0" applyNumberFormat="1" applyFont="1" applyAlignment="1">
      <alignment vertical="center"/>
    </xf>
    <xf numFmtId="10" fontId="13" fillId="0" borderId="0" xfId="0" applyNumberFormat="1" applyFont="1" applyAlignment="1">
      <alignment vertical="center"/>
    </xf>
    <xf numFmtId="176" fontId="4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49" fontId="16" fillId="0" borderId="0" xfId="0" applyNumberFormat="1" applyFont="1" applyAlignment="1">
      <alignment vertical="center"/>
    </xf>
    <xf numFmtId="49" fontId="23" fillId="0" borderId="0" xfId="0" applyNumberFormat="1" applyFont="1" applyAlignment="1">
      <alignment vertical="center"/>
    </xf>
    <xf numFmtId="179" fontId="12" fillId="0" borderId="0" xfId="0" applyNumberFormat="1" applyFont="1">
      <alignment vertical="center"/>
    </xf>
    <xf numFmtId="10" fontId="12" fillId="0" borderId="0" xfId="0" applyNumberFormat="1" applyFont="1">
      <alignment vertical="center"/>
    </xf>
    <xf numFmtId="0" fontId="3" fillId="0" borderId="0" xfId="0" applyFont="1" applyAlignment="1">
      <alignment vertical="center"/>
    </xf>
    <xf numFmtId="0" fontId="6" fillId="0" borderId="0" xfId="0" applyNumberFormat="1" applyFont="1" applyFill="1" applyAlignment="1">
      <alignment horizontal="right" vertical="center"/>
    </xf>
    <xf numFmtId="176" fontId="6" fillId="0" borderId="0" xfId="0" applyNumberFormat="1" applyFont="1" applyFill="1" applyAlignment="1">
      <alignment horizontal="right" vertical="center"/>
    </xf>
    <xf numFmtId="49" fontId="6" fillId="0" borderId="0" xfId="0" applyNumberFormat="1" applyFont="1" applyFill="1" applyAlignment="1">
      <alignment horizontal="right" vertical="center"/>
    </xf>
    <xf numFmtId="0" fontId="4" fillId="0" borderId="0" xfId="0" applyFont="1" applyFill="1">
      <alignment vertical="center"/>
    </xf>
    <xf numFmtId="0" fontId="6" fillId="0" borderId="0" xfId="0" applyFont="1" applyFill="1" applyAlignment="1">
      <alignment horizontal="center" vertical="center"/>
    </xf>
    <xf numFmtId="176" fontId="2" fillId="0" borderId="0" xfId="0" applyNumberFormat="1" applyFont="1" applyFill="1">
      <alignment vertical="center"/>
    </xf>
    <xf numFmtId="10" fontId="3" fillId="0" borderId="0" xfId="0" applyNumberFormat="1" applyFont="1" applyFill="1">
      <alignment vertical="center"/>
    </xf>
    <xf numFmtId="49" fontId="16" fillId="0" borderId="0" xfId="0" applyNumberFormat="1" applyFont="1" applyFill="1" applyAlignment="1">
      <alignment horizontal="left" vertical="center"/>
    </xf>
    <xf numFmtId="178" fontId="11" fillId="0" borderId="0" xfId="0" applyNumberFormat="1" applyFont="1" applyFill="1" applyAlignment="1">
      <alignment horizontal="right" vertical="center"/>
    </xf>
    <xf numFmtId="49" fontId="11" fillId="0" borderId="0" xfId="0" applyNumberFormat="1" applyFont="1" applyFill="1" applyAlignment="1">
      <alignment vertical="center"/>
    </xf>
    <xf numFmtId="14" fontId="13" fillId="0" borderId="0" xfId="0" applyNumberFormat="1" applyFont="1" applyFill="1" applyAlignment="1">
      <alignment horizontal="right" vertical="center"/>
    </xf>
    <xf numFmtId="49" fontId="15" fillId="0" borderId="0" xfId="0" applyNumberFormat="1" applyFont="1" applyAlignment="1">
      <alignment vertical="center"/>
    </xf>
    <xf numFmtId="49" fontId="12" fillId="0" borderId="0" xfId="0" applyNumberFormat="1" applyFont="1" applyFill="1" applyAlignment="1">
      <alignment horizontal="right" vertical="center"/>
    </xf>
    <xf numFmtId="176" fontId="8" fillId="0" borderId="0" xfId="0" applyNumberFormat="1" applyFont="1" applyAlignment="1">
      <alignment vertical="center"/>
    </xf>
    <xf numFmtId="176" fontId="16" fillId="0" borderId="0" xfId="0" applyNumberFormat="1" applyFont="1" applyAlignment="1">
      <alignment vertical="center"/>
    </xf>
    <xf numFmtId="176" fontId="15" fillId="0" borderId="0" xfId="0" applyNumberFormat="1" applyFont="1" applyAlignment="1">
      <alignment vertical="center"/>
    </xf>
    <xf numFmtId="176" fontId="23" fillId="0" borderId="0" xfId="0" applyNumberFormat="1" applyFont="1" applyAlignment="1">
      <alignment vertical="center"/>
    </xf>
    <xf numFmtId="176" fontId="18" fillId="0" borderId="0" xfId="0" applyNumberFormat="1" applyFont="1" applyAlignment="1">
      <alignment vertical="center"/>
    </xf>
    <xf numFmtId="14" fontId="8" fillId="0" borderId="0" xfId="0" applyNumberFormat="1" applyFont="1" applyAlignment="1">
      <alignment horizontal="left" vertical="center"/>
    </xf>
    <xf numFmtId="49" fontId="19" fillId="0" borderId="0" xfId="0" applyNumberFormat="1" applyFont="1" applyAlignment="1">
      <alignment vertical="center"/>
    </xf>
    <xf numFmtId="176" fontId="11" fillId="0" borderId="0" xfId="0" applyNumberFormat="1" applyFont="1" applyAlignment="1">
      <alignment vertical="center"/>
    </xf>
    <xf numFmtId="176" fontId="11" fillId="0" borderId="0" xfId="0" applyNumberFormat="1" applyFont="1" applyAlignment="1">
      <alignment horizontal="right" vertical="center"/>
    </xf>
    <xf numFmtId="0" fontId="37" fillId="0" borderId="0" xfId="0" applyFont="1">
      <alignment vertical="center"/>
    </xf>
    <xf numFmtId="176" fontId="7" fillId="0" borderId="0" xfId="0" applyNumberFormat="1" applyFont="1" applyAlignment="1">
      <alignment horizontal="left" vertical="center"/>
    </xf>
    <xf numFmtId="177" fontId="6" fillId="0" borderId="0" xfId="0" applyNumberFormat="1" applyFont="1">
      <alignment vertical="center"/>
    </xf>
    <xf numFmtId="178" fontId="7" fillId="0" borderId="0" xfId="0" applyNumberFormat="1" applyFont="1">
      <alignment vertical="center"/>
    </xf>
    <xf numFmtId="176" fontId="22" fillId="0" borderId="0" xfId="0" applyNumberFormat="1" applyFont="1">
      <alignment vertical="center"/>
    </xf>
    <xf numFmtId="14" fontId="6" fillId="0" borderId="0" xfId="0" applyNumberFormat="1" applyFont="1">
      <alignment vertical="center"/>
    </xf>
    <xf numFmtId="14" fontId="8" fillId="0" borderId="0" xfId="0" applyNumberFormat="1" applyFont="1">
      <alignment vertical="center"/>
    </xf>
    <xf numFmtId="0" fontId="14" fillId="0" borderId="0" xfId="0" applyNumberFormat="1" applyFont="1" applyAlignment="1">
      <alignment horizontal="right" vertical="center"/>
    </xf>
    <xf numFmtId="0" fontId="38" fillId="0" borderId="0" xfId="0" applyNumberFormat="1" applyFont="1" applyAlignment="1">
      <alignment horizontal="right" vertical="center"/>
    </xf>
    <xf numFmtId="10" fontId="6" fillId="0" borderId="0" xfId="0" applyNumberFormat="1" applyFont="1">
      <alignment vertical="center"/>
    </xf>
    <xf numFmtId="49" fontId="20" fillId="0" borderId="0" xfId="0" applyNumberFormat="1" applyFont="1" applyAlignment="1">
      <alignment vertical="center"/>
    </xf>
    <xf numFmtId="14" fontId="8" fillId="0" borderId="0" xfId="0" applyNumberFormat="1" applyFont="1" applyAlignment="1">
      <alignment vertical="center"/>
    </xf>
    <xf numFmtId="49" fontId="39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49" fontId="7" fillId="0" borderId="0" xfId="0" applyNumberFormat="1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49" fontId="12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78" fontId="6" fillId="0" borderId="0" xfId="0" applyNumberFormat="1" applyFont="1" applyAlignment="1">
      <alignment horizontal="left" vertical="center"/>
    </xf>
    <xf numFmtId="10" fontId="9" fillId="0" borderId="0" xfId="0" applyNumberFormat="1" applyFont="1" applyAlignment="1">
      <alignment vertical="center"/>
    </xf>
    <xf numFmtId="176" fontId="9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176" fontId="7" fillId="0" borderId="0" xfId="0" applyNumberFormat="1" applyFont="1" applyAlignment="1">
      <alignment horizontal="right" vertical="center"/>
    </xf>
    <xf numFmtId="0" fontId="6" fillId="0" borderId="0" xfId="0" applyNumberFormat="1" applyFont="1">
      <alignment vertical="center"/>
    </xf>
    <xf numFmtId="49" fontId="2" fillId="0" borderId="0" xfId="0" applyNumberFormat="1" applyFont="1" applyAlignment="1">
      <alignment horizontal="center" vertical="center"/>
    </xf>
    <xf numFmtId="44" fontId="6" fillId="0" borderId="0" xfId="2" applyFont="1" applyAlignment="1">
      <alignment vertical="center"/>
    </xf>
    <xf numFmtId="44" fontId="6" fillId="0" borderId="0" xfId="2" applyFont="1">
      <alignment vertical="center"/>
    </xf>
    <xf numFmtId="180" fontId="4" fillId="0" borderId="0" xfId="2" applyNumberFormat="1" applyFont="1" applyAlignment="1">
      <alignment vertical="center"/>
    </xf>
    <xf numFmtId="181" fontId="29" fillId="0" borderId="0" xfId="0" applyNumberFormat="1" applyFont="1" applyAlignment="1">
      <alignment vertical="center"/>
    </xf>
    <xf numFmtId="181" fontId="41" fillId="0" borderId="0" xfId="0" applyNumberFormat="1" applyFont="1" applyAlignment="1">
      <alignment vertical="center"/>
    </xf>
    <xf numFmtId="176" fontId="12" fillId="0" borderId="0" xfId="0" applyNumberFormat="1" applyFont="1" applyAlignment="1">
      <alignment horizontal="left" vertical="center"/>
    </xf>
    <xf numFmtId="176" fontId="34" fillId="0" borderId="0" xfId="0" applyNumberFormat="1" applyFont="1">
      <alignment vertical="center"/>
    </xf>
    <xf numFmtId="176" fontId="12" fillId="0" borderId="0" xfId="0" applyNumberFormat="1" applyFont="1">
      <alignment vertical="center"/>
    </xf>
    <xf numFmtId="176" fontId="29" fillId="0" borderId="0" xfId="0" applyNumberFormat="1" applyFont="1" applyAlignment="1">
      <alignment horizontal="right" vertical="center"/>
    </xf>
    <xf numFmtId="0" fontId="42" fillId="0" borderId="0" xfId="0" applyNumberFormat="1" applyFont="1" applyAlignment="1">
      <alignment horizontal="right" vertical="center"/>
    </xf>
    <xf numFmtId="178" fontId="19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center" vertical="center"/>
    </xf>
    <xf numFmtId="182" fontId="6" fillId="0" borderId="0" xfId="3" applyNumberFormat="1" applyFont="1" applyAlignment="1">
      <alignment vertical="center"/>
    </xf>
    <xf numFmtId="182" fontId="4" fillId="0" borderId="0" xfId="3" applyNumberFormat="1" applyFont="1" applyAlignment="1">
      <alignment vertical="center"/>
    </xf>
    <xf numFmtId="182" fontId="4" fillId="0" borderId="0" xfId="3" applyNumberFormat="1" applyFont="1">
      <alignment vertical="center"/>
    </xf>
    <xf numFmtId="182" fontId="9" fillId="0" borderId="0" xfId="3" applyNumberFormat="1" applyFont="1" applyAlignment="1">
      <alignment vertical="center"/>
    </xf>
    <xf numFmtId="182" fontId="6" fillId="0" borderId="0" xfId="3" applyNumberFormat="1" applyFont="1">
      <alignment vertical="center"/>
    </xf>
    <xf numFmtId="182" fontId="3" fillId="0" borderId="0" xfId="3" applyNumberFormat="1" applyFont="1">
      <alignment vertical="center"/>
    </xf>
    <xf numFmtId="0" fontId="43" fillId="0" borderId="0" xfId="0" applyNumberFormat="1" applyFont="1" applyAlignment="1">
      <alignment horizontal="right" vertical="center"/>
    </xf>
    <xf numFmtId="177" fontId="2" fillId="0" borderId="0" xfId="0" applyNumberFormat="1" applyFont="1" applyAlignment="1">
      <alignment vertical="center"/>
    </xf>
    <xf numFmtId="181" fontId="4" fillId="0" borderId="0" xfId="0" applyNumberFormat="1" applyFont="1" applyAlignment="1">
      <alignment vertical="center"/>
    </xf>
    <xf numFmtId="0" fontId="19" fillId="0" borderId="0" xfId="0" applyFont="1" applyAlignment="1">
      <alignment horizontal="center" vertical="center"/>
    </xf>
    <xf numFmtId="179" fontId="13" fillId="0" borderId="0" xfId="0" applyNumberFormat="1" applyFont="1" applyAlignment="1">
      <alignment vertical="center"/>
    </xf>
    <xf numFmtId="0" fontId="29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49" fontId="9" fillId="0" borderId="0" xfId="0" applyNumberFormat="1" applyFont="1">
      <alignment vertical="center"/>
    </xf>
    <xf numFmtId="49" fontId="6" fillId="0" borderId="0" xfId="0" applyNumberFormat="1" applyFont="1" applyFill="1" applyAlignment="1">
      <alignment vertical="center"/>
    </xf>
    <xf numFmtId="0" fontId="23" fillId="0" borderId="0" xfId="0" applyFont="1" applyAlignment="1">
      <alignment horizontal="center" vertical="center"/>
    </xf>
    <xf numFmtId="49" fontId="44" fillId="0" borderId="0" xfId="0" applyNumberFormat="1" applyFont="1" applyFill="1" applyAlignment="1">
      <alignment vertical="center"/>
    </xf>
    <xf numFmtId="0" fontId="44" fillId="0" borderId="0" xfId="0" applyFont="1">
      <alignment vertical="center"/>
    </xf>
    <xf numFmtId="176" fontId="6" fillId="0" borderId="0" xfId="0" applyNumberFormat="1" applyFont="1" applyFill="1" applyAlignment="1">
      <alignment horizontal="left" vertical="center"/>
    </xf>
    <xf numFmtId="10" fontId="8" fillId="0" borderId="0" xfId="0" applyNumberFormat="1" applyFont="1">
      <alignment vertical="center"/>
    </xf>
    <xf numFmtId="176" fontId="9" fillId="0" borderId="0" xfId="0" applyNumberFormat="1" applyFont="1">
      <alignment vertical="center"/>
    </xf>
    <xf numFmtId="0" fontId="9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178" fontId="10" fillId="0" borderId="0" xfId="0" applyNumberFormat="1" applyFont="1" applyAlignment="1">
      <alignment vertical="center"/>
    </xf>
    <xf numFmtId="178" fontId="4" fillId="0" borderId="0" xfId="0" applyNumberFormat="1" applyFont="1" applyAlignment="1">
      <alignment vertical="center"/>
    </xf>
    <xf numFmtId="176" fontId="12" fillId="0" borderId="0" xfId="0" applyNumberFormat="1" applyFont="1" applyAlignment="1">
      <alignment vertical="center"/>
    </xf>
    <xf numFmtId="0" fontId="28" fillId="0" borderId="0" xfId="0" applyFont="1" applyAlignment="1">
      <alignment vertical="center"/>
    </xf>
    <xf numFmtId="49" fontId="10" fillId="0" borderId="0" xfId="0" applyNumberFormat="1" applyFont="1" applyAlignment="1">
      <alignment horizontal="center" vertical="center"/>
    </xf>
    <xf numFmtId="181" fontId="23" fillId="0" borderId="0" xfId="0" applyNumberFormat="1" applyFont="1" applyAlignment="1">
      <alignment vertical="center"/>
    </xf>
    <xf numFmtId="49" fontId="3" fillId="0" borderId="0" xfId="0" applyNumberFormat="1" applyFont="1" applyAlignment="1">
      <alignment horizontal="center" vertical="center"/>
    </xf>
    <xf numFmtId="0" fontId="27" fillId="0" borderId="0" xfId="0" applyFont="1">
      <alignment vertical="center"/>
    </xf>
    <xf numFmtId="176" fontId="27" fillId="0" borderId="0" xfId="0" applyNumberFormat="1" applyFont="1">
      <alignment vertical="center"/>
    </xf>
    <xf numFmtId="176" fontId="27" fillId="0" borderId="0" xfId="0" applyNumberFormat="1" applyFont="1" applyAlignment="1">
      <alignment horizontal="center" vertical="center"/>
    </xf>
    <xf numFmtId="0" fontId="27" fillId="0" borderId="0" xfId="0" applyFont="1" applyFill="1">
      <alignment vertical="center"/>
    </xf>
    <xf numFmtId="0" fontId="2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9" fontId="7" fillId="0" borderId="0" xfId="4" applyFont="1" applyAlignment="1">
      <alignment vertical="center"/>
    </xf>
    <xf numFmtId="0" fontId="12" fillId="0" borderId="0" xfId="0" applyFont="1">
      <alignment vertical="center"/>
    </xf>
    <xf numFmtId="14" fontId="7" fillId="0" borderId="0" xfId="0" applyNumberFormat="1" applyFont="1">
      <alignment vertical="center"/>
    </xf>
    <xf numFmtId="14" fontId="13" fillId="0" borderId="0" xfId="0" applyNumberFormat="1" applyFont="1">
      <alignment vertical="center"/>
    </xf>
    <xf numFmtId="0" fontId="37" fillId="0" borderId="0" xfId="0" applyFont="1" applyAlignment="1">
      <alignment vertical="center"/>
    </xf>
    <xf numFmtId="0" fontId="12" fillId="0" borderId="0" xfId="0" applyFont="1" applyFill="1">
      <alignment vertical="center"/>
    </xf>
    <xf numFmtId="178" fontId="12" fillId="0" borderId="0" xfId="0" applyNumberFormat="1" applyFont="1" applyAlignment="1">
      <alignment horizontal="right" vertical="center"/>
    </xf>
    <xf numFmtId="0" fontId="27" fillId="0" borderId="0" xfId="0" applyFont="1" applyAlignment="1"/>
    <xf numFmtId="0" fontId="27" fillId="0" borderId="0" xfId="0" applyNumberFormat="1" applyFont="1" applyAlignment="1">
      <alignment vertical="center"/>
    </xf>
    <xf numFmtId="0" fontId="27" fillId="0" borderId="0" xfId="0" applyFont="1" applyAlignment="1">
      <alignment horizontal="right" vertical="center"/>
    </xf>
    <xf numFmtId="0" fontId="10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49" fontId="27" fillId="0" borderId="0" xfId="0" applyNumberFormat="1" applyFont="1" applyAlignment="1">
      <alignment horizontal="right" vertical="center"/>
    </xf>
    <xf numFmtId="0" fontId="45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49" fontId="46" fillId="0" borderId="0" xfId="1" applyNumberFormat="1" applyFont="1" applyAlignment="1" applyProtection="1">
      <alignment horizontal="left" vertical="center"/>
    </xf>
    <xf numFmtId="49" fontId="47" fillId="0" borderId="0" xfId="1" applyNumberFormat="1" applyFont="1" applyAlignment="1" applyProtection="1">
      <alignment vertical="center"/>
    </xf>
    <xf numFmtId="0" fontId="8" fillId="0" borderId="0" xfId="0" applyFont="1">
      <alignment vertical="center"/>
    </xf>
    <xf numFmtId="176" fontId="12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49" fontId="17" fillId="0" borderId="0" xfId="1" applyNumberFormat="1" applyAlignment="1" applyProtection="1">
      <alignment horizontal="left" vertical="center"/>
    </xf>
    <xf numFmtId="49" fontId="10" fillId="0" borderId="0" xfId="0" applyNumberFormat="1" applyFont="1" applyAlignment="1">
      <alignment horizontal="right" vertical="center"/>
    </xf>
    <xf numFmtId="178" fontId="9" fillId="0" borderId="0" xfId="0" applyNumberFormat="1" applyFont="1" applyAlignment="1">
      <alignment horizontal="right" vertical="center"/>
    </xf>
    <xf numFmtId="179" fontId="7" fillId="0" borderId="0" xfId="0" applyNumberFormat="1" applyFont="1" applyAlignment="1">
      <alignment vertical="center"/>
    </xf>
    <xf numFmtId="14" fontId="9" fillId="0" borderId="0" xfId="0" applyNumberFormat="1" applyFont="1" applyAlignment="1">
      <alignment horizontal="right" vertical="center"/>
    </xf>
    <xf numFmtId="182" fontId="13" fillId="0" borderId="0" xfId="0" applyNumberFormat="1" applyFont="1" applyAlignment="1">
      <alignment horizontal="right" vertical="center"/>
    </xf>
    <xf numFmtId="0" fontId="30" fillId="0" borderId="0" xfId="0" applyNumberFormat="1" applyFont="1" applyAlignment="1">
      <alignment horizontal="center" vertical="center"/>
    </xf>
    <xf numFmtId="0" fontId="28" fillId="0" borderId="0" xfId="0" applyFont="1">
      <alignment vertical="center"/>
    </xf>
    <xf numFmtId="0" fontId="19" fillId="0" borderId="0" xfId="0" applyFont="1">
      <alignment vertical="center"/>
    </xf>
    <xf numFmtId="14" fontId="30" fillId="0" borderId="0" xfId="0" applyNumberFormat="1" applyFont="1" applyAlignment="1">
      <alignment horizontal="center" vertical="center"/>
    </xf>
    <xf numFmtId="177" fontId="8" fillId="0" borderId="0" xfId="0" applyNumberFormat="1" applyFont="1" applyAlignment="1">
      <alignment horizontal="left" vertical="center"/>
    </xf>
    <xf numFmtId="177" fontId="4" fillId="0" borderId="0" xfId="0" applyNumberFormat="1" applyFont="1" applyAlignment="1">
      <alignment horizontal="center" vertical="center"/>
    </xf>
    <xf numFmtId="178" fontId="12" fillId="0" borderId="0" xfId="0" applyNumberFormat="1" applyFont="1" applyAlignment="1">
      <alignment vertical="center"/>
    </xf>
    <xf numFmtId="0" fontId="34" fillId="0" borderId="0" xfId="0" applyFont="1">
      <alignment vertical="center"/>
    </xf>
    <xf numFmtId="178" fontId="7" fillId="0" borderId="0" xfId="0" applyNumberFormat="1" applyFont="1" applyAlignment="1">
      <alignment horizontal="right" vertical="center"/>
    </xf>
    <xf numFmtId="0" fontId="7" fillId="0" borderId="0" xfId="0" applyFont="1" applyAlignment="1">
      <alignment vertical="center"/>
    </xf>
    <xf numFmtId="0" fontId="49" fillId="0" borderId="0" xfId="0" applyFont="1" applyAlignment="1">
      <alignment horizontal="center" vertical="center"/>
    </xf>
    <xf numFmtId="0" fontId="7" fillId="0" borderId="0" xfId="0" applyNumberFormat="1" applyFont="1">
      <alignment vertical="center"/>
    </xf>
    <xf numFmtId="0" fontId="7" fillId="0" borderId="0" xfId="0" applyFont="1" applyFill="1">
      <alignment vertical="center"/>
    </xf>
    <xf numFmtId="0" fontId="7" fillId="0" borderId="0" xfId="0" applyFont="1" applyAlignment="1">
      <alignment horizontal="left" vertical="center"/>
    </xf>
    <xf numFmtId="176" fontId="34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vertical="center"/>
    </xf>
    <xf numFmtId="49" fontId="12" fillId="0" borderId="0" xfId="0" applyNumberFormat="1" applyFont="1">
      <alignment vertical="center"/>
    </xf>
    <xf numFmtId="177" fontId="5" fillId="0" borderId="0" xfId="0" applyNumberFormat="1" applyFont="1" applyAlignment="1">
      <alignment horizontal="center" vertical="center"/>
    </xf>
    <xf numFmtId="177" fontId="5" fillId="0" borderId="0" xfId="0" applyNumberFormat="1" applyFont="1" applyAlignment="1">
      <alignment horizontal="right" vertical="center"/>
    </xf>
    <xf numFmtId="177" fontId="6" fillId="0" borderId="0" xfId="0" applyNumberFormat="1" applyFont="1" applyFill="1" applyAlignment="1">
      <alignment horizontal="right" vertical="center"/>
    </xf>
    <xf numFmtId="177" fontId="11" fillId="0" borderId="0" xfId="0" applyNumberFormat="1" applyFont="1">
      <alignment vertical="center"/>
    </xf>
    <xf numFmtId="177" fontId="21" fillId="0" borderId="0" xfId="0" applyNumberFormat="1" applyFont="1">
      <alignment vertical="center"/>
    </xf>
    <xf numFmtId="177" fontId="6" fillId="0" borderId="0" xfId="0" applyNumberFormat="1" applyFont="1" applyAlignment="1">
      <alignment horizontal="center" vertical="center"/>
    </xf>
    <xf numFmtId="177" fontId="8" fillId="0" borderId="0" xfId="0" applyNumberFormat="1" applyFont="1" applyAlignment="1">
      <alignment horizontal="right" vertical="center"/>
    </xf>
    <xf numFmtId="177" fontId="8" fillId="0" borderId="0" xfId="0" applyNumberFormat="1" applyFont="1" applyFill="1" applyAlignment="1">
      <alignment horizontal="right" vertical="center"/>
    </xf>
    <xf numFmtId="177" fontId="5" fillId="0" borderId="0" xfId="0" applyNumberFormat="1" applyFont="1" applyFill="1" applyAlignment="1">
      <alignment horizontal="right" vertical="center"/>
    </xf>
    <xf numFmtId="177" fontId="8" fillId="0" borderId="0" xfId="0" applyNumberFormat="1" applyFont="1">
      <alignment vertical="center"/>
    </xf>
    <xf numFmtId="177" fontId="27" fillId="0" borderId="0" xfId="0" applyNumberFormat="1" applyFont="1">
      <alignment vertical="center"/>
    </xf>
    <xf numFmtId="177" fontId="8" fillId="0" borderId="0" xfId="0" applyNumberFormat="1" applyFont="1" applyAlignment="1">
      <alignment horizontal="center" vertical="center"/>
    </xf>
    <xf numFmtId="177" fontId="48" fillId="0" borderId="0" xfId="0" applyNumberFormat="1" applyFont="1">
      <alignment vertical="center"/>
    </xf>
    <xf numFmtId="177" fontId="9" fillId="0" borderId="0" xfId="0" applyNumberFormat="1" applyFont="1">
      <alignment vertical="center"/>
    </xf>
    <xf numFmtId="177" fontId="27" fillId="0" borderId="0" xfId="0" applyNumberFormat="1" applyFont="1" applyAlignment="1">
      <alignment vertical="center"/>
    </xf>
    <xf numFmtId="177" fontId="6" fillId="0" borderId="0" xfId="0" applyNumberFormat="1" applyFont="1" applyAlignment="1">
      <alignment vertical="center"/>
    </xf>
    <xf numFmtId="177" fontId="5" fillId="0" borderId="0" xfId="0" applyNumberFormat="1" applyFont="1" applyAlignment="1">
      <alignment horizontal="left" vertical="center"/>
    </xf>
    <xf numFmtId="177" fontId="5" fillId="0" borderId="0" xfId="0" applyNumberFormat="1" applyFont="1">
      <alignment vertical="center"/>
    </xf>
    <xf numFmtId="177" fontId="2" fillId="0" borderId="0" xfId="0" applyNumberFormat="1" applyFont="1" applyAlignment="1">
      <alignment horizontal="right" vertical="center"/>
    </xf>
    <xf numFmtId="177" fontId="48" fillId="0" borderId="0" xfId="0" applyNumberFormat="1" applyFont="1" applyAlignment="1">
      <alignment vertical="center"/>
    </xf>
    <xf numFmtId="177" fontId="4" fillId="0" borderId="0" xfId="0" applyNumberFormat="1" applyFont="1" applyAlignment="1">
      <alignment horizontal="left" vertical="center"/>
    </xf>
    <xf numFmtId="179" fontId="6" fillId="0" borderId="0" xfId="0" applyNumberFormat="1" applyFont="1">
      <alignment vertical="center"/>
    </xf>
    <xf numFmtId="9" fontId="6" fillId="0" borderId="0" xfId="0" applyNumberFormat="1" applyFont="1">
      <alignment vertical="center"/>
    </xf>
    <xf numFmtId="14" fontId="30" fillId="0" borderId="0" xfId="0" applyNumberFormat="1" applyFont="1" applyFill="1" applyAlignment="1">
      <alignment horizontal="center" vertical="center"/>
    </xf>
    <xf numFmtId="0" fontId="4" fillId="0" borderId="0" xfId="0" applyNumberFormat="1" applyFont="1">
      <alignment vertical="center"/>
    </xf>
    <xf numFmtId="0" fontId="4" fillId="0" borderId="0" xfId="0" applyNumberFormat="1" applyFont="1" applyAlignment="1">
      <alignment vertical="center"/>
    </xf>
    <xf numFmtId="0" fontId="4" fillId="0" borderId="0" xfId="0" applyNumberFormat="1" applyFont="1" applyFill="1">
      <alignment vertical="center"/>
    </xf>
    <xf numFmtId="0" fontId="24" fillId="0" borderId="0" xfId="0" applyFont="1" applyAlignment="1">
      <alignment horizontal="center" vertical="center"/>
    </xf>
    <xf numFmtId="177" fontId="9" fillId="0" borderId="0" xfId="0" applyNumberFormat="1" applyFont="1" applyAlignment="1">
      <alignment horizontal="left" vertical="center"/>
    </xf>
    <xf numFmtId="0" fontId="4" fillId="0" borderId="0" xfId="0" applyNumberFormat="1" applyFont="1" applyAlignment="1">
      <alignment horizontal="left" vertical="center"/>
    </xf>
    <xf numFmtId="177" fontId="9" fillId="0" borderId="0" xfId="0" applyNumberFormat="1" applyFont="1" applyAlignment="1">
      <alignment horizontal="center" vertical="center"/>
    </xf>
    <xf numFmtId="49" fontId="34" fillId="0" borderId="0" xfId="0" applyNumberFormat="1" applyFont="1" applyAlignment="1">
      <alignment vertical="center"/>
    </xf>
    <xf numFmtId="49" fontId="34" fillId="0" borderId="0" xfId="0" applyNumberFormat="1" applyFont="1" applyAlignment="1">
      <alignment horizontal="center" vertical="center"/>
    </xf>
    <xf numFmtId="49" fontId="34" fillId="0" borderId="0" xfId="0" applyNumberFormat="1" applyFont="1">
      <alignment vertical="center"/>
    </xf>
    <xf numFmtId="49" fontId="28" fillId="0" borderId="0" xfId="0" applyNumberFormat="1" applyFont="1" applyAlignment="1">
      <alignment horizontal="right" vertical="center"/>
    </xf>
    <xf numFmtId="14" fontId="30" fillId="0" borderId="0" xfId="0" applyNumberFormat="1" applyFont="1" applyFill="1" applyAlignment="1">
      <alignment horizontal="left" vertical="center"/>
    </xf>
    <xf numFmtId="176" fontId="4" fillId="0" borderId="0" xfId="0" applyNumberFormat="1" applyFont="1" applyAlignment="1">
      <alignment horizontal="left" vertical="center"/>
    </xf>
    <xf numFmtId="177" fontId="4" fillId="0" borderId="0" xfId="0" applyNumberFormat="1" applyFont="1" applyAlignment="1">
      <alignment vertical="center"/>
    </xf>
    <xf numFmtId="0" fontId="30" fillId="0" borderId="0" xfId="0" applyNumberFormat="1" applyFont="1" applyAlignment="1">
      <alignment vertical="center"/>
    </xf>
    <xf numFmtId="0" fontId="50" fillId="0" borderId="0" xfId="0" applyNumberFormat="1" applyFont="1">
      <alignment vertical="center"/>
    </xf>
    <xf numFmtId="0" fontId="30" fillId="0" borderId="0" xfId="0" applyFont="1" applyAlignment="1">
      <alignment vertical="center"/>
    </xf>
    <xf numFmtId="9" fontId="30" fillId="0" borderId="0" xfId="4" applyFont="1" applyAlignment="1">
      <alignment vertical="center"/>
    </xf>
    <xf numFmtId="179" fontId="30" fillId="0" borderId="0" xfId="4" applyNumberFormat="1" applyFont="1">
      <alignment vertical="center"/>
    </xf>
    <xf numFmtId="0" fontId="30" fillId="0" borderId="0" xfId="0" applyFont="1">
      <alignment vertical="center"/>
    </xf>
    <xf numFmtId="9" fontId="30" fillId="0" borderId="0" xfId="4" applyNumberFormat="1" applyFont="1">
      <alignment vertical="center"/>
    </xf>
    <xf numFmtId="49" fontId="8" fillId="0" borderId="0" xfId="0" applyNumberFormat="1" applyFont="1" applyFill="1" applyAlignment="1">
      <alignment horizontal="left" vertical="center"/>
    </xf>
    <xf numFmtId="49" fontId="30" fillId="0" borderId="0" xfId="0" applyNumberFormat="1" applyFont="1" applyAlignment="1">
      <alignment horizontal="center" vertical="center"/>
    </xf>
    <xf numFmtId="14" fontId="10" fillId="0" borderId="0" xfId="0" applyNumberFormat="1" applyFont="1" applyAlignment="1">
      <alignment horizontal="right" vertical="center"/>
    </xf>
    <xf numFmtId="49" fontId="11" fillId="0" borderId="0" xfId="0" applyNumberFormat="1" applyFont="1" applyFill="1">
      <alignment vertical="center"/>
    </xf>
    <xf numFmtId="182" fontId="7" fillId="0" borderId="0" xfId="3" applyNumberFormat="1" applyFont="1">
      <alignment vertical="center"/>
    </xf>
    <xf numFmtId="182" fontId="7" fillId="0" borderId="0" xfId="3" applyNumberFormat="1" applyFont="1" applyAlignment="1">
      <alignment horizontal="right" vertical="center"/>
    </xf>
    <xf numFmtId="178" fontId="34" fillId="0" borderId="0" xfId="0" applyNumberFormat="1" applyFont="1" applyAlignment="1">
      <alignment vertical="center"/>
    </xf>
    <xf numFmtId="9" fontId="7" fillId="0" borderId="0" xfId="0" applyNumberFormat="1" applyFont="1">
      <alignment vertical="center"/>
    </xf>
    <xf numFmtId="178" fontId="20" fillId="0" borderId="0" xfId="0" applyNumberFormat="1" applyFont="1" applyAlignment="1">
      <alignment horizontal="right" vertical="center"/>
    </xf>
    <xf numFmtId="0" fontId="19" fillId="0" borderId="0" xfId="0" applyNumberFormat="1" applyFont="1">
      <alignment vertical="center"/>
    </xf>
    <xf numFmtId="0" fontId="6" fillId="0" borderId="0" xfId="0" applyNumberFormat="1" applyFont="1" applyFill="1" applyAlignment="1">
      <alignment horizontal="left" vertical="center"/>
    </xf>
    <xf numFmtId="49" fontId="22" fillId="0" borderId="0" xfId="0" applyNumberFormat="1" applyFont="1" applyAlignment="1">
      <alignment horizontal="center" vertical="center"/>
    </xf>
    <xf numFmtId="49" fontId="10" fillId="0" borderId="0" xfId="0" applyNumberFormat="1" applyFont="1">
      <alignment vertical="center"/>
    </xf>
    <xf numFmtId="49" fontId="22" fillId="0" borderId="0" xfId="0" applyNumberFormat="1" applyFont="1">
      <alignment vertical="center"/>
    </xf>
    <xf numFmtId="49" fontId="22" fillId="0" borderId="0" xfId="0" applyNumberFormat="1" applyFont="1" applyAlignment="1">
      <alignment vertical="center"/>
    </xf>
    <xf numFmtId="0" fontId="6" fillId="0" borderId="0" xfId="0" applyNumberFormat="1" applyFont="1" applyFill="1" applyAlignment="1">
      <alignment horizontal="center" vertical="center"/>
    </xf>
    <xf numFmtId="0" fontId="29" fillId="0" borderId="0" xfId="0" applyFont="1">
      <alignment vertical="center"/>
    </xf>
    <xf numFmtId="49" fontId="37" fillId="0" borderId="0" xfId="0" applyNumberFormat="1" applyFont="1" applyAlignment="1">
      <alignment horizontal="center" vertical="center"/>
    </xf>
    <xf numFmtId="49" fontId="7" fillId="0" borderId="0" xfId="0" applyNumberFormat="1" applyFont="1">
      <alignment vertical="center"/>
    </xf>
    <xf numFmtId="49" fontId="37" fillId="0" borderId="0" xfId="0" applyNumberFormat="1" applyFont="1">
      <alignment vertical="center"/>
    </xf>
    <xf numFmtId="49" fontId="37" fillId="0" borderId="0" xfId="0" applyNumberFormat="1" applyFont="1" applyAlignment="1">
      <alignment vertical="center"/>
    </xf>
    <xf numFmtId="0" fontId="9" fillId="0" borderId="0" xfId="0" applyNumberFormat="1" applyFont="1" applyAlignment="1">
      <alignment vertical="center"/>
    </xf>
    <xf numFmtId="0" fontId="9" fillId="0" borderId="0" xfId="0" applyNumberFormat="1" applyFont="1" applyAlignment="1">
      <alignment horizontal="center" vertical="center"/>
    </xf>
    <xf numFmtId="0" fontId="29" fillId="0" borderId="0" xfId="0" applyNumberFormat="1" applyFont="1">
      <alignment vertical="center"/>
    </xf>
    <xf numFmtId="177" fontId="6" fillId="0" borderId="0" xfId="0" applyNumberFormat="1" applyFont="1" applyFill="1" applyAlignment="1">
      <alignment horizontal="center" vertical="center"/>
    </xf>
    <xf numFmtId="177" fontId="37" fillId="0" borderId="0" xfId="0" applyNumberFormat="1" applyFont="1" applyAlignment="1">
      <alignment horizontal="center" vertical="center"/>
    </xf>
    <xf numFmtId="0" fontId="51" fillId="0" borderId="0" xfId="0" applyFont="1">
      <alignment vertical="center"/>
    </xf>
    <xf numFmtId="0" fontId="13" fillId="0" borderId="0" xfId="0" applyFont="1">
      <alignment vertical="center"/>
    </xf>
    <xf numFmtId="0" fontId="52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76" fontId="31" fillId="0" borderId="0" xfId="0" applyNumberFormat="1" applyFont="1">
      <alignment vertical="center"/>
    </xf>
    <xf numFmtId="49" fontId="39" fillId="0" borderId="0" xfId="0" applyNumberFormat="1" applyFont="1" applyAlignment="1">
      <alignment vertical="center"/>
    </xf>
    <xf numFmtId="176" fontId="31" fillId="0" borderId="0" xfId="0" applyNumberFormat="1" applyFont="1" applyAlignment="1">
      <alignment vertical="center"/>
    </xf>
  </cellXfs>
  <cellStyles count="5">
    <cellStyle name="千位分隔" xfId="3" builtinId="3"/>
    <cellStyle name="百分比" xfId="4" builtinId="5"/>
    <cellStyle name="货币" xfId="2" builtinId="4"/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money.excel">
      <tp>
        <v>10033.02</v>
        <stp/>
        <stp>$TWC100</stp>
        <stp>Price</stp>
        <tr r="T4" s="85"/>
      </tp>
      <tp>
        <v>259.97000000000003</v>
        <stp/>
        <stp>$TWOI50</stp>
        <stp>Price</stp>
        <tr r="T5" s="85"/>
      </tp>
      <tp>
        <v>0</v>
        <stp/>
        <stp>6417</stp>
        <stp>PredictVolume</stp>
        <tr r="AJ996" s="57"/>
      </tp>
      <tp>
        <v>37048</v>
        <stp/>
        <stp>6477</stp>
        <stp>PredictVolume</stp>
        <tr r="AJ12" s="28"/>
        <tr r="AJ912" s="57"/>
      </tp>
      <tp>
        <v>435</v>
        <stp/>
        <stp>6457</stp>
        <stp>PredictVolume</stp>
        <tr r="AJ650" s="57"/>
      </tp>
      <tp>
        <v>15</v>
        <stp/>
        <stp>6527</stp>
        <stp>PredictVolume</stp>
        <tr r="AJ387" s="57"/>
      </tp>
      <tp>
        <v>18</v>
        <stp/>
        <stp>6577</stp>
        <stp>PredictVolume</stp>
        <tr r="AJ793" s="57"/>
      </tp>
      <tp>
        <v>1261</v>
        <stp/>
        <stp>6547</stp>
        <stp>PredictVolume</stp>
        <tr r="AJ390" s="57"/>
      </tp>
      <tp>
        <v>3</v>
        <stp/>
        <stp>6697</stp>
        <stp>PredictVolume</stp>
        <tr r="AJ1297" s="57"/>
      </tp>
      <tp>
        <v>328</v>
        <stp/>
        <stp>6667</stp>
        <stp>PredictVolume</stp>
        <tr r="AJ1757" s="57"/>
      </tp>
      <tp>
        <v>478</v>
        <stp/>
        <stp>6727</stp>
        <stp>PredictVolume</stp>
        <tr r="AJ1200" s="57"/>
      </tp>
      <tp>
        <v>75</v>
        <stp/>
        <stp>6767</stp>
        <stp>PredictVolume</stp>
        <tr r="AJ407" s="57"/>
      </tp>
      <tp>
        <v>37</v>
        <stp/>
        <stp>6747</stp>
        <stp>PredictVolume</stp>
        <tr r="AJ405" s="57"/>
      </tp>
      <tp>
        <v>466</v>
        <stp/>
        <stp>6197</stp>
        <stp>PredictVolume</stp>
        <tr r="AJ1170" s="57"/>
      </tp>
      <tp>
        <v>5160</v>
        <stp/>
        <stp>6187</stp>
        <stp>PredictVolume</stp>
        <tr r="AJ1743" s="57"/>
      </tp>
      <tp>
        <v>226</v>
        <stp/>
        <stp>6127</stp>
        <stp>PredictVolume</stp>
        <tr r="AJ1155" s="57"/>
      </tp>
      <tp>
        <v>12</v>
        <stp/>
        <stp>6117</stp>
        <stp>PredictVolume</stp>
        <tr r="AJ775" s="57"/>
      </tp>
      <tp>
        <v>202</v>
        <stp/>
        <stp>6177</stp>
        <stp>PredictVolume</stp>
        <tr r="AJ1501" s="57"/>
      </tp>
      <tp>
        <v>388</v>
        <stp/>
        <stp>6167</stp>
        <stp>PredictVolume</stp>
        <tr r="AJ895" s="57"/>
      </tp>
      <tp>
        <v>2998</v>
        <stp/>
        <stp>6147</stp>
        <stp>PredictVolume</stp>
        <tr r="AJ631" s="57"/>
      </tp>
      <tp>
        <v>47</v>
        <stp/>
        <stp>6287</stp>
        <stp>PredictVolume</stp>
        <tr r="AJ644" s="57"/>
      </tp>
      <tp>
        <v>784</v>
        <stp/>
        <stp>6237</stp>
        <stp>PredictVolume</stp>
        <tr r="AJ638" s="57"/>
      </tp>
      <tp>
        <v>619</v>
        <stp/>
        <stp>6227</stp>
        <stp>PredictVolume</stp>
        <tr r="AJ1249" s="57"/>
      </tp>
      <tp>
        <v>1202</v>
        <stp/>
        <stp>6217</stp>
        <stp>PredictVolume</stp>
        <tr r="AJ1178" s="57"/>
      </tp>
      <tp>
        <v>377</v>
        <stp/>
        <stp>6207</stp>
        <stp>PredictVolume</stp>
        <tr r="AJ1174" s="57"/>
      </tp>
      <tp>
        <v>50</v>
        <stp/>
        <stp>6277</stp>
        <stp>PredictVolume</stp>
        <tr r="AJ789" s="57"/>
      </tp>
      <tp>
        <v>1153</v>
        <stp/>
        <stp>6257</stp>
        <stp>PredictVolume</stp>
        <tr r="AJ641" s="57"/>
      </tp>
      <tp>
        <v>19</v>
        <stp/>
        <stp>6247</stp>
        <stp>PredictVolume</stp>
        <tr r="AJ1748" s="57"/>
      </tp>
      <tp>
        <v>45</v>
        <stp/>
        <stp>4417</stp>
        <stp>PredictVolume</stp>
        <tr r="AJ116" s="57"/>
      </tp>
      <tp>
        <v>81</v>
        <stp/>
        <stp>4527</stp>
        <stp>PredictVolume</stp>
        <tr r="AJ182" s="57"/>
      </tp>
      <tp>
        <v>3</v>
        <stp/>
        <stp>4557</stp>
        <stp>PredictVolume</stp>
        <tr r="AJ522" s="57"/>
      </tp>
      <tp>
        <v>37</v>
        <stp/>
        <stp>4737</stp>
        <stp>PredictVolume</stp>
        <tr r="AJ368" s="57"/>
      </tp>
      <tp>
        <v>140</v>
        <stp/>
        <stp>4707</stp>
        <stp>PredictVolume</stp>
        <tr r="AJ268" s="57"/>
      </tp>
      <tp>
        <v>20</v>
        <stp/>
        <stp>4767</stp>
        <stp>PredictVolume</stp>
        <tr r="AJ282" s="57"/>
      </tp>
      <tp>
        <v>9</v>
        <stp/>
        <stp>4747</stp>
        <stp>PredictVolume</stp>
        <tr r="AJ373" s="57"/>
      </tp>
      <tp>
        <v>82</v>
        <stp/>
        <stp>4137</stp>
        <stp>PredictVolume</stp>
        <tr r="AJ338" s="57"/>
      </tp>
      <tp>
        <v>155</v>
        <stp/>
        <stp>4127</stp>
        <stp>PredictVolume</stp>
        <tr r="AJ332" s="57"/>
      </tp>
      <tp>
        <v>86</v>
        <stp/>
        <stp>4107</stp>
        <stp>PredictVolume</stp>
        <tr r="AJ321" s="57"/>
      </tp>
      <tp>
        <v>329</v>
        <stp/>
        <stp>4167</stp>
        <stp>PredictVolume</stp>
        <tr r="AJ354" s="57"/>
      </tp>
      <tp>
        <v>2006</v>
        <stp/>
        <stp>4157</stp>
        <stp>PredictVolume</stp>
        <tr r="AJ348" s="57"/>
      </tp>
      <tp>
        <v>510</v>
        <stp/>
        <stp>4147</stp>
        <stp>PredictVolume</stp>
        <tr r="AJ343" s="57"/>
      </tp>
      <tp>
        <v>19</v>
        <stp/>
        <stp>4207</stp>
        <stp>PredictVolume</stp>
        <tr r="AJ39" s="57"/>
      </tp>
      <tp>
        <v>27</v>
        <stp/>
        <stp>4807</stp>
        <stp>PredictVolume</stp>
        <tr r="AJ1654" s="57"/>
      </tp>
      <tp>
        <v>26</v>
        <stp/>
        <stp>4987</stp>
        <stp>PredictVolume</stp>
        <tr r="AJ763" s="57"/>
      </tp>
      <tp>
        <v>1258</v>
        <stp/>
        <stp>4927</stp>
        <stp>PredictVolume</stp>
        <tr r="AJ13" s="74"/>
        <tr r="AJ16" s="114"/>
        <tr r="AJ1126" s="57"/>
      </tp>
      <tp>
        <v>1</v>
        <stp/>
        <stp>4907</stp>
        <stp>PredictVolume</stp>
        <tr r="AJ1478" s="57"/>
      </tp>
      <tp>
        <v>25</v>
        <stp/>
        <stp>4977</stp>
        <stp>PredictVolume</stp>
        <tr r="AJ976" s="57"/>
      </tp>
      <tp>
        <v>244</v>
        <stp/>
        <stp>4967</stp>
        <stp>PredictVolume</stp>
        <tr r="AJ605" s="57"/>
      </tp>
      <tp>
        <v>0</v>
        <stp/>
        <stp>5487</stp>
        <stp>PredictVolume</stp>
        <tr r="AJ626" s="57"/>
      </tp>
      <tp>
        <v>2682</v>
        <stp/>
        <stp>5457</stp>
        <stp>PredictVolume</stp>
        <tr r="AJ1143" s="57"/>
      </tp>
      <tp>
        <v>356</v>
        <stp/>
        <stp>5607</stp>
        <stp>PredictVolume</stp>
        <tr r="AJ1536" s="57"/>
      </tp>
      <tp>
        <v>53</v>
        <stp/>
        <stp>5007</stp>
        <stp>PredictVolume</stp>
        <tr r="AJ463" s="57"/>
      </tp>
      <tp>
        <v>22</v>
        <stp/>
        <stp>5287</stp>
        <stp>PredictVolume</stp>
        <tr r="AJ1802" s="57"/>
      </tp>
      <tp>
        <v>3061</v>
        <stp/>
        <stp>5227</stp>
        <stp>PredictVolume</stp>
        <tr r="AJ1133" s="57"/>
      </tp>
      <tp>
        <v>3420</v>
        <stp/>
        <stp>5347</stp>
        <stp>PredictVolume</stp>
        <tr r="AJ620" s="57"/>
      </tp>
      <tp>
        <v>44</v>
        <stp/>
        <stp>5907</stp>
        <stp>PredictVolume</stp>
        <tr r="AJ1660" s="57"/>
      </tp>
      <tp>
        <v>468</v>
        <stp/>
        <stp>2497</stp>
        <stp>PredictVolume</stp>
        <tr r="AJ519" s="57"/>
      </tp>
      <tp>
        <v>210</v>
        <stp/>
        <stp>2427</stp>
        <stp>PredictVolume</stp>
        <tr r="AJ1264" s="57"/>
      </tp>
      <tp>
        <v>440</v>
        <stp/>
        <stp>2417</stp>
        <stp>PredictVolume</stp>
        <tr r="AJ718" s="57"/>
      </tp>
      <tp>
        <v>1029</v>
        <stp/>
        <stp>2477</stp>
        <stp>PredictVolume</stp>
        <tr r="AJ1700" s="57"/>
      </tp>
      <tp>
        <v>125</v>
        <stp/>
        <stp>2467</stp>
        <stp>PredictVolume</stp>
        <tr r="AJ1048" s="57"/>
      </tp>
      <tp>
        <v>5466</v>
        <stp/>
        <stp>2457</stp>
        <stp>PredictVolume</stp>
        <tr r="AJ1045" s="57"/>
      </tp>
      <tp>
        <v>156</v>
        <stp/>
        <stp>2597</stp>
        <stp>PredictVolume</stp>
        <tr r="AJ1467" s="57"/>
      </tp>
      <tp>
        <v>550</v>
        <stp/>
        <stp>2537</stp>
        <stp>PredictVolume</stp>
        <tr r="AJ1456" s="57"/>
      </tp>
      <tp>
        <v>709</v>
        <stp/>
        <stp>2527</stp>
        <stp>PredictVolume</stp>
        <tr r="AJ1450" s="57"/>
      </tp>
      <tp>
        <v>554</v>
        <stp/>
        <stp>2547</stp>
        <stp>PredictVolume</stp>
        <tr r="AJ1464" s="57"/>
      </tp>
      <tp>
        <v>38891</v>
        <stp/>
        <stp>2637</stp>
        <stp>PredictVolume</stp>
        <tr r="AJ1529" s="57"/>
      </tp>
      <tp>
        <v>6930</v>
        <stp/>
        <stp>2617</stp>
        <stp>PredictVolume</stp>
        <tr r="AJ1523" s="57"/>
      </tp>
      <tp>
        <v>71503</v>
        <stp/>
        <stp>2607</stp>
        <stp>PredictVolume</stp>
        <tr r="AJ1515" s="57"/>
      </tp>
      <tp>
        <v>179</v>
        <stp/>
        <stp>2727</stp>
        <stp>PredictVolume</stp>
        <tr r="AJ1557" s="57"/>
      </tp>
      <tp>
        <v>419</v>
        <stp/>
        <stp>2707</stp>
        <stp>PredictVolume</stp>
        <tr r="AJ1549" s="57"/>
      </tp>
      <tp>
        <v>20001</v>
        <stp/>
        <stp>2027</stp>
        <stp>PredictVolume</stp>
        <tr r="AJ447" s="57"/>
      </tp>
      <tp>
        <v>1725</v>
        <stp/>
        <stp>2017</stp>
        <stp>PredictVolume</stp>
        <tr r="AJ441" s="57"/>
      </tp>
      <tp>
        <v>6039</v>
        <stp/>
        <stp>2007</stp>
        <stp>PredictVolume</stp>
        <tr r="AJ433" s="57"/>
      </tp>
      <tp>
        <v>15</v>
        <stp/>
        <stp>2067</stp>
        <stp>PredictVolume</stp>
        <tr r="AJ163" s="57"/>
      </tp>
      <tp>
        <v>125</v>
        <stp/>
        <stp>2107</stp>
        <stp>PredictVolume</stp>
        <tr r="AJ485" s="57"/>
      </tp>
      <tp>
        <v>23</v>
        <stp/>
        <stp>2227</stp>
        <stp>PredictVolume</stp>
        <tr r="AJ510" s="57"/>
      </tp>
      <tp>
        <v>179</v>
        <stp/>
        <stp>2207</stp>
        <stp>PredictVolume</stp>
        <tr r="AJ509" s="57"/>
      </tp>
      <tp>
        <v>39</v>
        <stp/>
        <stp>2247</stp>
        <stp>PredictVolume</stp>
        <tr r="AJ517" s="57"/>
      </tp>
      <tp>
        <v>11</v>
        <stp/>
        <stp>2397</stp>
        <stp>PredictVolume</stp>
        <tr r="AJ715" s="57"/>
      </tp>
      <tp>
        <v>224</v>
        <stp/>
        <stp>2387</stp>
        <stp>PredictVolume</stp>
        <tr r="AJ39" s="28"/>
        <tr r="AJ85" s="74"/>
        <tr r="AJ713" s="57"/>
      </tp>
      <tp>
        <v>14537</v>
        <stp/>
        <stp>2337</stp>
        <stp>PredictVolume</stp>
        <tr r="AJ532" s="57"/>
      </tp>
      <tp>
        <v>1220</v>
        <stp/>
        <stp>2327</stp>
        <stp>PredictVolume</stp>
        <tr r="AJ1027" s="57"/>
      </tp>
      <tp>
        <v>23608</v>
        <stp/>
        <stp>2317</stp>
        <stp>PredictVolume</stp>
        <tr r="AJ1688" s="57"/>
      </tp>
      <tp>
        <v>3785</v>
        <stp/>
        <stp>2377</stp>
        <stp>PredictVolume</stp>
        <tr r="AJ710" s="57"/>
      </tp>
      <tp>
        <v>738</v>
        <stp/>
        <stp>2367</stp>
        <stp>PredictVolume</stp>
        <tr r="AJ1030" s="57"/>
      </tp>
      <tp>
        <v>3510</v>
        <stp/>
        <stp>2357</stp>
        <stp>PredictVolume</stp>
        <tr r="AJ705" s="57"/>
      </tp>
      <tp>
        <v>2801</v>
        <stp/>
        <stp>2347</stp>
        <stp>PredictVolume</stp>
        <tr r="AJ1226" s="57"/>
      </tp>
      <tp>
        <v>4764</v>
        <stp/>
        <stp>2897</stp>
        <stp>PredictVolume</stp>
        <tr r="AJ1617" s="57"/>
      </tp>
      <tp>
        <v>18548</v>
        <stp/>
        <stp>2887</stp>
        <stp>PredictVolume</stp>
        <tr r="AJ1611" s="57"/>
      </tp>
      <tp>
        <v>7784</v>
        <stp/>
        <stp>2867</stp>
        <stp>PredictVolume</stp>
        <tr r="AJ56" s="28"/>
        <tr r="AJ1603" s="57"/>
      </tp>
      <tp>
        <v>34</v>
        <stp/>
        <stp>2937</stp>
        <stp>PredictVolume</stp>
        <tr r="AJ1649" s="57"/>
      </tp>
      <tp>
        <v>16</v>
        <stp/>
        <stp>2947</stp>
        <stp>PredictVolume</stp>
        <tr r="AJ1652" s="57"/>
      </tp>
      <tp>
        <v>349</v>
        <stp/>
        <stp>3437</stp>
        <stp>PredictVolume</stp>
        <tr r="AJ841" s="57"/>
      </tp>
      <tp>
        <v>45</v>
        <stp/>
        <stp>3597</stp>
        <stp>PredictVolume</stp>
        <tr r="AJ1110" s="57"/>
      </tp>
      <tp>
        <v>195</v>
        <stp/>
        <stp>3587</stp>
        <stp>PredictVolume</stp>
        <tr r="AJ1725" s="57"/>
      </tp>
      <tp>
        <v>443</v>
        <stp/>
        <stp>3537</stp>
        <stp>PredictVolume</stp>
        <tr r="AJ1106" s="57"/>
      </tp>
      <tp>
        <v>230</v>
        <stp/>
        <stp>3527</stp>
        <stp>PredictVolume</stp>
        <tr r="AJ580" s="57"/>
      </tp>
      <tp>
        <v>465</v>
        <stp/>
        <stp>3577</stp>
        <stp>PredictVolume</stp>
        <tr r="AJ749" s="57"/>
      </tp>
      <tp>
        <v>41</v>
        <stp/>
        <stp>3567</stp>
        <stp>PredictVolume</stp>
        <tr r="AJ588" s="57"/>
      </tp>
      <tp>
        <v>47</v>
        <stp/>
        <stp>3557</stp>
        <stp>PredictVolume</stp>
        <tr r="AJ1323" s="57"/>
      </tp>
      <tp>
        <v>6090</v>
        <stp/>
        <stp>3687</stp>
        <stp>PredictVolume</stp>
        <tr r="AJ1800" s="57"/>
      </tp>
      <tp>
        <v>75</v>
        <stp/>
        <stp>3617</stp>
        <stp>PredictVolume</stp>
        <tr r="AJ1726" s="57"/>
      </tp>
      <tp>
        <v>362</v>
        <stp/>
        <stp>3607</stp>
        <stp>PredictVolume</stp>
        <tr r="AJ1112" s="57"/>
      </tp>
      <tp>
        <v>29618</v>
        <stp/>
        <stp>3707</stp>
        <stp>PredictVolume</stp>
        <tr r="AJ597" s="57"/>
      </tp>
      <tp>
        <v>25046</v>
        <stp/>
        <stp>3037</stp>
        <stp>PredictVolume</stp>
        <tr r="AJ1063" s="57"/>
      </tp>
      <tp>
        <v>540</v>
        <stp/>
        <stp>3027</stp>
        <stp>PredictVolume</stp>
        <tr r="AJ942" s="57"/>
      </tp>
      <tp>
        <v>31087</v>
        <stp/>
        <stp>3017</stp>
        <stp>PredictVolume</stp>
        <tr r="AJ726" s="57"/>
      </tp>
      <tp>
        <v>5</v>
        <stp/>
        <stp>3067</stp>
        <stp>PredictVolume</stp>
        <tr r="AJ1707" s="57"/>
      </tp>
      <tp>
        <v>119</v>
        <stp/>
        <stp>3057</stp>
        <stp>PredictVolume</stp>
        <tr r="AJ729" s="57"/>
      </tp>
      <tp>
        <v>668</v>
        <stp/>
        <stp>3047</stp>
        <stp>PredictVolume</stp>
        <tr r="AJ944" s="57"/>
      </tp>
      <tp>
        <v>167</v>
        <stp/>
        <stp>3167</stp>
        <stp>PredictVolume</stp>
        <tr r="AJ170" s="57"/>
      </tp>
      <tp>
        <v>76</v>
        <stp/>
        <stp>3147</stp>
        <stp>PredictVolume</stp>
        <tr r="AJ1303" s="57"/>
      </tp>
      <tp>
        <v>51</v>
        <stp/>
        <stp>3297</stp>
        <stp>PredictVolume</stp>
        <tr r="AJ834" s="57"/>
      </tp>
      <tp>
        <v>34</v>
        <stp/>
        <stp>3287</stp>
        <stp>PredictVolume</stp>
        <tr r="AJ737" s="57"/>
      </tp>
      <tp>
        <v>367</v>
        <stp/>
        <stp>3227</stp>
        <stp>PredictVolume</stp>
        <tr r="AJ566" s="57"/>
      </tp>
      <tp>
        <v>922</v>
        <stp/>
        <stp>3217</stp>
        <stp>PredictVolume</stp>
        <tr r="AJ18" s="114"/>
        <tr r="AJ1076" s="57"/>
      </tp>
      <tp>
        <v>156</v>
        <stp/>
        <stp>3207</stp>
        <stp>PredictVolume</stp>
        <tr r="AJ1075" s="57"/>
      </tp>
      <tp>
        <v>914</v>
        <stp/>
        <stp>3257</stp>
        <stp>PredictVolume</stp>
        <tr r="AJ568" s="57"/>
      </tp>
      <tp>
        <v>280</v>
        <stp/>
        <stp>3317</stp>
        <stp>PredictVolume</stp>
        <tr r="AJ574" s="57"/>
      </tp>
      <tp>
        <v>68</v>
        <stp/>
        <stp>3357</stp>
        <stp>PredictVolume</stp>
        <tr r="AJ1092" s="57"/>
      </tp>
      <tp>
        <v>350</v>
        <stp/>
        <stp>1437</stp>
        <stp>PredictVolume</stp>
        <tr r="AJ1309" s="57"/>
      </tp>
      <tp>
        <v>96</v>
        <stp/>
        <stp>1417</stp>
        <stp>PredictVolume</stp>
        <tr r="AJ75" s="57"/>
      </tp>
      <tp>
        <v>3099</v>
        <stp/>
        <stp>1477</stp>
        <stp>PredictVolume</stp>
        <tr r="AJ110" s="57"/>
      </tp>
      <tp>
        <v>1961</v>
        <stp/>
        <stp>1467</stp>
        <stp>PredictVolume</stp>
        <tr r="AJ102" s="57"/>
      </tp>
      <tp>
        <v>202</v>
        <stp/>
        <stp>1457</stp>
        <stp>PredictVolume</stp>
        <tr r="AJ95" s="57"/>
      </tp>
      <tp>
        <v>841</v>
        <stp/>
        <stp>1447</stp>
        <stp>PredictVolume</stp>
        <tr r="AJ87" s="57"/>
      </tp>
      <tp>
        <v>1567</v>
        <stp/>
        <stp>1597</stp>
        <stp>PredictVolume</stp>
        <tr r="AJ159" s="57"/>
      </tp>
      <tp>
        <v>24</v>
        <stp/>
        <stp>1587</stp>
        <stp>PredictVolume</stp>
        <tr r="AJ504" s="57"/>
      </tp>
      <tp>
        <v>71</v>
        <stp/>
        <stp>1537</stp>
        <stp>PredictVolume</stp>
        <tr r="AJ145" s="57"/>
      </tp>
      <tp>
        <v>130</v>
        <stp/>
        <stp>1527</stp>
        <stp>PredictVolume</stp>
        <tr r="AJ138" s="57"/>
      </tp>
      <tp>
        <v>333</v>
        <stp/>
        <stp>1517</stp>
        <stp>PredictVolume</stp>
        <tr r="AJ135" s="57"/>
      </tp>
      <tp>
        <v>125</v>
        <stp/>
        <stp>1507</stp>
        <stp>PredictVolume</stp>
        <tr r="AJ131" s="57"/>
      </tp>
      <tp>
        <v>32</v>
        <stp/>
        <stp>1617</stp>
        <stp>PredictVolume</stp>
        <tr r="AJ235" s="57"/>
      </tp>
      <tp>
        <v>348</v>
        <stp/>
        <stp>1737</stp>
        <stp>PredictVolume</stp>
        <tr r="AJ36" s="57"/>
      </tp>
      <tp>
        <v>587</v>
        <stp/>
        <stp>1727</stp>
        <stp>PredictVolume</stp>
        <tr r="AJ258" s="57"/>
      </tp>
      <tp>
        <v>1328</v>
        <stp/>
        <stp>1717</stp>
        <stp>PredictVolume</stp>
        <tr r="AJ251" s="57"/>
      </tp>
      <tp>
        <v>657</v>
        <stp/>
        <stp>1707</stp>
        <stp>PredictVolume</stp>
        <tr r="AJ292" s="57"/>
      </tp>
      <tp>
        <v>32</v>
        <stp/>
        <stp>1777</stp>
        <stp>PredictVolume</stp>
        <tr r="AJ301" s="57"/>
      </tp>
      <tp>
        <v>1086</v>
        <stp/>
        <stp>1227</stp>
        <stp>PredictVolume</stp>
        <tr r="AJ24" s="57"/>
      </tp>
      <tp>
        <v>791</v>
        <stp/>
        <stp>1217</stp>
        <stp>PredictVolume</stp>
        <tr r="AJ19" s="57"/>
      </tp>
      <tp>
        <v>198</v>
        <stp/>
        <stp>1337</stp>
        <stp>PredictVolume</stp>
        <tr r="AJ59" s="57"/>
      </tp>
      <tp>
        <v>61</v>
        <stp/>
        <stp>1307</stp>
        <stp>PredictVolume</stp>
        <tr r="AJ46" s="57"/>
      </tp>
      <tp>
        <v>35</v>
        <stp/>
        <stp>1817</stp>
        <stp>PredictVolume</stp>
        <tr r="AJ420" s="57"/>
      </tp>
      <tp>
        <v>1979</v>
        <stp/>
        <stp>1907</stp>
        <stp>PredictVolume</stp>
        <tr r="AJ427" s="57"/>
      </tp>
      <tp>
        <v>38</v>
        <stp/>
        <stp>8437</stp>
        <stp>PredictVolume</stp>
        <tr r="AJ1374" s="57"/>
      </tp>
      <tp t="s">
        <v>商品錯誤</v>
        <stp/>
        <stp>8427</stp>
        <stp>PredictVolume</stp>
        <tr r="AJ1372" s="57"/>
      </tp>
      <tp>
        <v>14</v>
        <stp/>
        <stp>8477</stp>
        <stp>PredictVolume</stp>
        <tr r="AJ1808" s="57"/>
      </tp>
      <tp>
        <v>7</v>
        <stp/>
        <stp>8467</stp>
        <stp>PredictVolume</stp>
        <tr r="AJ1382" s="57"/>
      </tp>
      <tp>
        <v>263</v>
        <stp/>
        <stp>8097</stp>
        <stp>PredictVolume</stp>
        <tr r="AJ1012" s="57"/>
      </tp>
      <tp>
        <v>221</v>
        <stp/>
        <stp>8087</stp>
        <stp>PredictVolume</stp>
        <tr r="AJ921" s="57"/>
      </tp>
      <tp>
        <v>169</v>
        <stp/>
        <stp>8027</stp>
        <stp>PredictVolume</stp>
        <tr r="AJ215" s="57"/>
      </tp>
      <tp>
        <v>9</v>
        <stp/>
        <stp>8077</stp>
        <stp>PredictVolume</stp>
        <tr r="AJ1582" s="57"/>
      </tp>
      <tp>
        <v>16</v>
        <stp/>
        <stp>8067</stp>
        <stp>PredictVolume</stp>
        <tr r="AJ1255" s="57"/>
      </tp>
      <tp>
        <v>43</v>
        <stp/>
        <stp>8047</stp>
        <stp>PredictVolume</stp>
        <tr r="AJ1762" s="57"/>
      </tp>
      <tp>
        <v>192</v>
        <stp/>
        <stp>8107</stp>
        <stp>PredictVolume</stp>
        <tr r="AJ217" s="57"/>
      </tp>
      <tp>
        <v>90</v>
        <stp/>
        <stp>8147</stp>
        <stp>PredictVolume</stp>
        <tr r="AJ1216" s="57"/>
      </tp>
      <tp>
        <v>189</v>
        <stp/>
        <stp>8277</stp>
        <stp>PredictVolume</stp>
        <tr r="AJ693" s="57"/>
      </tp>
      <tp>
        <v>437</v>
        <stp/>
        <stp>8367</stp>
        <stp>PredictVolume</stp>
        <tr r="AJ68" s="28"/>
        <tr r="AJ1539" s="57"/>
      </tp>
      <tp>
        <v>9</v>
        <stp/>
        <stp>8937</stp>
        <stp>PredictVolume</stp>
        <tr r="AJ1402" s="57"/>
      </tp>
      <tp>
        <v>175</v>
        <stp/>
        <stp>8927</stp>
        <stp>PredictVolume</stp>
        <tr r="AJ1683" s="57"/>
      </tp>
      <tp>
        <v>1</v>
        <stp/>
        <stp>8917</stp>
        <stp>PredictVolume</stp>
        <tr r="AJ1674" s="57"/>
      </tp>
      <tp>
        <v>38</v>
        <stp/>
        <stp>9937</stp>
        <stp>PredictVolume</stp>
        <tr r="AJ1681" s="57"/>
      </tp>
      <tp>
        <v>178</v>
        <stp/>
        <stp>9927</stp>
        <stp>PredictVolume</stp>
        <tr r="AJ1418" s="57"/>
      </tp>
      <tp>
        <v>166</v>
        <stp/>
        <stp>9917</stp>
        <stp>PredictVolume</stp>
        <tr r="AJ1413" s="57"/>
      </tp>
      <tp>
        <v>9375</v>
        <stp/>
        <stp>9907</stp>
        <stp>PredictVolume</stp>
        <tr r="AJ1409" s="57"/>
      </tp>
      <tp>
        <v>28</v>
        <stp/>
        <stp>6496</stp>
        <stp>PredictVolume</stp>
        <tr r="AJ384" s="57"/>
      </tp>
      <tp>
        <v>166</v>
        <stp/>
        <stp>6486</stp>
        <stp>PredictVolume</stp>
        <tr r="AJ1000" s="57"/>
      </tp>
      <tp>
        <v>28</v>
        <stp/>
        <stp>6426</stp>
        <stp>PredictVolume</stp>
        <tr r="AJ997" s="57"/>
      </tp>
      <tp>
        <v>58</v>
        <stp/>
        <stp>6416</stp>
        <stp>PredictVolume</stp>
        <tr r="AJ995" s="57"/>
      </tp>
      <tp>
        <v>769</v>
        <stp/>
        <stp>6456</stp>
        <stp>PredictVolume</stp>
        <tr r="AJ911" s="57"/>
      </tp>
      <tp>
        <v>539</v>
        <stp/>
        <stp>6446</stp>
        <stp>PredictVolume</stp>
        <tr r="AJ15" s="28"/>
        <tr r="AJ378" s="57"/>
      </tp>
      <tp>
        <v>22</v>
        <stp/>
        <stp>6596</stp>
        <stp>PredictVolume</stp>
        <tr r="AJ1791" s="57"/>
      </tp>
      <tp>
        <v>30</v>
        <stp/>
        <stp>6516</stp>
        <stp>PredictVolume</stp>
        <tr r="AJ1293" s="57"/>
      </tp>
      <tp>
        <v>32</v>
        <stp/>
        <stp>6506</stp>
        <stp>PredictVolume</stp>
        <tr r="AJ284" s="57"/>
      </tp>
      <tp>
        <v>218</v>
        <stp/>
        <stp>6576</stp>
        <stp>PredictVolume</stp>
        <tr r="AJ393" s="57"/>
      </tp>
      <tp>
        <v>1</v>
        <stp/>
        <stp>6556</stp>
        <stp>PredictVolume</stp>
        <tr r="AJ913" s="57"/>
      </tp>
      <tp>
        <v>34</v>
        <stp/>
        <stp>6616</stp>
        <stp>PredictVolume</stp>
        <tr r="AJ1346" s="57"/>
      </tp>
      <tp>
        <v>5</v>
        <stp/>
        <stp>6666</stp>
        <stp>PredictVolume</stp>
        <tr r="AJ401" s="57"/>
      </tp>
      <tp>
        <v>69</v>
        <stp/>
        <stp>6716</stp>
        <stp>PredictVolume</stp>
        <tr r="AJ673" s="57"/>
      </tp>
      <tp>
        <v>3594</v>
        <stp/>
        <stp>6706</stp>
        <stp>PredictVolume</stp>
        <tr r="AJ14" s="114"/>
        <tr r="AJ916" s="57"/>
      </tp>
      <tp>
        <v>37</v>
        <stp/>
        <stp>6776</stp>
        <stp>PredictVolume</stp>
        <tr r="AJ1253" s="57"/>
      </tp>
      <tp>
        <v>344</v>
        <stp/>
        <stp>6756</stp>
        <stp>PredictVolume</stp>
        <tr r="AJ676" s="57"/>
      </tp>
      <tp>
        <v>1674</v>
        <stp/>
        <stp>6026</stp>
        <stp>PredictVolume</stp>
        <tr r="AJ1630" s="57"/>
      </tp>
      <tp>
        <v>794</v>
        <stp/>
        <stp>6016</stp>
        <stp>PredictVolume</stp>
        <tr r="AJ1625" s="57"/>
      </tp>
      <tp>
        <v>597</v>
        <stp/>
        <stp>6196</stp>
        <stp>PredictVolume</stp>
        <tr r="AJ1745" s="57"/>
      </tp>
      <tp>
        <v>286</v>
        <stp/>
        <stp>6186</stp>
        <stp>PredictVolume</stp>
        <tr r="AJ1502" s="57"/>
      </tp>
      <tp>
        <v>78</v>
        <stp/>
        <stp>6136</stp>
        <stp>PredictVolume</stp>
        <tr r="AJ982" s="57"/>
      </tp>
      <tp>
        <v>356</v>
        <stp/>
        <stp>6126</stp>
        <stp>PredictVolume</stp>
        <tr r="AJ1154" s="57"/>
      </tp>
      <tp>
        <v>7240</v>
        <stp/>
        <stp>6116</stp>
        <stp>PredictVolume</stp>
        <tr r="AJ891" s="57"/>
      </tp>
      <tp>
        <v>1234</v>
        <stp/>
        <stp>6176</stp>
        <stp>PredictVolume</stp>
        <tr r="AJ897" s="57"/>
      </tp>
      <tp>
        <v>31</v>
        <stp/>
        <stp>6166</stp>
        <stp>PredictVolume</stp>
        <tr r="AJ782" s="57"/>
      </tp>
      <tp>
        <v>355</v>
        <stp/>
        <stp>6156</stp>
        <stp>PredictVolume</stp>
        <tr r="AJ1161" s="57"/>
      </tp>
      <tp>
        <v>382</v>
        <stp/>
        <stp>6146</stp>
        <stp>PredictVolume</stp>
        <tr r="AJ1741" s="57"/>
      </tp>
      <tp>
        <v>0</v>
        <stp/>
        <stp>6236</stp>
        <stp>PredictVolume</stp>
        <tr r="AJ1341" s="57"/>
      </tp>
      <tp>
        <v>427</v>
        <stp/>
        <stp>6226</stp>
        <stp>PredictVolume</stp>
        <tr r="AJ901" s="57"/>
      </tp>
      <tp>
        <v>70</v>
        <stp/>
        <stp>6216</stp>
        <stp>PredictVolume</stp>
        <tr r="AJ989" s="57"/>
      </tp>
      <tp>
        <v>102</v>
        <stp/>
        <stp>6206</stp>
        <stp>PredictVolume</stp>
        <tr r="AJ784" s="57"/>
      </tp>
      <tp>
        <v>34</v>
        <stp/>
        <stp>6276</stp>
        <stp>PredictVolume</stp>
        <tr r="AJ788" s="57"/>
      </tp>
      <tp>
        <v>1101</v>
        <stp/>
        <stp>6266</stp>
        <stp>PredictVolume</stp>
        <tr r="AJ1183" s="57"/>
      </tp>
      <tp>
        <v>3</v>
        <stp/>
        <stp>6246</stp>
        <stp>PredictVolume</stp>
        <tr r="AJ904" s="57"/>
      </tp>
      <tp>
        <v>135</v>
        <stp/>
        <stp>6806</stp>
        <stp>PredictVolume</stp>
        <tr r="AJ1358" s="57"/>
      </tp>
      <tp>
        <v>3</v>
        <stp/>
        <stp>7556</stp>
        <stp>PredictVolume</stp>
        <tr r="AJ679" s="57"/>
      </tp>
      <tp>
        <v>74</v>
        <stp/>
        <stp>4426</stp>
        <stp>PredictVolume</stp>
        <tr r="AJ119" s="57"/>
      </tp>
      <tp>
        <v>4</v>
        <stp/>
        <stp>4416</stp>
        <stp>PredictVolume</stp>
        <tr r="AJ1477" s="57"/>
      </tp>
      <tp>
        <v>56</v>
        <stp/>
        <stp>4406</stp>
        <stp>PredictVolume</stp>
        <tr r="AJ113" s="57"/>
      </tp>
      <tp>
        <v>24</v>
        <stp/>
        <stp>4536</stp>
        <stp>PredictVolume</stp>
        <tr r="AJ1326" s="57"/>
      </tp>
      <tp>
        <v>117</v>
        <stp/>
        <stp>4526</stp>
        <stp>PredictVolume</stp>
        <tr r="AJ181" s="57"/>
      </tp>
      <tp>
        <v>52</v>
        <stp/>
        <stp>4506</stp>
        <stp>PredictVolume</stp>
        <tr r="AJ177" s="57"/>
      </tp>
      <tp>
        <v>77</v>
        <stp/>
        <stp>4576</stp>
        <stp>PredictVolume</stp>
        <tr r="AJ207" s="57"/>
      </tp>
      <tp>
        <v>17</v>
        <stp/>
        <stp>4566</stp>
        <stp>PredictVolume</stp>
        <tr r="AJ203" s="57"/>
      </tp>
      <tp>
        <v>9</v>
        <stp/>
        <stp>4556</stp>
        <stp>PredictVolume</stp>
        <tr r="AJ1328" s="57"/>
      </tp>
      <tp>
        <v>315</v>
        <stp/>
        <stp>4736</stp>
        <stp>PredictVolume</stp>
        <tr r="AJ367" s="57"/>
      </tp>
      <tp>
        <v>309</v>
        <stp/>
        <stp>4726</stp>
        <stp>PredictVolume</stp>
        <tr r="AJ364" s="57"/>
      </tp>
      <tp>
        <v>60</v>
        <stp/>
        <stp>4716</stp>
        <stp>PredictVolume</stp>
        <tr r="AJ271" s="57"/>
      </tp>
      <tp>
        <v>37</v>
        <stp/>
        <stp>4706</stp>
        <stp>PredictVolume</stp>
        <tr r="AJ267" s="57"/>
      </tp>
      <tp>
        <v>20</v>
        <stp/>
        <stp>4766</stp>
        <stp>PredictVolume</stp>
        <tr r="AJ281" s="57"/>
      </tp>
      <tp>
        <v>340</v>
        <stp/>
        <stp>4746</stp>
        <stp>PredictVolume</stp>
        <tr r="AJ372" s="57"/>
      </tp>
      <tp>
        <v>25</v>
        <stp/>
        <stp>4126</stp>
        <stp>PredictVolume</stp>
        <tr r="AJ331" s="57"/>
      </tp>
      <tp>
        <v>23</v>
        <stp/>
        <stp>4116</stp>
        <stp>PredictVolume</stp>
        <tr r="AJ326" s="57"/>
      </tp>
      <tp>
        <v>118</v>
        <stp/>
        <stp>4106</stp>
        <stp>PredictVolume</stp>
        <tr r="AJ320" s="57"/>
      </tp>
      <tp>
        <v>745</v>
        <stp/>
        <stp>4306</stp>
        <stp>PredictVolume</stp>
        <tr r="AJ65" s="57"/>
      </tp>
      <tp>
        <v>5</v>
        <stp/>
        <stp>4806</stp>
        <stp>PredictVolume</stp>
        <tr r="AJ1779" s="57"/>
      </tp>
      <tp>
        <v>982</v>
        <stp/>
        <stp>4916</stp>
        <stp>PredictVolume</stp>
        <tr r="AJ759" s="57"/>
      </tp>
      <tp>
        <v>2141</v>
        <stp/>
        <stp>4906</stp>
        <stp>PredictVolume</stp>
        <tr r="AJ973" s="57"/>
      </tp>
      <tp>
        <v>502</v>
        <stp/>
        <stp>4976</stp>
        <stp>PredictVolume</stp>
        <tr r="AJ875" s="57"/>
      </tp>
      <tp>
        <v>236</v>
        <stp/>
        <stp>4966</stp>
        <stp>PredictVolume</stp>
        <tr r="AJ604" s="57"/>
      </tp>
      <tp>
        <v>324</v>
        <stp/>
        <stp>4956</stp>
        <stp>PredictVolume</stp>
        <tr r="AJ872" s="57"/>
      </tp>
      <tp>
        <v>1429</v>
        <stp/>
        <stp>4946</stp>
        <stp>PredictVolume</stp>
        <tr r="AJ1780" s="57"/>
      </tp>
      <tp>
        <v>94</v>
        <stp/>
        <stp>5426</stp>
        <stp>PredictVolume</stp>
        <tr r="AJ770" s="57"/>
      </tp>
      <tp>
        <v>132</v>
        <stp/>
        <stp>5536</stp>
        <stp>PredictVolume</stp>
        <tr r="AJ1739" s="57"/>
      </tp>
      <tp>
        <v>77</v>
        <stp/>
        <stp>5516</stp>
        <stp>PredictVolume</stp>
        <tr r="AJ1488" s="57"/>
      </tp>
      <tp>
        <v>23</v>
        <stp/>
        <stp>5546</stp>
        <stp>PredictVolume</stp>
        <tr r="AJ1499" s="57"/>
      </tp>
      <tp>
        <v>6113</v>
        <stp/>
        <stp>5706</stp>
        <stp>PredictVolume</stp>
        <tr r="AJ1581" s="57"/>
      </tp>
      <tp>
        <v>47</v>
        <stp/>
        <stp>5016</stp>
        <stp>PredictVolume</stp>
        <tr r="AJ469" s="57"/>
      </tp>
      <tp>
        <v>122</v>
        <stp/>
        <stp>5236</stp>
        <stp>PredictVolume</stp>
        <tr r="AJ611" s="57"/>
      </tp>
      <tp>
        <v>20</v>
        <stp/>
        <stp>5206</stp>
        <stp>PredictVolume</stp>
        <tr r="AJ1479" s="57"/>
      </tp>
      <tp>
        <v>75</v>
        <stp/>
        <stp>5276</stp>
        <stp>PredictVolume</stp>
        <tr r="AJ1330" s="57"/>
      </tp>
      <tp>
        <v>60</v>
        <stp/>
        <stp>5386</stp>
        <stp>PredictVolume</stp>
        <tr r="AJ769" s="57"/>
      </tp>
      <tp>
        <v>82</v>
        <stp/>
        <stp>5306</stp>
        <stp>PredictVolume</stp>
        <tr r="AJ1332" s="57"/>
      </tp>
      <tp>
        <v>50</v>
        <stp/>
        <stp>5356</stp>
        <stp>PredictVolume</stp>
        <tr r="AJ768" s="57"/>
      </tp>
      <tp>
        <v>1936</v>
        <stp/>
        <stp>5876</stp>
        <stp>PredictVolume</stp>
        <tr r="AJ1620" s="57"/>
      </tp>
      <tp>
        <v>7</v>
        <stp/>
        <stp>5906</stp>
        <stp>PredictVolume</stp>
        <tr r="AJ1659" s="57"/>
      </tp>
      <tp>
        <v>11</v>
        <stp/>
        <stp>2496</stp>
        <stp>PredictVolume</stp>
        <tr r="AJ1317" s="57"/>
      </tp>
      <tp>
        <v>1796</v>
        <stp/>
        <stp>2486</stp>
        <stp>PredictVolume</stp>
        <tr r="AJ818" s="57"/>
      </tp>
      <tp>
        <v>1533</v>
        <stp/>
        <stp>2436</stp>
        <stp>PredictVolume</stp>
        <tr r="AJ544" s="57"/>
      </tp>
      <tp>
        <v>792</v>
        <stp/>
        <stp>2426</stp>
        <stp>PredictVolume</stp>
        <tr r="AJ815" s="57"/>
      </tp>
      <tp>
        <v>12314</v>
        <stp/>
        <stp>2406</stp>
        <stp>PredictVolume</stp>
        <tr r="AJ813" s="57"/>
      </tp>
      <tp>
        <v>1713</v>
        <stp/>
        <stp>2476</stp>
        <stp>PredictVolume</stp>
        <tr r="AJ1050" s="57"/>
      </tp>
      <tp>
        <v>51</v>
        <stp/>
        <stp>2466</stp>
        <stp>PredictVolume</stp>
        <tr r="AJ817" s="57"/>
      </tp>
      <tp>
        <v>51</v>
        <stp/>
        <stp>2596</stp>
        <stp>PredictVolume</stp>
        <tr r="AJ1466" s="57"/>
      </tp>
      <tp>
        <v>52</v>
        <stp/>
        <stp>2536</stp>
        <stp>PredictVolume</stp>
        <tr r="AJ1455" s="57"/>
      </tp>
      <tp>
        <v>182</v>
        <stp/>
        <stp>2516</stp>
        <stp>PredictVolume</stp>
        <tr r="AJ1447" s="57"/>
      </tp>
      <tp>
        <v>53</v>
        <stp/>
        <stp>2506</stp>
        <stp>PredictVolume</stp>
        <tr r="AJ1444" s="57"/>
      </tp>
      <tp>
        <v>63</v>
        <stp/>
        <stp>2546</stp>
        <stp>PredictVolume</stp>
        <tr r="AJ1463" s="57"/>
      </tp>
      <tp>
        <v>3770</v>
        <stp/>
        <stp>2636</stp>
        <stp>PredictVolume</stp>
        <tr r="AJ7" s="74"/>
        <tr r="AJ1528" s="57"/>
      </tp>
      <tp>
        <v>95</v>
        <stp/>
        <stp>2616</stp>
        <stp>PredictVolume</stp>
        <tr r="AJ1672" s="57"/>
      </tp>
      <tp>
        <v>26111</v>
        <stp/>
        <stp>2606</stp>
        <stp>PredictVolume</stp>
        <tr r="AJ1514" s="57"/>
      </tp>
      <tp>
        <v>65</v>
        <stp/>
        <stp>2736</stp>
        <stp>PredictVolume</stp>
        <tr r="AJ1562" s="57"/>
      </tp>
      <tp>
        <v>45</v>
        <stp/>
        <stp>2726</stp>
        <stp>PredictVolume</stp>
        <tr r="AJ1556" s="57"/>
      </tp>
      <tp>
        <v>147</v>
        <stp/>
        <stp>2706</stp>
        <stp>PredictVolume</stp>
        <tr r="AJ1548" s="57"/>
      </tp>
      <tp>
        <v>109</v>
        <stp/>
        <stp>2756</stp>
        <stp>PredictVolume</stp>
        <tr r="AJ1572" s="57"/>
      </tp>
      <tp>
        <v>31066</v>
        <stp/>
        <stp>2006</stp>
        <stp>PredictVolume</stp>
        <tr r="AJ432" s="57"/>
      </tp>
      <tp>
        <v>29</v>
        <stp/>
        <stp>2066</stp>
        <stp>PredictVolume</stp>
        <tr r="AJ162" s="57"/>
      </tp>
      <tp>
        <v>318</v>
        <stp/>
        <stp>2106</stp>
        <stp>PredictVolume</stp>
        <tr r="AJ484" s="57"/>
      </tp>
      <tp>
        <v>1</v>
        <stp/>
        <stp>2236</stp>
        <stp>PredictVolume</stp>
        <tr r="AJ514" s="57"/>
      </tp>
      <tp>
        <v>338</v>
        <stp/>
        <stp>2206</stp>
        <stp>PredictVolume</stp>
        <tr r="AJ508" s="57"/>
      </tp>
      <tp>
        <v>285</v>
        <stp/>
        <stp>2316</stp>
        <stp>PredictVolume</stp>
        <tr r="AJ1026" s="57"/>
      </tp>
      <tp>
        <v>19084</v>
        <stp/>
        <stp>2376</stp>
        <stp>PredictVolume</stp>
        <tr r="AJ709" s="57"/>
      </tp>
      <tp>
        <v>2167</v>
        <stp/>
        <stp>2356</stp>
        <stp>PredictVolume</stp>
        <tr r="AJ704" s="57"/>
      </tp>
      <tp>
        <v>7920</v>
        <stp/>
        <stp>2886</stp>
        <stp>PredictVolume</stp>
        <tr r="AJ1610" s="57"/>
      </tp>
      <tp>
        <v>645</v>
        <stp/>
        <stp>2836</stp>
        <stp>PredictVolume</stp>
        <tr r="AJ1595" s="57"/>
      </tp>
      <tp>
        <v>22</v>
        <stp/>
        <stp>2816</stp>
        <stp>PredictVolume</stp>
        <tr r="AJ1591" s="57"/>
      </tp>
      <tp>
        <v>57</v>
        <stp/>
        <stp>2936</stp>
        <stp>PredictVolume</stp>
        <tr r="AJ1648" s="57"/>
      </tp>
      <tp>
        <v>261</v>
        <stp/>
        <stp>2926</stp>
        <stp>PredictVolume</stp>
        <tr r="AJ1772" s="57"/>
      </tp>
      <tp>
        <v>42</v>
        <stp/>
        <stp>2916</stp>
        <stp>PredictVolume</stp>
        <tr r="AJ1646" s="57"/>
      </tp>
      <tp>
        <v>46856</v>
        <stp/>
        <stp>2906</stp>
        <stp>PredictVolume</stp>
        <tr r="AJ1639" s="57"/>
      </tp>
      <tp>
        <v>0</v>
        <stp/>
        <stp>3426</stp>
        <stp>PredictVolume</stp>
        <tr r="AJ174" s="57"/>
      </tp>
      <tp>
        <v>26</v>
        <stp/>
        <stp>3416</stp>
        <stp>PredictVolume</stp>
        <tr r="AJ742" s="57"/>
      </tp>
      <tp>
        <v>1178</v>
        <stp/>
        <stp>3406</stp>
        <stp>PredictVolume</stp>
        <tr r="AJ839" s="57"/>
      </tp>
      <tp>
        <v>110</v>
        <stp/>
        <stp>3466</stp>
        <stp>PredictVolume</stp>
        <tr r="AJ958" s="57"/>
      </tp>
      <tp>
        <v>1400</v>
        <stp/>
        <stp>3596</stp>
        <stp>PredictVolume</stp>
        <tr r="AJ963" s="57"/>
      </tp>
      <tp>
        <v>38</v>
        <stp/>
        <stp>3536</stp>
        <stp>PredictVolume</stp>
        <tr r="AJ584" s="57"/>
      </tp>
      <tp>
        <v>1070</v>
        <stp/>
        <stp>3526</stp>
        <stp>PredictVolume</stp>
        <tr r="AJ1104" s="57"/>
      </tp>
      <tp>
        <v>6</v>
        <stp/>
        <stp>3516</stp>
        <stp>PredictVolume</stp>
        <tr r="AJ848" s="57"/>
      </tp>
      <tp>
        <v>12075</v>
        <stp/>
        <stp>3576</stp>
        <stp>PredictVolume</stp>
        <tr r="AJ853" s="57"/>
      </tp>
      <tp>
        <v>506</v>
        <stp/>
        <stp>3556</stp>
        <stp>PredictVolume</stp>
        <tr r="AJ587" s="57"/>
      </tp>
      <tp>
        <v>160</v>
        <stp/>
        <stp>3546</stp>
        <stp>PredictVolume</stp>
        <tr r="AJ86" s="74"/>
        <tr r="AJ1777" s="57"/>
      </tp>
      <tp>
        <v>1922</v>
        <stp/>
        <stp>3686</stp>
        <stp>PredictVolume</stp>
        <tr r="AJ596" s="57"/>
      </tp>
      <tp>
        <v>86</v>
        <stp/>
        <stp>3666</stp>
        <stp>PredictVolume</stp>
        <tr r="AJ859" s="57"/>
      </tp>
      <tp>
        <v>87</v>
        <stp/>
        <stp>3646</stp>
        <stp>PredictVolume</stp>
        <tr r="AJ1117" s="57"/>
      </tp>
      <tp>
        <v>3708</v>
        <stp/>
        <stp>3706</stp>
        <stp>PredictVolume</stp>
        <tr r="AJ756" s="57"/>
      </tp>
      <tp>
        <v>993</v>
        <stp/>
        <stp>3086</stp>
        <stp>PredictVolume</stp>
        <tr r="AJ1775" s="57"/>
      </tp>
      <tp>
        <v>1293</v>
        <stp/>
        <stp>3036</stp>
        <stp>PredictVolume</stp>
        <tr r="AJ1233" s="57"/>
      </tp>
      <tp>
        <v>344</v>
        <stp/>
        <stp>3026</stp>
        <stp>PredictVolume</stp>
        <tr r="AJ1061" s="57"/>
      </tp>
      <tp>
        <v>11450</v>
        <stp/>
        <stp>3016</stp>
        <stp>PredictVolume</stp>
        <tr r="AJ553" s="57"/>
      </tp>
      <tp>
        <v>9930</v>
        <stp/>
        <stp>3006</stp>
        <stp>PredictVolume</stp>
        <tr r="AJ6" s="114"/>
        <tr r="AJ4" s="114"/>
        <tr r="AJ551" s="57"/>
      </tp>
      <tp>
        <v>1134</v>
        <stp/>
        <stp>3066</stp>
        <stp>PredictVolume</stp>
        <tr r="AJ830" s="57"/>
      </tp>
      <tp>
        <v>686</v>
        <stp/>
        <stp>3056</stp>
        <stp>PredictVolume</stp>
        <tr r="AJ1471" s="57"/>
      </tp>
      <tp>
        <v>176</v>
        <stp/>
        <stp>3046</stp>
        <stp>PredictVolume</stp>
        <tr r="AJ728" s="57"/>
      </tp>
      <tp>
        <v>191</v>
        <stp/>
        <stp>3176</stp>
        <stp>PredictVolume</stp>
        <tr r="AJ313" s="57"/>
      </tp>
      <tp>
        <v>110</v>
        <stp/>
        <stp>3296</stp>
        <stp>PredictVolume</stp>
        <tr r="AJ1083" s="57"/>
      </tp>
      <tp>
        <v>48</v>
        <stp/>
        <stp>3236</stp>
        <stp>PredictVolume</stp>
        <tr r="AJ1078" s="57"/>
      </tp>
      <tp>
        <v>6</v>
        <stp/>
        <stp>3226</stp>
        <stp>PredictVolume</stp>
        <tr r="AJ172" s="57"/>
      </tp>
      <tp>
        <v>84</v>
        <stp/>
        <stp>3206</stp>
        <stp>PredictVolume</stp>
        <tr r="AJ1074" s="57"/>
      </tp>
      <tp>
        <v>188</v>
        <stp/>
        <stp>3276</stp>
        <stp>PredictVolume</stp>
        <tr r="AJ1079" s="57"/>
      </tp>
      <tp>
        <v>36</v>
        <stp/>
        <stp>3266</stp>
        <stp>PredictVolume</stp>
        <tr r="AJ1473" s="57"/>
      </tp>
      <tp>
        <v>83</v>
        <stp/>
        <stp>3306</stp>
        <stp>PredictVolume</stp>
        <tr r="AJ953" s="57"/>
      </tp>
      <tp>
        <v>278</v>
        <stp/>
        <stp>3376</stp>
        <stp>PredictVolume</stp>
        <tr r="AJ1093" s="57"/>
      </tp>
      <tp>
        <v>88</v>
        <stp/>
        <stp>3356</stp>
        <stp>PredictVolume</stp>
        <tr r="AJ836" s="57"/>
      </tp>
      <tp>
        <v>234</v>
        <stp/>
        <stp>3346</stp>
        <stp>PredictVolume</stp>
        <tr r="AJ520" s="57"/>
      </tp>
      <tp>
        <v>38</v>
        <stp/>
        <stp>1436</stp>
        <stp>PredictVolume</stp>
        <tr r="AJ1436" s="57"/>
      </tp>
      <tp>
        <v>122</v>
        <stp/>
        <stp>1416</stp>
        <stp>PredictVolume</stp>
        <tr r="AJ1307" s="57"/>
      </tp>
      <tp>
        <v>3172</v>
        <stp/>
        <stp>1476</stp>
        <stp>PredictVolume</stp>
        <tr r="AJ37" s="28"/>
        <tr r="AJ109" s="57"/>
      </tp>
      <tp>
        <v>166</v>
        <stp/>
        <stp>1466</stp>
        <stp>PredictVolume</stp>
        <tr r="AJ101" s="57"/>
      </tp>
      <tp>
        <v>56</v>
        <stp/>
        <stp>1456</stp>
        <stp>PredictVolume</stp>
        <tr r="AJ94" s="57"/>
      </tp>
      <tp>
        <v>86</v>
        <stp/>
        <stp>1446</stp>
        <stp>PredictVolume</stp>
        <tr r="AJ86" s="57"/>
      </tp>
      <tp>
        <v>97</v>
        <stp/>
        <stp>1586</stp>
        <stp>PredictVolume</stp>
        <tr r="AJ155" s="57"/>
      </tp>
      <tp>
        <v>376</v>
        <stp/>
        <stp>1536</stp>
        <stp>PredictVolume</stp>
        <tr r="AJ502" s="57"/>
      </tp>
      <tp>
        <v>236</v>
        <stp/>
        <stp>1526</stp>
        <stp>PredictVolume</stp>
        <tr r="AJ137" s="57"/>
      </tp>
      <tp>
        <v>312</v>
        <stp/>
        <stp>1516</stp>
        <stp>PredictVolume</stp>
        <tr r="AJ1310" s="57"/>
      </tp>
      <tp>
        <v>190</v>
        <stp/>
        <stp>1506</stp>
        <stp>PredictVolume</stp>
        <tr r="AJ130" s="57"/>
      </tp>
      <tp>
        <v>31</v>
        <stp/>
        <stp>1626</stp>
        <stp>PredictVolume</stp>
        <tr r="AJ237" s="57"/>
      </tp>
      <tp>
        <v>484</v>
        <stp/>
        <stp>1616</stp>
        <stp>PredictVolume</stp>
        <tr r="AJ234" s="57"/>
      </tp>
      <tp>
        <v>17</v>
        <stp/>
        <stp>1796</stp>
        <stp>PredictVolume</stp>
        <tr r="AJ37" s="57"/>
      </tp>
      <tp>
        <v>140</v>
        <stp/>
        <stp>1786</stp>
        <stp>PredictVolume</stp>
        <tr r="AJ305" s="57"/>
      </tp>
      <tp>
        <v>202</v>
        <stp/>
        <stp>1736</stp>
        <stp>PredictVolume</stp>
        <tr r="AJ297" s="57"/>
      </tp>
      <tp>
        <v>16</v>
        <stp/>
        <stp>1726</stp>
        <stp>PredictVolume</stp>
        <tr r="AJ257" s="57"/>
      </tp>
      <tp>
        <v>52</v>
        <stp/>
        <stp>1776</stp>
        <stp>PredictVolume</stp>
        <tr r="AJ264" s="57"/>
      </tp>
      <tp>
        <v>132</v>
        <stp/>
        <stp>1236</stp>
        <stp>PredictVolume</stp>
        <tr r="AJ31" s="57"/>
      </tp>
      <tp>
        <v>5658</v>
        <stp/>
        <stp>1216</stp>
        <stp>PredictVolume</stp>
        <tr r="AJ18" s="57"/>
      </tp>
      <tp>
        <v>27</v>
        <stp/>
        <stp>1256</stp>
        <stp>PredictVolume</stp>
        <tr r="AJ32" s="57"/>
      </tp>
      <tp>
        <v>29</v>
        <stp/>
        <stp>1336</stp>
        <stp>PredictVolume</stp>
        <tr r="AJ1018" s="57"/>
      </tp>
      <tp>
        <v>6892</v>
        <stp/>
        <stp>1326</stp>
        <stp>PredictVolume</stp>
        <tr r="AJ58" s="57"/>
      </tp>
      <tp>
        <v>2529</v>
        <stp/>
        <stp>1316</stp>
        <stp>PredictVolume</stp>
        <tr r="AJ1435" s="57"/>
      </tp>
      <tp>
        <v>514</v>
        <stp/>
        <stp>1806</stp>
        <stp>PredictVolume</stp>
        <tr r="AJ417" s="57"/>
      </tp>
      <tp>
        <v>143</v>
        <stp/>
        <stp>1906</stp>
        <stp>PredictVolume</stp>
        <tr r="AJ426" s="57"/>
      </tp>
      <tp>
        <v>831</v>
        <stp/>
        <stp>8436</stp>
        <stp>PredictVolume</stp>
        <tr r="AJ413" s="57"/>
      </tp>
      <tp>
        <v>0</v>
        <stp/>
        <stp>8426</stp>
        <stp>PredictVolume</stp>
        <tr r="AJ1371" s="57"/>
      </tp>
      <tp>
        <v>6</v>
        <stp/>
        <stp>8416</stp>
        <stp>PredictVolume</stp>
        <tr r="AJ1302" s="57"/>
      </tp>
      <tp>
        <v>218</v>
        <stp/>
        <stp>8406</stp>
        <stp>PredictVolume</stp>
        <tr r="AJ410" s="57"/>
      </tp>
      <tp>
        <v>102</v>
        <stp/>
        <stp>8476</stp>
        <stp>PredictVolume</stp>
        <tr r="AJ1384" s="57"/>
      </tp>
      <tp>
        <v>14</v>
        <stp/>
        <stp>8466</stp>
        <stp>PredictVolume</stp>
        <tr r="AJ1381" s="57"/>
      </tp>
      <tp>
        <v>43</v>
        <stp/>
        <stp>8446</stp>
        <stp>PredictVolume</stp>
        <tr r="AJ1792" s="57"/>
      </tp>
      <tp>
        <v>247</v>
        <stp/>
        <stp>8096</stp>
        <stp>PredictVolume</stp>
        <tr r="AJ1260" s="57"/>
      </tp>
      <tp>
        <v>5317</v>
        <stp/>
        <stp>8086</stp>
        <stp>PredictVolume</stp>
        <tr r="AJ686" s="57"/>
      </tp>
      <tp>
        <v>1846</v>
        <stp/>
        <stp>8016</stp>
        <stp>PredictVolume</stp>
        <tr r="AJ680" s="57"/>
      </tp>
      <tp>
        <v>641</v>
        <stp/>
        <stp>8076</stp>
        <stp>PredictVolume</stp>
        <tr r="AJ799" s="57"/>
      </tp>
      <tp>
        <v>66</v>
        <stp/>
        <stp>8066</stp>
        <stp>PredictVolume</stp>
        <tr r="AJ1663" s="57"/>
      </tp>
      <tp>
        <v>3353</v>
        <stp/>
        <stp>8046</stp>
        <stp>PredictVolume</stp>
        <tr r="AJ1207" s="57"/>
      </tp>
      <tp>
        <v>8</v>
        <stp/>
        <stp>8176</stp>
        <stp>PredictVolume</stp>
        <tr r="AJ1015" s="57"/>
      </tp>
      <tp>
        <v>7651</v>
        <stp/>
        <stp>8996</stp>
        <stp>PredictVolume</stp>
        <tr r="AJ221" s="57"/>
      </tp>
      <tp>
        <v>542</v>
        <stp/>
        <stp>8936</stp>
        <stp>PredictVolume</stp>
        <tr r="AJ36" s="28"/>
        <tr r="AJ1401" s="57"/>
      </tp>
      <tp>
        <v>527</v>
        <stp/>
        <stp>8926</stp>
        <stp>PredictVolume</stp>
        <tr r="AJ1673" s="57"/>
      </tp>
      <tp>
        <v>290</v>
        <stp/>
        <stp>8916</stp>
        <stp>PredictVolume</stp>
        <tr r="AJ1393" s="57"/>
      </tp>
      <tp>
        <v>8</v>
        <stp/>
        <stp>8906</stp>
        <stp>PredictVolume</stp>
        <tr r="AJ1392" s="57"/>
      </tp>
      <tp>
        <v>5</v>
        <stp/>
        <stp>9926</stp>
        <stp>PredictVolume</stp>
        <tr r="AJ1678" s="57"/>
      </tp>
      <tp>
        <v>23</v>
        <stp/>
        <stp>9906</stp>
        <stp>PredictVolume</stp>
        <tr r="AJ1507" s="57"/>
      </tp>
      <tp>
        <v>47</v>
        <stp/>
        <stp>9946</stp>
        <stp>PredictVolume</stp>
        <tr r="AJ1508" s="57"/>
      </tp>
      <tp>
        <v>664</v>
        <stp/>
        <stp>6485</stp>
        <stp>PredictVolume</stp>
        <tr r="AJ652" s="57"/>
      </tp>
      <tp>
        <v>199</v>
        <stp/>
        <stp>6435</stp>
        <stp>PredictVolume</stp>
        <tr r="AJ12" s="114"/>
        <tr r="AJ648" s="57"/>
      </tp>
      <tp>
        <v>17</v>
        <stp/>
        <stp>6425</stp>
        <stp>PredictVolume</stp>
        <tr r="AJ211" s="57"/>
      </tp>
      <tp>
        <v>919</v>
        <stp/>
        <stp>6415</stp>
        <stp>PredictVolume</stp>
        <tr r="AJ647" s="57"/>
      </tp>
      <tp>
        <v>22</v>
        <stp/>
        <stp>6405</stp>
        <stp>PredictVolume</stp>
        <tr r="AJ907" s="57"/>
      </tp>
      <tp>
        <v>160</v>
        <stp/>
        <stp>6535</stp>
        <stp>PredictVolume</stp>
        <tr r="AJ388" s="57"/>
      </tp>
      <tp>
        <v>113</v>
        <stp/>
        <stp>6525</stp>
        <stp>PredictVolume</stp>
        <tr r="AJ657" s="57"/>
      </tp>
      <tp>
        <v>1184</v>
        <stp/>
        <stp>6515</stp>
        <stp>PredictVolume</stp>
        <tr r="AJ656" s="57"/>
      </tp>
      <tp>
        <v>6470</v>
        <stp/>
        <stp>6505</stp>
        <stp>PredictVolume</stp>
        <tr r="AJ1682" s="57"/>
      </tp>
      <tp>
        <v>48</v>
        <stp/>
        <stp>6625</stp>
        <stp>PredictVolume</stp>
        <tr r="AJ1348" s="57"/>
      </tp>
      <tp>
        <v>2</v>
        <stp/>
        <stp>6615</stp>
        <stp>PredictVolume</stp>
        <tr r="AJ397" s="57"/>
      </tp>
      <tp>
        <v>126</v>
        <stp/>
        <stp>6605</stp>
        <stp>PredictVolume</stp>
        <tr r="AJ525" s="57"/>
      </tp>
      <tp>
        <v>9</v>
        <stp/>
        <stp>6655</stp>
        <stp>PredictVolume</stp>
        <tr r="AJ1351" s="57"/>
      </tp>
      <tp>
        <v>22</v>
        <stp/>
        <stp>6715</stp>
        <stp>PredictVolume</stp>
        <tr r="AJ69" s="28"/>
        <tr r="AJ1199" s="57"/>
      </tp>
      <tp>
        <v>465</v>
        <stp/>
        <stp>6015</stp>
        <stp>PredictVolume</stp>
        <tr r="AJ1624" s="57"/>
      </tp>
      <tp>
        <v>1435</v>
        <stp/>
        <stp>6005</stp>
        <stp>PredictVolume</stp>
        <tr r="AJ1623" s="57"/>
      </tp>
      <tp>
        <v>8</v>
        <stp/>
        <stp>6195</stp>
        <stp>PredictVolume</stp>
        <tr r="AJ1661" s="57"/>
      </tp>
      <tp>
        <v>620</v>
        <stp/>
        <stp>6185</stp>
        <stp>PredictVolume</stp>
        <tr r="AJ1167" s="57"/>
      </tp>
      <tp>
        <v>1403</v>
        <stp/>
        <stp>6125</stp>
        <stp>PredictVolume</stp>
        <tr r="AJ893" s="57"/>
      </tp>
      <tp>
        <v>81</v>
        <stp/>
        <stp>6115</stp>
        <stp>PredictVolume</stp>
        <tr r="AJ1152" s="57"/>
      </tp>
      <tp>
        <v>269</v>
        <stp/>
        <stp>6175</stp>
        <stp>PredictVolume</stp>
        <tr r="AJ1166" s="57"/>
      </tp>
      <tp>
        <v>189</v>
        <stp/>
        <stp>6165</stp>
        <stp>PredictVolume</stp>
        <tr r="AJ1163" s="57"/>
      </tp>
      <tp>
        <v>85</v>
        <stp/>
        <stp>6155</stp>
        <stp>PredictVolume</stp>
        <tr r="AJ1160" s="57"/>
      </tp>
      <tp>
        <v>481</v>
        <stp/>
        <stp>6285</stp>
        <stp>PredictVolume</stp>
        <tr r="AJ994" s="57"/>
      </tp>
      <tp>
        <v>14934</v>
        <stp/>
        <stp>6235</stp>
        <stp>PredictVolume</stp>
        <tr r="AJ787" s="57"/>
      </tp>
      <tp>
        <v>42</v>
        <stp/>
        <stp>6225</stp>
        <stp>PredictVolume</stp>
        <tr r="AJ900" s="57"/>
      </tp>
      <tp>
        <v>212</v>
        <stp/>
        <stp>6215</stp>
        <stp>PredictVolume</stp>
        <tr r="AJ1747" s="57"/>
      </tp>
      <tp>
        <v>2722</v>
        <stp/>
        <stp>6205</stp>
        <stp>PredictVolume</stp>
        <tr r="AJ1173" s="57"/>
      </tp>
      <tp>
        <v>2524</v>
        <stp/>
        <stp>6275</stp>
        <stp>PredictVolume</stp>
        <tr r="AJ1749" s="57"/>
      </tp>
      <tp>
        <v>407</v>
        <stp/>
        <stp>6265</stp>
        <stp>PredictVolume</stp>
        <tr r="AJ1250" s="57"/>
      </tp>
      <tp>
        <v>62</v>
        <stp/>
        <stp>6245</stp>
        <stp>PredictVolume</stp>
        <tr r="AJ992" s="57"/>
      </tp>
      <tp>
        <v>11</v>
        <stp/>
        <stp>4535</stp>
        <stp>PredictVolume</stp>
        <tr r="AJ188" s="57"/>
      </tp>
      <tp>
        <v>45</v>
        <stp/>
        <stp>4555</stp>
        <stp>PredictVolume</stp>
        <tr r="AJ195" s="57"/>
      </tp>
      <tp>
        <v>604</v>
        <stp/>
        <stp>4545</stp>
        <stp>PredictVolume</stp>
        <tr r="AJ1123" s="57"/>
      </tp>
      <tp>
        <v>147</v>
        <stp/>
        <stp>4735</stp>
        <stp>PredictVolume</stp>
        <tr r="AJ41" s="28"/>
        <tr r="AJ366" s="57"/>
      </tp>
      <tp>
        <v>3972</v>
        <stp/>
        <stp>4755</stp>
        <stp>PredictVolume</stp>
        <tr r="AJ278" s="57"/>
      </tp>
      <tp>
        <v>37</v>
        <stp/>
        <stp>4745</stp>
        <stp>PredictVolume</stp>
        <tr r="AJ371" s="57"/>
      </tp>
      <tp>
        <v>252</v>
        <stp/>
        <stp>4105</stp>
        <stp>PredictVolume</stp>
        <tr r="AJ319" s="57"/>
      </tp>
      <tp>
        <v>16</v>
        <stp/>
        <stp>4175</stp>
        <stp>PredictVolume</stp>
        <tr r="AJ358" s="57"/>
      </tp>
      <tp>
        <v>20</v>
        <stp/>
        <stp>4155</stp>
        <stp>PredictVolume</stp>
        <tr r="AJ347" s="57"/>
      </tp>
      <tp>
        <v>7</v>
        <stp/>
        <stp>4205</stp>
        <stp>PredictVolume</stp>
        <tr r="AJ38" s="57"/>
      </tp>
      <tp>
        <v>0</v>
        <stp/>
        <stp>4305</stp>
        <stp>PredictVolume</stp>
        <tr r="AJ64" s="57"/>
      </tp>
      <tp>
        <v>32</v>
        <stp/>
        <stp>4995</stp>
        <stp>PredictVolume</stp>
        <tr r="AJ876" s="57"/>
      </tp>
      <tp>
        <v>269</v>
        <stp/>
        <stp>4935</stp>
        <stp>PredictVolume</stp>
        <tr r="AJ869" s="57"/>
      </tp>
      <tp>
        <v>1604</v>
        <stp/>
        <stp>4915</stp>
        <stp>PredictVolume</stp>
        <tr r="AJ1125" s="57"/>
      </tp>
      <tp>
        <v>439</v>
        <stp/>
        <stp>4945</stp>
        <stp>PredictVolume</stp>
        <tr r="AJ601" s="57"/>
      </tp>
      <tp>
        <v>1608</v>
        <stp/>
        <stp>5425</stp>
        <stp>PredictVolume</stp>
        <tr r="AJ622" s="57"/>
      </tp>
      <tp>
        <v>12240</v>
        <stp/>
        <stp>5475</stp>
        <stp>PredictVolume</stp>
        <tr r="AJ1147" s="57"/>
      </tp>
      <tp>
        <v>45</v>
        <stp/>
        <stp>5465</stp>
        <stp>PredictVolume</stp>
        <tr r="AJ772" s="57"/>
      </tp>
      <tp>
        <v>3</v>
        <stp/>
        <stp>5455</stp>
        <stp>PredictVolume</stp>
        <tr r="AJ1482" s="57"/>
      </tp>
      <tp>
        <v>26</v>
        <stp/>
        <stp>5525</stp>
        <stp>PredictVolume</stp>
        <tr r="AJ1493" s="57"/>
      </tp>
      <tp>
        <v>128</v>
        <stp/>
        <stp>5515</stp>
        <stp>PredictVolume</stp>
        <tr r="AJ1487" s="57"/>
      </tp>
      <tp>
        <v>218</v>
        <stp/>
        <stp>5015</stp>
        <stp>PredictVolume</stp>
        <tr r="AJ468" s="57"/>
      </tp>
      <tp>
        <v>496</v>
        <stp/>
        <stp>5285</stp>
        <stp>PredictVolume</stp>
        <tr r="AJ615" s="57"/>
      </tp>
      <tp>
        <v>909</v>
        <stp/>
        <stp>5225</stp>
        <stp>PredictVolume</stp>
        <tr r="AJ1734" s="57"/>
      </tp>
      <tp>
        <v>198</v>
        <stp/>
        <stp>5215</stp>
        <stp>PredictVolume</stp>
        <tr r="AJ764" s="57"/>
      </tp>
      <tp>
        <v>3</v>
        <stp/>
        <stp>5205</stp>
        <stp>PredictVolume</stp>
        <tr r="AJ1733" s="57"/>
      </tp>
      <tp>
        <v>232</v>
        <stp/>
        <stp>5245</stp>
        <stp>PredictVolume</stp>
        <tr r="AJ882" s="57"/>
      </tp>
      <tp>
        <v>119</v>
        <stp/>
        <stp>5315</stp>
        <stp>PredictVolume</stp>
        <tr r="AJ885" s="57"/>
      </tp>
      <tp>
        <v>56</v>
        <stp/>
        <stp>5355</stp>
        <stp>PredictVolume</stp>
        <tr r="AJ1140" s="57"/>
      </tp>
      <tp>
        <v>4</v>
        <stp/>
        <stp>5345</stp>
        <stp>PredictVolume</stp>
        <tr r="AJ1139" s="57"/>
      </tp>
      <tp>
        <v>452</v>
        <stp/>
        <stp>5905</stp>
        <stp>PredictVolume</stp>
        <tr r="AJ1658" s="57"/>
      </tp>
      <tp>
        <v>517</v>
        <stp/>
        <stp>2495</stp>
        <stp>PredictVolume</stp>
        <tr r="AJ1703" s="57"/>
      </tp>
      <tp>
        <v>336</v>
        <stp/>
        <stp>2485</stp>
        <stp>PredictVolume</stp>
        <tr r="AJ939" s="57"/>
      </tp>
      <tp>
        <v>136</v>
        <stp/>
        <stp>2425</stp>
        <stp>PredictVolume</stp>
        <tr r="AJ720" s="57"/>
      </tp>
      <tp>
        <v>203</v>
        <stp/>
        <stp>2415</stp>
        <stp>PredictVolume</stp>
        <tr r="AJ1038" s="57"/>
      </tp>
      <tp>
        <v>12869</v>
        <stp/>
        <stp>2405</stp>
        <stp>PredictVolume</stp>
        <tr r="AJ717" s="57"/>
      </tp>
      <tp>
        <v>770</v>
        <stp/>
        <stp>2465</stp>
        <stp>PredictVolume</stp>
        <tr r="AJ722" s="57"/>
      </tp>
      <tp>
        <v>2882</v>
        <stp/>
        <stp>2455</stp>
        <stp>PredictVolume</stp>
        <tr r="AJ938" s="57"/>
      </tp>
      <tp>
        <v>1429</v>
        <stp/>
        <stp>2535</stp>
        <stp>PredictVolume</stp>
        <tr r="AJ1454" s="57"/>
      </tp>
      <tp>
        <v>2720</v>
        <stp/>
        <stp>2515</stp>
        <stp>PredictVolume</stp>
        <tr r="AJ1817" s="57"/>
      </tp>
      <tp>
        <v>240</v>
        <stp/>
        <stp>2505</stp>
        <stp>PredictVolume</stp>
        <tr r="AJ1443" s="57"/>
      </tp>
      <tp>
        <v>538</v>
        <stp/>
        <stp>2545</stp>
        <stp>PredictVolume</stp>
        <tr r="AJ1462" s="57"/>
      </tp>
      <tp>
        <v>26222</v>
        <stp/>
        <stp>2615</stp>
        <stp>PredictVolume</stp>
        <tr r="AJ1522" s="57"/>
      </tp>
      <tp>
        <v>27020</v>
        <stp/>
        <stp>2605</stp>
        <stp>PredictVolume</stp>
        <tr r="AJ1513" s="57"/>
      </tp>
      <tp>
        <v>176</v>
        <stp/>
        <stp>2705</stp>
        <stp>PredictVolume</stp>
        <tr r="AJ1547" s="57"/>
      </tp>
      <tp>
        <v>31</v>
        <stp/>
        <stp>2755</stp>
        <stp>PredictVolume</stp>
        <tr r="AJ1571" s="57"/>
      </tp>
      <tp>
        <v>396</v>
        <stp/>
        <stp>2745</stp>
        <stp>PredictVolume</stp>
        <tr r="AJ1566" s="57"/>
      </tp>
      <tp>
        <v>223</v>
        <stp/>
        <stp>2035</stp>
        <stp>PredictVolume</stp>
        <tr r="AJ455" s="57"/>
      </tp>
      <tp>
        <v>537</v>
        <stp/>
        <stp>2025</stp>
        <stp>PredictVolume</stp>
        <tr r="AJ446" s="57"/>
      </tp>
      <tp>
        <v>513</v>
        <stp/>
        <stp>2015</stp>
        <stp>PredictVolume</stp>
        <tr r="AJ440" s="57"/>
      </tp>
      <tp>
        <v>139</v>
        <stp/>
        <stp>2065</stp>
        <stp>PredictVolume</stp>
        <tr r="AJ459" s="57"/>
      </tp>
      <tp>
        <v>114</v>
        <stp/>
        <stp>2115</stp>
        <stp>PredictVolume</stp>
        <tr r="AJ505" s="57"/>
      </tp>
      <tp>
        <v>1760</v>
        <stp/>
        <stp>2105</stp>
        <stp>PredictVolume</stp>
        <tr r="AJ483" s="57"/>
      </tp>
      <tp>
        <v>9</v>
        <stp/>
        <stp>2235</stp>
        <stp>PredictVolume</stp>
        <tr r="AJ166" s="57"/>
      </tp>
      <tp>
        <v>1126</v>
        <stp/>
        <stp>2395</stp>
        <stp>PredictVolume</stp>
        <tr r="AJ714" s="57"/>
      </tp>
      <tp>
        <v>1954</v>
        <stp/>
        <stp>2385</stp>
        <stp>PredictVolume</stp>
        <tr r="AJ1034" s="57"/>
      </tp>
      <tp>
        <v>719</v>
        <stp/>
        <stp>2305</stp>
        <stp>PredictVolume</stp>
        <tr r="AJ699" s="57"/>
      </tp>
      <tp>
        <v>377</v>
        <stp/>
        <stp>2375</stp>
        <stp>PredictVolume</stp>
        <tr r="AJ1032" s="57"/>
      </tp>
      <tp>
        <v>193</v>
        <stp/>
        <stp>2365</stp>
        <stp>PredictVolume</stp>
        <tr r="AJ708" s="57"/>
      </tp>
      <tp>
        <v>1213</v>
        <stp/>
        <stp>2355</stp>
        <stp>PredictVolume</stp>
        <tr r="AJ1029" s="57"/>
      </tp>
      <tp>
        <v>2444</v>
        <stp/>
        <stp>2345</stp>
        <stp>PredictVolume</stp>
        <tr r="AJ932" s="57"/>
      </tp>
      <tp>
        <v>10310</v>
        <stp/>
        <stp>2885</stp>
        <stp>PredictVolume</stp>
        <tr r="AJ1609" s="57"/>
      </tp>
      <tp>
        <v>1623</v>
        <stp/>
        <stp>2855</stp>
        <stp>PredictVolume</stp>
        <tr r="AJ1602" s="57"/>
      </tp>
      <tp>
        <v>2896</v>
        <stp/>
        <stp>2845</stp>
        <stp>PredictVolume</stp>
        <tr r="AJ1597" s="57"/>
      </tp>
      <tp>
        <v>3404</v>
        <stp/>
        <stp>2915</stp>
        <stp>PredictVolume</stp>
        <tr r="AJ1645" s="57"/>
      </tp>
      <tp>
        <v>160</v>
        <stp/>
        <stp>2905</stp>
        <stp>PredictVolume</stp>
        <tr r="AJ1638" s="57"/>
      </tp>
      <tp>
        <v>31</v>
        <stp/>
        <stp>2945</stp>
        <stp>PredictVolume</stp>
        <tr r="AJ1651" s="57"/>
      </tp>
      <tp>
        <v>10</v>
        <stp/>
        <stp>3465</stp>
        <stp>PredictVolume</stp>
        <tr r="AJ1097" s="57"/>
      </tp>
      <tp>
        <v>2282</v>
        <stp/>
        <stp>3455</stp>
        <stp>PredictVolume</stp>
        <tr r="AJ844" s="57"/>
      </tp>
      <tp>
        <v>369</v>
        <stp/>
        <stp>3535</stp>
        <stp>PredictVolume</stp>
        <tr r="AJ850" s="57"/>
      </tp>
      <tp>
        <v>3989</v>
        <stp/>
        <stp>3515</stp>
        <stp>PredictVolume</stp>
        <tr r="AJ746" s="57"/>
      </tp>
      <tp>
        <v>3</v>
        <stp/>
        <stp>3555</stp>
        <stp>PredictVolume</stp>
        <tr r="AJ586" s="57"/>
      </tp>
      <tp>
        <v>2411</v>
        <stp/>
        <stp>3545</stp>
        <stp>PredictVolume</stp>
        <tr r="AJ585" s="57"/>
      </tp>
      <tp>
        <v>69</v>
        <stp/>
        <stp>3685</stp>
        <stp>PredictVolume</stp>
        <tr r="AJ862" s="57"/>
      </tp>
      <tp>
        <v>169</v>
        <stp/>
        <stp>3625</stp>
        <stp>PredictVolume</stp>
        <tr r="AJ752" s="57"/>
      </tp>
      <tp>
        <v>207</v>
        <stp/>
        <stp>3615</stp>
        <stp>PredictVolume</stp>
        <tr r="AJ855" s="57"/>
      </tp>
      <tp>
        <v>2627</v>
        <stp/>
        <stp>3605</stp>
        <stp>PredictVolume</stp>
        <tr r="AJ1111" s="57"/>
      </tp>
      <tp>
        <v>1376</v>
        <stp/>
        <stp>3675</stp>
        <stp>PredictVolume</stp>
        <tr r="AJ26" s="114"/>
        <tr r="AJ594" s="57"/>
      </tp>
      <tp>
        <v>8138</v>
        <stp/>
        <stp>3665</stp>
        <stp>PredictVolume</stp>
        <tr r="AJ1730" s="57"/>
      </tp>
      <tp>
        <v>462</v>
        <stp/>
        <stp>3645</stp>
        <stp>PredictVolume</stp>
        <tr r="AJ1116" s="57"/>
      </tp>
      <tp>
        <v>104</v>
        <stp/>
        <stp>3705</stp>
        <stp>PredictVolume</stp>
        <tr r="AJ316" s="57"/>
      </tp>
      <tp>
        <v>98</v>
        <stp/>
        <stp>3095</stp>
        <stp>PredictVolume</stp>
        <tr r="AJ947" s="57"/>
      </tp>
      <tp>
        <v>1</v>
        <stp/>
        <stp>3085</stp>
        <stp>PredictVolume</stp>
        <tr r="AJ1799" s="57"/>
      </tp>
      <tp>
        <v>28539</v>
        <stp/>
        <stp>3035</stp>
        <stp>PredictVolume</stp>
        <tr r="AJ555" s="57"/>
      </tp>
      <tp>
        <v>132</v>
        <stp/>
        <stp>3025</stp>
        <stp>PredictVolume</stp>
        <tr r="AJ941" s="57"/>
      </tp>
      <tp>
        <v>310</v>
        <stp/>
        <stp>3015</stp>
        <stp>PredictVolume</stp>
        <tr r="AJ24" s="28"/>
        <tr r="AJ1058" s="57"/>
      </tp>
      <tp>
        <v>1219</v>
        <stp/>
        <stp>3005</stp>
        <stp>PredictVolume</stp>
        <tr r="AJ724" s="57"/>
      </tp>
      <tp>
        <v>88</v>
        <stp/>
        <stp>3055</stp>
        <stp>PredictVolume</stp>
        <tr r="AJ1235" s="57"/>
      </tp>
      <tp>
        <v>2046</v>
        <stp/>
        <stp>3045</stp>
        <stp>PredictVolume</stp>
        <tr r="AJ943" s="57"/>
      </tp>
      <tp>
        <v>65</v>
        <stp/>
        <stp>3115</stp>
        <stp>PredictVolume</stp>
        <tr r="AJ1071" s="57"/>
      </tp>
      <tp>
        <v>1559</v>
        <stp/>
        <stp>3105</stp>
        <stp>PredictVolume</stp>
        <tr r="AJ560" s="57"/>
      </tp>
      <tp>
        <v>8</v>
        <stp/>
        <stp>3285</stp>
        <stp>PredictVolume</stp>
        <tr r="AJ1710" s="57"/>
      </tp>
      <tp>
        <v>8</v>
        <stp/>
        <stp>3205</stp>
        <stp>PredictVolume</stp>
        <tr r="AJ314" s="57"/>
      </tp>
      <tp>
        <v>828</v>
        <stp/>
        <stp>3265</stp>
        <stp>PredictVolume</stp>
        <tr r="AJ20" s="28"/>
        <tr r="AJ572" s="57"/>
      </tp>
      <tp>
        <v>535</v>
        <stp/>
        <stp>3325</stp>
        <stp>PredictVolume</stp>
        <tr r="AJ739" s="57"/>
      </tp>
      <tp>
        <v>1424</v>
        <stp/>
        <stp>3305</stp>
        <stp>PredictVolume</stp>
        <tr r="AJ1713" s="57"/>
      </tp>
      <tp>
        <v>57</v>
        <stp/>
        <stp>1435</stp>
        <stp>PredictVolume</stp>
        <tr r="AJ1308" s="57"/>
      </tp>
      <tp>
        <v>23</v>
        <stp/>
        <stp>1475</stp>
        <stp>PredictVolume</stp>
        <tr r="AJ108" s="57"/>
      </tp>
      <tp>
        <v>36</v>
        <stp/>
        <stp>1465</stp>
        <stp>PredictVolume</stp>
        <tr r="AJ100" s="57"/>
      </tp>
      <tp>
        <v>1382</v>
        <stp/>
        <stp>1455</stp>
        <stp>PredictVolume</stp>
        <tr r="AJ93" s="57"/>
      </tp>
      <tp>
        <v>43</v>
        <stp/>
        <stp>1445</stp>
        <stp>PredictVolume</stp>
        <tr r="AJ85" s="57"/>
      </tp>
      <tp>
        <v>28</v>
        <stp/>
        <stp>1595</stp>
        <stp>PredictVolume</stp>
        <tr r="AJ1021" s="57"/>
      </tp>
      <tp>
        <v>44</v>
        <stp/>
        <stp>1535</stp>
        <stp>PredictVolume</stp>
        <tr r="AJ144" s="57"/>
      </tp>
      <tp>
        <v>28</v>
        <stp/>
        <stp>1525</stp>
        <stp>PredictVolume</stp>
        <tr r="AJ500" s="57"/>
      </tp>
      <tp>
        <v>629</v>
        <stp/>
        <stp>1515</stp>
        <stp>PredictVolume</stp>
        <tr r="AJ134" s="57"/>
      </tp>
      <tp>
        <v>46</v>
        <stp/>
        <stp>1565</stp>
        <stp>PredictVolume</stp>
        <tr r="AJ288" s="57"/>
      </tp>
      <tp>
        <v>54</v>
        <stp/>
        <stp>1615</stp>
        <stp>PredictVolume</stp>
        <tr r="AJ233" s="57"/>
      </tp>
      <tp>
        <v>15132</v>
        <stp/>
        <stp>1605</stp>
        <stp>PredictVolume</stp>
        <tr r="AJ227" s="57"/>
      </tp>
      <tp>
        <v>6548</v>
        <stp/>
        <stp>1795</stp>
        <stp>PredictVolume</stp>
        <tr r="AJ308" s="57"/>
      </tp>
      <tp>
        <v>1790</v>
        <stp/>
        <stp>1785</stp>
        <stp>PredictVolume</stp>
        <tr r="AJ1686" s="57"/>
      </tp>
      <tp>
        <v>3</v>
        <stp/>
        <stp>1735</stp>
        <stp>PredictVolume</stp>
        <tr r="AJ261" s="57"/>
      </tp>
      <tp>
        <v>60</v>
        <stp/>
        <stp>1725</stp>
        <stp>PredictVolume</stp>
        <tr r="AJ256" s="57"/>
      </tp>
      <tp>
        <v>68</v>
        <stp/>
        <stp>1235</stp>
        <stp>PredictVolume</stp>
        <tr r="AJ30" s="57"/>
      </tp>
      <tp>
        <v>54</v>
        <stp/>
        <stp>1225</stp>
        <stp>PredictVolume</stp>
        <tr r="AJ23" s="57"/>
      </tp>
      <tp>
        <v>317</v>
        <stp/>
        <stp>1215</stp>
        <stp>PredictVolume</stp>
        <tr r="AJ17" s="57"/>
      </tp>
      <tp>
        <v>489</v>
        <stp/>
        <stp>1325</stp>
        <stp>PredictVolume</stp>
        <tr r="AJ57" s="57"/>
        <tr r="AJ18" s="28"/>
      </tp>
      <tp>
        <v>33</v>
        <stp/>
        <stp>1315</stp>
        <stp>PredictVolume</stp>
        <tr r="AJ53" s="57"/>
      </tp>
      <tp>
        <v>2446</v>
        <stp/>
        <stp>1305</stp>
        <stp>PredictVolume</stp>
        <tr r="AJ45" s="57"/>
      </tp>
      <tp>
        <v>508</v>
        <stp/>
        <stp>1815</stp>
        <stp>PredictVolume</stp>
        <tr r="AJ1022" s="57"/>
      </tp>
      <tp>
        <v>23</v>
        <stp/>
        <stp>1805</stp>
        <stp>PredictVolume</stp>
        <tr r="AJ1439" s="57"/>
      </tp>
      <tp>
        <v>1182</v>
        <stp/>
        <stp>1905</stp>
        <stp>PredictVolume</stp>
        <tr r="AJ425" s="57"/>
      </tp>
      <tp>
        <v>65</v>
        <stp/>
        <stp>8435</stp>
        <stp>PredictVolume</stp>
        <tr r="AJ1373" s="57"/>
      </tp>
      <tp>
        <v>1561</v>
        <stp/>
        <stp>8415</stp>
        <stp>PredictVolume</stp>
        <tr r="AJ473" s="57"/>
      </tp>
      <tp>
        <v>5</v>
        <stp/>
        <stp>8455</stp>
        <stp>PredictVolume</stp>
        <tr r="AJ1769" s="57"/>
      </tp>
      <tp>
        <v>37</v>
        <stp/>
        <stp>8085</stp>
        <stp>PredictVolume</stp>
        <tr r="AJ1763" s="57"/>
      </tp>
      <tp>
        <v>306</v>
        <stp/>
        <stp>8105</stp>
        <stp>PredictVolume</stp>
        <tr r="AJ923" s="57"/>
      </tp>
      <tp>
        <v>5823</v>
        <stp/>
        <stp>8155</stp>
        <stp>PredictVolume</stp>
        <tr r="AJ24" s="114"/>
        <tr r="AJ1217" s="57"/>
      </tp>
      <tp>
        <v>1146</v>
        <stp/>
        <stp>8215</stp>
        <stp>PredictVolume</stp>
        <tr r="AJ925" s="57"/>
      </tp>
      <tp>
        <v>571</v>
        <stp/>
        <stp>8255</stp>
        <stp>PredictVolume</stp>
        <tr r="AJ219" s="57"/>
      </tp>
      <tp>
        <v>351</v>
        <stp/>
        <stp>8935</stp>
        <stp>PredictVolume</stp>
        <tr r="AJ1400" s="57"/>
      </tp>
      <tp>
        <v>166</v>
        <stp/>
        <stp>8905</stp>
        <stp>PredictVolume</stp>
        <tr r="AJ1391" s="57"/>
      </tp>
      <tp>
        <v>86</v>
        <stp/>
        <stp>9935</stp>
        <stp>PredictVolume</stp>
        <tr r="AJ1424" s="57"/>
      </tp>
      <tp>
        <v>97</v>
        <stp/>
        <stp>9925</stp>
        <stp>PredictVolume</stp>
        <tr r="AJ1417" s="57"/>
      </tp>
      <tp>
        <v>37</v>
        <stp/>
        <stp>9905</stp>
        <stp>PredictVolume</stp>
        <tr r="AJ1408" s="57"/>
      </tp>
      <tp>
        <v>1187</v>
        <stp/>
        <stp>9955</stp>
        <stp>PredictVolume</stp>
        <tr r="AJ1432" s="57"/>
      </tp>
      <tp>
        <v>4728</v>
        <stp/>
        <stp>9945</stp>
        <stp>PredictVolume</stp>
        <tr r="AJ1431" s="57"/>
      </tp>
      <tp>
        <v>21.95</v>
        <stp/>
        <stp>2208</stp>
        <stp>Price</stp>
        <tr r="W1511" s="57"/>
      </tp>
      <tp>
        <v>68.400000000000006</v>
        <stp/>
        <stp>2228</stp>
        <stp>Price</stp>
        <tr r="W511" s="57"/>
      </tp>
      <tp>
        <v>100.5</v>
        <stp/>
        <stp>2348</stp>
        <stp>Price</stp>
        <tr r="W1314" s="57"/>
      </tp>
      <tp>
        <v>23.95</v>
        <stp/>
        <stp>2358</stp>
        <stp>Price</stp>
        <tr r="W1315" s="57"/>
      </tp>
      <tp>
        <v>77.5</v>
        <stp/>
        <stp>2368</stp>
        <stp>Price</stp>
        <tr r="W1031" s="57"/>
      </tp>
      <tp>
        <v>262</v>
        <stp/>
        <stp>2308</stp>
        <stp>Price</stp>
        <tr r="W1024" s="57"/>
      </tp>
      <tp>
        <v>37.049999999999997</v>
        <stp/>
        <stp>2328</stp>
        <stp>Price</stp>
        <tr r="W1028" s="57"/>
      </tp>
      <tp>
        <v>91.4</v>
        <stp/>
        <stp>2338</stp>
        <stp>Price</stp>
        <tr r="W533" s="57"/>
      </tp>
      <tp>
        <v>60.5</v>
        <stp/>
        <stp>2388</stp>
        <stp>Price</stp>
        <tr r="W540" s="57"/>
      </tp>
      <tp>
        <v>19.600000000000001</v>
        <stp/>
        <stp>2008</stp>
        <stp>Price</stp>
        <tr r="W434" s="57"/>
      </tp>
      <tp>
        <v>40.65</v>
        <stp/>
        <stp>2028</stp>
        <stp>Price</stp>
        <tr r="W448" s="57"/>
      </tp>
      <tp>
        <v>33.1</v>
        <stp/>
        <stp>2038</stp>
        <stp>Price</stp>
        <tr r="W456" s="57"/>
      </tp>
      <tp>
        <v>81.8</v>
        <stp/>
        <stp>2108</stp>
        <stp>Price</stp>
        <tr r="W486" s="57"/>
      </tp>
      <tp>
        <v>41.3</v>
        <stp/>
        <stp>2608</stp>
        <stp>Price</stp>
        <tr r="W1516" s="57"/>
      </tp>
      <tp>
        <v>30.25</v>
        <stp/>
        <stp>2618</stp>
        <stp>Price</stp>
        <tr r="W1524" s="57"/>
      </tp>
      <tp>
        <v>40</v>
        <stp/>
        <stp>2748</stp>
        <stp>Price</stp>
        <tr r="W1567" s="57"/>
      </tp>
      <tp t="s">
        <v>無資料</v>
        <stp/>
        <stp>2718</stp>
        <stp>Price</stp>
        <tr r="W1551" s="57"/>
      </tp>
      <tp>
        <v>165</v>
        <stp/>
        <stp>2458</stp>
        <stp>Price</stp>
        <tr r="W549" s="57"/>
      </tp>
      <tp>
        <v>13.25</v>
        <stp/>
        <stp>2468</stp>
        <stp>Price</stp>
        <tr r="W1266" s="57"/>
      </tp>
      <tp>
        <v>60.1</v>
        <stp/>
        <stp>2478</stp>
        <stp>Price</stp>
        <tr r="W1051" s="57"/>
      </tp>
      <tp>
        <v>75.599999999999994</v>
        <stp/>
        <stp>2408</stp>
        <stp>Price</stp>
        <tr r="W542" s="57"/>
      </tp>
      <tp>
        <v>129</v>
        <stp/>
        <stp>2428</stp>
        <stp>Price</stp>
        <tr r="W1041" s="57"/>
      </tp>
      <tp>
        <v>13.85</v>
        <stp/>
        <stp>2438</stp>
        <stp>Price</stp>
        <tr r="W816" s="57"/>
      </tp>
      <tp>
        <v>26.75</v>
        <stp/>
        <stp>2488</stp>
        <stp>Price</stp>
        <tr r="W1702" s="57"/>
      </tp>
      <tp>
        <v>57.8</v>
        <stp/>
        <stp>2498</stp>
        <stp>Price</stp>
        <tr r="W940" s="57"/>
      </tp>
      <tp>
        <v>90.7</v>
        <stp/>
        <stp>2548</stp>
        <stp>Price</stp>
        <tr r="W1465" s="57"/>
      </tp>
      <tp>
        <v>21.2</v>
        <stp/>
        <stp>2528</stp>
        <stp>Price</stp>
        <tr r="W1451" s="57"/>
      </tp>
      <tp>
        <v>12.25</v>
        <stp/>
        <stp>2538</stp>
        <stp>Price</stp>
        <tr r="W1457" s="57"/>
      </tp>
      <tp>
        <v>14.45</v>
        <stp/>
        <stp>2838</stp>
        <stp>Price</stp>
        <tr r="W1596" s="57"/>
      </tp>
      <tp>
        <v>10.050000000000001</v>
        <stp/>
        <stp>2888</stp>
        <stp>Price</stp>
        <tr r="W1612" s="57"/>
      </tp>
      <tp>
        <v>21.05</v>
        <stp/>
        <stp>2908</stp>
        <stp>Price</stp>
        <tr r="W1640" s="57"/>
      </tp>
      <tp>
        <v>23.6</v>
        <stp/>
        <stp>3268</stp>
        <stp>Price</stp>
        <tr r="W573" s="57"/>
      </tp>
      <tp>
        <v>300.5</v>
        <stp/>
        <stp>3218</stp>
        <stp>Price</stp>
        <tr r="W315" s="57"/>
      </tp>
      <tp>
        <v>390</v>
        <stp/>
        <stp>3228</stp>
        <stp>Price</stp>
        <tr r="W567" s="57"/>
      </tp>
      <tp>
        <v>15.95</v>
        <stp/>
        <stp>3288</stp>
        <stp>Price</stp>
        <tr r="W1080" s="57"/>
      </tp>
      <tp>
        <v>14.8</v>
        <stp/>
        <stp>3308</stp>
        <stp>Price</stp>
        <tr r="W1084" s="57"/>
      </tp>
      <tp>
        <v>53.2</v>
        <stp/>
        <stp>3338</stp>
        <stp>Price</stp>
        <tr r="W1090" s="57"/>
      </tp>
      <tp>
        <v>87.3</v>
        <stp/>
        <stp>3388</stp>
        <stp>Price</stp>
        <tr r="W1094" s="57"/>
      </tp>
      <tp>
        <v>35</v>
        <stp/>
        <stp>3048</stp>
        <stp>Price</stp>
        <tr r="W1234" s="57"/>
      </tp>
      <tp>
        <v>14</v>
        <stp/>
        <stp>3058</stp>
        <stp>Price</stp>
        <tr r="W1066" s="57"/>
      </tp>
      <tp>
        <v>36.4</v>
        <stp/>
        <stp>3078</stp>
        <stp>Price</stp>
        <tr r="W1067" s="57"/>
      </tp>
      <tp>
        <v>1985</v>
        <stp/>
        <stp>3008</stp>
        <stp>Price</stp>
        <tr r="W821" s="57"/>
      </tp>
      <tp>
        <v>20</v>
        <stp/>
        <stp>3018</stp>
        <stp>Price</stp>
        <tr r="W1704" s="57"/>
      </tp>
      <tp>
        <v>36.85</v>
        <stp/>
        <stp>3028</stp>
        <stp>Price</stp>
        <tr r="W1231" s="57"/>
      </tp>
      <tp>
        <v>19.05</v>
        <stp/>
        <stp>3038</stp>
        <stp>Price</stp>
        <tr r="W825" s="57"/>
      </tp>
      <tp>
        <v>58.5</v>
        <stp/>
        <stp>3088</stp>
        <stp>Price</stp>
        <tr r="W732" s="57"/>
      </tp>
      <tp>
        <v>64.5</v>
        <stp/>
        <stp>3178</stp>
        <stp>Price</stp>
        <tr r="W171" s="57"/>
      </tp>
      <tp>
        <v>29</v>
        <stp/>
        <stp>3118</stp>
        <stp>Price</stp>
        <tr r="W311" s="57"/>
      </tp>
      <tp>
        <v>18.600000000000001</v>
        <stp/>
        <stp>3128</stp>
        <stp>Price</stp>
        <tr r="W831" s="57"/>
      </tp>
      <tp>
        <v>166</v>
        <stp/>
        <stp>3138</stp>
        <stp>Price</stp>
        <tr r="W948" s="57"/>
      </tp>
      <tp>
        <v>15.95</v>
        <stp/>
        <stp>3188</stp>
        <stp>Price</stp>
        <tr r="W1472" s="57"/>
      </tp>
      <tp>
        <v>58.9</v>
        <stp/>
        <stp>3628</stp>
        <stp>Price</stp>
        <tr r="W1727" s="57"/>
      </tp>
      <tp>
        <v>89</v>
        <stp/>
        <stp>3708</stp>
        <stp>Price</stp>
        <tr r="W265" s="57"/>
      </tp>
      <tp>
        <v>70.7</v>
        <stp/>
        <stp>3438</stp>
        <stp>Price</stp>
        <tr r="W578" s="57"/>
      </tp>
      <tp>
        <v>29.9</v>
        <stp/>
        <stp>3498</stp>
        <stp>Price</stp>
        <tr r="W1718" s="57"/>
      </tp>
      <tp>
        <v>70.400000000000006</v>
        <stp/>
        <stp>3548</stp>
        <stp>Price</stp>
        <tr r="W1107" s="57"/>
      </tp>
      <tp>
        <v>120</v>
        <stp/>
        <stp>3558</stp>
        <stp>Price</stp>
        <tr r="W961" s="57"/>
      </tp>
      <tp>
        <v>41.6</v>
        <stp/>
        <stp>3508</stp>
        <stp>Price</stp>
        <tr r="W1719" s="57"/>
      </tp>
      <tp>
        <v>20.45</v>
        <stp/>
        <stp>3518</stp>
        <stp>Price</stp>
        <tr r="W1720" s="57"/>
      </tp>
      <tp>
        <v>51.7</v>
        <stp/>
        <stp>3528</stp>
        <stp>Price</stp>
        <tr r="W1242" s="57"/>
      </tp>
      <tp>
        <v>134</v>
        <stp/>
        <stp>3588</stp>
        <stp>Price</stp>
        <tr r="W591" s="57"/>
      </tp>
      <tp>
        <v>19.350000000000001</v>
        <stp/>
        <stp>1258</stp>
        <stp>Price</stp>
        <tr r="W33" s="57"/>
      </tp>
      <tp>
        <v>115.5</v>
        <stp/>
        <stp>1268</stp>
        <stp>Price</stp>
        <tr r="W1543" s="57"/>
      </tp>
      <tp>
        <v>27.1</v>
        <stp/>
        <stp>1218</stp>
        <stp>Price</stp>
        <tr r="W20" s="57"/>
      </tp>
      <tp>
        <v>38</v>
        <stp/>
        <stp>1308</stp>
        <stp>Price</stp>
        <tr r="W47" s="57"/>
      </tp>
      <tp>
        <v>58.7</v>
        <stp/>
        <stp>1338</stp>
        <stp>Price</stp>
        <tr r="W494" s="57"/>
      </tp>
      <tp>
        <v>11.55</v>
        <stp/>
        <stp>1108</stp>
        <stp>Price</stp>
        <tr r="W8" s="57"/>
      </tp>
      <tp>
        <v>20.65</v>
        <stp/>
        <stp>1608</stp>
        <stp>Price</stp>
        <tr r="W228" s="57"/>
      </tp>
      <tp>
        <v>13.3</v>
        <stp/>
        <stp>1618</stp>
        <stp>Price</stp>
        <tr r="W236" s="57"/>
      </tp>
      <tp>
        <v>44</v>
        <stp/>
        <stp>1708</stp>
        <stp>Price</stp>
        <tr r="W244" s="57"/>
      </tp>
      <tp>
        <v>9.26</v>
        <stp/>
        <stp>1718</stp>
        <stp>Price</stp>
        <tr r="W252" s="57"/>
      </tp>
      <tp>
        <v>146</v>
        <stp/>
        <stp>1788</stp>
        <stp>Price</stp>
        <tr r="W306" s="57"/>
      </tp>
      <tp>
        <v>11.85</v>
        <stp/>
        <stp>1468</stp>
        <stp>Price</stp>
        <tr r="W103" s="57"/>
      </tp>
      <tp>
        <v>15.95</v>
        <stp/>
        <stp>1418</stp>
        <stp>Price</stp>
        <tr r="W76" s="57"/>
      </tp>
      <tp>
        <v>30.5</v>
        <stp/>
        <stp>1438</stp>
        <stp>Price</stp>
        <tr r="W1437" s="57"/>
      </tp>
      <tp>
        <v>142</v>
        <stp/>
        <stp>1558</stp>
        <stp>Price</stp>
        <tr r="W150" s="57"/>
      </tp>
      <tp>
        <v>20.2</v>
        <stp/>
        <stp>1568</stp>
        <stp>Price</stp>
        <tr r="W503" s="57"/>
      </tp>
      <tp>
        <v>9.9499999999999993</v>
        <stp/>
        <stp>1528</stp>
        <stp>Price</stp>
        <tr r="W139" s="57"/>
      </tp>
      <tp>
        <v>8.81</v>
        <stp/>
        <stp>1538</stp>
        <stp>Price</stp>
        <tr r="W146" s="57"/>
      </tp>
      <tp>
        <v>43.3</v>
        <stp/>
        <stp>1598</stp>
        <stp>Price</stp>
        <tr r="W134" s="22"/>
        <tr r="W135" s="22"/>
        <tr r="W136" s="22"/>
        <tr r="W137" s="22"/>
        <tr r="W42" s="28"/>
        <tr r="W290" s="57"/>
      </tp>
      <tp>
        <v>55</v>
        <stp/>
        <stp>1808</stp>
        <stp>Price</stp>
        <tr r="W1440" s="57"/>
      </tp>
      <tp>
        <v>22.4</v>
        <stp/>
        <stp>6248</stp>
        <stp>Price</stp>
        <tr r="W471" s="57"/>
      </tp>
      <tp>
        <v>112.5</v>
        <stp/>
        <stp>6278</stp>
        <stp>Price</stp>
        <tr r="W15" s="114"/>
        <tr r="W905" s="57"/>
      </tp>
      <tp>
        <v>54.9</v>
        <stp/>
        <stp>6208</stp>
        <stp>Price</stp>
        <tr r="W1175" s="57"/>
      </tp>
      <tp>
        <v>21.55</v>
        <stp/>
        <stp>6218</stp>
        <stp>Price</stp>
        <tr r="W990" s="57"/>
      </tp>
      <tp>
        <v>18.8</v>
        <stp/>
        <stp>6228</stp>
        <stp>Price</stp>
        <tr r="W785" s="57"/>
      </tp>
      <tp>
        <v>26.05</v>
        <stp/>
        <stp>6288</stp>
        <stp>Price</stp>
        <tr r="W524" s="57"/>
      </tp>
      <tp>
        <v>13.65</v>
        <stp/>
        <stp>6148</stp>
        <stp>Price</stp>
        <tr r="W1286" s="57"/>
      </tp>
      <tp>
        <v>37</v>
        <stp/>
        <stp>6158</stp>
        <stp>Price</stp>
        <tr r="W1162" s="57"/>
      </tp>
      <tp>
        <v>23.3</v>
        <stp/>
        <stp>6168</stp>
        <stp>Price</stp>
        <tr r="W896" s="57"/>
      </tp>
      <tp>
        <v>20</v>
        <stp/>
        <stp>6108</stp>
        <stp>Price</stp>
        <tr r="W1150" s="57"/>
      </tp>
      <tp>
        <v>30.35</v>
        <stp/>
        <stp>6118</stp>
        <stp>Price</stp>
        <tr r="W1246" s="57"/>
      </tp>
      <tp>
        <v>27.8</v>
        <stp/>
        <stp>6128</stp>
        <stp>Price</stp>
        <tr r="W778" s="57"/>
      </tp>
      <tp>
        <v>215</v>
        <stp/>
        <stp>6138</stp>
        <stp>Price</stp>
        <tr r="W630" s="57"/>
      </tp>
      <tp>
        <v>42.2</v>
        <stp/>
        <stp>6188</stp>
        <stp>Price</stp>
        <tr r="W783" s="57"/>
      </tp>
      <tp>
        <v>34.75</v>
        <stp/>
        <stp>6198</stp>
        <stp>Price</stp>
        <tr r="W633" s="57"/>
      </tp>
      <tp>
        <v>46.7</v>
        <stp/>
        <stp>6668</stp>
        <stp>Price</stp>
        <tr r="W915" s="57"/>
      </tp>
      <tp>
        <v>44.6</v>
        <stp/>
        <stp>6698</stp>
        <stp>Price</stp>
        <tr r="W1759" s="57"/>
      </tp>
      <tp>
        <v>68.8</v>
        <stp/>
        <stp>6768</stp>
        <stp>Price</stp>
        <tr r="W1355" s="57"/>
      </tp>
      <tp>
        <v>147.5</v>
        <stp/>
        <stp>6728</stp>
        <stp>Price</stp>
        <tr r="W1662" s="57"/>
      </tp>
      <tp>
        <v>175</v>
        <stp/>
        <stp>6788</stp>
        <stp>Price</stp>
        <tr r="W678" s="57"/>
      </tp>
      <tp>
        <v>19.899999999999999</v>
        <stp/>
        <stp>6418</stp>
        <stp>Price</stp>
        <tr r="W1192" s="57"/>
      </tp>
      <tp>
        <v>120.5</v>
        <stp/>
        <stp>6438</stp>
        <stp>Price</stp>
        <tr r="W3" s="114"/>
        <tr r="W1752" s="57"/>
      </tp>
      <tp>
        <v>638</v>
        <stp/>
        <stp>6488</stp>
        <stp>Price</stp>
        <tr r="W653" s="57"/>
      </tp>
      <tp>
        <v>97.9</v>
        <stp/>
        <stp>6548</stp>
        <stp>Price</stp>
        <tr r="W661" s="57"/>
      </tp>
      <tp>
        <v>29.35</v>
        <stp/>
        <stp>6558</stp>
        <stp>Price</stp>
        <tr r="W40" s="28"/>
        <tr r="W106" s="22"/>
        <tr r="W107" s="22"/>
        <tr r="W1754" s="57"/>
      </tp>
      <tp>
        <v>204</v>
        <stp/>
        <stp>6568</stp>
        <stp>Price</stp>
        <tr r="W663" s="57"/>
      </tp>
      <tp>
        <v>16.2</v>
        <stp/>
        <stp>6578</stp>
        <stp>Price</stp>
        <tr r="W1811" s="57"/>
      </tp>
      <tp>
        <v>33.75</v>
        <stp/>
        <stp>6508</stp>
        <stp>Price</stp>
        <tr r="W1813" s="57"/>
      </tp>
      <tp>
        <v>89.7</v>
        <stp/>
        <stp>6538</stp>
        <stp>Price</stp>
        <tr r="W1195" s="57"/>
      </tp>
      <tp>
        <v>40.9</v>
        <stp/>
        <stp>6588</stp>
        <stp>Price</stp>
        <tr r="W1004" s="57"/>
      </tp>
      <tp>
        <v>31.3</v>
        <stp/>
        <stp>6598</stp>
        <stp>Price</stp>
        <tr r="W395" s="57"/>
      </tp>
      <tp>
        <v>61.2</v>
        <stp/>
        <stp>4148</stp>
        <stp>Price</stp>
        <tr r="W344" s="57"/>
      </tp>
      <tp>
        <v>27.4</v>
        <stp/>
        <stp>4168</stp>
        <stp>Price</stp>
        <tr r="W355" s="57"/>
      </tp>
      <tp>
        <v>20.3</v>
        <stp/>
        <stp>4108</stp>
        <stp>Price</stp>
        <tr r="W322" s="57"/>
      </tp>
      <tp>
        <v>57.8</v>
        <stp/>
        <stp>4128</stp>
        <stp>Price</stp>
        <tr r="W23" s="28"/>
        <tr r="W20" s="22"/>
        <tr r="W21" s="22"/>
        <tr r="W22" s="22"/>
        <tr r="W23" s="22"/>
        <tr r="W24" s="22"/>
        <tr r="W25" s="22"/>
        <tr r="W333" s="57"/>
      </tp>
      <tp>
        <v>53.7</v>
        <stp/>
        <stp>4138</stp>
        <stp>Price</stp>
        <tr r="W339" s="57"/>
      </tp>
      <tp>
        <v>18.149999999999999</v>
        <stp/>
        <stp>4188</stp>
        <stp>Price</stp>
        <tr r="W360" s="57"/>
      </tp>
      <tp>
        <v>5.8</v>
        <stp/>
        <stp>4198</stp>
        <stp>Price</stp>
        <tr r="W363" s="57"/>
      </tp>
      <tp>
        <v>121</v>
        <stp/>
        <stp>4728</stp>
        <stp>Price</stp>
        <tr r="W365" s="57"/>
      </tp>
      <tp>
        <v>112.5</v>
        <stp/>
        <stp>4438</stp>
        <stp>Price</stp>
        <tr r="W123" s="57"/>
      </tp>
      <tp>
        <v>55.7</v>
        <stp/>
        <stp>4558</stp>
        <stp>Price</stp>
        <tr r="W59" s="28"/>
        <tr r="W197" s="57"/>
      </tp>
      <tp>
        <v>68</v>
        <stp/>
        <stp>4568</stp>
        <stp>Price</stp>
        <tr r="W204" s="57"/>
      </tp>
      <tp>
        <v>39.75</v>
        <stp/>
        <stp>4528</stp>
        <stp>Price</stp>
        <tr r="W183" s="57"/>
      </tp>
      <tp>
        <v>94.4</v>
        <stp/>
        <stp>4958</stp>
        <stp>Price</stp>
        <tr r="W29" s="28"/>
        <tr r="W60" s="22"/>
        <tr r="W61" s="22"/>
        <tr r="W62" s="22"/>
        <tr r="W1129" s="57"/>
      </tp>
      <tp>
        <v>188.5</v>
        <stp/>
        <stp>4968</stp>
        <stp>Price</stp>
        <tr r="W606" s="57"/>
      </tp>
      <tp>
        <v>31.5</v>
        <stp/>
        <stp>4908</stp>
        <stp>Price</stp>
        <tr r="W974" s="57"/>
      </tp>
      <tp>
        <v>70.400000000000006</v>
        <stp/>
        <stp>4938</stp>
        <stp>Price</stp>
        <tr r="W21" s="28"/>
        <tr r="W56" s="22"/>
        <tr r="W762" s="57"/>
      </tp>
      <tp>
        <v>37.299999999999997</v>
        <stp/>
        <stp>5258</stp>
        <stp>Price</stp>
        <tr r="W766" s="57"/>
      </tp>
      <tp>
        <v>266</v>
        <stp/>
        <stp>5278</stp>
        <stp>Price</stp>
        <tr r="W1801" s="57"/>
      </tp>
      <tp>
        <v>148</v>
        <stp/>
        <stp>5288</stp>
        <stp>Price</stp>
        <tr r="W209" s="57"/>
      </tp>
      <tp>
        <v>7.49</v>
        <stp/>
        <stp>5348</stp>
        <stp>Price</stp>
        <tr r="W978" s="57"/>
      </tp>
      <tp>
        <v>12.3</v>
        <stp/>
        <stp>5328</stp>
        <stp>Price</stp>
        <tr r="W1137" s="57"/>
      </tp>
      <tp>
        <v>75.900000000000006</v>
        <stp/>
        <stp>5388</stp>
        <stp>Price</stp>
        <tr r="W980" s="57"/>
      </tp>
      <tp>
        <v>19.600000000000001</v>
        <stp/>
        <stp>5398</stp>
        <stp>Price</stp>
        <tr r="W1333" s="57"/>
      </tp>
      <tp>
        <v>48.15</v>
        <stp/>
        <stp>5608</stp>
        <stp>Price</stp>
        <tr r="W1537" s="57"/>
      </tp>
      <tp>
        <v>21.85</v>
        <stp/>
        <stp>5468</stp>
        <stp>Price</stp>
        <tr r="W623" s="57"/>
      </tp>
      <tp>
        <v>92</v>
        <stp/>
        <stp>5478</stp>
        <stp>Price</stp>
        <tr r="W1782" s="57"/>
      </tp>
      <tp>
        <v>14.7</v>
        <stp/>
        <stp>5438</stp>
        <stp>Price</stp>
        <tr r="W771" s="57"/>
      </tp>
      <tp>
        <v>8.18</v>
        <stp/>
        <stp>5488</stp>
        <stp>Price</stp>
        <tr r="W1148" s="57"/>
      </tp>
      <tp>
        <v>12.55</v>
        <stp/>
        <stp>5498</stp>
        <stp>Price</stp>
        <tr r="W1149" s="57"/>
      </tp>
      <tp>
        <v>77.2</v>
        <stp/>
        <stp>5508</stp>
        <stp>Price</stp>
        <tr r="W1483" s="57"/>
      </tp>
      <tp>
        <v>63.5</v>
        <stp/>
        <stp>5538</stp>
        <stp>Price</stp>
        <tr r="W470" s="57"/>
      </tp>
      <tp t="s">
        <v>無資料</v>
        <stp/>
        <stp>5878</stp>
        <stp>Price</stp>
        <tr r="W1621" s="57"/>
      </tp>
      <tp>
        <v>70.8</v>
        <stp/>
        <stp>8358</stp>
        <stp>Price</stp>
        <tr r="W1223" s="57"/>
      </tp>
      <tp>
        <v>34.450000000000003</v>
        <stp/>
        <stp>8048</stp>
        <stp>Price</stp>
        <tr r="W1009" s="57"/>
      </tp>
      <tp>
        <v>32.65</v>
        <stp/>
        <stp>8068</stp>
        <stp>Price</stp>
        <tr r="W1256" s="57"/>
      </tp>
      <tp>
        <v>49.4</v>
        <stp/>
        <stp>8028</stp>
        <stp>Price</stp>
        <tr r="W682" s="57"/>
      </tp>
      <tp>
        <v>38.1</v>
        <stp/>
        <stp>8038</stp>
        <stp>Price</stp>
        <tr r="W1203" s="57"/>
      </tp>
      <tp>
        <v>22.5</v>
        <stp/>
        <stp>8088</stp>
        <stp>Price</stp>
        <tr r="W687" s="57"/>
      </tp>
      <tp>
        <v>156</v>
        <stp/>
        <stp>8478</stp>
        <stp>Price</stp>
        <tr r="W1385" s="57"/>
      </tp>
      <tp>
        <v>10.1</v>
        <stp/>
        <stp>8418</stp>
        <stp>Price</stp>
        <tr r="W1366" s="57"/>
      </tp>
      <tp>
        <v>40.5</v>
        <stp/>
        <stp>8438</stp>
        <stp>Price</stp>
        <tr r="W63" s="28"/>
        <tr r="W1375" s="57"/>
      </tp>
      <tp t="s">
        <v>無資料</v>
        <stp/>
        <stp>8488</stp>
        <stp>Price</stp>
        <tr r="W1389" s="57"/>
      </tp>
      <tp>
        <v>69.7</v>
        <stp/>
        <stp>8908</stp>
        <stp>Price</stp>
        <tr r="W1679" s="57"/>
      </tp>
      <tp>
        <v>36.85</v>
        <stp/>
        <stp>8928</stp>
        <stp>Price</stp>
        <tr r="W1396" s="57"/>
      </tp>
      <tp>
        <v>77</v>
        <stp/>
        <stp>8938</stp>
        <stp>Price</stp>
        <tr r="W1403" s="57"/>
      </tp>
      <tp>
        <v>106.5</v>
        <stp/>
        <stp>9958</stp>
        <stp>Price</stp>
        <tr r="W475" s="57"/>
      </tp>
      <tp>
        <v>32.700000000000003</v>
        <stp/>
        <stp>9908</stp>
        <stp>Price</stp>
        <tr r="W1680" s="57"/>
      </tp>
      <tp>
        <v>42.2</v>
        <stp/>
        <stp>9918</stp>
        <stp>Price</stp>
        <tr r="W1677" s="57"/>
      </tp>
      <tp>
        <v>6.67</v>
        <stp/>
        <stp>9928</stp>
        <stp>Price</stp>
        <tr r="W1419" s="57"/>
      </tp>
      <tp>
        <v>72.8</v>
        <stp/>
        <stp>9938</stp>
        <stp>Price</stp>
        <tr r="W1425" s="57"/>
      </tp>
      <tp>
        <v>277</v>
        <stp/>
        <stp>6494</stp>
        <stp>PredictVolume</stp>
        <tr r="AJ654" s="57"/>
      </tp>
      <tp>
        <v>1040</v>
        <stp/>
        <stp>6414</stp>
        <stp>PredictVolume</stp>
        <tr r="AJ790" s="57"/>
      </tp>
      <tp>
        <v>4</v>
        <stp/>
        <stp>6404</stp>
        <stp>PredictVolume</stp>
        <tr r="AJ1292" s="57"/>
      </tp>
      <tp>
        <v>17</v>
        <stp/>
        <stp>6464</stp>
        <stp>PredictVolume</stp>
        <tr r="AJ1342" s="57"/>
      </tp>
      <tp>
        <v>97</v>
        <stp/>
        <stp>6594</stp>
        <stp>PredictVolume</stp>
        <tr r="AJ665" s="57"/>
      </tp>
      <tp>
        <v>195</v>
        <stp/>
        <stp>6514</stp>
        <stp>PredictVolume</stp>
        <tr r="AJ1001" s="57"/>
      </tp>
      <tp>
        <v>78</v>
        <stp/>
        <stp>6504</stp>
        <stp>PredictVolume</stp>
        <tr r="AJ1343" s="57"/>
      </tp>
      <tp>
        <v>0</v>
        <stp/>
        <stp>6574</stp>
        <stp>PredictVolume</stp>
        <tr r="AJ392" s="57"/>
      </tp>
      <tp>
        <v>88</v>
        <stp/>
        <stp>6684</stp>
        <stp>PredictVolume</stp>
        <tr r="AJ671" s="57"/>
      </tp>
      <tp>
        <v>23</v>
        <stp/>
        <stp>6624</stp>
        <stp>PredictVolume</stp>
        <tr r="AJ1347" s="57"/>
      </tp>
      <tp>
        <v>0</v>
        <stp/>
        <stp>6674</stp>
        <stp>PredictVolume</stp>
        <tr r="AJ1005" s="57"/>
      </tp>
      <tp>
        <v>181</v>
        <stp/>
        <stp>6664</stp>
        <stp>PredictVolume</stp>
        <tr r="AJ1197" s="57"/>
      </tp>
      <tp>
        <v>46</v>
        <stp/>
        <stp>6654</stp>
        <stp>PredictVolume</stp>
        <tr r="AJ1756" s="57"/>
      </tp>
      <tp>
        <v>41</v>
        <stp/>
        <stp>6754</stp>
        <stp>PredictVolume</stp>
        <tr r="AJ1354" s="57"/>
      </tp>
      <tp>
        <v>94</v>
        <stp/>
        <stp>6024</stp>
        <stp>PredictVolume</stp>
        <tr r="AJ1629" s="57"/>
      </tp>
      <tp>
        <v>27</v>
        <stp/>
        <stp>6194</stp>
        <stp>PredictVolume</stp>
        <tr r="AJ1169" s="57"/>
      </tp>
      <tp>
        <v>25</v>
        <stp/>
        <stp>6184</stp>
        <stp>PredictVolume</stp>
        <tr r="AJ1339" s="57"/>
      </tp>
      <tp>
        <v>842</v>
        <stp/>
        <stp>6134</stp>
        <stp>PredictVolume</stp>
        <tr r="AJ1157" s="57"/>
      </tp>
      <tp>
        <v>1</v>
        <stp/>
        <stp>6124</stp>
        <stp>PredictVolume</stp>
        <tr r="AJ1153" s="57"/>
      </tp>
      <tp>
        <v>66</v>
        <stp/>
        <stp>6114</stp>
        <stp>PredictVolume</stp>
        <tr r="AJ1151" s="57"/>
      </tp>
      <tp>
        <v>23706</v>
        <stp/>
        <stp>6104</stp>
        <stp>PredictVolume</stp>
        <tr r="AJ7" s="114"/>
        <tr r="AJ628" s="57"/>
      </tp>
      <tp>
        <v>28</v>
        <stp/>
        <stp>6174</stp>
        <stp>PredictVolume</stp>
        <tr r="AJ1165" s="57"/>
      </tp>
      <tp>
        <v>279</v>
        <stp/>
        <stp>6164</stp>
        <stp>PredictVolume</stp>
        <tr r="AJ894" s="57"/>
      </tp>
      <tp>
        <v>126</v>
        <stp/>
        <stp>6154</stp>
        <stp>PredictVolume</stp>
        <tr r="AJ1247" s="57"/>
      </tp>
      <tp>
        <v>3</v>
        <stp/>
        <stp>6144</stp>
        <stp>PredictVolume</stp>
        <tr r="AJ1785" s="57"/>
      </tp>
      <tp>
        <v>3</v>
        <stp/>
        <stp>6294</stp>
        <stp>PredictVolume</stp>
        <tr r="AJ1788" s="57"/>
      </tp>
      <tp>
        <v>331</v>
        <stp/>
        <stp>6284</stp>
        <stp>PredictVolume</stp>
        <tr r="AJ11" s="28"/>
        <tr r="AJ1188" s="57"/>
      </tp>
      <tp>
        <v>21</v>
        <stp/>
        <stp>6234</stp>
        <stp>PredictVolume</stp>
        <tr r="AJ902" s="57"/>
      </tp>
      <tp>
        <v>347</v>
        <stp/>
        <stp>6224</stp>
        <stp>PredictVolume</stp>
        <tr r="AJ1180" s="57"/>
      </tp>
      <tp>
        <v>152</v>
        <stp/>
        <stp>6214</stp>
        <stp>PredictVolume</stp>
        <tr r="AJ1288" s="57"/>
      </tp>
      <tp>
        <v>140</v>
        <stp/>
        <stp>6204</stp>
        <stp>PredictVolume</stp>
        <tr r="AJ1172" s="57"/>
      </tp>
      <tp>
        <v>1873</v>
        <stp/>
        <stp>6274</stp>
        <stp>PredictVolume</stp>
        <tr r="AJ1185" s="57"/>
      </tp>
      <tp>
        <v>72</v>
        <stp/>
        <stp>6264</stp>
        <stp>PredictVolume</stp>
        <tr r="AJ1505" s="57"/>
      </tp>
      <tp>
        <v>3545</v>
        <stp/>
        <stp>6244</stp>
        <stp>PredictVolume</stp>
        <tr r="AJ903" s="57"/>
      </tp>
      <tp>
        <v>2735</v>
        <stp/>
        <stp>4414</stp>
        <stp>PredictVolume</stp>
        <tr r="AJ115" s="57"/>
      </tp>
      <tp>
        <v>160</v>
        <stp/>
        <stp>4534</stp>
        <stp>PredictVolume</stp>
        <tr r="AJ187" s="57"/>
      </tp>
      <tp>
        <v>138</v>
        <stp/>
        <stp>4564</stp>
        <stp>PredictVolume</stp>
        <tr r="AJ202" s="57"/>
      </tp>
      <tp>
        <v>23</v>
        <stp/>
        <stp>4554</stp>
        <stp>PredictVolume</stp>
        <tr r="AJ1731" s="57"/>
      </tp>
      <tp>
        <v>312</v>
        <stp/>
        <stp>4714</stp>
        <stp>PredictVolume</stp>
        <tr r="AJ270" s="57"/>
      </tp>
      <tp>
        <v>8</v>
        <stp/>
        <stp>4764</stp>
        <stp>PredictVolume</stp>
        <tr r="AJ280" s="57"/>
      </tp>
      <tp>
        <v>63</v>
        <stp/>
        <stp>4754</stp>
        <stp>PredictVolume</stp>
        <tr r="AJ277" s="57"/>
      </tp>
      <tp>
        <v>139</v>
        <stp/>
        <stp>4744</stp>
        <stp>PredictVolume</stp>
        <tr r="AJ370" s="57"/>
      </tp>
      <tp>
        <v>534</v>
        <stp/>
        <stp>4114</stp>
        <stp>PredictVolume</stp>
        <tr r="AJ325" s="57"/>
      </tp>
      <tp>
        <v>257</v>
        <stp/>
        <stp>4104</stp>
        <stp>PredictVolume</stp>
        <tr r="AJ318" s="57"/>
      </tp>
      <tp>
        <v>599</v>
        <stp/>
        <stp>4174</stp>
        <stp>PredictVolume</stp>
        <tr r="AJ357" s="57"/>
      </tp>
      <tp>
        <v>1228</v>
        <stp/>
        <stp>4164</stp>
        <stp>PredictVolume</stp>
        <tr r="AJ353" s="57"/>
      </tp>
      <tp>
        <v>4</v>
        <stp/>
        <stp>4154</stp>
        <stp>PredictVolume</stp>
        <tr r="AJ346" s="57"/>
      </tp>
      <tp>
        <v>35</v>
        <stp/>
        <stp>4304</stp>
        <stp>PredictVolume</stp>
        <tr r="AJ63" s="57"/>
      </tp>
      <tp>
        <v>3088</v>
        <stp/>
        <stp>4804</stp>
        <stp>PredictVolume</stp>
        <tr r="AJ1575" s="57"/>
      </tp>
      <tp>
        <v>116</v>
        <stp/>
        <stp>4994</stp>
        <stp>PredictVolume</stp>
        <tr r="AJ1273" s="57"/>
      </tp>
      <tp>
        <v>683</v>
        <stp/>
        <stp>4934</stp>
        <stp>PredictVolume</stp>
        <tr r="AJ868" s="57"/>
      </tp>
      <tp>
        <v>25</v>
        <stp/>
        <stp>4924</stp>
        <stp>PredictVolume</stp>
        <tr r="AJ760" s="57"/>
      </tp>
      <tp>
        <v>3664</v>
        <stp/>
        <stp>4904</stp>
        <stp>PredictVolume</stp>
        <tr r="AJ972" s="57"/>
      </tp>
      <tp>
        <v>122</v>
        <stp/>
        <stp>4974</stp>
        <stp>PredictVolume</stp>
        <tr r="AJ1130" s="57"/>
      </tp>
      <tp>
        <v>10</v>
        <stp/>
        <stp>4944</stp>
        <stp>PredictVolume</stp>
        <tr r="AJ871" s="57"/>
      </tp>
      <tp>
        <v>7</v>
        <stp/>
        <stp>5484</stp>
        <stp>PredictVolume</stp>
        <tr r="AJ890" s="57"/>
      </tp>
      <tp>
        <v>144</v>
        <stp/>
        <stp>5434</stp>
        <stp>PredictVolume</stp>
        <tr r="AJ1244" s="57"/>
      </tp>
      <tp>
        <v>64</v>
        <stp/>
        <stp>5474</stp>
        <stp>PredictVolume</stp>
        <tr r="AJ773" s="57"/>
      </tp>
      <tp>
        <v>97</v>
        <stp/>
        <stp>5464</stp>
        <stp>PredictVolume</stp>
        <tr r="AJ1145" s="57"/>
      </tp>
      <tp>
        <v>143</v>
        <stp/>
        <stp>5534</stp>
        <stp>PredictVolume</stp>
        <tr r="AJ1497" s="57"/>
      </tp>
      <tp>
        <v>23</v>
        <stp/>
        <stp>5514</stp>
        <stp>PredictVolume</stp>
        <tr r="AJ1486" s="57"/>
      </tp>
      <tp>
        <v>9</v>
        <stp/>
        <stp>5604</stp>
        <stp>PredictVolume</stp>
        <tr r="AJ1535" s="57"/>
      </tp>
      <tp>
        <v>0</v>
        <stp/>
        <stp>5704</stp>
        <stp>PredictVolume</stp>
        <tr r="AJ1580" s="57"/>
      </tp>
      <tp>
        <v>2352</v>
        <stp/>
        <stp>5014</stp>
        <stp>PredictVolume</stp>
        <tr r="AJ467" s="57"/>
      </tp>
      <tp>
        <v>23</v>
        <stp/>
        <stp>5284</stp>
        <stp>PredictVolume</stp>
        <tr r="AJ1331" s="57"/>
      </tp>
      <tp>
        <v>181</v>
        <stp/>
        <stp>5234</stp>
        <stp>PredictVolume</stp>
        <tr r="AJ879" s="57"/>
      </tp>
      <tp>
        <v>170</v>
        <stp/>
        <stp>5274</stp>
        <stp>PredictVolume</stp>
        <tr r="AJ3" s="74"/>
        <tr r="AJ614" s="57"/>
      </tp>
      <tp>
        <v>386</v>
        <stp/>
        <stp>5244</stp>
        <stp>PredictVolume</stp>
        <tr r="AJ881" s="57"/>
      </tp>
      <tp>
        <v>55</v>
        <stp/>
        <stp>5324</stp>
        <stp>PredictVolume</stp>
        <tr r="AJ1481" s="57"/>
      </tp>
      <tp>
        <v>19</v>
        <stp/>
        <stp>5314</stp>
        <stp>PredictVolume</stp>
        <tr r="AJ618" s="57"/>
      </tp>
      <tp>
        <v>1</v>
        <stp/>
        <stp>5364</stp>
        <stp>PredictVolume</stp>
        <tr r="AJ1577" s="57"/>
      </tp>
      <tp>
        <v>108</v>
        <stp/>
        <stp>5344</stp>
        <stp>PredictVolume</stp>
        <tr r="AJ619" s="57"/>
      </tp>
      <tp>
        <v>83</v>
        <stp/>
        <stp>5864</stp>
        <stp>PredictVolume</stp>
        <tr r="AJ1619" s="57"/>
      </tp>
      <tp>
        <v>59</v>
        <stp/>
        <stp>5904</stp>
        <stp>PredictVolume</stp>
        <tr r="AJ1657" s="57"/>
      </tp>
      <tp>
        <v>527</v>
        <stp/>
        <stp>2484</stp>
        <stp>PredictVolume</stp>
        <tr r="AJ1053" s="57"/>
      </tp>
      <tp>
        <v>1</v>
        <stp/>
        <stp>2434</stp>
        <stp>PredictVolume</stp>
        <tr r="AJ543" s="57"/>
      </tp>
      <tp>
        <v>6</v>
        <stp/>
        <stp>2424</stp>
        <stp>PredictVolume</stp>
        <tr r="AJ719" s="57"/>
      </tp>
      <tp>
        <v>71</v>
        <stp/>
        <stp>2414</stp>
        <stp>PredictVolume</stp>
        <tr r="AJ1227" s="57"/>
      </tp>
      <tp>
        <v>1771</v>
        <stp/>
        <stp>2404</stp>
        <stp>PredictVolume</stp>
        <tr r="AJ87" s="74"/>
        <tr r="AJ1694" s="57"/>
      </tp>
      <tp>
        <v>2247</v>
        <stp/>
        <stp>2474</stp>
        <stp>PredictVolume</stp>
        <tr r="AJ1699" s="57"/>
      </tp>
      <tp>
        <v>187</v>
        <stp/>
        <stp>2464</stp>
        <stp>PredictVolume</stp>
        <tr r="AJ1698" s="57"/>
      </tp>
      <tp>
        <v>5581</v>
        <stp/>
        <stp>2454</stp>
        <stp>PredictVolume</stp>
        <tr r="AJ548" s="57"/>
      </tp>
      <tp>
        <v>140</v>
        <stp/>
        <stp>2444</stp>
        <stp>PredictVolume</stp>
        <tr r="AJ936" s="57"/>
      </tp>
      <tp>
        <v>1159</v>
        <stp/>
        <stp>2534</stp>
        <stp>PredictVolume</stp>
        <tr r="AJ1453" s="57"/>
      </tp>
      <tp>
        <v>168</v>
        <stp/>
        <stp>2524</stp>
        <stp>PredictVolume</stp>
        <tr r="AJ1449" s="57"/>
      </tp>
      <tp>
        <v>28</v>
        <stp/>
        <stp>2514</stp>
        <stp>PredictVolume</stp>
        <tr r="AJ1318" s="57"/>
      </tp>
      <tp>
        <v>1941</v>
        <stp/>
        <stp>2504</stp>
        <stp>PredictVolume</stp>
        <tr r="AJ1442" s="57"/>
      </tp>
      <tp>
        <v>544</v>
        <stp/>
        <stp>2634</stp>
        <stp>PredictVolume</stp>
        <tr r="AJ1527" s="57"/>
      </tp>
      <tp>
        <v>3677</v>
        <stp/>
        <stp>2614</stp>
        <stp>PredictVolume</stp>
        <tr r="AJ1635" s="57"/>
      </tp>
      <tp>
        <v>286</v>
        <stp/>
        <stp>2734</stp>
        <stp>PredictVolume</stp>
        <tr r="AJ1561" s="57"/>
      </tp>
      <tp>
        <v>1</v>
        <stp/>
        <stp>2724</stp>
        <stp>PredictVolume</stp>
        <tr r="AJ1555" s="57"/>
      </tp>
      <tp>
        <v>127</v>
        <stp/>
        <stp>2704</stp>
        <stp>PredictVolume</stp>
        <tr r="AJ1546" s="57"/>
      </tp>
      <tp>
        <v>207</v>
        <stp/>
        <stp>2754</stp>
        <stp>PredictVolume</stp>
        <tr r="AJ1570" s="57"/>
      </tp>
      <tp>
        <v>2647</v>
        <stp/>
        <stp>2034</stp>
        <stp>PredictVolume</stp>
        <tr r="AJ454" s="57"/>
      </tp>
      <tp>
        <v>855</v>
        <stp/>
        <stp>2024</stp>
        <stp>PredictVolume</stp>
        <tr r="AJ445" s="57"/>
      </tp>
      <tp>
        <v>52762</v>
        <stp/>
        <stp>2014</stp>
        <stp>PredictVolume</stp>
        <tr r="AJ439" s="57"/>
      </tp>
      <tp>
        <v>6145</v>
        <stp/>
        <stp>2064</stp>
        <stp>PredictVolume</stp>
        <tr r="AJ458" s="57"/>
      </tp>
      <tp>
        <v>227</v>
        <stp/>
        <stp>2114</stp>
        <stp>PredictVolume</stp>
        <tr r="AJ488" s="57"/>
      </tp>
      <tp>
        <v>2484</v>
        <stp/>
        <stp>2104</stp>
        <stp>PredictVolume</stp>
        <tr r="AJ482" s="57"/>
      </tp>
      <tp>
        <v>549</v>
        <stp/>
        <stp>2204</stp>
        <stp>PredictVolume</stp>
        <tr r="AJ507" s="57"/>
      </tp>
      <tp>
        <v>7753</v>
        <stp/>
        <stp>2324</stp>
        <stp>PredictVolume</stp>
        <tr r="AJ700" s="57"/>
      </tp>
      <tp>
        <v>1856</v>
        <stp/>
        <stp>2314</stp>
        <stp>PredictVolume</stp>
        <tr r="AJ66" s="28"/>
        <tr r="AJ929" s="57"/>
      </tp>
      <tp>
        <v>1920</v>
        <stp/>
        <stp>2374</stp>
        <stp>PredictVolume</stp>
        <tr r="AJ811" s="57"/>
      </tp>
      <tp>
        <v>2</v>
        <stp/>
        <stp>2364</stp>
        <stp>PredictVolume</stp>
        <tr r="AJ707" s="57"/>
      </tp>
      <tp>
        <v>1219</v>
        <stp/>
        <stp>2354</stp>
        <stp>PredictVolume</stp>
        <tr r="AJ1689" s="57"/>
      </tp>
      <tp>
        <v>29237</v>
        <stp/>
        <stp>2344</stp>
        <stp>PredictVolume</stp>
        <tr r="AJ535" s="57"/>
      </tp>
      <tp>
        <v>18012</v>
        <stp/>
        <stp>2884</stp>
        <stp>PredictVolume</stp>
        <tr r="AJ1608" s="57"/>
      </tp>
      <tp>
        <v>19613</v>
        <stp/>
        <stp>2834</stp>
        <stp>PredictVolume</stp>
        <tr r="AJ1594" s="57"/>
      </tp>
      <tp>
        <v>26</v>
        <stp/>
        <stp>2924</stp>
        <stp>PredictVolume</stp>
        <tr r="AJ1647" s="57"/>
      </tp>
      <tp>
        <v>47</v>
        <stp/>
        <stp>2904</stp>
        <stp>PredictVolume</stp>
        <tr r="AJ1320" s="57"/>
      </tp>
      <tp>
        <v>34</v>
        <stp/>
        <stp>3494</stp>
        <stp>PredictVolume</stp>
        <tr r="AJ745" s="57"/>
      </tp>
      <tp>
        <v>597</v>
        <stp/>
        <stp>3484</stp>
        <stp>PredictVolume</stp>
        <tr r="AJ1098" s="57"/>
      </tp>
      <tp>
        <v>1803</v>
        <stp/>
        <stp>3434</stp>
        <stp>PredictVolume</stp>
        <tr r="AJ840" s="57"/>
      </tp>
      <tp>
        <v>283</v>
        <stp/>
        <stp>3454</stp>
        <stp>PredictVolume</stp>
        <tr r="AJ843" s="57"/>
      </tp>
      <tp>
        <v>40</v>
        <stp/>
        <stp>3444</stp>
        <stp>PredictVolume</stp>
        <tr r="AJ1241" s="57"/>
      </tp>
      <tp>
        <v>371</v>
        <stp/>
        <stp>3594</stp>
        <stp>PredictVolume</stp>
        <tr r="AJ750" s="57"/>
      </tp>
      <tp>
        <v>483</v>
        <stp/>
        <stp>3504</stp>
        <stp>PredictVolume</stp>
        <tr r="AJ847" s="57"/>
      </tp>
      <tp>
        <v>18</v>
        <stp/>
        <stp>3564</stp>
        <stp>PredictVolume</stp>
        <tr r="AJ962" s="57"/>
      </tp>
      <tp>
        <v>101</v>
        <stp/>
        <stp>3694</stp>
        <stp>PredictVolume</stp>
        <tr r="AJ969" s="57"/>
      </tp>
      <tp>
        <v>27</v>
        <stp/>
        <stp>3684</stp>
        <stp>PredictVolume</stp>
        <tr r="AJ968" s="57"/>
      </tp>
      <tp>
        <v>1845</v>
        <stp/>
        <stp>3624</stp>
        <stp>PredictVolume</stp>
        <tr r="AJ1114" s="57"/>
      </tp>
      <tp>
        <v>104</v>
        <stp/>
        <stp>3664</stp>
        <stp>PredictVolume</stp>
        <tr r="AJ965" s="57"/>
      </tp>
      <tp>
        <v>11118</v>
        <stp/>
        <stp>3714</stp>
        <stp>PredictVolume</stp>
        <tr r="AJ865" s="57"/>
      </tp>
      <tp>
        <v>791</v>
        <stp/>
        <stp>3704</stp>
        <stp>PredictVolume</stp>
        <tr r="AJ970" s="57"/>
      </tp>
      <tp>
        <v>647</v>
        <stp/>
        <stp>3094</stp>
        <stp>PredictVolume</stp>
        <tr r="AJ559" s="57"/>
      </tp>
      <tp>
        <v>3766</v>
        <stp/>
        <stp>3034</stp>
        <stp>PredictVolume</stp>
        <tr r="AJ554" s="57"/>
      </tp>
      <tp>
        <v>238</v>
        <stp/>
        <stp>3024</stp>
        <stp>PredictVolume</stp>
        <tr r="AJ823" s="57"/>
      </tp>
      <tp>
        <v>1373</v>
        <stp/>
        <stp>3014</stp>
        <stp>PredictVolume</stp>
        <tr r="AJ552" s="57"/>
      </tp>
      <tp>
        <v>89</v>
        <stp/>
        <stp>3004</stp>
        <stp>PredictVolume</stp>
        <tr r="AJ462" s="57"/>
      </tp>
      <tp>
        <v>1</v>
        <stp/>
        <stp>3064</stp>
        <stp>PredictVolume</stp>
        <tr r="AJ1773" s="57"/>
      </tp>
      <tp>
        <v>21</v>
        <stp/>
        <stp>3054</stp>
        <stp>PredictVolume</stp>
        <tr r="AJ557" s="57"/>
      </tp>
      <tp>
        <v>778</v>
        <stp/>
        <stp>3044</stp>
        <stp>PredictVolume</stp>
        <tr r="AJ1065" s="57"/>
      </tp>
      <tp>
        <v>143</v>
        <stp/>
        <stp>3114</stp>
        <stp>PredictVolume</stp>
        <tr r="AJ1070" s="57"/>
      </tp>
      <tp>
        <v>41</v>
        <stp/>
        <stp>3164</stp>
        <stp>PredictVolume</stp>
        <tr r="AJ312" s="57"/>
      </tp>
      <tp>
        <v>442</v>
        <stp/>
        <stp>3294</stp>
        <stp>PredictVolume</stp>
        <tr r="AJ1082" s="57"/>
      </tp>
      <tp>
        <v>19</v>
        <stp/>
        <stp>3284</stp>
        <stp>PredictVolume</stp>
        <tr r="AJ1322" s="57"/>
      </tp>
      <tp>
        <v>144</v>
        <stp/>
        <stp>3234</stp>
        <stp>PredictVolume</stp>
        <tr r="AJ952" s="57"/>
      </tp>
      <tp>
        <v>92</v>
        <stp/>
        <stp>3224</stp>
        <stp>PredictVolume</stp>
        <tr r="AJ1237" s="57"/>
      </tp>
      <tp>
        <v>1187</v>
        <stp/>
        <stp>3264</stp>
        <stp>PredictVolume</stp>
        <tr r="AJ571" s="57"/>
      </tp>
      <tp>
        <v>1926</v>
        <stp/>
        <stp>3324</stp>
        <stp>PredictVolume</stp>
        <tr r="AJ1714" s="57"/>
      </tp>
      <tp>
        <v>618</v>
        <stp/>
        <stp>3374</stp>
        <stp>PredictVolume</stp>
        <tr r="AJ33" s="28"/>
        <tr r="AJ576" s="57"/>
      </tp>
      <tp>
        <v>244</v>
        <stp/>
        <stp>3354</stp>
        <stp>PredictVolume</stp>
        <tr r="AJ1091" s="57"/>
      </tp>
      <tp>
        <v>1691</v>
        <stp/>
        <stp>1434</stp>
        <stp>PredictVolume</stp>
        <tr r="AJ79" s="57"/>
      </tp>
      <tp>
        <v>343</v>
        <stp/>
        <stp>1414</stp>
        <stp>PredictVolume</stp>
        <tr r="AJ74" s="57"/>
      </tp>
      <tp>
        <v>224</v>
        <stp/>
        <stp>1474</stp>
        <stp>PredictVolume</stp>
        <tr r="AJ107" s="57"/>
      </tp>
      <tp>
        <v>166</v>
        <stp/>
        <stp>1464</stp>
        <stp>PredictVolume</stp>
        <tr r="AJ99" s="57"/>
      </tp>
      <tp>
        <v>321</v>
        <stp/>
        <stp>1454</stp>
        <stp>PredictVolume</stp>
        <tr r="AJ92" s="57"/>
      </tp>
      <tp>
        <v>1025</v>
        <stp/>
        <stp>1444</stp>
        <stp>PredictVolume</stp>
        <tr r="AJ84" s="57"/>
      </tp>
      <tp>
        <v>154</v>
        <stp/>
        <stp>1584</stp>
        <stp>PredictVolume</stp>
        <tr r="AJ1311" s="57"/>
      </tp>
      <tp>
        <v>163</v>
        <stp/>
        <stp>1524</stp>
        <stp>PredictVolume</stp>
        <tr r="AJ499" s="57"/>
      </tp>
      <tp>
        <v>1518</v>
        <stp/>
        <stp>1514</stp>
        <stp>PredictVolume</stp>
        <tr r="AJ133" s="57"/>
      </tp>
      <tp>
        <v>1116</v>
        <stp/>
        <stp>1504</stp>
        <stp>PredictVolume</stp>
        <tr r="AJ129" s="57"/>
      </tp>
      <tp>
        <v>74</v>
        <stp/>
        <stp>1614</stp>
        <stp>PredictVolume</stp>
        <tr r="AJ232" s="57"/>
      </tp>
      <tp>
        <v>432</v>
        <stp/>
        <stp>1604</stp>
        <stp>PredictVolume</stp>
        <tr r="AJ226" s="57"/>
      </tp>
      <tp>
        <v>26</v>
        <stp/>
        <stp>1784</stp>
        <stp>PredictVolume</stp>
        <tr r="AJ304" s="57"/>
      </tp>
      <tp>
        <v>334</v>
        <stp/>
        <stp>1734</stp>
        <stp>PredictVolume</stp>
        <tr r="AJ296" s="57"/>
      </tp>
      <tp>
        <v>5496</v>
        <stp/>
        <stp>1714</stp>
        <stp>PredictVolume</stp>
        <tr r="AJ250" s="57"/>
      </tp>
      <tp>
        <v>175</v>
        <stp/>
        <stp>1104</stp>
        <stp>PredictVolume</stp>
        <tr r="AJ7" s="57"/>
      </tp>
      <tp>
        <v>90</v>
        <stp/>
        <stp>1234</stp>
        <stp>PredictVolume</stp>
        <tr r="AJ29" s="57"/>
      </tp>
      <tp>
        <v>13</v>
        <stp/>
        <stp>1264</stp>
        <stp>PredictVolume</stp>
        <tr r="AJ34" s="57"/>
      </tp>
      <tp>
        <v>81</v>
        <stp/>
        <stp>1324</stp>
        <stp>PredictVolume</stp>
        <tr r="AJ56" s="57"/>
      </tp>
      <tp>
        <v>7561</v>
        <stp/>
        <stp>1314</stp>
        <stp>PredictVolume</stp>
        <tr r="AJ52" s="57"/>
      </tp>
      <tp>
        <v>9467</v>
        <stp/>
        <stp>1304</stp>
        <stp>PredictVolume</stp>
        <tr r="AJ44" s="57"/>
      </tp>
      <tp>
        <v>872</v>
        <stp/>
        <stp>1904</stp>
        <stp>PredictVolume</stp>
        <tr r="AJ424" s="57"/>
      </tp>
      <tp>
        <v>17</v>
        <stp/>
        <stp>8424</stp>
        <stp>PredictVolume</stp>
        <tr r="AJ1506" s="57"/>
      </tp>
      <tp>
        <v>146</v>
        <stp/>
        <stp>8404</stp>
        <stp>PredictVolume</stp>
        <tr r="AJ1364" s="57"/>
      </tp>
      <tp>
        <v>389</v>
        <stp/>
        <stp>8464</stp>
        <stp>PredictVolume</stp>
        <tr r="AJ1380" s="57"/>
      </tp>
      <tp>
        <v>870</v>
        <stp/>
        <stp>8454</stp>
        <stp>PredictVolume</stp>
        <tr r="AJ1667" s="57"/>
      </tp>
      <tp>
        <v>61</v>
        <stp/>
        <stp>8444</stp>
        <stp>PredictVolume</stp>
        <tr r="AJ1378" s="57"/>
      </tp>
      <tp>
        <v>130</v>
        <stp/>
        <stp>8084</stp>
        <stp>PredictVolume</stp>
        <tr r="AJ1259" s="57"/>
      </tp>
      <tp>
        <v>419</v>
        <stp/>
        <stp>8034</stp>
        <stp>PredictVolume</stp>
        <tr r="AJ1008" s="57"/>
      </tp>
      <tp>
        <v>48</v>
        <stp/>
        <stp>8024</stp>
        <stp>PredictVolume</stp>
        <tr r="AJ681" s="57"/>
      </tp>
      <tp>
        <v>35</v>
        <stp/>
        <stp>8074</stp>
        <stp>PredictVolume</stp>
        <tr r="AJ1209" s="57"/>
      </tp>
      <tp>
        <v>336</v>
        <stp/>
        <stp>8064</stp>
        <stp>PredictVolume</stp>
        <tr r="AJ919" s="57"/>
      </tp>
      <tp>
        <v>3134</v>
        <stp/>
        <stp>8054</stp>
        <stp>PredictVolume</stp>
        <tr r="AJ684" s="57"/>
      </tp>
      <tp>
        <v>1281</v>
        <stp/>
        <stp>8044</stp>
        <stp>PredictVolume</stp>
        <tr r="AJ1806" s="57"/>
      </tp>
      <tp>
        <v>171</v>
        <stp/>
        <stp>8114</stp>
        <stp>PredictVolume</stp>
        <tr r="AJ800" s="57"/>
      </tp>
      <tp>
        <v>2078</v>
        <stp/>
        <stp>8104</stp>
        <stp>PredictVolume</stp>
        <tr r="AJ922" s="57"/>
      </tp>
      <tp>
        <v>1773</v>
        <stp/>
        <stp>8284</stp>
        <stp>PredictVolume</stp>
        <tr r="AJ1301" s="57"/>
      </tp>
      <tp>
        <v>179</v>
        <stp/>
        <stp>8234</stp>
        <stp>PredictVolume</stp>
        <tr r="AJ803" s="57"/>
      </tp>
      <tp>
        <v>34</v>
        <stp/>
        <stp>8374</stp>
        <stp>PredictVolume</stp>
        <tr r="AJ220" s="57"/>
      </tp>
      <tp>
        <v>8</v>
        <stp/>
        <stp>8354</stp>
        <stp>PredictVolume</stp>
        <tr r="AJ66" s="57"/>
      </tp>
      <tp>
        <v>659</v>
        <stp/>
        <stp>8924</stp>
        <stp>PredictVolume</stp>
        <tr r="AJ1395" s="57"/>
      </tp>
      <tp>
        <v>398</v>
        <stp/>
        <stp>9934</stp>
        <stp>PredictVolume</stp>
        <tr r="AJ1423" s="57"/>
      </tp>
      <tp>
        <v>82</v>
        <stp/>
        <stp>9924</stp>
        <stp>PredictVolume</stp>
        <tr r="AJ1416" s="57"/>
      </tp>
      <tp>
        <v>377</v>
        <stp/>
        <stp>9914</stp>
        <stp>PredictVolume</stp>
        <tr r="AJ1412" s="57"/>
      </tp>
      <tp>
        <v>4802</v>
        <stp/>
        <stp>9904</stp>
        <stp>PredictVolume</stp>
        <tr r="AJ1407" s="57"/>
      </tp>
      <tp>
        <v>94</v>
        <stp/>
        <stp>9944</stp>
        <stp>PredictVolume</stp>
        <tr r="AJ1430" s="57"/>
      </tp>
      <tp>
        <v>71.099999999999994</v>
        <stp/>
        <stp>2239</stp>
        <stp>Price</stp>
        <tr r="W515" s="57"/>
      </tp>
      <tp>
        <v>9.18</v>
        <stp/>
        <stp>2349</stp>
        <stp>Price</stp>
        <tr r="W810" s="57"/>
      </tp>
      <tp>
        <v>25.75</v>
        <stp/>
        <stp>2359</stp>
        <stp>Price</stp>
        <tr r="W1690" s="57"/>
      </tp>
      <tp>
        <v>22.9</v>
        <stp/>
        <stp>2369</stp>
        <stp>Price</stp>
        <tr r="W538" s="57"/>
      </tp>
      <tp>
        <v>466</v>
        <stp/>
        <stp>2379</stp>
        <stp>Price</stp>
        <tr r="W539" s="57"/>
      </tp>
      <tp>
        <v>21.55</v>
        <stp/>
        <stp>2329</stp>
        <stp>Price</stp>
        <tr r="W530" s="57"/>
      </tp>
      <tp>
        <v>21.9</v>
        <stp/>
        <stp>2399</stp>
        <stp>Price</stp>
        <tr r="W716" s="57"/>
      </tp>
      <tp>
        <v>257.5</v>
        <stp/>
        <stp>2049</stp>
        <stp>Price</stp>
        <tr r="W161" s="57"/>
      </tp>
      <tp>
        <v>420.5</v>
        <stp/>
        <stp>2059</stp>
        <stp>Price</stp>
        <tr r="W1023" s="57"/>
      </tp>
      <tp>
        <v>35.200000000000003</v>
        <stp/>
        <stp>2069</stp>
        <stp>Price</stp>
        <tr r="W460" s="57"/>
      </tp>
      <tp>
        <v>47</v>
        <stp/>
        <stp>2009</stp>
        <stp>Price</stp>
        <tr r="W435" s="57"/>
      </tp>
      <tp>
        <v>32.799999999999997</v>
        <stp/>
        <stp>2029</stp>
        <stp>Price</stp>
        <tr r="W449" s="57"/>
      </tp>
      <tp>
        <v>15.25</v>
        <stp/>
        <stp>2109</stp>
        <stp>Price</stp>
        <tr r="W487" s="57"/>
      </tp>
      <tp>
        <v>125.5</v>
        <stp/>
        <stp>2609</stp>
        <stp>Price</stp>
        <tr r="W1517" s="57"/>
      </tp>
      <tp>
        <v>15</v>
        <stp/>
        <stp>2719</stp>
        <stp>Price</stp>
        <tr r="W1552" s="57"/>
      </tp>
      <tp>
        <v>216</v>
        <stp/>
        <stp>2729</stp>
        <stp>Price</stp>
        <tr r="W1558" s="57"/>
      </tp>
      <tp>
        <v>22.7</v>
        <stp/>
        <stp>2739</stp>
        <stp>Price</stp>
        <tr r="W1563" s="57"/>
      </tp>
      <tp>
        <v>42</v>
        <stp/>
        <stp>2449</stp>
        <stp>Price</stp>
        <tr r="W546" s="57"/>
      </tp>
      <tp>
        <v>56.9</v>
        <stp/>
        <stp>2459</stp>
        <stp>Price</stp>
        <tr r="W1229" s="57"/>
      </tp>
      <tp>
        <v>21.5</v>
        <stp/>
        <stp>2409</stp>
        <stp>Price</stp>
        <tr r="W814" s="57"/>
      </tp>
      <tp>
        <v>20.45</v>
        <stp/>
        <stp>2419</stp>
        <stp>Price</stp>
        <tr r="W934" s="57"/>
      </tp>
      <tp t="s">
        <v>無資料</v>
        <stp/>
        <stp>2429</stp>
        <stp>Price</stp>
        <tr r="W1042" s="57"/>
      </tp>
      <tp>
        <v>80.7</v>
        <stp/>
        <stp>2439</stp>
        <stp>Price</stp>
        <tr r="W935" s="57"/>
      </tp>
      <tp>
        <v>15.35</v>
        <stp/>
        <stp>2489</stp>
        <stp>Price</stp>
        <tr r="W819" s="57"/>
      </tp>
      <tp>
        <v>17.8</v>
        <stp/>
        <stp>2509</stp>
        <stp>Price</stp>
        <tr r="W1445" s="57"/>
      </tp>
      <tp>
        <v>31.05</v>
        <stp/>
        <stp>2539</stp>
        <stp>Price</stp>
        <tr r="W1458" s="57"/>
      </tp>
      <tp>
        <v>15.3</v>
        <stp/>
        <stp>2849</stp>
        <stp>Price</stp>
        <tr r="W1598" s="57"/>
      </tp>
      <tp>
        <v>39.299999999999997</v>
        <stp/>
        <stp>2809</stp>
        <stp>Price</stp>
        <tr r="W1589" s="57"/>
      </tp>
      <tp>
        <v>14.9</v>
        <stp/>
        <stp>2889</stp>
        <stp>Price</stp>
        <tr r="W1613" s="57"/>
      </tp>
      <tp>
        <v>25.1</v>
        <stp/>
        <stp>2939</stp>
        <stp>Price</stp>
        <tr r="W1650" s="57"/>
      </tp>
      <tp>
        <v>23.45</v>
        <stp/>
        <stp>3259</stp>
        <stp>Price</stp>
        <tr r="W569" s="57"/>
      </tp>
      <tp>
        <v>34.200000000000003</v>
        <stp/>
        <stp>3209</stp>
        <stp>Price</stp>
        <tr r="W1236" s="57"/>
      </tp>
      <tp>
        <v>119</v>
        <stp/>
        <stp>3219</stp>
        <stp>Price</stp>
        <tr r="W565" s="57"/>
      </tp>
      <tp>
        <v>16.899999999999999</v>
        <stp/>
        <stp>3229</stp>
        <stp>Price</stp>
        <tr r="W1077" s="57"/>
      </tp>
      <tp>
        <v>48.3</v>
        <stp/>
        <stp>3289</stp>
        <stp>Price</stp>
        <tr r="W1711" s="57"/>
      </tp>
      <tp>
        <v>23.95</v>
        <stp/>
        <stp>3349</stp>
        <stp>Price</stp>
        <tr r="W57" s="28"/>
        <tr r="W741" s="57"/>
      </tp>
      <tp>
        <v>11.8</v>
        <stp/>
        <stp>3379</stp>
        <stp>Price</stp>
        <tr r="W173" s="57"/>
      </tp>
      <tp>
        <v>19.55</v>
        <stp/>
        <stp>3339</stp>
        <stp>Price</stp>
        <tr r="W835" s="57"/>
      </tp>
      <tp>
        <v>13.8</v>
        <stp/>
        <stp>3049</stp>
        <stp>Price</stp>
        <tr r="W826" s="57"/>
      </tp>
      <tp>
        <v>43.2</v>
        <stp/>
        <stp>3059</stp>
        <stp>Price</stp>
        <tr r="W829" s="57"/>
      </tp>
      <tp>
        <v>76.8</v>
        <stp/>
        <stp>3019</stp>
        <stp>Price</stp>
        <tr r="W822" s="57"/>
      </tp>
      <tp>
        <v>49.3</v>
        <stp/>
        <stp>3029</stp>
        <stp>Price</stp>
        <tr r="W1269" s="57"/>
      </tp>
      <tp>
        <v>23.6</v>
        <stp/>
        <stp>3149</stp>
        <stp>Price</stp>
        <tr r="W832" s="57"/>
      </tp>
      <tp>
        <v>200.5</v>
        <stp/>
        <stp>3169</stp>
        <stp>Price</stp>
        <tr r="W5" s="114"/>
        <tr r="W563" s="57"/>
        <tr r="W6" s="74"/>
      </tp>
      <tp>
        <v>193</v>
        <stp/>
        <stp>3189</stp>
        <stp>Price</stp>
        <tr r="W564" s="57"/>
      </tp>
      <tp>
        <v>50.7</v>
        <stp/>
        <stp>3669</stp>
        <stp>Price</stp>
        <tr r="W860" s="57"/>
      </tp>
      <tp>
        <v>88.2</v>
        <stp/>
        <stp>3679</stp>
        <stp>Price</stp>
        <tr r="W1119" s="57"/>
      </tp>
      <tp>
        <v>56</v>
        <stp/>
        <stp>3609</stp>
        <stp>Price</stp>
        <tr r="W1113" s="57"/>
      </tp>
      <tp>
        <v>63.5</v>
        <stp/>
        <stp>3629</stp>
        <stp>Price</stp>
        <tr r="W1778" s="57"/>
      </tp>
      <tp>
        <v>45.1</v>
        <stp/>
        <stp>3689</stp>
        <stp>Price</stp>
        <tr r="W1120" s="57"/>
      </tp>
      <tp>
        <v>33.9</v>
        <stp/>
        <stp>3709</stp>
        <stp>Price</stp>
        <tr r="W757" s="57"/>
      </tp>
      <tp>
        <v>54</v>
        <stp/>
        <stp>3479</stp>
        <stp>Price</stp>
        <tr r="W743" s="57"/>
      </tp>
      <tp>
        <v>20.6</v>
        <stp/>
        <stp>3419</stp>
        <stp>Price</stp>
        <tr r="W957" s="57"/>
      </tp>
      <tp>
        <v>10.6</v>
        <stp/>
        <stp>3489</stp>
        <stp>Price</stp>
        <tr r="W1474" s="57"/>
      </tp>
      <tp>
        <v>18.95</v>
        <stp/>
        <stp>3499</stp>
        <stp>Price</stp>
        <tr r="W960" s="57"/>
      </tp>
      <tp>
        <v>1855</v>
        <stp/>
        <stp>3529</stp>
        <stp>Price</stp>
        <tr r="W581" s="57"/>
      </tp>
      <tp>
        <v>68.2</v>
        <stp/>
        <stp>1259</stp>
        <stp>Price</stp>
        <tr r="W1542" s="57"/>
      </tp>
      <tp>
        <v>20.100000000000001</v>
        <stp/>
        <stp>1219</stp>
        <stp>Price</stp>
        <tr r="W21" s="57"/>
      </tp>
      <tp>
        <v>63.6</v>
        <stp/>
        <stp>1229</stp>
        <stp>Price</stp>
        <tr r="W25" s="57"/>
      </tp>
      <tp>
        <v>33.450000000000003</v>
        <stp/>
        <stp>1309</stp>
        <stp>Price</stp>
        <tr r="W27" s="28"/>
        <tr r="W87" s="22"/>
        <tr r="W48" s="57"/>
      </tp>
      <tp>
        <v>30.6</v>
        <stp/>
        <stp>1319</stp>
        <stp>Price</stp>
        <tr r="W493" s="57"/>
      </tp>
      <tp>
        <v>34.200000000000003</v>
        <stp/>
        <stp>1339</stp>
        <stp>Price</stp>
        <tr r="W495" s="57"/>
      </tp>
      <tp>
        <v>19.850000000000001</v>
        <stp/>
        <stp>1109</stp>
        <stp>Price</stp>
        <tr r="W9" s="57"/>
      </tp>
      <tp>
        <v>23.95</v>
        <stp/>
        <stp>1609</stp>
        <stp>Price</stp>
        <tr r="W229" s="57"/>
      </tp>
      <tp>
        <v>27.1</v>
        <stp/>
        <stp>1709</stp>
        <stp>Price</stp>
        <tr r="W245" s="57"/>
      </tp>
      <tp>
        <v>23.2</v>
        <stp/>
        <stp>1789</stp>
        <stp>Price</stp>
        <tr r="W307" s="57"/>
      </tp>
      <tp>
        <v>14.3</v>
        <stp/>
        <stp>1799</stp>
        <stp>Price</stp>
        <tr r="W309" s="57"/>
      </tp>
      <tp>
        <v>12.95</v>
        <stp/>
        <stp>1449</stp>
        <stp>Price</stp>
        <tr r="W88" s="57"/>
      </tp>
      <tp>
        <v>11.45</v>
        <stp/>
        <stp>1459</stp>
        <stp>Price</stp>
        <tr r="W96" s="57"/>
      </tp>
      <tp>
        <v>20.5</v>
        <stp/>
        <stp>1409</stp>
        <stp>Price</stp>
        <tr r="W71" s="57"/>
      </tp>
      <tp>
        <v>42.1</v>
        <stp/>
        <stp>1419</stp>
        <stp>Price</stp>
        <tr r="W77" s="57"/>
      </tp>
      <tp>
        <v>21.8</v>
        <stp/>
        <stp>1439</stp>
        <stp>Price</stp>
        <tr r="W80" s="57"/>
      </tp>
      <tp>
        <v>23.4</v>
        <stp/>
        <stp>1569</stp>
        <stp>Price</stp>
        <tr r="W697" s="57"/>
      </tp>
      <tp>
        <v>38.75</v>
        <stp/>
        <stp>1519</stp>
        <stp>Price</stp>
        <tr r="W136" s="57"/>
      </tp>
      <tp>
        <v>22.6</v>
        <stp/>
        <stp>1529</stp>
        <stp>Price</stp>
        <tr r="W140" s="57"/>
      </tp>
      <tp>
        <v>18.600000000000001</v>
        <stp/>
        <stp>1539</stp>
        <stp>Price</stp>
        <tr r="W147" s="57"/>
      </tp>
      <tp>
        <v>63.1</v>
        <stp/>
        <stp>1589</stp>
        <stp>Price</stp>
        <tr r="W156" s="57"/>
      </tp>
      <tp>
        <v>52.1</v>
        <stp/>
        <stp>1599</stp>
        <stp>Price</stp>
        <tr r="W160" s="57"/>
      </tp>
      <tp>
        <v>14</v>
        <stp/>
        <stp>1809</stp>
        <stp>Price</stp>
        <tr r="W418" s="57"/>
      </tp>
      <tp>
        <v>20.6</v>
        <stp/>
        <stp>1909</stp>
        <stp>Price</stp>
        <tr r="W428" s="57"/>
      </tp>
      <tp>
        <v>36.549999999999997</v>
        <stp/>
        <stp>6259</stp>
        <stp>Price</stp>
        <tr r="W1182" s="57"/>
      </tp>
      <tp>
        <v>94.5</v>
        <stp/>
        <stp>6269</stp>
        <stp>Price</stp>
        <tr r="W1184" s="57"/>
      </tp>
      <tp>
        <v>119.5</v>
        <stp/>
        <stp>6279</stp>
        <stp>Price</stp>
        <tr r="W1186" s="57"/>
      </tp>
      <tp>
        <v>29.25</v>
        <stp/>
        <stp>6209</stp>
        <stp>Price</stp>
        <tr r="W898" s="57"/>
      </tp>
      <tp>
        <v>18.100000000000001</v>
        <stp/>
        <stp>6219</stp>
        <stp>Price</stp>
        <tr r="W1504" s="57"/>
      </tp>
      <tp>
        <v>38.75</v>
        <stp/>
        <stp>6229</stp>
        <stp>Price</stp>
        <tr r="W636" s="57"/>
      </tp>
      <tp>
        <v>96.9</v>
        <stp/>
        <stp>6239</stp>
        <stp>Price</stp>
        <tr r="W639" s="57"/>
      </tp>
      <tp>
        <v>3.3</v>
        <stp/>
        <stp>6289</stp>
        <stp>Price</stp>
        <tr r="W906" s="57"/>
      </tp>
      <tp>
        <v>22.55</v>
        <stp/>
        <stp>6169</stp>
        <stp>Price</stp>
        <tr r="W1786" s="57"/>
      </tp>
      <tp>
        <v>27.8</v>
        <stp/>
        <stp>6179</stp>
        <stp>Price</stp>
        <tr r="W30" s="28"/>
        <tr r="W71" s="22"/>
        <tr r="W1338" s="57"/>
      </tp>
      <tp>
        <v>9.4</v>
        <stp/>
        <stp>6109</stp>
        <stp>Price</stp>
        <tr r="W981" s="57"/>
      </tp>
      <tp>
        <v>34.049999999999997</v>
        <stp/>
        <stp>6129</stp>
        <stp>Price</stp>
        <tr r="W629" s="57"/>
      </tp>
      <tp>
        <v>30.65</v>
        <stp/>
        <stp>6139</stp>
        <stp>Price</stp>
        <tr r="W1740" s="57"/>
      </tp>
      <tp>
        <v>43.75</v>
        <stp/>
        <stp>6189</stp>
        <stp>Price</stp>
        <tr r="W1248" s="57"/>
      </tp>
      <tp>
        <v>16.649999999999999</v>
        <stp/>
        <stp>6199</stp>
        <stp>Price</stp>
        <tr r="W1340" s="57"/>
      </tp>
      <tp>
        <v>22.4</v>
        <stp/>
        <stp>6649</stp>
        <stp>Price</stp>
        <tr r="W398" s="57"/>
      </tp>
      <tp>
        <v>964</v>
        <stp/>
        <stp>6669</stp>
        <stp>Price</stp>
        <tr r="W796" s="57"/>
      </tp>
      <tp>
        <v>420</v>
        <stp/>
        <stp>6679</stp>
        <stp>Price</stp>
        <tr r="W669" s="57"/>
      </tp>
      <tp>
        <v>31.5</v>
        <stp/>
        <stp>6609</stp>
        <stp>Price</stp>
        <tr r="W213" s="57"/>
      </tp>
      <tp>
        <v>59</v>
        <stp/>
        <stp>6629</stp>
        <stp>Price</stp>
        <tr r="W1349" s="57"/>
      </tp>
      <tp>
        <v>610</v>
        <stp/>
        <stp>6719</stp>
        <stp>Price</stp>
        <tr r="W674" s="57"/>
      </tp>
      <tp>
        <v>56.5</v>
        <stp/>
        <stp>6449</stp>
        <stp>Price</stp>
        <tr r="W1194" s="57"/>
      </tp>
      <tp>
        <v>288</v>
        <stp/>
        <stp>6469</stp>
        <stp>Price</stp>
        <tr r="W380" s="57"/>
      </tp>
      <tp>
        <v>1450</v>
        <stp/>
        <stp>6409</stp>
        <stp>Price</stp>
        <tr r="W1751" s="57"/>
      </tp>
      <tp>
        <v>31.35</v>
        <stp/>
        <stp>6419</stp>
        <stp>Price</stp>
        <tr r="W908" s="57"/>
      </tp>
      <tp>
        <v>81</v>
        <stp/>
        <stp>6499</stp>
        <stp>Price</stp>
        <tr r="W385" s="57"/>
      </tp>
      <tp>
        <v>101.5</v>
        <stp/>
        <stp>6569</stp>
        <stp>Price</stp>
        <tr r="W391" s="57"/>
      </tp>
      <tp>
        <v>70.599999999999994</v>
        <stp/>
        <stp>6579</stp>
        <stp>Price</stp>
        <tr r="W794" s="57"/>
      </tp>
      <tp>
        <v>57.3</v>
        <stp/>
        <stp>6509</stp>
        <stp>Price</stp>
        <tr r="W285" s="57"/>
      </tp>
      <tp>
        <v>94.3</v>
        <stp/>
        <stp>6589</stp>
        <stp>Price</stp>
        <tr r="W394" s="57"/>
      </tp>
      <tp>
        <v>73.5</v>
        <stp/>
        <stp>6829</stp>
        <stp>Price</stp>
        <tr r="W64" s="28"/>
        <tr r="W214" s="57"/>
      </tp>
      <tp>
        <v>12.95</v>
        <stp/>
        <stp>4109</stp>
        <stp>Price</stp>
        <tr r="W323" s="57"/>
      </tp>
      <tp>
        <v>88.1</v>
        <stp/>
        <stp>4119</stp>
        <stp>Price</stp>
        <tr r="W327" s="57"/>
      </tp>
      <tp>
        <v>29.9</v>
        <stp/>
        <stp>4129</stp>
        <stp>Price</stp>
        <tr r="W334" s="57"/>
      </tp>
      <tp>
        <v>46.5</v>
        <stp/>
        <stp>4139</stp>
        <stp>Price</stp>
        <tr r="W340" s="57"/>
      </tp>
      <tp t="s">
        <v>無資料</v>
        <stp/>
        <stp>4609</stp>
        <stp>Price</stp>
        <tr r="W239" s="57"/>
      </tp>
      <tp>
        <v>12.9</v>
        <stp/>
        <stp>4729</stp>
        <stp>Price</stp>
        <tr r="W866" s="57"/>
      </tp>
      <tp>
        <v>163</v>
        <stp/>
        <stp>4739</stp>
        <stp>Price</stp>
        <tr r="W275" s="57"/>
      </tp>
      <tp t="s">
        <v>無資料</v>
        <stp/>
        <stp>4419</stp>
        <stp>Price</stp>
        <tr r="W117" s="57"/>
      </tp>
      <tp>
        <v>39.85</v>
        <stp/>
        <stp>4429</stp>
        <stp>Price</stp>
        <tr r="W120" s="57"/>
      </tp>
      <tp>
        <v>130.5</v>
        <stp/>
        <stp>4439</stp>
        <stp>Price</stp>
        <tr r="W124" s="57"/>
      </tp>
      <tp>
        <v>92.3</v>
        <stp/>
        <stp>4549</stp>
        <stp>Price</stp>
        <tr r="W192" s="57"/>
      </tp>
      <tp>
        <v>12.3</v>
        <stp/>
        <stp>4529</stp>
        <stp>Price</stp>
        <tr r="W1325" s="57"/>
      </tp>
      <tp>
        <v>17.600000000000001</v>
        <stp/>
        <stp>4979</stp>
        <stp>Price</stp>
        <tr r="W977" s="57"/>
      </tp>
      <tp>
        <v>18</v>
        <stp/>
        <stp>4909</stp>
        <stp>Price</stp>
        <tr r="W975" s="57"/>
      </tp>
      <tp>
        <v>143</v>
        <stp/>
        <stp>4919</stp>
        <stp>Price</stp>
        <tr r="W599" s="57"/>
      </tp>
      <tp>
        <v>23.1</v>
        <stp/>
        <stp>4939</stp>
        <stp>Price</stp>
        <tr r="W1127" s="57"/>
      </tp>
      <tp>
        <v>39.9</v>
        <stp/>
        <stp>4989</stp>
        <stp>Price</stp>
        <tr r="W1131" s="57"/>
      </tp>
      <tp>
        <v>39.25</v>
        <stp/>
        <stp>4999</stp>
        <stp>Price</stp>
        <tr r="W1132" s="57"/>
      </tp>
      <tp>
        <v>1780</v>
        <stp/>
        <stp>5269</stp>
        <stp>Price</stp>
        <tr r="W612" s="57"/>
      </tp>
      <tp>
        <v>80</v>
        <stp/>
        <stp>5209</stp>
        <stp>Price</stp>
        <tr r="W1277" s="57"/>
      </tp>
      <tp>
        <v>206.5</v>
        <stp/>
        <stp>5289</stp>
        <stp>Price</stp>
        <tr r="W767" s="57"/>
      </tp>
      <tp>
        <v>183</v>
        <stp/>
        <stp>5299</stp>
        <stp>Price</stp>
        <tr r="W616" s="57"/>
      </tp>
      <tp>
        <v>38.15</v>
        <stp/>
        <stp>5309</stp>
        <stp>Price</stp>
        <tr r="W1135" s="57"/>
      </tp>
      <tp>
        <v>25.65</v>
        <stp/>
        <stp>5009</stp>
        <stp>Price</stp>
        <tr r="W464" s="57"/>
      </tp>
      <tp>
        <v>103</v>
        <stp/>
        <stp>5609</stp>
        <stp>Price</stp>
        <tr r="W1538" s="57"/>
      </tp>
      <tp>
        <v>42.1</v>
        <stp/>
        <stp>5469</stp>
        <stp>Price</stp>
        <tr r="W1146" s="57"/>
      </tp>
      <tp>
        <v>51.7</v>
        <stp/>
        <stp>5439</stp>
        <stp>Price</stp>
        <tr r="W1142" s="57"/>
      </tp>
      <tp>
        <v>34.450000000000003</v>
        <stp/>
        <stp>5489</stp>
        <stp>Price</stp>
        <tr r="W1737" s="57"/>
      </tp>
      <tp>
        <v>23.05</v>
        <stp/>
        <stp>5519</stp>
        <stp>Price</stp>
        <tr r="W1489" s="57"/>
      </tp>
      <tp>
        <v>16.75</v>
        <stp/>
        <stp>5529</stp>
        <stp>Price</stp>
        <tr r="W1494" s="57"/>
      </tp>
      <tp>
        <v>22.65</v>
        <stp/>
        <stp>8249</stp>
        <stp>Price</stp>
        <tr r="W1220" s="57"/>
      </tp>
      <tp>
        <v>121.5</v>
        <stp/>
        <stp>8279</stp>
        <stp>Price</stp>
        <tr r="W408" s="57"/>
      </tp>
      <tp>
        <v>31.75</v>
        <stp/>
        <stp>8289</stp>
        <stp>Price</stp>
        <tr r="W1221" s="57"/>
      </tp>
      <tp>
        <v>484</v>
        <stp/>
        <stp>8299</stp>
        <stp>Price</stp>
        <tr r="W694" s="57"/>
      </tp>
      <tp>
        <v>57.8</v>
        <stp/>
        <stp>8349</stp>
        <stp>Price</stp>
        <tr r="W472" s="57"/>
      </tp>
      <tp>
        <v>26.1</v>
        <stp/>
        <stp>8049</stp>
        <stp>Price</stp>
        <tr r="W918" s="57"/>
      </tp>
      <tp>
        <v>10.1</v>
        <stp/>
        <stp>8059</stp>
        <stp>Price</stp>
        <tr r="W1010" s="57"/>
      </tp>
      <tp>
        <v>132</v>
        <stp/>
        <stp>8069</stp>
        <stp>Price</stp>
        <tr r="W920" s="57"/>
      </tp>
      <tp>
        <v>44.35</v>
        <stp/>
        <stp>8039</stp>
        <stp>Price</stp>
        <tr r="W1204" s="57"/>
      </tp>
      <tp>
        <v>26.25</v>
        <stp/>
        <stp>8089</stp>
        <stp>Price</stp>
        <tr r="W1011" s="57"/>
      </tp>
      <tp>
        <v>38.6</v>
        <stp/>
        <stp>8099</stp>
        <stp>Price</stp>
        <tr r="W1300" s="57"/>
      </tp>
      <tp>
        <v>73.599999999999994</v>
        <stp/>
        <stp>8109</stp>
        <stp>Price</stp>
        <tr r="W1214" s="57"/>
      </tp>
      <tp t="s">
        <v>無資料</v>
        <stp/>
        <stp>8409</stp>
        <stp>Price</stp>
        <tr r="W411" s="57"/>
      </tp>
      <tp>
        <v>10.8</v>
        <stp/>
        <stp>8429</stp>
        <stp>Price</stp>
        <tr r="W1664" s="57"/>
      </tp>
      <tp>
        <v>32.1</v>
        <stp/>
        <stp>8489</stp>
        <stp>Price</stp>
        <tr r="W1794" s="57"/>
      </tp>
      <tp>
        <v>127</v>
        <stp/>
        <stp>8499</stp>
        <stp>Price</stp>
        <tr r="W1390" s="57"/>
      </tp>
      <tp>
        <v>20.8</v>
        <stp/>
        <stp>8929</stp>
        <stp>Price</stp>
        <tr r="W1397" s="57"/>
      </tp>
      <tp>
        <v>12.7</v>
        <stp/>
        <stp>9949</stp>
        <stp>Price</stp>
        <tr r="W1796" s="57"/>
      </tp>
      <tp>
        <v>22.1</v>
        <stp/>
        <stp>9919</stp>
        <stp>Price</stp>
        <tr r="W13" s="28"/>
        <tr r="W1414" s="57"/>
      </tp>
      <tp>
        <v>9.0299999999999994</v>
        <stp/>
        <stp>9929</stp>
        <stp>Price</stp>
        <tr r="W1420" s="57"/>
      </tp>
      <tp>
        <v>75.2</v>
        <stp/>
        <stp>9939</stp>
        <stp>Price</stp>
        <tr r="W1426" s="57"/>
      </tp>
      <tp>
        <v>17839</v>
        <stp/>
        <stp>6443</stp>
        <stp>PredictVolume</stp>
        <tr r="AJ910" s="57"/>
      </tp>
      <tp>
        <v>17</v>
        <stp/>
        <stp>6593</stp>
        <stp>PredictVolume</stp>
        <tr r="AJ1295" s="57"/>
      </tp>
      <tp>
        <v>681</v>
        <stp/>
        <stp>6533</stp>
        <stp>PredictVolume</stp>
        <tr r="AJ660" s="57"/>
      </tp>
      <tp>
        <v>221</v>
        <stp/>
        <stp>6523</stp>
        <stp>PredictVolume</stp>
        <tr r="AJ19" s="28"/>
        <tr r="AJ16" s="28"/>
        <tr r="AJ386" s="57"/>
      </tp>
      <tp>
        <v>84</v>
        <stp/>
        <stp>6573</stp>
        <stp>PredictVolume</stp>
        <tr r="AJ664" s="57"/>
      </tp>
      <tp>
        <v>281</v>
        <stp/>
        <stp>6693</stp>
        <stp>PredictVolume</stp>
        <tr r="AJ72" s="28"/>
        <tr r="AJ672" s="57"/>
      </tp>
      <tp>
        <v>164</v>
        <stp/>
        <stp>6683</stp>
        <stp>PredictVolume</stp>
        <tr r="AJ670" s="57"/>
      </tp>
      <tp>
        <v>30</v>
        <stp/>
        <stp>6613</stp>
        <stp>PredictVolume</stp>
        <tr r="AJ1755" s="57"/>
      </tp>
      <tp>
        <v>421</v>
        <stp/>
        <stp>6603</stp>
        <stp>PredictVolume</stp>
        <tr r="AJ212" s="57"/>
      </tp>
      <tp>
        <v>281</v>
        <stp/>
        <stp>6643</stp>
        <stp>PredictVolume</stp>
        <tr r="AJ667" s="57"/>
      </tp>
      <tp>
        <v>14</v>
        <stp/>
        <stp>6733</stp>
        <stp>PredictVolume</stp>
        <tr r="AJ404" s="57"/>
      </tp>
      <tp>
        <v>16</v>
        <stp/>
        <stp>6703</stp>
        <stp>PredictVolume</stp>
        <tr r="AJ402" s="57"/>
      </tp>
      <tp>
        <v>26</v>
        <stp/>
        <stp>6763</stp>
        <stp>PredictVolume</stp>
        <tr r="AJ60" s="28"/>
        <tr r="AJ1805" s="57"/>
      </tp>
      <tp>
        <v>253</v>
        <stp/>
        <stp>6743</stp>
        <stp>PredictVolume</stp>
        <tr r="AJ1760" s="57"/>
      </tp>
      <tp>
        <v>96</v>
        <stp/>
        <stp>6023</stp>
        <stp>PredictVolume</stp>
        <tr r="AJ1628" s="57"/>
      </tp>
      <tp>
        <v>24</v>
        <stp/>
        <stp>6183</stp>
        <stp>PredictVolume</stp>
        <tr r="AJ1287" s="57"/>
      </tp>
      <tp>
        <v>84</v>
        <stp/>
        <stp>6133</stp>
        <stp>PredictVolume</stp>
        <tr r="AJ1156" s="57"/>
      </tp>
      <tp>
        <v>48</v>
        <stp/>
        <stp>6123</stp>
        <stp>PredictVolume</stp>
        <tr r="AJ777" s="57"/>
      </tp>
      <tp>
        <v>24</v>
        <stp/>
        <stp>6113</stp>
        <stp>PredictVolume</stp>
        <tr r="AJ1245" s="57"/>
      </tp>
      <tp>
        <v>12</v>
        <stp/>
        <stp>6103</stp>
        <stp>PredictVolume</stp>
        <tr r="AJ627" s="57"/>
      </tp>
      <tp>
        <v>152</v>
        <stp/>
        <stp>6173</stp>
        <stp>PredictVolume</stp>
        <tr r="AJ1164" s="57"/>
      </tp>
      <tp>
        <v>430</v>
        <stp/>
        <stp>6163</stp>
        <stp>PredictVolume</stp>
        <tr r="AJ986" s="57"/>
      </tp>
      <tp>
        <v>937</v>
        <stp/>
        <stp>6153</stp>
        <stp>PredictVolume</stp>
        <tr r="AJ1159" s="57"/>
      </tp>
      <tp>
        <v>432</v>
        <stp/>
        <stp>6143</stp>
        <stp>PredictVolume</stp>
        <tr r="AJ984" s="57"/>
      </tp>
      <tp>
        <v>151</v>
        <stp/>
        <stp>6283</stp>
        <stp>PredictVolume</stp>
        <tr r="AJ1750" s="57"/>
      </tp>
      <tp>
        <v>251</v>
        <stp/>
        <stp>6233</stp>
        <stp>PredictVolume</stp>
        <tr r="AJ637" s="57"/>
      </tp>
      <tp>
        <v>514</v>
        <stp/>
        <stp>6223</stp>
        <stp>PredictVolume</stp>
        <tr r="AJ635" s="57"/>
        <tr r="AJ82" s="74"/>
        <tr r="AJ83" s="74"/>
      </tp>
      <tp>
        <v>1796</v>
        <stp/>
        <stp>6213</stp>
        <stp>PredictVolume</stp>
        <tr r="AJ1177" s="57"/>
      </tp>
      <tp>
        <v>1126</v>
        <stp/>
        <stp>6203</stp>
        <stp>PredictVolume</stp>
        <tr r="AJ1171" s="57"/>
      </tp>
      <tp>
        <v>53</v>
        <stp/>
        <stp>6263</stp>
        <stp>PredictVolume</stp>
        <tr r="AJ993" s="57"/>
      </tp>
      <tp>
        <v>162</v>
        <stp/>
        <stp>6243</stp>
        <stp>PredictVolume</stp>
        <tr r="AJ640" s="57"/>
      </tp>
      <tp>
        <v>36</v>
        <stp/>
        <stp>6803</stp>
        <stp>PredictVolume</stp>
        <tr r="AJ1357" s="57"/>
      </tp>
      <tp>
        <v>38</v>
        <stp/>
        <stp>4433</stp>
        <stp>PredictVolume</stp>
        <tr r="AJ122" s="57"/>
      </tp>
      <tp>
        <v>2</v>
        <stp/>
        <stp>4413</stp>
        <stp>PredictVolume</stp>
        <tr r="AJ114" s="57"/>
      </tp>
      <tp>
        <v>46</v>
        <stp/>
        <stp>4533</stp>
        <stp>PredictVolume</stp>
        <tr r="AJ186" s="57"/>
      </tp>
      <tp>
        <v>18</v>
        <stp/>
        <stp>4523</stp>
        <stp>PredictVolume</stp>
        <tr r="AJ180" s="57"/>
      </tp>
      <tp>
        <v>322</v>
        <stp/>
        <stp>4513</stp>
        <stp>PredictVolume</stp>
        <tr r="AJ179" s="57"/>
      </tp>
      <tp>
        <v>50</v>
        <stp/>
        <stp>4503</stp>
        <stp>PredictVolume</stp>
        <tr r="AJ176" s="57"/>
      </tp>
      <tp>
        <v>27</v>
        <stp/>
        <stp>4563</stp>
        <stp>PredictVolume</stp>
        <tr r="AJ201" s="57"/>
      </tp>
      <tp>
        <v>13</v>
        <stp/>
        <stp>4543</stp>
        <stp>PredictVolume</stp>
        <tr r="AJ191" s="57"/>
      </tp>
      <tp>
        <v>615</v>
        <stp/>
        <stp>4763</stp>
        <stp>PredictVolume</stp>
        <tr r="AJ279" s="57"/>
      </tp>
      <tp>
        <v>1570</v>
        <stp/>
        <stp>4743</stp>
        <stp>PredictVolume</stp>
        <tr r="AJ369" s="57"/>
      </tp>
      <tp>
        <v>26</v>
        <stp/>
        <stp>4183</stp>
        <stp>PredictVolume</stp>
        <tr r="AJ359" s="57"/>
      </tp>
      <tp>
        <v>559</v>
        <stp/>
        <stp>4133</stp>
        <stp>PredictVolume</stp>
        <tr r="AJ337" s="57"/>
      </tp>
      <tp>
        <v>366</v>
        <stp/>
        <stp>4123</stp>
        <stp>PredictVolume</stp>
        <tr r="AJ330" s="57"/>
      </tp>
      <tp>
        <v>93</v>
        <stp/>
        <stp>4113</stp>
        <stp>PredictVolume</stp>
        <tr r="AJ1476" s="57"/>
      </tp>
      <tp>
        <v>57</v>
        <stp/>
        <stp>4173</stp>
        <stp>PredictVolume</stp>
        <tr r="AJ356" s="57"/>
      </tp>
      <tp>
        <v>11</v>
        <stp/>
        <stp>4163</stp>
        <stp>PredictVolume</stp>
        <tr r="AJ28" s="28"/>
        <tr r="AJ352" s="57"/>
      </tp>
      <tp>
        <v>14</v>
        <stp/>
        <stp>4153</stp>
        <stp>PredictVolume</stp>
        <tr r="AJ345" s="57"/>
      </tp>
      <tp>
        <v>122</v>
        <stp/>
        <stp>4303</stp>
        <stp>PredictVolume</stp>
        <tr r="AJ62" s="57"/>
      </tp>
      <tp>
        <v>32</v>
        <stp/>
        <stp>4933</stp>
        <stp>PredictVolume</stp>
        <tr r="AJ867" s="57"/>
      </tp>
      <tp>
        <v>422</v>
        <stp/>
        <stp>4923</stp>
        <stp>PredictVolume</stp>
        <tr r="AJ61" s="28"/>
        <tr r="AJ600" s="57"/>
      </tp>
      <tp>
        <v>113</v>
        <stp/>
        <stp>4903</stp>
        <stp>PredictVolume</stp>
        <tr r="AJ971" s="57"/>
      </tp>
      <tp>
        <v>34</v>
        <stp/>
        <stp>4973</stp>
        <stp>PredictVolume</stp>
        <tr r="AJ608" s="57"/>
      </tp>
      <tp>
        <v>82</v>
        <stp/>
        <stp>4953</stp>
        <stp>PredictVolume</stp>
        <tr r="AJ1272" s="57"/>
      </tp>
      <tp>
        <v>236</v>
        <stp/>
        <stp>4943</stp>
        <stp>PredictVolume</stp>
        <tr r="AJ1128" s="57"/>
      </tp>
      <tp>
        <v>20</v>
        <stp/>
        <stp>5493</stp>
        <stp>PredictVolume</stp>
        <tr r="AJ1738" s="57"/>
      </tp>
      <tp>
        <v>3746</v>
        <stp/>
        <stp>5483</stp>
        <stp>PredictVolume</stp>
        <tr r="AJ625" s="57"/>
      </tp>
      <tp>
        <v>113</v>
        <stp/>
        <stp>5403</stp>
        <stp>PredictVolume</stp>
        <tr r="AJ1282" s="57"/>
      </tp>
      <tp>
        <v>219</v>
        <stp/>
        <stp>5443</stp>
        <stp>PredictVolume</stp>
        <tr r="AJ889" s="57"/>
      </tp>
      <tp>
        <v>180</v>
        <stp/>
        <stp>5533</stp>
        <stp>PredictVolume</stp>
        <tr r="AJ1496" s="57"/>
      </tp>
      <tp>
        <v>57</v>
        <stp/>
        <stp>5523</stp>
        <stp>PredictVolume</stp>
        <tr r="AJ1492" s="57"/>
      </tp>
      <tp>
        <v>14</v>
        <stp/>
        <stp>5543</stp>
        <stp>PredictVolume</stp>
        <tr r="AJ1498" s="57"/>
      </tp>
      <tp>
        <v>5764</v>
        <stp/>
        <stp>5603</stp>
        <stp>PredictVolume</stp>
        <tr r="AJ1534" s="57"/>
      </tp>
      <tp>
        <v>2</v>
        <stp/>
        <stp>5703</stp>
        <stp>PredictVolume</stp>
        <tr r="AJ1579" s="57"/>
      </tp>
      <tp>
        <v>755</v>
        <stp/>
        <stp>5013</stp>
        <stp>PredictVolume</stp>
        <tr r="AJ466" s="57"/>
      </tp>
      <tp>
        <v>107</v>
        <stp/>
        <stp>5283</stp>
        <stp>PredictVolume</stp>
        <tr r="AJ241" s="57"/>
      </tp>
      <tp>
        <v>9</v>
        <stp/>
        <stp>5223</stp>
        <stp>PredictVolume</stp>
        <tr r="AJ25" s="28"/>
        <tr r="AJ765" s="57"/>
      </tp>
      <tp>
        <v>121</v>
        <stp/>
        <stp>5213</stp>
        <stp>PredictVolume</stp>
        <tr r="AJ1480" s="57"/>
      </tp>
      <tp>
        <v>1207</v>
        <stp/>
        <stp>5203</stp>
        <stp>PredictVolume</stp>
        <tr r="AJ1276" s="57"/>
      </tp>
      <tp>
        <v>65</v>
        <stp/>
        <stp>5263</stp>
        <stp>PredictVolume</stp>
        <tr r="AJ1781" s="57"/>
      </tp>
      <tp>
        <v>304</v>
        <stp/>
        <stp>5243</stp>
        <stp>PredictVolume</stp>
        <tr r="AJ880" s="57"/>
      </tp>
      <tp>
        <v>45</v>
        <stp/>
        <stp>5383</stp>
        <stp>PredictVolume</stp>
        <tr r="AJ1735" s="57"/>
      </tp>
      <tp>
        <v>16</v>
        <stp/>
        <stp>5353</stp>
        <stp>PredictVolume</stp>
        <tr r="AJ979" s="57"/>
      </tp>
      <tp>
        <v>181</v>
        <stp/>
        <stp>5903</stp>
        <stp>PredictVolume</stp>
        <tr r="AJ1656" s="57"/>
      </tp>
      <tp>
        <v>100</v>
        <stp/>
        <stp>2493</stp>
        <stp>PredictVolume</stp>
        <tr r="AJ1055" s="57"/>
      </tp>
      <tp>
        <v>74</v>
        <stp/>
        <stp>2483</stp>
        <stp>PredictVolume</stp>
        <tr r="AJ1052" s="57"/>
      </tp>
      <tp>
        <v>62</v>
        <stp/>
        <stp>2433</stp>
        <stp>PredictVolume</stp>
        <tr r="AJ1696" s="57"/>
      </tp>
      <tp>
        <v>39</v>
        <stp/>
        <stp>2423</stp>
        <stp>PredictVolume</stp>
        <tr r="AJ1695" s="57"/>
      </tp>
      <tp>
        <v>155</v>
        <stp/>
        <stp>2413</stp>
        <stp>PredictVolume</stp>
        <tr r="AJ1037" s="57"/>
      </tp>
      <tp>
        <v>121</v>
        <stp/>
        <stp>2453</stp>
        <stp>PredictVolume</stp>
        <tr r="AJ1265" s="57"/>
      </tp>
      <tp>
        <v>9</v>
        <stp/>
        <stp>2443</stp>
        <stp>PredictVolume</stp>
        <tr r="AJ1316" s="57"/>
      </tp>
      <tp>
        <v>8</v>
        <stp/>
        <stp>2543</stp>
        <stp>PredictVolume</stp>
        <tr r="AJ1461" s="57"/>
      </tp>
      <tp>
        <v>1931</v>
        <stp/>
        <stp>2633</stp>
        <stp>PredictVolume</stp>
        <tr r="AJ1526" s="57"/>
      </tp>
      <tp>
        <v>11678</v>
        <stp/>
        <stp>2613</stp>
        <stp>PredictVolume</stp>
        <tr r="AJ1521" s="57"/>
      </tp>
      <tp>
        <v>193488</v>
        <stp/>
        <stp>2603</stp>
        <stp>PredictVolume</stp>
        <tr r="AJ1512" s="57"/>
      </tp>
      <tp>
        <v>26</v>
        <stp/>
        <stp>2643</stp>
        <stp>PredictVolume</stp>
        <tr r="AJ1532" s="57"/>
      </tp>
      <tp>
        <v>478</v>
        <stp/>
        <stp>2723</stp>
        <stp>PredictVolume</stp>
        <tr r="AJ1554" s="57"/>
      </tp>
      <tp>
        <v>51</v>
        <stp/>
        <stp>2753</stp>
        <stp>PredictVolume</stp>
        <tr r="AJ1569" s="57"/>
      </tp>
      <tp>
        <v>599</v>
        <stp/>
        <stp>2743</stp>
        <stp>PredictVolume</stp>
        <tr r="AJ1565" s="57"/>
      </tp>
      <tp>
        <v>13251</v>
        <stp/>
        <stp>2033</stp>
        <stp>PredictVolume</stp>
        <tr r="AJ453" s="57"/>
      </tp>
      <tp>
        <v>22759</v>
        <stp/>
        <stp>2023</stp>
        <stp>PredictVolume</stp>
        <tr r="AJ444" s="57"/>
      </tp>
      <tp>
        <v>602</v>
        <stp/>
        <stp>2013</stp>
        <stp>PredictVolume</stp>
        <tr r="AJ438" s="57"/>
      </tp>
      <tp>
        <v>36</v>
        <stp/>
        <stp>2063</stp>
        <stp>PredictVolume</stp>
        <tr r="AJ457" s="57"/>
      </tp>
      <tp>
        <v>2997</v>
        <stp/>
        <stp>2103</stp>
        <stp>PredictVolume</stp>
        <tr r="AJ481" s="57"/>
      </tp>
      <tp>
        <v>421</v>
        <stp/>
        <stp>2233</stp>
        <stp>PredictVolume</stp>
        <tr r="AJ10" s="114"/>
        <tr r="AJ513" s="57"/>
      </tp>
      <tp>
        <v>102</v>
        <stp/>
        <stp>2243</stp>
        <stp>PredictVolume</stp>
        <tr r="AJ516" s="57"/>
      </tp>
      <tp>
        <v>1233</v>
        <stp/>
        <stp>2393</stp>
        <stp>PredictVolume</stp>
        <tr r="AJ812" s="57"/>
      </tp>
      <tp>
        <v>1470</v>
        <stp/>
        <stp>2383</stp>
        <stp>PredictVolume</stp>
        <tr r="AJ1033" s="57"/>
      </tp>
      <tp>
        <v>16578</v>
        <stp/>
        <stp>2323</stp>
        <stp>PredictVolume</stp>
        <tr r="AJ808" s="57"/>
      </tp>
      <tp>
        <v>5719</v>
        <stp/>
        <stp>2313</stp>
        <stp>PredictVolume</stp>
        <tr r="AJ1025" s="57"/>
      </tp>
      <tp>
        <v>46812</v>
        <stp/>
        <stp>2303</stp>
        <stp>PredictVolume</stp>
        <tr r="AJ529" s="57"/>
      </tp>
      <tp>
        <v>21</v>
        <stp/>
        <stp>2373</stp>
        <stp>PredictVolume</stp>
        <tr r="AJ1692" s="57"/>
      </tp>
      <tp>
        <v>10353</v>
        <stp/>
        <stp>2363</stp>
        <stp>PredictVolume</stp>
        <tr r="AJ537" s="57"/>
      </tp>
      <tp>
        <v>10689</v>
        <stp/>
        <stp>2353</stp>
        <stp>PredictVolume</stp>
        <tr r="AJ703" s="57"/>
      </tp>
      <tp>
        <v>42419</v>
        <stp/>
        <stp>2883</stp>
        <stp>PredictVolume</stp>
        <tr r="AJ1607" s="57"/>
      </tp>
      <tp>
        <v>72</v>
        <stp/>
        <stp>2923</stp>
        <stp>PredictVolume</stp>
        <tr r="AJ1469" s="57"/>
      </tp>
      <tp>
        <v>1185</v>
        <stp/>
        <stp>2913</stp>
        <stp>PredictVolume</stp>
        <tr r="AJ1644" s="57"/>
      </tp>
      <tp>
        <v>346</v>
        <stp/>
        <stp>2903</stp>
        <stp>PredictVolume</stp>
        <tr r="AJ1637" s="57"/>
      </tp>
      <tp>
        <v>454</v>
        <stp/>
        <stp>3483</stp>
        <stp>PredictVolume</stp>
        <tr r="AJ744" s="57"/>
      </tp>
      <tp>
        <v>840</v>
        <stp/>
        <stp>3413</stp>
        <stp>PredictVolume</stp>
        <tr r="AJ577" s="57"/>
      </tp>
      <tp>
        <v>1111</v>
        <stp/>
        <stp>3443</stp>
        <stp>PredictVolume</stp>
        <tr r="AJ579" s="57"/>
      </tp>
      <tp>
        <v>36</v>
        <stp/>
        <stp>3593</stp>
        <stp>PredictVolume</stp>
        <tr r="AJ1109" s="57"/>
      </tp>
      <tp>
        <v>687</v>
        <stp/>
        <stp>3583</stp>
        <stp>PredictVolume</stp>
        <tr r="AJ590" s="57"/>
      </tp>
      <tp>
        <v>480</v>
        <stp/>
        <stp>3533</stp>
        <stp>PredictVolume</stp>
        <tr r="AJ1105" s="57"/>
      </tp>
      <tp>
        <v>168</v>
        <stp/>
        <stp>3563</stp>
        <stp>PredictVolume</stp>
        <tr r="AJ852" s="57"/>
      </tp>
      <tp>
        <v>13</v>
        <stp/>
        <stp>3543</stp>
        <stp>PredictVolume</stp>
        <tr r="AJ851" s="57"/>
      </tp>
      <tp>
        <v>78</v>
        <stp/>
        <stp>3693</stp>
        <stp>PredictVolume</stp>
        <tr r="AJ754" s="57"/>
      </tp>
      <tp>
        <v>1112</v>
        <stp/>
        <stp>3623</stp>
        <stp>PredictVolume</stp>
        <tr r="AJ857" s="57"/>
      </tp>
      <tp>
        <v>862</v>
        <stp/>
        <stp>3673</stp>
        <stp>PredictVolume</stp>
        <tr r="AJ861" s="57"/>
      </tp>
      <tp>
        <v>207</v>
        <stp/>
        <stp>3663</stp>
        <stp>PredictVolume</stp>
        <tr r="AJ1729" s="57"/>
      </tp>
      <tp>
        <v>1468</v>
        <stp/>
        <stp>3653</stp>
        <stp>PredictVolume</stp>
        <tr r="AJ1118" s="57"/>
      </tp>
      <tp>
        <v>93</v>
        <stp/>
        <stp>3713</stp>
        <stp>PredictVolume</stp>
        <tr r="AJ34" s="28"/>
        <tr r="AJ864" s="57"/>
      </tp>
      <tp>
        <v>368</v>
        <stp/>
        <stp>3703</stp>
        <stp>PredictVolume</stp>
        <tr r="AJ1475" s="57"/>
      </tp>
      <tp>
        <v>14</v>
        <stp/>
        <stp>3093</stp>
        <stp>PredictVolume</stp>
        <tr r="AJ1708" s="57"/>
      </tp>
      <tp>
        <v>622</v>
        <stp/>
        <stp>3083</stp>
        <stp>PredictVolume</stp>
        <tr r="AJ1774" s="57"/>
      </tp>
      <tp>
        <v>2814</v>
        <stp/>
        <stp>3033</stp>
        <stp>PredictVolume</stp>
        <tr r="AJ1232" s="57"/>
      </tp>
      <tp>
        <v>246</v>
        <stp/>
        <stp>3023</stp>
        <stp>PredictVolume</stp>
        <tr r="AJ1060" s="57"/>
      </tp>
      <tp>
        <v>83</v>
        <stp/>
        <stp>3013</stp>
        <stp>PredictVolume</stp>
        <tr r="AJ725" s="57"/>
      </tp>
      <tp>
        <v>426</v>
        <stp/>
        <stp>3003</stp>
        <stp>PredictVolume</stp>
        <tr r="AJ1056" s="57"/>
      </tp>
      <tp>
        <v>2</v>
        <stp/>
        <stp>3073</stp>
        <stp>PredictVolume</stp>
        <tr r="AJ558" s="57"/>
      </tp>
      <tp>
        <v>97</v>
        <stp/>
        <stp>3043</stp>
        <stp>PredictVolume</stp>
        <tr r="AJ1706" s="57"/>
      </tp>
      <tp>
        <v>345</v>
        <stp/>
        <stp>3163</stp>
        <stp>PredictVolume</stp>
        <tr r="AJ950" s="57"/>
      </tp>
      <tp>
        <v>60</v>
        <stp/>
        <stp>3293</stp>
        <stp>PredictVolume</stp>
        <tr r="AJ1776" s="57"/>
      </tp>
      <tp>
        <v>129</v>
        <stp/>
        <stp>3213</stp>
        <stp>PredictVolume</stp>
        <tr r="AJ734" s="57"/>
      </tp>
      <tp>
        <v>198</v>
        <stp/>
        <stp>3383</stp>
        <stp>PredictVolume</stp>
        <tr r="AJ838" s="57"/>
      </tp>
      <tp>
        <v>112</v>
        <stp/>
        <stp>3323</stp>
        <stp>PredictVolume</stp>
        <tr r="AJ738" s="57"/>
      </tp>
      <tp>
        <v>42</v>
        <stp/>
        <stp>3313</stp>
        <stp>PredictVolume</stp>
        <tr r="AJ1086" s="57"/>
      </tp>
      <tp>
        <v>667</v>
        <stp/>
        <stp>3303</stp>
        <stp>PredictVolume</stp>
        <tr r="AJ1712" s="57"/>
      </tp>
      <tp>
        <v>47</v>
        <stp/>
        <stp>3373</stp>
        <stp>PredictVolume</stp>
        <tr r="AJ1715" s="57"/>
      </tp>
      <tp>
        <v>500</v>
        <stp/>
        <stp>3363</stp>
        <stp>PredictVolume</stp>
        <tr r="AJ955" s="57"/>
      </tp>
      <tp>
        <v>36</v>
        <stp/>
        <stp>1423</stp>
        <stp>PredictVolume</stp>
        <tr r="AJ78" s="57"/>
      </tp>
      <tp>
        <v>393</v>
        <stp/>
        <stp>1413</stp>
        <stp>PredictVolume</stp>
        <tr r="AJ73" s="57"/>
      </tp>
      <tp>
        <v>120</v>
        <stp/>
        <stp>1473</stp>
        <stp>PredictVolume</stp>
        <tr r="AJ106" s="57"/>
      </tp>
      <tp>
        <v>107</v>
        <stp/>
        <stp>1463</stp>
        <stp>PredictVolume</stp>
        <tr r="AJ98" s="57"/>
      </tp>
      <tp>
        <v>51</v>
        <stp/>
        <stp>1453</stp>
        <stp>PredictVolume</stp>
        <tr r="AJ91" s="57"/>
      </tp>
      <tp>
        <v>6</v>
        <stp/>
        <stp>1443</stp>
        <stp>PredictVolume</stp>
        <tr r="AJ83" s="57"/>
      </tp>
      <tp>
        <v>61</v>
        <stp/>
        <stp>1593</stp>
        <stp>PredictVolume</stp>
        <tr r="AJ289" s="57"/>
      </tp>
      <tp>
        <v>7</v>
        <stp/>
        <stp>1583</stp>
        <stp>PredictVolume</stp>
        <tr r="AJ154" s="57"/>
      </tp>
      <tp>
        <v>316</v>
        <stp/>
        <stp>1533</stp>
        <stp>PredictVolume</stp>
        <tr r="AJ501" s="57"/>
      </tp>
      <tp>
        <v>10163</v>
        <stp/>
        <stp>1513</stp>
        <stp>PredictVolume</stp>
        <tr r="AJ132" s="57"/>
      </tp>
      <tp>
        <v>144</v>
        <stp/>
        <stp>1503</stp>
        <stp>PredictVolume</stp>
        <tr r="AJ128" s="57"/>
      </tp>
      <tp>
        <v>277</v>
        <stp/>
        <stp>1603</stp>
        <stp>PredictVolume</stp>
        <tr r="AJ225" s="57"/>
      </tp>
      <tp>
        <v>85</v>
        <stp/>
        <stp>1783</stp>
        <stp>PredictVolume</stp>
        <tr r="AJ303" s="57"/>
      </tp>
      <tp>
        <v>339</v>
        <stp/>
        <stp>1733</stp>
        <stp>PredictVolume</stp>
        <tr r="AJ295" s="57"/>
      </tp>
      <tp>
        <v>443</v>
        <stp/>
        <stp>1723</stp>
        <stp>PredictVolume</stp>
        <tr r="AJ255" s="57"/>
      </tp>
      <tp>
        <v>48</v>
        <stp/>
        <stp>1713</stp>
        <stp>PredictVolume</stp>
        <tr r="AJ249" s="57"/>
      </tp>
      <tp>
        <v>1638</v>
        <stp/>
        <stp>1773</stp>
        <stp>PredictVolume</stp>
        <tr r="AJ263" s="57"/>
      </tp>
      <tp>
        <v>547</v>
        <stp/>
        <stp>1103</stp>
        <stp>PredictVolume</stp>
        <tr r="AJ6" s="57"/>
      </tp>
      <tp>
        <v>11</v>
        <stp/>
        <stp>1233</stp>
        <stp>PredictVolume</stp>
        <tr r="AJ28" s="57"/>
      </tp>
      <tp>
        <v>0</v>
        <stp/>
        <stp>1213</stp>
        <stp>PredictVolume</stp>
        <tr r="AJ16" s="57"/>
      </tp>
      <tp>
        <v>9</v>
        <stp/>
        <stp>1203</stp>
        <stp>PredictVolume</stp>
        <tr r="AJ14" s="57"/>
      </tp>
      <tp>
        <v>166</v>
        <stp/>
        <stp>1323</stp>
        <stp>PredictVolume</stp>
        <tr r="AJ55" s="57"/>
      </tp>
      <tp>
        <v>4822</v>
        <stp/>
        <stp>1313</stp>
        <stp>PredictVolume</stp>
        <tr r="AJ51" s="57"/>
      </tp>
      <tp>
        <v>10522</v>
        <stp/>
        <stp>1303</stp>
        <stp>PredictVolume</stp>
        <tr r="AJ43" s="57"/>
      </tp>
      <tp>
        <v>11</v>
        <stp/>
        <stp>1813</stp>
        <stp>PredictVolume</stp>
        <tr r="AJ310" s="57"/>
      </tp>
      <tp>
        <v>137</v>
        <stp/>
        <stp>1903</stp>
        <stp>PredictVolume</stp>
        <tr r="AJ423" s="57"/>
      </tp>
      <tp>
        <v>19</v>
        <stp/>
        <stp>8433</stp>
        <stp>PredictVolume</stp>
        <tr r="AJ1665" s="57"/>
      </tp>
      <tp>
        <v>0</v>
        <stp/>
        <stp>8423</stp>
        <stp>PredictVolume</stp>
        <tr r="AJ1370" s="57"/>
      </tp>
      <tp>
        <v>85</v>
        <stp/>
        <stp>8403</stp>
        <stp>PredictVolume</stp>
        <tr r="AJ409" s="57"/>
      </tp>
      <tp>
        <v>55</v>
        <stp/>
        <stp>8473</stp>
        <stp>PredictVolume</stp>
        <tr r="AJ1383" s="57"/>
      </tp>
      <tp>
        <v>30</v>
        <stp/>
        <stp>8463</stp>
        <stp>PredictVolume</stp>
        <tr r="AJ1379" s="57"/>
      </tp>
      <tp>
        <v>12</v>
        <stp/>
        <stp>8443</stp>
        <stp>PredictVolume</stp>
        <tr r="AJ1666" s="57"/>
      </tp>
      <tp>
        <v>26</v>
        <stp/>
        <stp>8093</stp>
        <stp>PredictVolume</stp>
        <tr r="AJ1212" s="57"/>
      </tp>
      <tp>
        <v>22</v>
        <stp/>
        <stp>8083</stp>
        <stp>PredictVolume</stp>
        <tr r="AJ216" s="57"/>
      </tp>
      <tp>
        <v>327</v>
        <stp/>
        <stp>8033</stp>
        <stp>PredictVolume</stp>
        <tr r="AJ1359" s="57"/>
      </tp>
      <tp>
        <v>49</v>
        <stp/>
        <stp>8043</stp>
        <stp>PredictVolume</stp>
        <tr r="AJ1206" s="57"/>
      </tp>
      <tp>
        <v>615</v>
        <stp/>
        <stp>8183</stp>
        <stp>PredictVolume</stp>
        <tr r="AJ1765" s="57"/>
      </tp>
      <tp>
        <v>463</v>
        <stp/>
        <stp>8103</stp>
        <stp>PredictVolume</stp>
        <tr r="AJ1213" s="57"/>
      </tp>
      <tp>
        <v>1657</v>
        <stp/>
        <stp>8163</stp>
        <stp>PredictVolume</stp>
        <tr r="AJ801" s="57"/>
      </tp>
      <tp>
        <v>828</v>
        <stp/>
        <stp>8213</stp>
        <stp>PredictVolume</stp>
        <tr r="AJ1219" s="57"/>
      </tp>
      <tp>
        <v>903</v>
        <stp/>
        <stp>8383</stp>
        <stp>PredictVolume</stp>
        <tr r="AJ1767" s="57"/>
      </tp>
      <tp>
        <v>259</v>
        <stp/>
        <stp>8933</stp>
        <stp>PredictVolume</stp>
        <tr r="AJ1399" s="57"/>
      </tp>
      <tp>
        <v>1</v>
        <stp/>
        <stp>8923</stp>
        <stp>PredictVolume</stp>
        <tr r="AJ1795" s="57"/>
      </tp>
      <tp>
        <v>9732</v>
        <stp/>
        <stp>9933</stp>
        <stp>PredictVolume</stp>
        <tr r="AJ1422" s="57"/>
      </tp>
      <tp>
        <v>46</v>
        <stp/>
        <stp>9943</stp>
        <stp>PredictVolume</stp>
        <tr r="AJ1585" s="57"/>
      </tp>
      <tp>
        <v>428</v>
        <stp/>
        <stp>6492</stp>
        <stp>PredictVolume</stp>
        <tr r="AJ383" s="57"/>
      </tp>
      <tp>
        <v>1</v>
        <stp/>
        <stp>6482</stp>
        <stp>PredictVolume</stp>
        <tr r="AJ1789" s="57"/>
      </tp>
      <tp>
        <v>24</v>
        <stp/>
        <stp>6432</stp>
        <stp>PredictVolume</stp>
        <tr r="AJ1193" s="57"/>
      </tp>
      <tp>
        <v>623</v>
        <stp/>
        <stp>6412</stp>
        <stp>PredictVolume</stp>
        <tr r="AJ1191" s="57"/>
      </tp>
      <tp>
        <v>224</v>
        <stp/>
        <stp>6472</stp>
        <stp>PredictVolume</stp>
        <tr r="AJ381" s="57"/>
      </tp>
      <tp>
        <v>205</v>
        <stp/>
        <stp>6462</stp>
        <stp>PredictVolume</stp>
        <tr r="AJ651" s="57"/>
      </tp>
      <tp>
        <v>26</v>
        <stp/>
        <stp>6442</stp>
        <stp>PredictVolume</stp>
        <tr r="AJ998" s="57"/>
      </tp>
      <tp>
        <v>1026</v>
        <stp/>
        <stp>6592</stp>
        <stp>PredictVolume</stp>
        <tr r="AJ1345" s="57"/>
        <tr r="AJ31" s="28"/>
      </tp>
      <tp>
        <v>173</v>
        <stp/>
        <stp>6582</stp>
        <stp>PredictVolume</stp>
        <tr r="AJ490" s="57"/>
      </tp>
      <tp>
        <v>47</v>
        <stp/>
        <stp>6532</stp>
        <stp>PredictVolume</stp>
        <tr r="AJ659" s="57"/>
      </tp>
      <tp>
        <v>17</v>
        <stp/>
        <stp>6512</stp>
        <stp>PredictVolume</stp>
        <tr r="AJ1753" s="57"/>
      </tp>
      <tp>
        <v>20</v>
        <stp/>
        <stp>6552</stp>
        <stp>PredictVolume</stp>
        <tr r="AJ662" s="57"/>
      </tp>
      <tp>
        <v>4</v>
        <stp/>
        <stp>6542</stp>
        <stp>PredictVolume</stp>
        <tr r="AJ1790" s="57"/>
      </tp>
      <tp>
        <v>808</v>
        <stp/>
        <stp>6612</stp>
        <stp>PredictVolume</stp>
        <tr r="AJ396" s="57"/>
      </tp>
      <tp>
        <v>301</v>
        <stp/>
        <stp>6672</stp>
        <stp>PredictVolume</stp>
        <tr r="AJ1198" s="57"/>
      </tp>
      <tp>
        <v>0</v>
        <stp/>
        <stp>6662</stp>
        <stp>PredictVolume</stp>
        <tr r="AJ400" s="57"/>
      </tp>
      <tp>
        <v>10</v>
        <stp/>
        <stp>6642</stp>
        <stp>PredictVolume</stp>
        <tr r="AJ1196" s="57"/>
      </tp>
      <tp>
        <v>219</v>
        <stp/>
        <stp>6792</stp>
        <stp>PredictVolume</stp>
        <tr r="AJ1006" s="57"/>
      </tp>
      <tp>
        <v>280</v>
        <stp/>
        <stp>6732</stp>
        <stp>PredictVolume</stp>
        <tr r="AJ675" s="57"/>
      </tp>
      <tp>
        <v>261</v>
        <stp/>
        <stp>6712</stp>
        <stp>PredictVolume</stp>
        <tr r="AJ403" s="57"/>
      </tp>
      <tp>
        <v>8</v>
        <stp/>
        <stp>6762</stp>
        <stp>PredictVolume</stp>
        <tr r="AJ406" s="57"/>
      </tp>
      <tp>
        <v>60</v>
        <stp/>
        <stp>6752</stp>
        <stp>PredictVolume</stp>
        <tr r="AJ1299" s="57"/>
      </tp>
      <tp>
        <v>46</v>
        <stp/>
        <stp>6192</stp>
        <stp>PredictVolume</stp>
        <tr r="AJ1744" s="57"/>
      </tp>
      <tp>
        <v>7818</v>
        <stp/>
        <stp>6182</stp>
        <stp>PredictVolume</stp>
        <tr r="AJ632" s="57"/>
      </tp>
      <tp>
        <v>170</v>
        <stp/>
        <stp>6122</stp>
        <stp>PredictVolume</stp>
        <tr r="AJ210" s="57"/>
      </tp>
      <tp>
        <v>91</v>
        <stp/>
        <stp>6112</stp>
        <stp>PredictVolume</stp>
        <tr r="AJ1284" s="57"/>
      </tp>
      <tp>
        <v>265</v>
        <stp/>
        <stp>6152</stp>
        <stp>PredictVolume</stp>
        <tr r="AJ985" s="57"/>
      </tp>
      <tp>
        <v>74</v>
        <stp/>
        <stp>6142</stp>
        <stp>PredictVolume</stp>
        <tr r="AJ983" s="57"/>
      </tp>
      <tp>
        <v>149</v>
        <stp/>
        <stp>6292</stp>
        <stp>PredictVolume</stp>
        <tr r="AJ1190" s="57"/>
      </tp>
      <tp>
        <v>7003</v>
        <stp/>
        <stp>6282</stp>
        <stp>PredictVolume</stp>
        <tr r="AJ1187" s="57"/>
      </tp>
      <tp>
        <v>39</v>
        <stp/>
        <stp>6222</stp>
        <stp>PredictVolume</stp>
        <tr r="AJ899" s="57"/>
      </tp>
      <tp>
        <v>34</v>
        <stp/>
        <stp>6212</stp>
        <stp>PredictVolume</stp>
        <tr r="AJ1503" s="57"/>
      </tp>
      <tp>
        <v>4283</v>
        <stp/>
        <stp>6202</stp>
        <stp>PredictVolume</stp>
        <tr r="AJ634" s="57"/>
      </tp>
      <tp>
        <v>2</v>
        <stp/>
        <stp>6242</stp>
        <stp>PredictVolume</stp>
        <tr r="AJ377" s="57"/>
      </tp>
      <tp>
        <v>2</v>
        <stp/>
        <stp>7402</stp>
        <stp>PredictVolume</stp>
        <tr r="AJ917" s="57"/>
      </tp>
      <tp>
        <v>57</v>
        <stp/>
        <stp>4432</stp>
        <stp>PredictVolume</stp>
        <tr r="AJ38" s="28"/>
        <tr r="AJ121" s="57"/>
      </tp>
      <tp>
        <v>71</v>
        <stp/>
        <stp>4402</stp>
        <stp>PredictVolume</stp>
        <tr r="AJ112" s="57"/>
      </tp>
      <tp>
        <v>153</v>
        <stp/>
        <stp>4532</stp>
        <stp>PredictVolume</stp>
        <tr r="AJ185" s="57"/>
      </tp>
      <tp>
        <v>2</v>
        <stp/>
        <stp>4502</stp>
        <stp>PredictVolume</stp>
        <tr r="AJ175" s="57"/>
      </tp>
      <tp>
        <v>9</v>
        <stp/>
        <stp>4572</stp>
        <stp>PredictVolume</stp>
        <tr r="AJ206" s="57"/>
      </tp>
      <tp>
        <v>376</v>
        <stp/>
        <stp>4562</stp>
        <stp>PredictVolume</stp>
        <tr r="AJ200" s="57"/>
      </tp>
      <tp>
        <v>52</v>
        <stp/>
        <stp>4552</stp>
        <stp>PredictVolume</stp>
        <tr r="AJ194" s="57"/>
      </tp>
      <tp>
        <v>7</v>
        <stp/>
        <stp>4542</stp>
        <stp>PredictVolume</stp>
        <tr r="AJ1122" s="57"/>
      </tp>
      <tp>
        <v>496</v>
        <stp/>
        <stp>4722</stp>
        <stp>PredictVolume</stp>
        <tr r="AJ274" s="57"/>
      </tp>
      <tp>
        <v>2290</v>
        <stp/>
        <stp>4702</stp>
        <stp>PredictVolume</stp>
        <tr r="AJ266" s="57"/>
      </tp>
      <tp>
        <v>57</v>
        <stp/>
        <stp>4192</stp>
        <stp>PredictVolume</stp>
        <tr r="AJ362" s="57"/>
      </tp>
      <tp>
        <v>46</v>
        <stp/>
        <stp>4102</stp>
        <stp>PredictVolume</stp>
        <tr r="AJ317" s="57"/>
      </tp>
      <tp>
        <v>10440</v>
        <stp/>
        <stp>4162</stp>
        <stp>PredictVolume</stp>
        <tr r="AJ22" s="28"/>
        <tr r="AJ351" s="57"/>
      </tp>
      <tp>
        <v>851</v>
        <stp/>
        <stp>4142</stp>
        <stp>PredictVolume</stp>
        <tr r="AJ342" s="57"/>
      </tp>
      <tp>
        <v>278</v>
        <stp/>
        <stp>4912</stp>
        <stp>PredictVolume</stp>
        <tr r="AJ1124" s="57"/>
      </tp>
      <tp>
        <v>47</v>
        <stp/>
        <stp>4972</stp>
        <stp>PredictVolume</stp>
        <tr r="AJ874" s="57"/>
      </tp>
      <tp>
        <v>2766</v>
        <stp/>
        <stp>4952</stp>
        <stp>PredictVolume</stp>
        <tr r="AJ602" s="57"/>
      </tp>
      <tp>
        <v>672</v>
        <stp/>
        <stp>4942</stp>
        <stp>PredictVolume</stp>
        <tr r="AJ870" s="57"/>
      </tp>
      <tp>
        <v>22</v>
        <stp/>
        <stp>5432</stp>
        <stp>PredictVolume</stp>
        <tr r="AJ888" s="57"/>
      </tp>
      <tp>
        <v>252</v>
        <stp/>
        <stp>5452</stp>
        <stp>PredictVolume</stp>
        <tr r="AJ1736" s="57"/>
      </tp>
      <tp>
        <v>320</v>
        <stp/>
        <stp>5522</stp>
        <stp>PredictVolume</stp>
        <tr r="AJ1818" s="57"/>
      </tp>
      <tp>
        <v>319</v>
        <stp/>
        <stp>5512</stp>
        <stp>PredictVolume</stp>
        <tr r="AJ1485" s="57"/>
      </tp>
      <tp>
        <v>1210</v>
        <stp/>
        <stp>5102</stp>
        <stp>PredictVolume</stp>
        <tr r="AJ489" s="57"/>
      </tp>
      <tp>
        <v>220</v>
        <stp/>
        <stp>5222</stp>
        <stp>PredictVolume</stp>
        <tr r="AJ610" s="57"/>
      </tp>
      <tp>
        <v>42</v>
        <stp/>
        <stp>5212</stp>
        <stp>PredictVolume</stp>
        <tr r="AJ1280" s="57"/>
      </tp>
      <tp>
        <v>13</v>
        <stp/>
        <stp>5202</stp>
        <stp>PredictVolume</stp>
        <tr r="AJ1275" s="57"/>
      </tp>
      <tp>
        <v>1932</v>
        <stp/>
        <stp>5272</stp>
        <stp>PredictVolume</stp>
        <tr r="AJ613" s="57"/>
      </tp>
      <tp>
        <v>43</v>
        <stp/>
        <stp>5392</stp>
        <stp>PredictVolume</stp>
        <tr r="AJ887" s="57"/>
      </tp>
      <tp>
        <v>17</v>
        <stp/>
        <stp>5312</stp>
        <stp>PredictVolume</stp>
        <tr r="AJ375" s="57"/>
      </tp>
      <tp>
        <v>61</v>
        <stp/>
        <stp>5302</stp>
        <stp>PredictVolume</stp>
        <tr r="AJ617" s="57"/>
      </tp>
      <tp>
        <v>41</v>
        <stp/>
        <stp>5902</stp>
        <stp>PredictVolume</stp>
        <tr r="AJ1655" s="57"/>
      </tp>
      <tp>
        <v>943</v>
        <stp/>
        <stp>2492</stp>
        <stp>PredictVolume</stp>
        <tr r="AJ1054" s="57"/>
      </tp>
      <tp>
        <v>298</v>
        <stp/>
        <stp>2482</stp>
        <stp>PredictVolume</stp>
        <tr r="AJ1701" s="57"/>
      </tp>
      <tp>
        <v>7833</v>
        <stp/>
        <stp>2412</stp>
        <stp>PredictVolume</stp>
        <tr r="AJ933" s="57"/>
      </tp>
      <tp>
        <v>250</v>
        <stp/>
        <stp>2402</stp>
        <stp>PredictVolume</stp>
        <tr r="AJ1036" s="57"/>
      </tp>
      <tp>
        <v>415</v>
        <stp/>
        <stp>2472</stp>
        <stp>PredictVolume</stp>
        <tr r="AJ1049" s="57"/>
      </tp>
      <tp>
        <v>1043</v>
        <stp/>
        <stp>2462</stp>
        <stp>PredictVolume</stp>
        <tr r="AJ1047" s="57"/>
      </tp>
      <tp>
        <v>618</v>
        <stp/>
        <stp>2442</stp>
        <stp>PredictVolume</stp>
        <tr r="AJ721" s="57"/>
      </tp>
      <tp>
        <v>3509</v>
        <stp/>
        <stp>2542</stp>
        <stp>PredictVolume</stp>
        <tr r="AJ1460" s="57"/>
      </tp>
      <tp>
        <v>7104</v>
        <stp/>
        <stp>2612</stp>
        <stp>PredictVolume</stp>
        <tr r="AJ4" s="74"/>
        <tr r="AJ1520" s="57"/>
      </tp>
      <tp>
        <v>309</v>
        <stp/>
        <stp>2642</stp>
        <stp>PredictVolume</stp>
        <tr r="AJ1531" s="57"/>
      </tp>
      <tp>
        <v>180</v>
        <stp/>
        <stp>2732</stp>
        <stp>PredictVolume</stp>
        <tr r="AJ1560" s="57"/>
      </tp>
      <tp>
        <v>21</v>
        <stp/>
        <stp>2722</stp>
        <stp>PredictVolume</stp>
        <tr r="AJ1553" s="57"/>
      </tp>
      <tp>
        <v>7</v>
        <stp/>
        <stp>2712</stp>
        <stp>PredictVolume</stp>
        <tr r="AJ1550" s="57"/>
      </tp>
      <tp>
        <v>27</v>
        <stp/>
        <stp>2702</stp>
        <stp>PredictVolume</stp>
        <tr r="AJ1545" s="57"/>
      </tp>
      <tp>
        <v>63</v>
        <stp/>
        <stp>2752</stp>
        <stp>PredictVolume</stp>
        <tr r="AJ1568" s="57"/>
      </tp>
      <tp>
        <v>20590</v>
        <stp/>
        <stp>2032</stp>
        <stp>PredictVolume</stp>
        <tr r="AJ452" s="57"/>
      </tp>
      <tp>
        <v>2211</v>
        <stp/>
        <stp>2022</stp>
        <stp>PredictVolume</stp>
        <tr r="AJ443" s="57"/>
      </tp>
      <tp>
        <v>2301</v>
        <stp/>
        <stp>2012</stp>
        <stp>PredictVolume</stp>
        <tr r="AJ437" s="57"/>
      </tp>
      <tp>
        <v>41839</v>
        <stp/>
        <stp>2002</stp>
        <stp>PredictVolume</stp>
        <tr r="AJ431" s="57"/>
      </tp>
      <tp>
        <v>173</v>
        <stp/>
        <stp>2062</stp>
        <stp>PredictVolume</stp>
        <tr r="AJ1312" s="57"/>
      </tp>
      <tp>
        <v>507</v>
        <stp/>
        <stp>2102</stp>
        <stp>PredictVolume</stp>
        <tr r="AJ480" s="57"/>
      </tp>
      <tp>
        <v>446</v>
        <stp/>
        <stp>2392</stp>
        <stp>PredictVolume</stp>
        <tr r="AJ1035" s="57"/>
      </tp>
      <tp>
        <v>3681</v>
        <stp/>
        <stp>2382</stp>
        <stp>PredictVolume</stp>
        <tr r="AJ712" s="57"/>
      </tp>
      <tp>
        <v>509</v>
        <stp/>
        <stp>2332</stp>
        <stp>PredictVolume</stp>
        <tr r="AJ931" s="57"/>
      </tp>
      <tp>
        <v>7074</v>
        <stp/>
        <stp>2312</stp>
        <stp>PredictVolume</stp>
        <tr r="AJ1687" s="57"/>
      </tp>
      <tp>
        <v>107</v>
        <stp/>
        <stp>2302</stp>
        <stp>PredictVolume</stp>
        <tr r="AJ528" s="57"/>
      </tp>
      <tp>
        <v>109</v>
        <stp/>
        <stp>2362</stp>
        <stp>PredictVolume</stp>
        <tr r="AJ706" s="57"/>
      </tp>
      <tp>
        <v>5867</v>
        <stp/>
        <stp>2352</stp>
        <stp>PredictVolume</stp>
        <tr r="AJ702" s="57"/>
      </tp>
      <tp>
        <v>584</v>
        <stp/>
        <stp>2342</stp>
        <stp>PredictVolume</stp>
        <tr r="AJ534" s="57"/>
      </tp>
      <tp>
        <v>10217</v>
        <stp/>
        <stp>2892</stp>
        <stp>PredictVolume</stp>
        <tr r="AJ1616" s="57"/>
      </tp>
      <tp>
        <v>12189</v>
        <stp/>
        <stp>2882</stp>
        <stp>PredictVolume</stp>
        <tr r="AJ1606" s="57"/>
      </tp>
      <tp>
        <v>92</v>
        <stp/>
        <stp>2832</stp>
        <stp>PredictVolume</stp>
        <tr r="AJ1593" s="57"/>
      </tp>
      <tp>
        <v>6568</v>
        <stp/>
        <stp>2812</stp>
        <stp>PredictVolume</stp>
        <tr r="AJ1590" s="57"/>
      </tp>
      <tp>
        <v>48</v>
        <stp/>
        <stp>2852</stp>
        <stp>PredictVolume</stp>
        <tr r="AJ1601" s="57"/>
      </tp>
      <tp>
        <v>1399</v>
        <stp/>
        <stp>2912</stp>
        <stp>PredictVolume</stp>
        <tr r="AJ1643" s="57"/>
      </tp>
      <tp>
        <v>33</v>
        <stp/>
        <stp>3492</stp>
        <stp>PredictVolume</stp>
        <tr r="AJ1099" s="57"/>
      </tp>
      <tp>
        <v>64</v>
        <stp/>
        <stp>3432</stp>
        <stp>PredictVolume</stp>
        <tr r="AJ1096" s="57"/>
      </tp>
      <tp>
        <v>445</v>
        <stp/>
        <stp>3402</stp>
        <stp>PredictVolume</stp>
        <tr r="AJ1716" s="57"/>
      </tp>
      <tp>
        <v>615</v>
        <stp/>
        <stp>3592</stp>
        <stp>PredictVolume</stp>
        <tr r="AJ592" s="57"/>
      </tp>
      <tp>
        <v>3771</v>
        <stp/>
        <stp>3532</stp>
        <stp>PredictVolume</stp>
        <tr r="AJ583" s="57"/>
      </tp>
      <tp>
        <v>114</v>
        <stp/>
        <stp>3522</stp>
        <stp>PredictVolume</stp>
        <tr r="AJ1574" s="57"/>
      </tp>
      <tp>
        <v>42</v>
        <stp/>
        <stp>3512</stp>
        <stp>PredictVolume</stp>
        <tr r="AJ1102" s="57"/>
      </tp>
      <tp>
        <v>413</v>
        <stp/>
        <stp>3552</stp>
        <stp>PredictVolume</stp>
        <tr r="AJ1723" s="57"/>
      </tp>
      <tp>
        <v>2599</v>
        <stp/>
        <stp>3682</stp>
        <stp>PredictVolume</stp>
        <tr r="AJ967" s="57"/>
      </tp>
      <tp>
        <v>10</v>
        <stp/>
        <stp>3632</stp>
        <stp>PredictVolume</stp>
        <tr r="AJ964" s="57"/>
      </tp>
      <tp>
        <v>42</v>
        <stp/>
        <stp>3622</stp>
        <stp>PredictVolume</stp>
        <tr r="AJ856" s="57"/>
      </tp>
      <tp>
        <v>199</v>
        <stp/>
        <stp>3672</stp>
        <stp>PredictVolume</stp>
        <tr r="AJ966" s="57"/>
      </tp>
      <tp>
        <v>117</v>
        <stp/>
        <stp>3652</stp>
        <stp>PredictVolume</stp>
        <tr r="AJ753" s="57"/>
      </tp>
      <tp>
        <v>11</v>
        <stp/>
        <stp>3642</stp>
        <stp>PredictVolume</stp>
        <tr r="AJ1728" s="57"/>
      </tp>
      <tp>
        <v>205</v>
        <stp/>
        <stp>3712</stp>
        <stp>PredictVolume</stp>
        <tr r="AJ758" s="57"/>
      </tp>
      <tp>
        <v>1588</v>
        <stp/>
        <stp>3702</stp>
        <stp>PredictVolume</stp>
        <tr r="AJ1243" s="57"/>
      </tp>
      <tp>
        <v>957</v>
        <stp/>
        <stp>3092</stp>
        <stp>PredictVolume</stp>
        <tr r="AJ1069" s="57"/>
      </tp>
      <tp>
        <v>61</v>
        <stp/>
        <stp>3032</stp>
        <stp>PredictVolume</stp>
        <tr r="AJ1062" s="57"/>
      </tp>
      <tp>
        <v>52</v>
        <stp/>
        <stp>3022</stp>
        <stp>PredictVolume</stp>
        <tr r="AJ727" s="57"/>
      </tp>
      <tp>
        <v>34</v>
        <stp/>
        <stp>3002</stp>
        <stp>PredictVolume</stp>
        <tr r="AJ723" s="57"/>
      </tp>
      <tp>
        <v>2499</v>
        <stp/>
        <stp>3062</stp>
        <stp>PredictVolume</stp>
        <tr r="AJ945" s="57"/>
      </tp>
      <tp>
        <v>171</v>
        <stp/>
        <stp>3052</stp>
        <stp>PredictVolume</stp>
        <tr r="AJ1470" s="57"/>
      </tp>
      <tp>
        <v>1654</v>
        <stp/>
        <stp>3042</stp>
        <stp>PredictVolume</stp>
        <tr r="AJ1064" s="57"/>
      </tp>
      <tp>
        <v>1340</v>
        <stp/>
        <stp>3122</stp>
        <stp>PredictVolume</stp>
        <tr r="AJ561" s="57"/>
      </tp>
      <tp>
        <v>116</v>
        <stp/>
        <stp>3162</stp>
        <stp>PredictVolume</stp>
        <tr r="AJ32" s="28"/>
        <tr r="AJ169" s="57"/>
      </tp>
      <tp>
        <v>140</v>
        <stp/>
        <stp>3152</stp>
        <stp>PredictVolume</stp>
        <tr r="AJ949" s="57"/>
      </tp>
      <tp>
        <v>694</v>
        <stp/>
        <stp>3232</stp>
        <stp>PredictVolume</stp>
        <tr r="AJ1238" s="57"/>
      </tp>
      <tp>
        <v>494</v>
        <stp/>
        <stp>3202</stp>
        <stp>PredictVolume</stp>
        <tr r="AJ1073" s="57"/>
      </tp>
      <tp>
        <v>34</v>
        <stp/>
        <stp>3272</stp>
        <stp>PredictVolume</stp>
        <tr r="AJ736" s="57"/>
      </tp>
      <tp>
        <v>28</v>
        <stp/>
        <stp>3252</stp>
        <stp>PredictVolume</stp>
        <tr r="AJ1573" s="57"/>
      </tp>
      <tp>
        <v>2</v>
        <stp/>
        <stp>3332</stp>
        <stp>PredictVolume</stp>
        <tr r="AJ1089" s="57"/>
      </tp>
      <tp>
        <v>1996</v>
        <stp/>
        <stp>3322</stp>
        <stp>PredictVolume</stp>
        <tr r="AJ1088" s="57"/>
      </tp>
      <tp>
        <v>1117</v>
        <stp/>
        <stp>3312</stp>
        <stp>PredictVolume</stp>
        <tr r="AJ1239" s="57"/>
      </tp>
      <tp>
        <v>248</v>
        <stp/>
        <stp>3372</stp>
        <stp>PredictVolume</stp>
        <tr r="AJ575" s="57"/>
      </tp>
      <tp>
        <v>283</v>
        <stp/>
        <stp>3362</stp>
        <stp>PredictVolume</stp>
        <tr r="AJ837" s="57"/>
      </tp>
      <tp>
        <v>48</v>
        <stp/>
        <stp>1432</stp>
        <stp>PredictVolume</stp>
        <tr r="AJ1633" s="57"/>
      </tp>
      <tp>
        <v>3478</v>
        <stp/>
        <stp>1402</stp>
        <stp>PredictVolume</stp>
        <tr r="AJ70" s="57"/>
      </tp>
      <tp>
        <v>0</v>
        <stp/>
        <stp>1472</stp>
        <stp>PredictVolume</stp>
        <tr r="AJ105" s="57"/>
      </tp>
      <tp>
        <v>514</v>
        <stp/>
        <stp>1452</stp>
        <stp>PredictVolume</stp>
        <tr r="AJ90" s="57"/>
      </tp>
      <tp>
        <v>111</v>
        <stp/>
        <stp>1442</stp>
        <stp>PredictVolume</stp>
        <tr r="AJ1438" s="57"/>
      </tp>
      <tp>
        <v>127</v>
        <stp/>
        <stp>1582</stp>
        <stp>PredictVolume</stp>
        <tr r="AJ1020" s="57"/>
      </tp>
      <tp>
        <v>133</v>
        <stp/>
        <stp>1532</stp>
        <stp>PredictVolume</stp>
        <tr r="AJ143" s="57"/>
      </tp>
      <tp>
        <v>277</v>
        <stp/>
        <stp>1522</stp>
        <stp>PredictVolume</stp>
        <tr r="AJ498" s="57"/>
      </tp>
      <tp>
        <v>109</v>
        <stp/>
        <stp>1512</stp>
        <stp>PredictVolume</stp>
        <tr r="AJ496" s="57"/>
      </tp>
      <tp>
        <v>1902</v>
        <stp/>
        <stp>1612</stp>
        <stp>PredictVolume</stp>
        <tr r="AJ231" s="57"/>
      </tp>
      <tp>
        <v>618</v>
        <stp/>
        <stp>1732</stp>
        <stp>PredictVolume</stp>
        <tr r="AJ14" s="28"/>
        <tr r="AJ260" s="57"/>
      </tp>
      <tp>
        <v>3471</v>
        <stp/>
        <stp>1722</stp>
        <stp>PredictVolume</stp>
        <tr r="AJ254" s="57"/>
      </tp>
      <tp>
        <v>930</v>
        <stp/>
        <stp>1712</stp>
        <stp>PredictVolume</stp>
        <tr r="AJ248" s="57"/>
      </tp>
      <tp>
        <v>153</v>
        <stp/>
        <stp>1702</stp>
        <stp>PredictVolume</stp>
        <tr r="AJ12" s="74"/>
        <tr r="AJ35" s="57"/>
      </tp>
      <tp>
        <v>328</v>
        <stp/>
        <stp>1762</stp>
        <stp>PredictVolume</stp>
        <tr r="AJ300" s="57"/>
      </tp>
      <tp>
        <v>71</v>
        <stp/>
        <stp>1752</stp>
        <stp>PredictVolume</stp>
        <tr r="AJ298" s="57"/>
      </tp>
      <tp>
        <v>154</v>
        <stp/>
        <stp>1742</stp>
        <stp>PredictVolume</stp>
        <tr r="AJ262" s="57"/>
      </tp>
      <tp>
        <v>5281</v>
        <stp/>
        <stp>1102</stp>
        <stp>PredictVolume</stp>
        <tr r="AJ5" s="57"/>
      </tp>
      <tp>
        <v>37</v>
        <stp/>
        <stp>1232</stp>
        <stp>PredictVolume</stp>
        <tr r="AJ27" s="57"/>
      </tp>
      <tp>
        <v>4833</v>
        <stp/>
        <stp>1312</stp>
        <stp>PredictVolume</stp>
        <tr r="AJ50" s="57"/>
      </tp>
      <tp>
        <v>55</v>
        <stp/>
        <stp>1342</stp>
        <stp>PredictVolume</stp>
        <tr r="AJ1306" s="57"/>
      </tp>
      <tp>
        <v>19033</v>
        <stp/>
        <stp>1802</stp>
        <stp>PredictVolume</stp>
        <tr r="AJ416" s="57"/>
      </tp>
      <tp>
        <v>23</v>
        <stp/>
        <stp>8482</stp>
        <stp>PredictVolume</stp>
        <tr r="AJ1388" s="57"/>
      </tp>
      <tp>
        <v>9</v>
        <stp/>
        <stp>8432</stp>
        <stp>PredictVolume</stp>
        <tr r="AJ412" s="57"/>
      </tp>
      <tp>
        <v>726</v>
        <stp/>
        <stp>8422</stp>
        <stp>PredictVolume</stp>
        <tr r="AJ1369" s="57"/>
      </tp>
      <tp>
        <v>4</v>
        <stp/>
        <stp>8472</stp>
        <stp>PredictVolume</stp>
        <tr r="AJ1807" s="57"/>
      </tp>
      <tp>
        <v>31</v>
        <stp/>
        <stp>8462</stp>
        <stp>PredictVolume</stp>
        <tr r="AJ1583" s="57"/>
      </tp>
      <tp>
        <v>155</v>
        <stp/>
        <stp>8442</stp>
        <stp>PredictVolume</stp>
        <tr r="AJ1377" s="57"/>
      </tp>
      <tp>
        <v>105</v>
        <stp/>
        <stp>8092</stp>
        <stp>PredictVolume</stp>
        <tr r="AJ1764" s="57"/>
      </tp>
      <tp>
        <v>5</v>
        <stp/>
        <stp>8032</stp>
        <stp>PredictVolume</stp>
        <tr r="AJ1254" s="57"/>
      </tp>
      <tp>
        <v>48</v>
        <stp/>
        <stp>8072</stp>
        <stp>PredictVolume</stp>
        <tr r="AJ1258" s="57"/>
      </tp>
      <tp>
        <v>40</v>
        <stp/>
        <stp>8042</stp>
        <stp>PredictVolume</stp>
        <tr r="AJ1205" s="57"/>
      </tp>
      <tp>
        <v>152</v>
        <stp/>
        <stp>8182</stp>
        <stp>PredictVolume</stp>
        <tr r="AJ1218" s="57"/>
      </tp>
      <tp>
        <v>4001</v>
        <stp/>
        <stp>8112</stp>
        <stp>PredictVolume</stp>
        <tr r="AJ1261" s="57"/>
      </tp>
      <tp>
        <v>59</v>
        <stp/>
        <stp>8222</stp>
        <stp>PredictVolume</stp>
        <tr r="AJ218" s="57"/>
      </tp>
      <tp>
        <v>93</v>
        <stp/>
        <stp>8342</stp>
        <stp>PredictVolume</stp>
        <tr r="AJ1361" s="57"/>
      </tp>
      <tp>
        <v>2</v>
        <stp/>
        <stp>8932</stp>
        <stp>PredictVolume</stp>
        <tr r="AJ1398" s="57"/>
      </tp>
      <tp>
        <v>142</v>
        <stp/>
        <stp>8942</stp>
        <stp>PredictVolume</stp>
        <tr r="AJ1404" s="57"/>
      </tp>
      <tp>
        <v>385</v>
        <stp/>
        <stp>9802</stp>
        <stp>PredictVolume</stp>
        <tr r="AJ1405" s="57"/>
      </tp>
      <tp>
        <v>29</v>
        <stp/>
        <stp>9912</stp>
        <stp>PredictVolume</stp>
        <tr r="AJ805" s="57"/>
      </tp>
      <tp>
        <v>132</v>
        <stp/>
        <stp>9902</stp>
        <stp>PredictVolume</stp>
        <tr r="AJ1406" s="57"/>
      </tp>
      <tp>
        <v>1204</v>
        <stp/>
        <stp>9962</stp>
        <stp>PredictVolume</stp>
        <tr r="AJ476" s="57"/>
      </tp>
      <tp>
        <v>61</v>
        <stp/>
        <stp>9942</stp>
        <stp>PredictVolume</stp>
        <tr r="AJ1429" s="57"/>
      </tp>
      <tp>
        <v>661</v>
        <stp/>
        <stp>6491</stp>
        <stp>PredictVolume</stp>
        <tr r="AJ382" s="57"/>
      </tp>
      <tp>
        <v>3</v>
        <stp/>
        <stp>6431</stp>
        <stp>PredictVolume</stp>
        <tr r="AJ909" s="57"/>
      </tp>
      <tp>
        <v>1417</v>
        <stp/>
        <stp>6411</stp>
        <stp>PredictVolume</stp>
        <tr r="AJ13" s="114"/>
        <tr r="AJ646" s="57"/>
        <tr r="AJ11" s="74"/>
      </tp>
      <tp>
        <v>53</v>
        <stp/>
        <stp>6461</stp>
        <stp>PredictVolume</stp>
        <tr r="AJ379" s="57"/>
      </tp>
      <tp>
        <v>227</v>
        <stp/>
        <stp>6451</stp>
        <stp>PredictVolume</stp>
        <tr r="AJ649" s="57"/>
      </tp>
      <tp>
        <v>305</v>
        <stp/>
        <stp>6441</stp>
        <stp>PredictVolume</stp>
        <tr r="AJ791" s="57"/>
      </tp>
      <tp>
        <v>333</v>
        <stp/>
        <stp>6591</stp>
        <stp>PredictVolume</stp>
        <tr r="AJ795" s="57"/>
      </tp>
      <tp>
        <v>50</v>
        <stp/>
        <stp>6581</stp>
        <stp>PredictVolume</stp>
        <tr r="AJ1344" s="57"/>
      </tp>
      <tp>
        <v>2414</v>
        <stp/>
        <stp>6531</stp>
        <stp>PredictVolume</stp>
        <tr r="AJ5" s="74"/>
        <tr r="AJ658" s="57"/>
      </tp>
      <tp>
        <v>29</v>
        <stp/>
        <stp>6561</stp>
        <stp>PredictVolume</stp>
        <tr r="AJ1003" s="57"/>
      </tp>
      <tp>
        <v>258</v>
        <stp/>
        <stp>6541</stp>
        <stp>PredictVolume</stp>
        <tr r="AJ389" s="57"/>
      </tp>
      <tp>
        <v>48</v>
        <stp/>
        <stp>6691</stp>
        <stp>PredictVolume</stp>
        <tr r="AJ1758" s="57"/>
      </tp>
      <tp>
        <v>16</v>
        <stp/>
        <stp>6671</stp>
        <stp>PredictVolume</stp>
        <tr r="AJ1353" s="57"/>
      </tp>
      <tp>
        <v>16</v>
        <stp/>
        <stp>6661</stp>
        <stp>PredictVolume</stp>
        <tr r="AJ399" s="57"/>
      </tp>
      <tp>
        <v>98</v>
        <stp/>
        <stp>6651</stp>
        <stp>PredictVolume</stp>
        <tr r="AJ668" s="57"/>
        <tr r="AJ84" s="74"/>
      </tp>
      <tp>
        <v>2</v>
        <stp/>
        <stp>6641</stp>
        <stp>PredictVolume</stp>
        <tr r="AJ1350" s="57"/>
      </tp>
      <tp>
        <v>1276</v>
        <stp/>
        <stp>6781</stp>
        <stp>PredictVolume</stp>
        <tr r="AJ1202" s="57"/>
      </tp>
      <tp>
        <v>71</v>
        <stp/>
        <stp>6761</stp>
        <stp>PredictVolume</stp>
        <tr r="AJ1201" s="57"/>
      </tp>
      <tp>
        <v>183</v>
        <stp/>
        <stp>6751</stp>
        <stp>PredictVolume</stp>
        <tr r="AJ65" s="28"/>
        <tr r="AJ1298" s="57"/>
      </tp>
      <tp>
        <v>1044</v>
        <stp/>
        <stp>6741</stp>
        <stp>PredictVolume</stp>
        <tr r="AJ1803" s="57"/>
      </tp>
      <tp>
        <v>18</v>
        <stp/>
        <stp>6021</stp>
        <stp>PredictVolume</stp>
        <tr r="AJ1627" s="57"/>
      </tp>
      <tp>
        <v>788</v>
        <stp/>
        <stp>6191</stp>
        <stp>PredictVolume</stp>
        <tr r="AJ1168" s="57"/>
      </tp>
      <tp>
        <v>416</v>
        <stp/>
        <stp>6121</stp>
        <stp>PredictVolume</stp>
        <tr r="AJ776" s="57"/>
      </tp>
      <tp>
        <v>3413</v>
        <stp/>
        <stp>6111</stp>
        <stp>PredictVolume</stp>
        <tr r="AJ1784" s="57"/>
      </tp>
      <tp>
        <v>10</v>
        <stp/>
        <stp>6101</stp>
        <stp>PredictVolume</stp>
        <tr r="AJ1783" s="57"/>
      </tp>
      <tp>
        <v>60</v>
        <stp/>
        <stp>6171</stp>
        <stp>PredictVolume</stp>
        <tr r="AJ1500" s="57"/>
      </tp>
      <tp>
        <v>477</v>
        <stp/>
        <stp>6161</stp>
        <stp>PredictVolume</stp>
        <tr r="AJ781" s="57"/>
      </tp>
      <tp>
        <v>125</v>
        <stp/>
        <stp>6151</stp>
        <stp>PredictVolume</stp>
        <tr r="AJ1742" s="57"/>
      </tp>
      <tp>
        <v>41</v>
        <stp/>
        <stp>6141</stp>
        <stp>PredictVolume</stp>
        <tr r="AJ1158" s="57"/>
      </tp>
      <tp>
        <v>16</v>
        <stp/>
        <stp>6291</stp>
        <stp>PredictVolume</stp>
        <tr r="AJ645" s="57"/>
      </tp>
      <tp>
        <v>148</v>
        <stp/>
        <stp>6281</stp>
        <stp>PredictVolume</stp>
        <tr r="AJ1252" s="57"/>
      </tp>
      <tp>
        <v>3030</v>
        <stp/>
        <stp>6231</stp>
        <stp>PredictVolume</stp>
        <tr r="AJ1290" s="57"/>
      </tp>
      <tp>
        <v>12</v>
        <stp/>
        <stp>6221</stp>
        <stp>PredictVolume</stp>
        <tr r="AJ1289" s="57"/>
      </tp>
      <tp>
        <v>25</v>
        <stp/>
        <stp>6201</stp>
        <stp>PredictVolume</stp>
        <tr r="AJ1746" s="57"/>
      </tp>
      <tp>
        <v>733</v>
        <stp/>
        <stp>6271</stp>
        <stp>PredictVolume</stp>
        <tr r="AJ9" s="114"/>
        <tr r="AJ643" s="57"/>
      </tp>
      <tp>
        <v>429</v>
        <stp/>
        <stp>6261</stp>
        <stp>PredictVolume</stp>
        <tr r="AJ642" s="57"/>
        <tr r="AJ79" s="74"/>
      </tp>
      <tp>
        <v>4640</v>
        <stp/>
        <stp>6251</stp>
        <stp>PredictVolume</stp>
        <tr r="AJ1181" s="57"/>
      </tp>
      <tp>
        <v>1372</v>
        <stp/>
        <stp>6241</stp>
        <stp>PredictVolume</stp>
        <tr r="AJ991" s="57"/>
      </tp>
      <tp>
        <v>84</v>
        <stp/>
        <stp>4401</stp>
        <stp>PredictVolume</stp>
        <tr r="AJ111" s="57"/>
      </tp>
      <tp>
        <v>3</v>
        <stp/>
        <stp>4581</stp>
        <stp>PredictVolume</stp>
        <tr r="AJ523" s="57"/>
      </tp>
      <tp>
        <v>48</v>
        <stp/>
        <stp>4571</stp>
        <stp>PredictVolume</stp>
        <tr r="AJ205" s="57"/>
      </tp>
      <tp>
        <v>11</v>
        <stp/>
        <stp>4561</stp>
        <stp>PredictVolume</stp>
        <tr r="AJ199" s="57"/>
      </tp>
      <tp>
        <v>285</v>
        <stp/>
        <stp>4551</stp>
        <stp>PredictVolume</stp>
        <tr r="AJ521" s="57"/>
      </tp>
      <tp>
        <v>31</v>
        <stp/>
        <stp>4541</stp>
        <stp>PredictVolume</stp>
        <tr r="AJ1327" s="57"/>
      </tp>
      <tp>
        <v>3538</v>
        <stp/>
        <stp>4721</stp>
        <stp>PredictVolume</stp>
        <tr r="AJ273" s="57"/>
      </tp>
      <tp>
        <v>75</v>
        <stp/>
        <stp>4711</stp>
        <stp>PredictVolume</stp>
        <tr r="AJ269" s="57"/>
      </tp>
      <tp>
        <v>6</v>
        <stp/>
        <stp>4741</stp>
        <stp>PredictVolume</stp>
        <tr r="AJ276" s="57"/>
      </tp>
      <tp>
        <v>0</v>
        <stp/>
        <stp>4131</stp>
        <stp>PredictVolume</stp>
        <tr r="AJ336" s="57"/>
      </tp>
      <tp>
        <v>165</v>
        <stp/>
        <stp>4121</stp>
        <stp>PredictVolume</stp>
        <tr r="AJ329" s="57"/>
      </tp>
      <tp>
        <v>44</v>
        <stp/>
        <stp>4111</stp>
        <stp>PredictVolume</stp>
        <tr r="AJ324" s="57"/>
      </tp>
      <tp>
        <v>1801</v>
        <stp/>
        <stp>4171</stp>
        <stp>PredictVolume</stp>
        <tr r="AJ1814" s="57"/>
      </tp>
      <tp>
        <v>17</v>
        <stp/>
        <stp>4161</stp>
        <stp>PredictVolume</stp>
        <tr r="AJ350" s="57"/>
      </tp>
      <tp>
        <v>532</v>
        <stp/>
        <stp>4141</stp>
        <stp>PredictVolume</stp>
        <tr r="AJ341" s="57"/>
      </tp>
      <tp>
        <v>27</v>
        <stp/>
        <stp>4991</stp>
        <stp>PredictVolume</stp>
        <tr r="AJ609" s="57"/>
      </tp>
      <tp>
        <v>6489</v>
        <stp/>
        <stp>4931</stp>
        <stp>PredictVolume</stp>
        <tr r="AJ761" s="57"/>
      </tp>
      <tp>
        <v>4</v>
        <stp/>
        <stp>4911</stp>
        <stp>PredictVolume</stp>
        <tr r="AJ374" s="57"/>
      </tp>
      <tp>
        <v>115</v>
        <stp/>
        <stp>4971</stp>
        <stp>PredictVolume</stp>
        <tr r="AJ607" s="57"/>
      </tp>
      <tp>
        <v>1639</v>
        <stp/>
        <stp>4961</stp>
        <stp>PredictVolume</stp>
        <tr r="AJ603" s="57"/>
      </tp>
      <tp>
        <v>22</v>
        <stp/>
        <stp>5481</stp>
        <stp>PredictVolume</stp>
        <tr r="AJ1335" s="57"/>
      </tp>
      <tp>
        <v>1009</v>
        <stp/>
        <stp>5471</stp>
        <stp>PredictVolume</stp>
        <tr r="AJ26" s="28"/>
        <tr r="AJ624" s="57"/>
      </tp>
      <tp>
        <v>412</v>
        <stp/>
        <stp>5531</stp>
        <stp>PredictVolume</stp>
        <tr r="AJ1495" s="57"/>
      </tp>
      <tp>
        <v>594</v>
        <stp/>
        <stp>5521</stp>
        <stp>PredictVolume</stp>
        <tr r="AJ1491" s="57"/>
      </tp>
      <tp>
        <v>24</v>
        <stp/>
        <stp>5511</stp>
        <stp>PredictVolume</stp>
        <tr r="AJ1484" s="57"/>
      </tp>
      <tp>
        <v>29</v>
        <stp/>
        <stp>5601</stp>
        <stp>PredictVolume</stp>
        <tr r="AJ1533" s="57"/>
      </tp>
      <tp>
        <v>145</v>
        <stp/>
        <stp>5701</stp>
        <stp>PredictVolume</stp>
        <tr r="AJ1578" s="57"/>
      </tp>
      <tp>
        <v>1578</v>
        <stp/>
        <stp>5011</stp>
        <stp>PredictVolume</stp>
        <tr r="AJ465" s="57"/>
      </tp>
      <tp>
        <v>236</v>
        <stp/>
        <stp>5291</stp>
        <stp>PredictVolume</stp>
        <tr r="AJ1134" s="57"/>
      </tp>
      <tp>
        <v>6</v>
        <stp/>
        <stp>5281</stp>
        <stp>PredictVolume</stp>
        <tr r="AJ884" s="57"/>
      </tp>
      <tp>
        <v>67</v>
        <stp/>
        <stp>5211</stp>
        <stp>PredictVolume</stp>
        <tr r="AJ1279" s="57"/>
      </tp>
      <tp>
        <v>25</v>
        <stp/>
        <stp>5201</stp>
        <stp>PredictVolume</stp>
        <tr r="AJ1274" s="57"/>
      </tp>
      <tp>
        <v>705</v>
        <stp/>
        <stp>5251</stp>
        <stp>PredictVolume</stp>
        <tr r="AJ883" s="57"/>
      </tp>
      <tp>
        <v>26</v>
        <stp/>
        <stp>5381</stp>
        <stp>PredictVolume</stp>
        <tr r="AJ1141" s="57"/>
      </tp>
      <tp>
        <v>1709</v>
        <stp/>
        <stp>5321</stp>
        <stp>PredictVolume</stp>
        <tr r="AJ1136" s="57"/>
      </tp>
      <tp>
        <v>2098</v>
        <stp/>
        <stp>5301</stp>
        <stp>PredictVolume</stp>
        <tr r="AJ1576" s="57"/>
      </tp>
      <tp>
        <v>671</v>
        <stp/>
        <stp>5371</stp>
        <stp>PredictVolume</stp>
        <tr r="AJ886" s="57"/>
      </tp>
      <tp>
        <v>9888</v>
        <stp/>
        <stp>5351</stp>
        <stp>PredictVolume</stp>
        <tr r="AJ621" s="57"/>
      </tp>
      <tp>
        <v>2551</v>
        <stp/>
        <stp>5871</stp>
        <stp>PredictVolume</stp>
        <tr r="AJ1337" s="57"/>
      </tp>
      <tp>
        <v>299</v>
        <stp/>
        <stp>2491</stp>
        <stp>PredictVolume</stp>
        <tr r="AJ820" s="57"/>
      </tp>
      <tp>
        <v>4699</v>
        <stp/>
        <stp>2481</stp>
        <stp>PredictVolume</stp>
        <tr r="AJ550" s="57"/>
      </tp>
      <tp>
        <v>96</v>
        <stp/>
        <stp>2431</stp>
        <stp>PredictVolume</stp>
        <tr r="AJ1043" s="57"/>
      </tp>
      <tp>
        <v>806</v>
        <stp/>
        <stp>2421</stp>
        <stp>PredictVolume</stp>
        <tr r="AJ80" s="74"/>
        <tr r="AJ1040" s="57"/>
      </tp>
      <tp>
        <v>3581</v>
        <stp/>
        <stp>2401</stp>
        <stp>PredictVolume</stp>
        <tr r="AJ541" s="57"/>
      </tp>
      <tp>
        <v>167</v>
        <stp/>
        <stp>2471</stp>
        <stp>PredictVolume</stp>
        <tr r="AJ1267" s="57"/>
      </tp>
      <tp>
        <v>966</v>
        <stp/>
        <stp>2461</stp>
        <stp>PredictVolume</stp>
        <tr r="AJ1697" s="57"/>
      </tp>
      <tp>
        <v>735</v>
        <stp/>
        <stp>2451</stp>
        <stp>PredictVolume</stp>
        <tr r="AJ547" s="57"/>
      </tp>
      <tp>
        <v>557</v>
        <stp/>
        <stp>2441</stp>
        <stp>PredictVolume</stp>
        <tr r="AJ545" s="57"/>
      </tp>
      <tp>
        <v>825</v>
        <stp/>
        <stp>2511</stp>
        <stp>PredictVolume</stp>
        <tr r="AJ1446" s="57"/>
      </tp>
      <tp>
        <v>278</v>
        <stp/>
        <stp>2501</stp>
        <stp>PredictVolume</stp>
        <tr r="AJ1441" s="57"/>
      </tp>
      <tp>
        <v>14339</v>
        <stp/>
        <stp>2611</stp>
        <stp>PredictVolume</stp>
        <tr r="AJ1519" s="57"/>
      </tp>
      <tp>
        <v>4583</v>
        <stp/>
        <stp>2601</stp>
        <stp>PredictVolume</stp>
        <tr r="AJ1634" s="57"/>
      </tp>
      <tp>
        <v>13468</v>
        <stp/>
        <stp>2641</stp>
        <stp>PredictVolume</stp>
        <tr r="AJ1530" s="57"/>
      </tp>
      <tp>
        <v>754</v>
        <stp/>
        <stp>2731</stp>
        <stp>PredictVolume</stp>
        <tr r="AJ1559" s="57"/>
      </tp>
      <tp>
        <v>65</v>
        <stp/>
        <stp>2701</stp>
        <stp>PredictVolume</stp>
        <tr r="AJ1544" s="57"/>
      </tp>
      <tp>
        <v>5750</v>
        <stp/>
        <stp>2031</stp>
        <stp>PredictVolume</stp>
        <tr r="AJ451" s="57"/>
      </tp>
      <tp>
        <v>7</v>
        <stp/>
        <stp>2061</stp>
        <stp>PredictVolume</stp>
        <tr r="AJ238" s="57"/>
      </tp>
      <tp>
        <v>1239</v>
        <stp/>
        <stp>2101</stp>
        <stp>PredictVolume</stp>
        <tr r="AJ479" s="57"/>
      </tp>
      <tp>
        <v>147</v>
        <stp/>
        <stp>2231</stp>
        <stp>PredictVolume</stp>
        <tr r="AJ512" s="57"/>
      </tp>
      <tp>
        <v>78</v>
        <stp/>
        <stp>2221</stp>
        <stp>PredictVolume</stp>
        <tr r="AJ1313" s="57"/>
      </tp>
      <tp>
        <v>918</v>
        <stp/>
        <stp>2211</stp>
        <stp>PredictVolume</stp>
        <tr r="AJ461" s="57"/>
      </tp>
      <tp>
        <v>5278</v>
        <stp/>
        <stp>2201</stp>
        <stp>PredictVolume</stp>
        <tr r="AJ506" s="57"/>
      </tp>
      <tp>
        <v>28</v>
        <stp/>
        <stp>2241</stp>
        <stp>PredictVolume</stp>
        <tr r="AJ167" s="57"/>
      </tp>
      <tp>
        <v>713</v>
        <stp/>
        <stp>2331</stp>
        <stp>PredictVolume</stp>
        <tr r="AJ701" s="57"/>
      </tp>
      <tp>
        <v>13</v>
        <stp/>
        <stp>2321</stp>
        <stp>PredictVolume</stp>
        <tr r="AJ930" s="57"/>
      </tp>
      <tp>
        <v>5267</v>
        <stp/>
        <stp>2301</stp>
        <stp>PredictVolume</stp>
        <tr r="AJ698" s="57"/>
      </tp>
      <tp>
        <v>18514</v>
        <stp/>
        <stp>2371</stp>
        <stp>PredictVolume</stp>
        <tr r="AJ168" s="57"/>
      </tp>
      <tp>
        <v>1411</v>
        <stp/>
        <stp>2351</stp>
        <stp>PredictVolume</stp>
        <tr r="AJ8" s="74"/>
        <tr r="AJ536" s="57"/>
      </tp>
      <tp>
        <v>24425</v>
        <stp/>
        <stp>2891</stp>
        <stp>PredictVolume</stp>
        <tr r="AJ1615" s="57"/>
      </tp>
      <tp>
        <v>15799</v>
        <stp/>
        <stp>2881</stp>
        <stp>PredictVolume</stp>
        <tr r="AJ1605" s="57"/>
      </tp>
      <tp>
        <v>4254</v>
        <stp/>
        <stp>2801</stp>
        <stp>PredictVolume</stp>
        <tr r="AJ1588" s="57"/>
      </tp>
      <tp>
        <v>276</v>
        <stp/>
        <stp>2851</stp>
        <stp>PredictVolume</stp>
        <tr r="AJ1600" s="57"/>
      </tp>
      <tp>
        <v>1170</v>
        <stp/>
        <stp>2841</stp>
        <stp>PredictVolume</stp>
        <tr r="AJ1468" s="57"/>
      </tp>
      <tp>
        <v>132</v>
        <stp/>
        <stp>2911</stp>
        <stp>PredictVolume</stp>
        <tr r="AJ1642" s="57"/>
      </tp>
      <tp>
        <v>18</v>
        <stp/>
        <stp>2901</stp>
        <stp>PredictVolume</stp>
        <tr r="AJ1636" s="57"/>
      </tp>
      <tp>
        <v>1866</v>
        <stp/>
        <stp>3491</stp>
        <stp>PredictVolume</stp>
        <tr r="AJ17" s="114"/>
        <tr r="AJ959" s="57"/>
      </tp>
      <tp>
        <v>72676</v>
        <stp/>
        <stp>3481</stp>
        <stp>PredictVolume</stp>
        <tr r="AJ845" s="57"/>
      </tp>
      <tp>
        <v>37</v>
        <stp/>
        <stp>3441</stp>
        <stp>PredictVolume</stp>
        <tr r="AJ842" s="57"/>
      </tp>
      <tp>
        <v>143</v>
        <stp/>
        <stp>3591</stp>
        <stp>PredictVolume</stp>
        <tr r="AJ854" s="57"/>
      </tp>
      <tp>
        <v>30</v>
        <stp/>
        <stp>3581</stp>
        <stp>PredictVolume</stp>
        <tr r="AJ589" s="57"/>
      </tp>
      <tp>
        <v>7</v>
        <stp/>
        <stp>3531</stp>
        <stp>PredictVolume</stp>
        <tr r="AJ849" s="57"/>
      </tp>
      <tp>
        <v>73</v>
        <stp/>
        <stp>3521</stp>
        <stp>PredictVolume</stp>
        <tr r="AJ747" s="57"/>
      </tp>
      <tp>
        <v>137</v>
        <stp/>
        <stp>3511</stp>
        <stp>PredictVolume</stp>
        <tr r="AJ1101" s="57"/>
      </tp>
      <tp>
        <v>28</v>
        <stp/>
        <stp>3501</stp>
        <stp>PredictVolume</stp>
        <tr r="AJ1100" s="57"/>
      </tp>
      <tp>
        <v>109</v>
        <stp/>
        <stp>3551</stp>
        <stp>PredictVolume</stp>
        <tr r="AJ1722" s="57"/>
      </tp>
      <tp>
        <v>259</v>
        <stp/>
        <stp>3541</stp>
        <stp>PredictVolume</stp>
        <tr r="AJ1721" s="57"/>
      </tp>
      <tp>
        <v>214</v>
        <stp/>
        <stp>3691</stp>
        <stp>PredictVolume</stp>
        <tr r="AJ863" s="57"/>
      </tp>
      <tp>
        <v>20</v>
        <stp/>
        <stp>3631</stp>
        <stp>PredictVolume</stp>
        <tr r="AJ1115" s="57"/>
      </tp>
      <tp>
        <v>20</v>
        <stp/>
        <stp>3611</stp>
        <stp>PredictVolume</stp>
        <tr r="AJ751" s="57"/>
      </tp>
      <tp>
        <v>2622</v>
        <stp/>
        <stp>3661</stp>
        <stp>PredictVolume</stp>
        <tr r="AJ593" s="57"/>
      </tp>
      <tp>
        <v>13720</v>
        <stp/>
        <stp>3711</stp>
        <stp>PredictVolume</stp>
        <tr r="AJ598" s="57"/>
      </tp>
      <tp>
        <v>808</v>
        <stp/>
        <stp>3701</stp>
        <stp>PredictVolume</stp>
        <tr r="AJ755" s="57"/>
      </tp>
      <tp>
        <v>203</v>
        <stp/>
        <stp>3081</stp>
        <stp>PredictVolume</stp>
        <tr r="AJ946" s="57"/>
      </tp>
      <tp>
        <v>203</v>
        <stp/>
        <stp>3031</stp>
        <stp>PredictVolume</stp>
        <tr r="AJ824" s="57"/>
      </tp>
      <tp>
        <v>95</v>
        <stp/>
        <stp>3021</stp>
        <stp>PredictVolume</stp>
        <tr r="AJ1059" s="57"/>
      </tp>
      <tp>
        <v>4918</v>
        <stp/>
        <stp>3011</stp>
        <stp>PredictVolume</stp>
        <tr r="AJ1057" s="57"/>
      </tp>
      <tp>
        <v>171</v>
        <stp/>
        <stp>3071</stp>
        <stp>PredictVolume</stp>
        <tr r="AJ731" s="57"/>
      </tp>
      <tp>
        <v>1692</v>
        <stp/>
        <stp>3051</stp>
        <stp>PredictVolume</stp>
        <tr r="AJ828" s="57"/>
      </tp>
      <tp>
        <v>2458</v>
        <stp/>
        <stp>3041</stp>
        <stp>PredictVolume</stp>
        <tr r="AJ556" s="57"/>
      </tp>
      <tp>
        <v>97</v>
        <stp/>
        <stp>3191</stp>
        <stp>PredictVolume</stp>
        <tr r="AJ1072" s="57"/>
      </tp>
      <tp>
        <v>214</v>
        <stp/>
        <stp>3131</stp>
        <stp>PredictVolume</stp>
        <tr r="AJ1709" s="57"/>
      </tp>
      <tp>
        <v>5</v>
        <stp/>
        <stp>3171</stp>
        <stp>PredictVolume</stp>
        <tr r="AJ1653" s="57"/>
      </tp>
      <tp>
        <v>3713</v>
        <stp/>
        <stp>3141</stp>
        <stp>PredictVolume</stp>
        <tr r="AJ562" s="57"/>
      </tp>
      <tp>
        <v>6018</v>
        <stp/>
        <stp>3231</stp>
        <stp>PredictVolume</stp>
        <tr r="AJ735" s="57"/>
      </tp>
      <tp>
        <v>286</v>
        <stp/>
        <stp>3221</stp>
        <stp>PredictVolume</stp>
        <tr r="AJ951" s="57"/>
      </tp>
      <tp>
        <v>4540</v>
        <stp/>
        <stp>3211</stp>
        <stp>PredictVolume</stp>
        <tr r="AJ733" s="57"/>
      </tp>
      <tp>
        <v>97</v>
        <stp/>
        <stp>3321</stp>
        <stp>PredictVolume</stp>
        <tr r="AJ1087" s="57"/>
      </tp>
      <tp>
        <v>39</v>
        <stp/>
        <stp>3311</stp>
        <stp>PredictVolume</stp>
        <tr r="AJ954" s="57"/>
      </tp>
      <tp>
        <v>577</v>
        <stp/>
        <stp>1471</stp>
        <stp>PredictVolume</stp>
        <tr r="AJ1019" s="57"/>
      </tp>
      <tp>
        <v>84</v>
        <stp/>
        <stp>1451</stp>
        <stp>PredictVolume</stp>
        <tr r="AJ89" s="57"/>
      </tp>
      <tp>
        <v>118</v>
        <stp/>
        <stp>1441</stp>
        <stp>PredictVolume</stp>
        <tr r="AJ82" s="57"/>
      </tp>
      <tp>
        <v>1097</v>
        <stp/>
        <stp>1591</stp>
        <stp>PredictVolume</stp>
        <tr r="AJ158" s="57"/>
      </tp>
      <tp>
        <v>238</v>
        <stp/>
        <stp>1531</stp>
        <stp>PredictVolume</stp>
        <tr r="AJ142" s="57"/>
      </tp>
      <tp>
        <v>20</v>
        <stp/>
        <stp>1521</stp>
        <stp>PredictVolume</stp>
        <tr r="AJ497" s="57"/>
      </tp>
      <tp>
        <v>4</v>
        <stp/>
        <stp>1541</stp>
        <stp>PredictVolume</stp>
        <tr r="AJ149" s="57"/>
      </tp>
      <tp>
        <v>19440</v>
        <stp/>
        <stp>1611</stp>
        <stp>PredictVolume</stp>
        <tr r="AJ230" s="57"/>
      </tp>
      <tp>
        <v>52</v>
        <stp/>
        <stp>1781</stp>
        <stp>PredictVolume</stp>
        <tr r="AJ302" s="57"/>
      </tp>
      <tp>
        <v>94</v>
        <stp/>
        <stp>1731</stp>
        <stp>PredictVolume</stp>
        <tr r="AJ294" s="57"/>
      </tp>
      <tp>
        <v>1776</v>
        <stp/>
        <stp>1721</stp>
        <stp>PredictVolume</stp>
        <tr r="AJ253" s="57"/>
      </tp>
      <tp>
        <v>17716</v>
        <stp/>
        <stp>1711</stp>
        <stp>PredictVolume</stp>
        <tr r="AJ247" s="57"/>
      </tp>
      <tp>
        <v>188</v>
        <stp/>
        <stp>1701</stp>
        <stp>PredictVolume</stp>
        <tr r="AJ291" s="57"/>
      </tp>
      <tp>
        <v>6573</v>
        <stp/>
        <stp>1101</stp>
        <stp>PredictVolume</stp>
        <tr r="AJ4" s="57"/>
      </tp>
      <tp>
        <v>1654</v>
        <stp/>
        <stp>1231</stp>
        <stp>PredictVolume</stp>
        <tr r="AJ26" s="57"/>
      </tp>
      <tp>
        <v>230</v>
        <stp/>
        <stp>1201</stp>
        <stp>PredictVolume</stp>
        <tr r="AJ13" s="57"/>
      </tp>
      <tp>
        <v>40</v>
        <stp/>
        <stp>1321</stp>
        <stp>PredictVolume</stp>
        <tr r="AJ54" s="57"/>
      </tp>
      <tp>
        <v>18186</v>
        <stp/>
        <stp>1301</stp>
        <stp>PredictVolume</stp>
        <tr r="AJ42" s="57"/>
      </tp>
      <tp>
        <v>6</v>
        <stp/>
        <stp>1341</stp>
        <stp>PredictVolume</stp>
        <tr r="AJ61" s="57"/>
      </tp>
      <tp>
        <v>96</v>
        <stp/>
        <stp>8481</stp>
        <stp>PredictVolume</stp>
        <tr r="AJ1387" s="57"/>
      </tp>
      <tp>
        <v>231</v>
        <stp/>
        <stp>8431</stp>
        <stp>PredictVolume</stp>
        <tr r="AJ1768" s="57"/>
      </tp>
      <tp>
        <v>335</v>
        <stp/>
        <stp>8421</stp>
        <stp>PredictVolume</stp>
        <tr r="AJ1368" s="57"/>
      </tp>
      <tp>
        <v>41</v>
        <stp/>
        <stp>8411</stp>
        <stp>PredictVolume</stp>
        <tr r="AJ1365" s="57"/>
      </tp>
      <tp>
        <v>939</v>
        <stp/>
        <stp>8401</stp>
        <stp>PredictVolume</stp>
        <tr r="AJ1363" s="57"/>
      </tp>
      <tp>
        <v>1397</v>
        <stp/>
        <stp>8091</stp>
        <stp>PredictVolume</stp>
        <tr r="AJ1211" s="57"/>
      </tp>
      <tp>
        <v>335</v>
        <stp/>
        <stp>8081</stp>
        <stp>PredictVolume</stp>
        <tr r="AJ685" s="57"/>
      </tp>
      <tp>
        <v>615</v>
        <stp/>
        <stp>8021</stp>
        <stp>PredictVolume</stp>
        <tr r="AJ1761" s="57"/>
      </tp>
      <tp>
        <v>459</v>
        <stp/>
        <stp>8011</stp>
        <stp>PredictVolume</stp>
        <tr r="AJ1007" s="57"/>
      </tp>
      <tp>
        <v>1232</v>
        <stp/>
        <stp>8071</stp>
        <stp>PredictVolume</stp>
        <tr r="AJ1208" s="57"/>
      </tp>
      <tp>
        <v>257</v>
        <stp/>
        <stp>8131</stp>
        <stp>PredictVolume</stp>
        <tr r="AJ689" s="57"/>
      </tp>
      <tp>
        <v>812</v>
        <stp/>
        <stp>8121</stp>
        <stp>PredictVolume</stp>
        <tr r="AJ1215" s="57"/>
      </tp>
      <tp>
        <v>567</v>
        <stp/>
        <stp>8111</stp>
        <stp>PredictVolume</stp>
        <tr r="AJ924" s="57"/>
      </tp>
      <tp>
        <v>360</v>
        <stp/>
        <stp>8101</stp>
        <stp>PredictVolume</stp>
        <tr r="AJ1013" s="57"/>
      </tp>
      <tp>
        <v>338</v>
        <stp/>
        <stp>8171</stp>
        <stp>PredictVolume</stp>
        <tr r="AJ1014" s="57"/>
      </tp>
      <tp>
        <v>24</v>
        <stp/>
        <stp>8291</stp>
        <stp>PredictVolume</stp>
        <tr r="AJ1222" s="57"/>
      </tp>
      <tp>
        <v>485</v>
        <stp/>
        <stp>8201</stp>
        <stp>PredictVolume</stp>
        <tr r="AJ1766" s="57"/>
      </tp>
      <tp>
        <v>571</v>
        <stp/>
        <stp>8271</stp>
        <stp>PredictVolume</stp>
        <tr r="AJ692" s="57"/>
      </tp>
      <tp>
        <v>1562</v>
        <stp/>
        <stp>8261</stp>
        <stp>PredictVolume</stp>
        <tr r="AJ691" s="57"/>
      </tp>
      <tp>
        <v>72</v>
        <stp/>
        <stp>8341</stp>
        <stp>PredictVolume</stp>
        <tr r="AJ1360" s="57"/>
      </tp>
      <tp>
        <v>51</v>
        <stp/>
        <stp>8931</stp>
        <stp>PredictVolume</stp>
        <tr r="AJ1676" s="57"/>
      </tp>
      <tp>
        <v>0</v>
        <stp/>
        <stp>8921</stp>
        <stp>PredictVolume</stp>
        <tr r="AJ1394" s="57"/>
      </tp>
      <tp>
        <v>5</v>
        <stp/>
        <stp>8941</stp>
        <stp>PredictVolume</stp>
        <tr r="AJ1668" s="57"/>
      </tp>
      <tp>
        <v>3</v>
        <stp/>
        <stp>9931</stp>
        <stp>PredictVolume</stp>
        <tr r="AJ1675" s="57"/>
      </tp>
      <tp>
        <v>1730</v>
        <stp/>
        <stp>9921</stp>
        <stp>PredictVolume</stp>
        <tr r="AJ1415" s="57"/>
      </tp>
      <tp>
        <v>175</v>
        <stp/>
        <stp>9911</stp>
        <stp>PredictVolume</stp>
        <tr r="AJ1411" s="57"/>
      </tp>
      <tp>
        <v>19</v>
        <stp/>
        <stp>9951</stp>
        <stp>PredictVolume</stp>
        <tr r="AJ222" s="57"/>
      </tp>
      <tp>
        <v>2939</v>
        <stp/>
        <stp>9941</stp>
        <stp>PredictVolume</stp>
        <tr r="AJ1428" s="57"/>
      </tp>
      <tp>
        <v>7</v>
        <stp/>
        <stp>6470</stp>
        <stp>PredictVolume</stp>
        <tr r="AJ999" s="57"/>
      </tp>
      <tp>
        <v>0</v>
        <stp/>
        <stp>6590</stp>
        <stp>PredictVolume</stp>
        <tr r="AJ1294" s="57"/>
      </tp>
      <tp>
        <v>160</v>
        <stp/>
        <stp>6530</stp>
        <stp>PredictVolume</stp>
        <tr r="AJ1002" s="57"/>
      </tp>
      <tp>
        <v>71</v>
        <stp/>
        <stp>6510</stp>
        <stp>PredictVolume</stp>
        <tr r="AJ655" s="57"/>
      </tp>
      <tp>
        <v>181</v>
        <stp/>
        <stp>6570</stp>
        <stp>PredictVolume</stp>
        <tr r="AJ792" s="57"/>
      </tp>
      <tp>
        <v>430</v>
        <stp/>
        <stp>6560</stp>
        <stp>PredictVolume</stp>
        <tr r="AJ914" s="57"/>
      </tp>
      <tp>
        <v>2</v>
        <stp/>
        <stp>6690</stp>
        <stp>PredictVolume</stp>
        <tr r="AJ1296" s="57"/>
      </tp>
      <tp>
        <v>3</v>
        <stp/>
        <stp>6680</stp>
        <stp>PredictVolume</stp>
        <tr r="AJ797" s="57"/>
      </tp>
      <tp>
        <v>73</v>
        <stp/>
        <stp>6670</stp>
        <stp>PredictVolume</stp>
        <tr r="AJ1352" s="57"/>
      </tp>
      <tp>
        <v>14</v>
        <stp/>
        <stp>6640</stp>
        <stp>PredictVolume</stp>
        <tr r="AJ666" s="57"/>
      </tp>
      <tp>
        <v>205</v>
        <stp/>
        <stp>6790</stp>
        <stp>PredictVolume</stp>
        <tr r="AJ1356" s="57"/>
      </tp>
      <tp>
        <v>6197</v>
        <stp/>
        <stp>6770</stp>
        <stp>PredictVolume</stp>
        <tr r="AJ677" s="57"/>
      </tp>
      <tp>
        <v>10</v>
        <stp/>
        <stp>6020</stp>
        <stp>PredictVolume</stp>
        <tr r="AJ1626" s="57"/>
      </tp>
      <tp>
        <v>1180</v>
        <stp/>
        <stp>6190</stp>
        <stp>PredictVolume</stp>
        <tr r="AJ988" s="57"/>
      </tp>
      <tp>
        <v>4939</v>
        <stp/>
        <stp>6180</stp>
        <stp>PredictVolume</stp>
        <tr r="AJ1787" s="57"/>
      </tp>
      <tp>
        <v>404</v>
        <stp/>
        <stp>6130</stp>
        <stp>PredictVolume</stp>
        <tr r="AJ376" s="57"/>
      </tp>
      <tp>
        <v>1435</v>
        <stp/>
        <stp>6120</stp>
        <stp>PredictVolume</stp>
        <tr r="AJ892" s="57"/>
      </tp>
      <tp>
        <v>263</v>
        <stp/>
        <stp>6170</stp>
        <stp>PredictVolume</stp>
        <tr r="AJ987" s="57"/>
      </tp>
      <tp>
        <v>39</v>
        <stp/>
        <stp>6160</stp>
        <stp>PredictVolume</stp>
        <tr r="AJ780" s="57"/>
      </tp>
      <tp>
        <v>1955</v>
        <stp/>
        <stp>6150</stp>
        <stp>PredictVolume</stp>
        <tr r="AJ779" s="57"/>
      </tp>
      <tp>
        <v>138</v>
        <stp/>
        <stp>6140</stp>
        <stp>PredictVolume</stp>
        <tr r="AJ1285" s="57"/>
      </tp>
      <tp>
        <v>221</v>
        <stp/>
        <stp>6290</stp>
        <stp>PredictVolume</stp>
        <tr r="AJ1189" s="57"/>
      </tp>
      <tp>
        <v>33</v>
        <stp/>
        <stp>6230</stp>
        <stp>PredictVolume</stp>
        <tr r="AJ786" s="57"/>
      </tp>
      <tp>
        <v>90</v>
        <stp/>
        <stp>6220</stp>
        <stp>PredictVolume</stp>
        <tr r="AJ1179" s="57"/>
      </tp>
      <tp>
        <v>67</v>
        <stp/>
        <stp>6210</stp>
        <stp>PredictVolume</stp>
        <tr r="AJ1176" s="57"/>
      </tp>
      <tp>
        <v>516</v>
        <stp/>
        <stp>6270</stp>
        <stp>PredictVolume</stp>
        <tr r="AJ1251" s="57"/>
      </tp>
      <tp>
        <v>19</v>
        <stp/>
        <stp>6240</stp>
        <stp>PredictVolume</stp>
        <tr r="AJ1291" s="57"/>
      </tp>
      <tp>
        <v>17</v>
        <stp/>
        <stp>4430</stp>
        <stp>PredictVolume</stp>
        <tr r="AJ1324" s="57"/>
      </tp>
      <tp>
        <v>6</v>
        <stp/>
        <stp>4420</stp>
        <stp>PredictVolume</stp>
        <tr r="AJ118" s="57"/>
      </tp>
      <tp>
        <v>141</v>
        <stp/>
        <stp>4440</stp>
        <stp>PredictVolume</stp>
        <tr r="AJ125" s="57"/>
      </tp>
      <tp>
        <v>25</v>
        <stp/>
        <stp>4580</stp>
        <stp>PredictVolume</stp>
        <tr r="AJ208" s="57"/>
      </tp>
      <tp>
        <v>16</v>
        <stp/>
        <stp>4530</stp>
        <stp>PredictVolume</stp>
        <tr r="AJ184" s="57"/>
      </tp>
      <tp>
        <v>6</v>
        <stp/>
        <stp>4510</stp>
        <stp>PredictVolume</stp>
        <tr r="AJ178" s="57"/>
      </tp>
      <tp>
        <v>43</v>
        <stp/>
        <stp>4560</stp>
        <stp>PredictVolume</stp>
        <tr r="AJ198" s="57"/>
      </tp>
      <tp>
        <v>9</v>
        <stp/>
        <stp>4550</stp>
        <stp>PredictVolume</stp>
        <tr r="AJ193" s="57"/>
      </tp>
      <tp>
        <v>134</v>
        <stp/>
        <stp>4540</stp>
        <stp>PredictVolume</stp>
        <tr r="AJ190" s="57"/>
      </tp>
      <tp>
        <v>369</v>
        <stp/>
        <stp>4720</stp>
        <stp>PredictVolume</stp>
        <tr r="AJ272" s="57"/>
      </tp>
      <tp>
        <v>72</v>
        <stp/>
        <stp>4770</stp>
        <stp>PredictVolume</stp>
        <tr r="AJ283" s="57"/>
      </tp>
      <tp>
        <v>34</v>
        <stp/>
        <stp>4760</stp>
        <stp>PredictVolume</stp>
        <tr r="AJ1732" s="57"/>
        <tr r="AJ81" s="74"/>
      </tp>
      <tp>
        <v>15</v>
        <stp/>
        <stp>4190</stp>
        <stp>PredictVolume</stp>
        <tr r="AJ361" s="57"/>
      </tp>
      <tp>
        <v>337</v>
        <stp/>
        <stp>4130</stp>
        <stp>PredictVolume</stp>
        <tr r="AJ35" s="28"/>
        <tr r="AJ335" s="57"/>
      </tp>
      <tp>
        <v>48</v>
        <stp/>
        <stp>4120</stp>
        <stp>PredictVolume</stp>
        <tr r="AJ328" s="57"/>
      </tp>
      <tp>
        <v>4</v>
        <stp/>
        <stp>4160</stp>
        <stp>PredictVolume</stp>
        <tr r="AJ349" s="57"/>
      </tp>
      <tp>
        <v>537</v>
        <stp/>
        <stp>4930</stp>
        <stp>PredictVolume</stp>
        <tr r="AJ240" s="57"/>
      </tp>
      <tp>
        <v>3786</v>
        <stp/>
        <stp>4960</stp>
        <stp>PredictVolume</stp>
        <tr r="AJ873" s="57"/>
      </tp>
      <tp>
        <v>637</v>
        <stp/>
        <stp>4950</stp>
        <stp>PredictVolume</stp>
        <tr r="AJ1329" s="57"/>
      </tp>
      <tp>
        <v>22</v>
        <stp/>
        <stp>5490</stp>
        <stp>PredictVolume</stp>
        <tr r="AJ774" s="57"/>
      </tp>
      <tp>
        <v>423</v>
        <stp/>
        <stp>5410</stp>
        <stp>PredictVolume</stp>
        <tr r="AJ1283" s="57"/>
      </tp>
      <tp>
        <v>65</v>
        <stp/>
        <stp>5460</stp>
        <stp>PredictVolume</stp>
        <tr r="AJ1144" s="57"/>
      </tp>
      <tp>
        <v>51</v>
        <stp/>
        <stp>5450</stp>
        <stp>PredictVolume</stp>
        <tr r="AJ1334" s="57"/>
      </tp>
      <tp>
        <v>89</v>
        <stp/>
        <stp>5530</stp>
        <stp>PredictVolume</stp>
        <tr r="AJ1336" s="57"/>
      </tp>
      <tp>
        <v>13</v>
        <stp/>
        <stp>5520</stp>
        <stp>PredictVolume</stp>
        <tr r="AJ1490" s="57"/>
      </tp>
      <tp>
        <v>19</v>
        <stp/>
        <stp>5230</stp>
        <stp>PredictVolume</stp>
        <tr r="AJ878" s="57"/>
      </tp>
      <tp>
        <v>44</v>
        <stp/>
        <stp>5220</stp>
        <stp>PredictVolume</stp>
        <tr r="AJ877" s="57"/>
      </tp>
      <tp>
        <v>807</v>
        <stp/>
        <stp>5210</stp>
        <stp>PredictVolume</stp>
        <tr r="AJ1278" s="57"/>
      </tp>
      <tp>
        <v>7</v>
        <stp/>
        <stp>5310</stp>
        <stp>PredictVolume</stp>
        <tr r="AJ1281" s="57"/>
      </tp>
      <tp>
        <v>28</v>
        <stp/>
        <stp>5340</stp>
        <stp>PredictVolume</stp>
        <tr r="AJ1138" s="57"/>
      </tp>
      <tp>
        <v>6472</v>
        <stp/>
        <stp>5880</stp>
        <stp>PredictVolume</stp>
        <tr r="AJ1622" s="57"/>
      </tp>
      <tp>
        <v>224</v>
        <stp/>
        <stp>5820</stp>
        <stp>PredictVolume</stp>
        <tr r="AJ1618" s="57"/>
      </tp>
      <tp>
        <v>708</v>
        <stp/>
        <stp>2480</stp>
        <stp>PredictVolume</stp>
        <tr r="AJ1268" s="57"/>
      </tp>
      <tp>
        <v>976</v>
        <stp/>
        <stp>2430</stp>
        <stp>PredictVolume</stp>
        <tr r="AJ1228" s="57"/>
      </tp>
      <tp>
        <v>283</v>
        <stp/>
        <stp>2420</stp>
        <stp>PredictVolume</stp>
        <tr r="AJ1039" s="57"/>
      </tp>
      <tp>
        <v>193</v>
        <stp/>
        <stp>2460</stp>
        <stp>PredictVolume</stp>
        <tr r="AJ1046" s="57"/>
      </tp>
      <tp>
        <v>106</v>
        <stp/>
        <stp>2450</stp>
        <stp>PredictVolume</stp>
        <tr r="AJ937" s="57"/>
      </tp>
      <tp>
        <v>141</v>
        <stp/>
        <stp>2440</stp>
        <stp>PredictVolume</stp>
        <tr r="AJ1044" s="57"/>
      </tp>
      <tp>
        <v>151</v>
        <stp/>
        <stp>2530</stp>
        <stp>PredictVolume</stp>
        <tr r="AJ1452" s="57"/>
      </tp>
      <tp>
        <v>524</v>
        <stp/>
        <stp>2520</stp>
        <stp>PredictVolume</stp>
        <tr r="AJ1448" s="57"/>
      </tp>
      <tp>
        <v>14</v>
        <stp/>
        <stp>2540</stp>
        <stp>PredictVolume</stp>
        <tr r="AJ1459" s="57"/>
      </tp>
      <tp>
        <v>118</v>
        <stp/>
        <stp>2630</stp>
        <stp>PredictVolume</stp>
        <tr r="AJ1525" s="57"/>
      </tp>
      <tp>
        <v>117616</v>
        <stp/>
        <stp>2610</stp>
        <stp>PredictVolume</stp>
        <tr r="AJ1518" s="57"/>
      </tp>
      <tp>
        <v>26</v>
        <stp/>
        <stp>2640</stp>
        <stp>PredictVolume</stp>
        <tr r="AJ1319" s="57"/>
      </tp>
      <tp>
        <v>86</v>
        <stp/>
        <stp>2740</stp>
        <stp>PredictVolume</stp>
        <tr r="AJ1564" s="57"/>
      </tp>
      <tp>
        <v>15436</v>
        <stp/>
        <stp>2030</stp>
        <stp>PredictVolume</stp>
        <tr r="AJ450" s="57"/>
      </tp>
      <tp>
        <v>1021</v>
        <stp/>
        <stp>2020</stp>
        <stp>PredictVolume</stp>
        <tr r="AJ442" s="57"/>
      </tp>
      <tp>
        <v>3446</v>
        <stp/>
        <stp>2010</stp>
        <stp>PredictVolume</stp>
        <tr r="AJ436" s="57"/>
      </tp>
      <tp>
        <v>52</v>
        <stp/>
        <stp>2070</stp>
        <stp>PredictVolume</stp>
        <tr r="AJ164" s="57"/>
      </tp>
      <tp>
        <v>104</v>
        <stp/>
        <stp>2230</stp>
        <stp>PredictVolume</stp>
        <tr r="AJ165" s="57"/>
      </tp>
      <tp>
        <v>49</v>
        <stp/>
        <stp>2250</stp>
        <stp>PredictVolume</stp>
        <tr r="AJ518" s="57"/>
      </tp>
      <tp>
        <v>508</v>
        <stp/>
        <stp>2390</stp>
        <stp>PredictVolume</stp>
        <tr r="AJ1693" s="57"/>
      </tp>
      <tp>
        <v>571</v>
        <stp/>
        <stp>2380</stp>
        <stp>PredictVolume</stp>
        <tr r="AJ711" s="57"/>
      </tp>
      <tp>
        <v>38709</v>
        <stp/>
        <stp>2330</stp>
        <stp>PredictVolume</stp>
        <tr r="AJ531" s="57"/>
      </tp>
      <tp>
        <v>650</v>
        <stp/>
        <stp>2360</stp>
        <stp>PredictVolume</stp>
        <tr r="AJ1691" s="57"/>
      </tp>
      <tp>
        <v>6244</v>
        <stp/>
        <stp>2340</stp>
        <stp>PredictVolume</stp>
        <tr r="AJ809" s="57"/>
      </tp>
      <tp>
        <v>11055</v>
        <stp/>
        <stp>2890</stp>
        <stp>PredictVolume</stp>
        <tr r="AJ1614" s="57"/>
      </tp>
      <tp>
        <v>6821</v>
        <stp/>
        <stp>2880</stp>
        <stp>PredictVolume</stp>
        <tr r="AJ1604" s="57"/>
      </tp>
      <tp>
        <v>757</v>
        <stp/>
        <stp>2820</stp>
        <stp>PredictVolume</stp>
        <tr r="AJ1592" s="57"/>
      </tp>
      <tp>
        <v>318</v>
        <stp/>
        <stp>2850</stp>
        <stp>PredictVolume</stp>
        <tr r="AJ1599" s="57"/>
      </tp>
      <tp>
        <v>2</v>
        <stp/>
        <stp>2910</stp>
        <stp>PredictVolume</stp>
        <tr r="AJ1641" s="57"/>
      </tp>
      <tp>
        <v>981</v>
        <stp/>
        <stp>3490</stp>
        <stp>PredictVolume</stp>
        <tr r="AJ846" s="57"/>
      </tp>
      <tp>
        <v>128</v>
        <stp/>
        <stp>3450</stp>
        <stp>PredictVolume</stp>
        <tr r="AJ1717" s="57"/>
      </tp>
      <tp>
        <v>143</v>
        <stp/>
        <stp>3580</stp>
        <stp>PredictVolume</stp>
        <tr r="AJ1724" s="57"/>
      </tp>
      <tp>
        <v>234</v>
        <stp/>
        <stp>3530</stp>
        <stp>PredictVolume</stp>
        <tr r="AJ582" s="57"/>
      </tp>
      <tp>
        <v>136</v>
        <stp/>
        <stp>3520</stp>
        <stp>PredictVolume</stp>
        <tr r="AJ1103" s="57"/>
      </tp>
      <tp>
        <v>44</v>
        <stp/>
        <stp>3570</stp>
        <stp>PredictVolume</stp>
        <tr r="AJ1271" s="57"/>
      </tp>
      <tp>
        <v>66</v>
        <stp/>
        <stp>3550</stp>
        <stp>PredictVolume</stp>
        <tr r="AJ1108" s="57"/>
      </tp>
      <tp>
        <v>276</v>
        <stp/>
        <stp>3540</stp>
        <stp>PredictVolume</stp>
        <tr r="AJ748" s="57"/>
      </tp>
      <tp>
        <v>897</v>
        <stp/>
        <stp>3680</stp>
        <stp>PredictVolume</stp>
        <tr r="AJ595" s="57"/>
      </tp>
      <tp>
        <v>259</v>
        <stp/>
        <stp>3630</stp>
        <stp>PredictVolume</stp>
        <tr r="AJ858" s="57"/>
      </tp>
      <tp>
        <v>6880</v>
        <stp/>
        <stp>3710</stp>
        <stp>PredictVolume</stp>
        <tr r="AJ1121" s="57"/>
      </tp>
      <tp>
        <v>142</v>
        <stp/>
        <stp>3090</stp>
        <stp>PredictVolume</stp>
        <tr r="AJ1068" s="57"/>
      </tp>
      <tp>
        <v>441</v>
        <stp/>
        <stp>3030</stp>
        <stp>PredictVolume</stp>
        <tr r="AJ1705" s="57"/>
      </tp>
      <tp>
        <v>543</v>
        <stp/>
        <stp>3010</stp>
        <stp>PredictVolume</stp>
        <tr r="AJ1230" s="57"/>
      </tp>
      <tp>
        <v>242</v>
        <stp/>
        <stp>3060</stp>
        <stp>PredictVolume</stp>
        <tr r="AJ730" s="57"/>
      </tp>
      <tp>
        <v>934</v>
        <stp/>
        <stp>3050</stp>
        <stp>PredictVolume</stp>
        <tr r="AJ827" s="57"/>
      </tp>
      <tp>
        <v>49</v>
        <stp/>
        <stp>3040</stp>
        <stp>PredictVolume</stp>
        <tr r="AJ1321" s="57"/>
      </tp>
      <tp>
        <v>2</v>
        <stp/>
        <stp>3130</stp>
        <stp>PredictVolume</stp>
        <tr r="AJ1270" s="57"/>
      </tp>
      <tp>
        <v>489</v>
        <stp/>
        <stp>3290</stp>
        <stp>PredictVolume</stp>
        <tr r="AJ1081" s="57"/>
      </tp>
      <tp>
        <v>116</v>
        <stp/>
        <stp>3230</stp>
        <stp>PredictVolume</stp>
        <tr r="AJ833" s="57"/>
      </tp>
      <tp>
        <v>2409</v>
        <stp/>
        <stp>3260</stp>
        <stp>PredictVolume</stp>
        <tr r="AJ11" s="114"/>
        <tr r="AJ10" s="74"/>
        <tr r="AJ8" s="114"/>
        <tr r="AJ570" s="57"/>
        <tr r="AJ9" s="74"/>
      </tp>
      <tp>
        <v>124</v>
        <stp/>
        <stp>3390</stp>
        <stp>PredictVolume</stp>
        <tr r="AJ1095" s="57"/>
      </tp>
      <tp>
        <v>1781</v>
        <stp/>
        <stp>3380</stp>
        <stp>PredictVolume</stp>
        <tr r="AJ956" s="57"/>
      </tp>
      <tp>
        <v>173</v>
        <stp/>
        <stp>3310</stp>
        <stp>PredictVolume</stp>
        <tr r="AJ1085" s="57"/>
      </tp>
      <tp>
        <v>323</v>
        <stp/>
        <stp>3360</stp>
        <stp>PredictVolume</stp>
        <tr r="AJ1240" s="57"/>
      </tp>
      <tp>
        <v>16</v>
        <stp/>
        <stp>1410</stp>
        <stp>PredictVolume</stp>
        <tr r="AJ72" s="57"/>
      </tp>
      <tp>
        <v>8</v>
        <stp/>
        <stp>1470</stp>
        <stp>PredictVolume</stp>
        <tr r="AJ104" s="57"/>
      </tp>
      <tp>
        <v>962</v>
        <stp/>
        <stp>1460</stp>
        <stp>PredictVolume</stp>
        <tr r="AJ97" s="57"/>
      </tp>
      <tp>
        <v>1451</v>
        <stp/>
        <stp>1440</stp>
        <stp>PredictVolume</stp>
        <tr r="AJ81" s="57"/>
      </tp>
      <tp>
        <v>216</v>
        <stp/>
        <stp>1590</stp>
        <stp>PredictVolume</stp>
        <tr r="AJ157" s="57"/>
      </tp>
      <tp>
        <v>30</v>
        <stp/>
        <stp>1580</stp>
        <stp>PredictVolume</stp>
        <tr r="AJ153" s="57"/>
      </tp>
      <tp>
        <v>8</v>
        <stp/>
        <stp>1530</stp>
        <stp>PredictVolume</stp>
        <tr r="AJ141" s="57"/>
      </tp>
      <tp>
        <v>138</v>
        <stp/>
        <stp>1570</stp>
        <stp>PredictVolume</stp>
        <tr r="AJ152" s="57"/>
      </tp>
      <tp>
        <v>14847</v>
        <stp/>
        <stp>1560</stp>
        <stp>PredictVolume</stp>
        <tr r="AJ151" s="57"/>
      </tp>
      <tp>
        <v>60</v>
        <stp/>
        <stp>1540</stp>
        <stp>PredictVolume</stp>
        <tr r="AJ148" s="57"/>
      </tp>
      <tp>
        <v>58</v>
        <stp/>
        <stp>1730</stp>
        <stp>PredictVolume</stp>
        <tr r="AJ259" s="57"/>
      </tp>
      <tp>
        <v>258</v>
        <stp/>
        <stp>1720</stp>
        <stp>PredictVolume</stp>
        <tr r="AJ293" s="57"/>
      </tp>
      <tp>
        <v>1124</v>
        <stp/>
        <stp>1710</stp>
        <stp>PredictVolume</stp>
        <tr r="AJ246" s="57"/>
      </tp>
      <tp>
        <v>1328</v>
        <stp/>
        <stp>1760</stp>
        <stp>PredictVolume</stp>
        <tr r="AJ299" s="57"/>
      </tp>
      <tp>
        <v>167</v>
        <stp/>
        <stp>1110</stp>
        <stp>PredictVolume</stp>
        <tr r="AJ10" s="57"/>
      </tp>
      <tp>
        <v>233</v>
        <stp/>
        <stp>1220</stp>
        <stp>PredictVolume</stp>
        <tr r="AJ22" s="57"/>
      </tp>
      <tp>
        <v>1473</v>
        <stp/>
        <stp>1210</stp>
        <stp>PredictVolume</stp>
        <tr r="AJ15" s="57"/>
      </tp>
      <tp>
        <v>14</v>
        <stp/>
        <stp>1240</stp>
        <stp>PredictVolume</stp>
        <tr r="AJ1812" s="57"/>
      </tp>
      <tp>
        <v>399</v>
        <stp/>
        <stp>1310</stp>
        <stp>PredictVolume</stp>
        <tr r="AJ49" s="57"/>
      </tp>
      <tp>
        <v>35</v>
        <stp/>
        <stp>1340</stp>
        <stp>PredictVolume</stp>
        <tr r="AJ60" s="57"/>
      </tp>
      <tp>
        <v>1132</v>
        <stp/>
        <stp>1810</stp>
        <stp>PredictVolume</stp>
        <tr r="AJ419" s="57"/>
      </tp>
      <tp>
        <v>84</v>
        <stp/>
        <stp>8480</stp>
        <stp>PredictVolume</stp>
        <tr r="AJ1386" s="57"/>
      </tp>
      <tp>
        <v>143</v>
        <stp/>
        <stp>8420</stp>
        <stp>PredictVolume</stp>
        <tr r="AJ1367" s="57"/>
      </tp>
      <tp>
        <v>0</v>
        <stp/>
        <stp>8410</stp>
        <stp>PredictVolume</stp>
        <tr r="AJ804" s="57"/>
      </tp>
      <tp>
        <v>1207</v>
        <stp/>
        <stp>8450</stp>
        <stp>PredictVolume</stp>
        <tr r="AJ1793" s="57"/>
      </tp>
      <tp>
        <v>61800</v>
        <stp/>
        <stp>8440</stp>
        <stp>PredictVolume</stp>
        <tr r="AJ1376" s="57"/>
      </tp>
      <tp>
        <v>39</v>
        <stp/>
        <stp>8080</stp>
        <stp>PredictVolume</stp>
        <tr r="AJ1210" s="57"/>
      </tp>
      <tp>
        <v>1322</v>
        <stp/>
        <stp>8070</stp>
        <stp>PredictVolume</stp>
        <tr r="AJ1257" s="57"/>
      </tp>
      <tp>
        <v>130</v>
        <stp/>
        <stp>8050</stp>
        <stp>PredictVolume</stp>
        <tr r="AJ798" s="57"/>
      </tp>
      <tp>
        <v>473</v>
        <stp/>
        <stp>8040</stp>
        <stp>PredictVolume</stp>
        <tr r="AJ683" s="57"/>
      </tp>
      <tp>
        <v>1981</v>
        <stp/>
        <stp>8110</stp>
        <stp>PredictVolume</stp>
        <tr r="AJ688" s="57"/>
      </tp>
      <tp>
        <v>4150</v>
        <stp/>
        <stp>8150</stp>
        <stp>PredictVolume</stp>
        <tr r="AJ690" s="57"/>
      </tp>
      <tp>
        <v>388</v>
        <stp/>
        <stp>8210</stp>
        <stp>PredictVolume</stp>
        <tr r="AJ802" s="57"/>
      </tp>
      <tp>
        <v>27</v>
        <stp/>
        <stp>8240</stp>
        <stp>PredictVolume</stp>
        <tr r="AJ926" s="57"/>
      </tp>
      <tp>
        <v>1763</v>
        <stp/>
        <stp>8390</stp>
        <stp>PredictVolume</stp>
        <tr r="AJ1362" s="57"/>
      </tp>
      <tp>
        <v>107</v>
        <stp/>
        <stp>8930</stp>
        <stp>PredictVolume</stp>
        <tr r="AJ474" s="57"/>
      </tp>
      <tp>
        <v>15</v>
        <stp/>
        <stp>8940</stp>
        <stp>PredictVolume</stp>
        <tr r="AJ1584" s="57"/>
      </tp>
      <tp>
        <v>52</v>
        <stp/>
        <stp>9930</stp>
        <stp>PredictVolume</stp>
        <tr r="AJ1421" s="57"/>
      </tp>
      <tp>
        <v>460</v>
        <stp/>
        <stp>9910</stp>
        <stp>PredictVolume</stp>
        <tr r="AJ1410" s="57"/>
      </tp>
      <tp>
        <v>36</v>
        <stp/>
        <stp>9960</stp>
        <stp>PredictVolume</stp>
        <tr r="AJ1669" s="57"/>
      </tp>
      <tp>
        <v>38</v>
        <stp/>
        <stp>9950</stp>
        <stp>PredictVolume</stp>
        <tr r="AJ67" s="57"/>
      </tp>
      <tp>
        <v>326</v>
        <stp/>
        <stp>9940</stp>
        <stp>PredictVolume</stp>
        <tr r="AJ1427" s="57"/>
      </tp>
      <tp>
        <v>42.85</v>
        <stp/>
        <stp>2342</stp>
        <stp>Price</stp>
        <tr r="W534" s="57"/>
      </tp>
      <tp>
        <v>31.9</v>
        <stp/>
        <stp>2352</stp>
        <stp>Price</stp>
        <tr r="W702" s="57"/>
      </tp>
      <tp>
        <v>30.35</v>
        <stp/>
        <stp>2362</stp>
        <stp>Price</stp>
        <tr r="W706" s="57"/>
      </tp>
      <tp>
        <v>15.35</v>
        <stp/>
        <stp>2302</stp>
        <stp>Price</stp>
        <tr r="W528" s="57"/>
      </tp>
      <tp>
        <v>14.05</v>
        <stp/>
        <stp>2312</stp>
        <stp>Price</stp>
        <tr r="W1687" s="57"/>
      </tp>
      <tp>
        <v>15.95</v>
        <stp/>
        <stp>2332</stp>
        <stp>Price</stp>
        <tr r="W931" s="57"/>
      </tp>
      <tp>
        <v>92</v>
        <stp/>
        <stp>2382</stp>
        <stp>Price</stp>
        <tr r="W712" s="57"/>
      </tp>
      <tp>
        <v>38</v>
        <stp/>
        <stp>2392</stp>
        <stp>Price</stp>
        <tr r="W1035" s="57"/>
      </tp>
      <tp>
        <v>26.35</v>
        <stp/>
        <stp>2062</stp>
        <stp>Price</stp>
        <tr r="W1312" s="57"/>
      </tp>
      <tp>
        <v>38.450000000000003</v>
        <stp/>
        <stp>2002</stp>
        <stp>Price</stp>
        <tr r="W431" s="57"/>
      </tp>
      <tp>
        <v>31.55</v>
        <stp/>
        <stp>2012</stp>
        <stp>Price</stp>
        <tr r="W437" s="57"/>
      </tp>
      <tp>
        <v>13.8</v>
        <stp/>
        <stp>2022</stp>
        <stp>Price</stp>
        <tr r="W443" s="57"/>
      </tp>
      <tp>
        <v>33.200000000000003</v>
        <stp/>
        <stp>2032</stp>
        <stp>Price</stp>
        <tr r="W452" s="57"/>
      </tp>
      <tp>
        <v>26.5</v>
        <stp/>
        <stp>2102</stp>
        <stp>Price</stp>
        <tr r="W480" s="57"/>
      </tp>
      <tp>
        <v>70.400000000000006</v>
        <stp/>
        <stp>2642</stp>
        <stp>Price</stp>
        <tr r="W1531" s="57"/>
      </tp>
      <tp>
        <v>56</v>
        <stp/>
        <stp>2612</stp>
        <stp>Price</stp>
        <tr r="W4" s="74"/>
        <tr r="W1520" s="57"/>
      </tp>
      <tp>
        <v>159.5</v>
        <stp/>
        <stp>2752</stp>
        <stp>Price</stp>
        <tr r="W1568" s="57"/>
      </tp>
      <tp>
        <v>24.9</v>
        <stp/>
        <stp>2702</stp>
        <stp>Price</stp>
        <tr r="W1545" s="57"/>
      </tp>
      <tp>
        <v>37</v>
        <stp/>
        <stp>2712</stp>
        <stp>Price</stp>
        <tr r="W1550" s="57"/>
      </tp>
      <tp>
        <v>31.45</v>
        <stp/>
        <stp>2722</stp>
        <stp>Price</stp>
        <tr r="W1553" s="57"/>
      </tp>
      <tp>
        <v>107.5</v>
        <stp/>
        <stp>2732</stp>
        <stp>Price</stp>
        <tr r="W1560" s="57"/>
      </tp>
      <tp>
        <v>13.35</v>
        <stp/>
        <stp>2442</stp>
        <stp>Price</stp>
        <tr r="W721" s="57"/>
      </tp>
      <tp>
        <v>32.049999999999997</v>
        <stp/>
        <stp>2462</stp>
        <stp>Price</stp>
        <tr r="W1047" s="57"/>
      </tp>
      <tp>
        <v>64</v>
        <stp/>
        <stp>2472</stp>
        <stp>Price</stp>
        <tr r="W1049" s="57"/>
      </tp>
      <tp>
        <v>15.95</v>
        <stp/>
        <stp>2402</stp>
        <stp>Price</stp>
        <tr r="W1036" s="57"/>
      </tp>
      <tp>
        <v>122.5</v>
        <stp/>
        <stp>2412</stp>
        <stp>Price</stp>
        <tr r="W933" s="57"/>
      </tp>
      <tp>
        <v>13.55</v>
        <stp/>
        <stp>2482</stp>
        <stp>Price</stp>
        <tr r="W1701" s="57"/>
      </tp>
      <tp>
        <v>141.5</v>
        <stp/>
        <stp>2492</stp>
        <stp>Price</stp>
        <tr r="W1054" s="57"/>
      </tp>
      <tp>
        <v>48.9</v>
        <stp/>
        <stp>2542</stp>
        <stp>Price</stp>
        <tr r="W1460" s="57"/>
      </tp>
      <tp>
        <v>14.55</v>
        <stp/>
        <stp>2852</stp>
        <stp>Price</stp>
        <tr r="W1601" s="57"/>
      </tp>
      <tp>
        <v>13.7</v>
        <stp/>
        <stp>2812</stp>
        <stp>Price</stp>
        <tr r="W1590" s="57"/>
      </tp>
      <tp>
        <v>20.25</v>
        <stp/>
        <stp>2832</stp>
        <stp>Price</stp>
        <tr r="W1593" s="57"/>
      </tp>
      <tp>
        <v>60.3</v>
        <stp/>
        <stp>2882</stp>
        <stp>Price</stp>
        <tr r="W1606" s="57"/>
      </tp>
      <tp>
        <v>25.6</v>
        <stp/>
        <stp>2892</stp>
        <stp>Price</stp>
        <tr r="W1616" s="57"/>
      </tp>
      <tp>
        <v>263</v>
        <stp/>
        <stp>2912</stp>
        <stp>Price</stp>
        <tr r="W1643" s="57"/>
      </tp>
      <tp>
        <v>16.649999999999999</v>
        <stp/>
        <stp>3252</stp>
        <stp>Price</stp>
        <tr r="W1573" s="57"/>
      </tp>
      <tp>
        <v>31</v>
        <stp/>
        <stp>3272</stp>
        <stp>Price</stp>
        <tr r="W736" s="57"/>
      </tp>
      <tp>
        <v>16.600000000000001</v>
        <stp/>
        <stp>3202</stp>
        <stp>Price</stp>
        <tr r="W1073" s="57"/>
      </tp>
      <tp>
        <v>27.45</v>
        <stp/>
        <stp>3232</stp>
        <stp>Price</stp>
        <tr r="W1238" s="57"/>
      </tp>
      <tp>
        <v>62.1</v>
        <stp/>
        <stp>3362</stp>
        <stp>Price</stp>
        <tr r="W837" s="57"/>
      </tp>
      <tp>
        <v>19.05</v>
        <stp/>
        <stp>3372</stp>
        <stp>Price</stp>
        <tr r="W575" s="57"/>
      </tp>
      <tp>
        <v>25.5</v>
        <stp/>
        <stp>3312</stp>
        <stp>Price</stp>
        <tr r="W1239" s="57"/>
      </tp>
      <tp>
        <v>22.7</v>
        <stp/>
        <stp>3322</stp>
        <stp>Price</stp>
        <tr r="W1088" s="57"/>
      </tp>
      <tp>
        <v>40</v>
        <stp/>
        <stp>3332</stp>
        <stp>Price</stp>
        <tr r="W1089" s="57"/>
      </tp>
      <tp>
        <v>98.3</v>
        <stp/>
        <stp>3042</stp>
        <stp>Price</stp>
        <tr r="W1064" s="57"/>
      </tp>
      <tp>
        <v>10.199999999999999</v>
        <stp/>
        <stp>3052</stp>
        <stp>Price</stp>
        <tr r="W1470" s="57"/>
      </tp>
      <tp>
        <v>24.65</v>
        <stp/>
        <stp>3062</stp>
        <stp>Price</stp>
        <tr r="W945" s="57"/>
      </tp>
      <tp>
        <v>11.55</v>
        <stp/>
        <stp>3002</stp>
        <stp>Price</stp>
        <tr r="W723" s="57"/>
      </tp>
      <tp>
        <v>45.5</v>
        <stp/>
        <stp>3022</stp>
        <stp>Price</stp>
        <tr r="W727" s="57"/>
      </tp>
      <tp>
        <v>31</v>
        <stp/>
        <stp>3032</stp>
        <stp>Price</stp>
        <tr r="W1062" s="57"/>
      </tp>
      <tp>
        <v>59.2</v>
        <stp/>
        <stp>3092</stp>
        <stp>Price</stp>
        <tr r="W1069" s="57"/>
      </tp>
      <tp>
        <v>276.5</v>
        <stp/>
        <stp>3152</stp>
        <stp>Price</stp>
        <tr r="W949" s="57"/>
      </tp>
      <tp>
        <v>41.25</v>
        <stp/>
        <stp>3162</stp>
        <stp>Price</stp>
        <tr r="W32" s="28"/>
        <tr r="W29" s="22"/>
        <tr r="W169" s="57"/>
      </tp>
      <tp>
        <v>53</v>
        <stp/>
        <stp>3122</stp>
        <stp>Price</stp>
        <tr r="W561" s="57"/>
      </tp>
      <tp>
        <v>8.23</v>
        <stp/>
        <stp>3642</stp>
        <stp>Price</stp>
        <tr r="W1728" s="57"/>
      </tp>
      <tp>
        <v>20.6</v>
        <stp/>
        <stp>3652</stp>
        <stp>Price</stp>
        <tr r="W753" s="57"/>
      </tp>
      <tp>
        <v>39.4</v>
        <stp/>
        <stp>3672</stp>
        <stp>Price</stp>
        <tr r="W966" s="57"/>
      </tp>
      <tp>
        <v>26.1</v>
        <stp/>
        <stp>3622</stp>
        <stp>Price</stp>
        <tr r="W856" s="57"/>
      </tp>
      <tp>
        <v>9.36</v>
        <stp/>
        <stp>3632</stp>
        <stp>Price</stp>
        <tr r="W964" s="57"/>
      </tp>
      <tp>
        <v>6.5</v>
        <stp/>
        <stp>3682</stp>
        <stp>Price</stp>
        <tr r="W967" s="57"/>
      </tp>
      <tp>
        <v>57.2</v>
        <stp/>
        <stp>3702</stp>
        <stp>Price</stp>
        <tr r="W1243" s="57"/>
      </tp>
      <tp>
        <v>30.4</v>
        <stp/>
        <stp>3712</stp>
        <stp>Price</stp>
        <tr r="W758" s="57"/>
      </tp>
      <tp>
        <v>50.3</v>
        <stp/>
        <stp>3402</stp>
        <stp>Price</stp>
        <tr r="W1716" s="57"/>
      </tp>
      <tp>
        <v>13.95</v>
        <stp/>
        <stp>3432</stp>
        <stp>Price</stp>
        <tr r="W1096" s="57"/>
      </tp>
      <tp>
        <v>18.55</v>
        <stp/>
        <stp>3492</stp>
        <stp>Price</stp>
        <tr r="W1099" s="57"/>
      </tp>
      <tp>
        <v>131.5</v>
        <stp/>
        <stp>3552</stp>
        <stp>Price</stp>
        <tr r="W1723" s="57"/>
      </tp>
      <tp>
        <v>32.6</v>
        <stp/>
        <stp>3512</stp>
        <stp>Price</stp>
        <tr r="W1102" s="57"/>
      </tp>
      <tp>
        <v>9.4600000000000009</v>
        <stp/>
        <stp>3522</stp>
        <stp>Price</stp>
        <tr r="W1574" s="57"/>
      </tp>
      <tp>
        <v>294</v>
        <stp/>
        <stp>3532</stp>
        <stp>Price</stp>
        <tr r="W583" s="57"/>
      </tp>
      <tp>
        <v>564</v>
        <stp/>
        <stp>3592</stp>
        <stp>Price</stp>
        <tr r="W592" s="57"/>
      </tp>
      <tp>
        <v>155.5</v>
        <stp/>
        <stp>1232</stp>
        <stp>Price</stp>
        <tr r="W27" s="57"/>
      </tp>
      <tp>
        <v>62.3</v>
        <stp/>
        <stp>1342</stp>
        <stp>Price</stp>
        <tr r="W1306" s="57"/>
      </tp>
      <tp>
        <v>26.25</v>
        <stp/>
        <stp>1312</stp>
        <stp>Price</stp>
        <tr r="W50" s="57"/>
      </tp>
      <tp>
        <v>46.7</v>
        <stp/>
        <stp>1102</stp>
        <stp>Price</stp>
        <tr r="W5" s="57"/>
      </tp>
      <tp>
        <v>27.2</v>
        <stp/>
        <stp>1612</stp>
        <stp>Price</stp>
        <tr r="W231" s="57"/>
      </tp>
      <tp>
        <v>20.75</v>
        <stp/>
        <stp>1742</stp>
        <stp>Price</stp>
        <tr r="W262" s="57"/>
      </tp>
      <tp>
        <v>37.6</v>
        <stp/>
        <stp>1752</stp>
        <stp>Price</stp>
        <tr r="W298" s="57"/>
      </tp>
      <tp>
        <v>52.1</v>
        <stp/>
        <stp>1762</stp>
        <stp>Price</stp>
        <tr r="W300" s="57"/>
      </tp>
      <tp>
        <v>48.5</v>
        <stp/>
        <stp>1702</stp>
        <stp>Price</stp>
        <tr r="W35" s="57"/>
        <tr r="W12" s="74"/>
      </tp>
      <tp>
        <v>31.75</v>
        <stp/>
        <stp>1712</stp>
        <stp>Price</stp>
        <tr r="W248" s="57"/>
      </tp>
      <tp>
        <v>71.7</v>
        <stp/>
        <stp>1722</stp>
        <stp>Price</stp>
        <tr r="W254" s="57"/>
      </tp>
      <tp>
        <v>31.85</v>
        <stp/>
        <stp>1732</stp>
        <stp>Price</stp>
        <tr r="W14" s="28"/>
        <tr r="W260" s="57"/>
      </tp>
      <tp>
        <v>22.3</v>
        <stp/>
        <stp>1442</stp>
        <stp>Price</stp>
        <tr r="W1438" s="57"/>
      </tp>
      <tp>
        <v>24.65</v>
        <stp/>
        <stp>1452</stp>
        <stp>Price</stp>
        <tr r="W90" s="57"/>
      </tp>
      <tp t="s">
        <v>無資料</v>
        <stp/>
        <stp>1472</stp>
        <stp>Price</stp>
        <tr r="W105" s="57"/>
      </tp>
      <tp>
        <v>30.2</v>
        <stp/>
        <stp>1402</stp>
        <stp>Price</stp>
        <tr r="W70" s="57"/>
      </tp>
      <tp>
        <v>11.35</v>
        <stp/>
        <stp>1432</stp>
        <stp>Price</stp>
        <tr r="W1633" s="57"/>
      </tp>
      <tp>
        <v>4.4400000000000004</v>
        <stp/>
        <stp>1512</stp>
        <stp>Price</stp>
        <tr r="W496" s="57"/>
      </tp>
      <tp>
        <v>17.899999999999999</v>
        <stp/>
        <stp>1522</stp>
        <stp>Price</stp>
        <tr r="W498" s="57"/>
      </tp>
      <tp>
        <v>34.5</v>
        <stp/>
        <stp>1532</stp>
        <stp>Price</stp>
        <tr r="W143" s="57"/>
      </tp>
      <tp>
        <v>68.5</v>
        <stp/>
        <stp>1582</stp>
        <stp>Price</stp>
        <tr r="W1020" s="57"/>
      </tp>
      <tp>
        <v>24.5</v>
        <stp/>
        <stp>1802</stp>
        <stp>Price</stp>
        <tr r="W416" s="57"/>
      </tp>
      <tp>
        <v>38.9</v>
        <stp/>
        <stp>6242</stp>
        <stp>Price</stp>
        <tr r="W377" s="57"/>
      </tp>
      <tp>
        <v>117.5</v>
        <stp/>
        <stp>6202</stp>
        <stp>Price</stp>
        <tr r="W634" s="57"/>
      </tp>
      <tp>
        <v>58.2</v>
        <stp/>
        <stp>6212</stp>
        <stp>Price</stp>
        <tr r="W1503" s="57"/>
      </tp>
      <tp>
        <v>34.75</v>
        <stp/>
        <stp>6282</stp>
        <stp>Price</stp>
        <tr r="W1187" s="57"/>
      </tp>
      <tp>
        <v>46.9</v>
        <stp/>
        <stp>6292</stp>
        <stp>Price</stp>
        <tr r="W1190" s="57"/>
      </tp>
      <tp>
        <v>8.6199999999999992</v>
        <stp/>
        <stp>6142</stp>
        <stp>Price</stp>
        <tr r="W983" s="57"/>
      </tp>
      <tp>
        <v>9.42</v>
        <stp/>
        <stp>6152</stp>
        <stp>Price</stp>
        <tr r="W985" s="57"/>
      </tp>
      <tp>
        <v>38.9</v>
        <stp/>
        <stp>6112</stp>
        <stp>Price</stp>
        <tr r="W1284" s="57"/>
      </tp>
      <tp>
        <v>12.75</v>
        <stp/>
        <stp>6122</stp>
        <stp>Price</stp>
        <tr r="W210" s="57"/>
      </tp>
      <tp>
        <v>71.400000000000006</v>
        <stp/>
        <stp>6182</stp>
        <stp>Price</stp>
        <tr r="W632" s="57"/>
      </tp>
      <tp>
        <v>72.099999999999994</v>
        <stp/>
        <stp>6192</stp>
        <stp>Price</stp>
        <tr r="W1744" s="57"/>
      </tp>
      <tp>
        <v>67.8</v>
        <stp/>
        <stp>6642</stp>
        <stp>Price</stp>
        <tr r="W1196" s="57"/>
      </tp>
      <tp>
        <v>114</v>
        <stp/>
        <stp>6672</stp>
        <stp>Price</stp>
        <tr r="W1198" s="57"/>
      </tp>
      <tp>
        <v>81</v>
        <stp/>
        <stp>6612</stp>
        <stp>Price</stp>
        <tr r="W396" s="57"/>
      </tp>
      <tp>
        <v>51.5</v>
        <stp/>
        <stp>6752</stp>
        <stp>Price</stp>
        <tr r="W1299" s="57"/>
      </tp>
      <tp>
        <v>262</v>
        <stp/>
        <stp>6762</stp>
        <stp>Price</stp>
        <tr r="W406" s="57"/>
      </tp>
      <tp>
        <v>194.5</v>
        <stp/>
        <stp>6712</stp>
        <stp>Price</stp>
        <tr r="W403" s="57"/>
      </tp>
      <tp>
        <v>426</v>
        <stp/>
        <stp>6732</stp>
        <stp>Price</stp>
        <tr r="W675" s="57"/>
      </tp>
      <tp>
        <v>129</v>
        <stp/>
        <stp>6792</stp>
        <stp>Price</stp>
        <tr r="W1006" s="57"/>
      </tp>
      <tp>
        <v>34.9</v>
        <stp/>
        <stp>6442</stp>
        <stp>Price</stp>
        <tr r="W998" s="57"/>
      </tp>
      <tp>
        <v>95.5</v>
        <stp/>
        <stp>6462</stp>
        <stp>Price</stp>
        <tr r="W651" s="57"/>
      </tp>
      <tp>
        <v>172</v>
        <stp/>
        <stp>6472</stp>
        <stp>Price</stp>
        <tr r="W381" s="57"/>
      </tp>
      <tp>
        <v>84</v>
        <stp/>
        <stp>6412</stp>
        <stp>Price</stp>
        <tr r="W1191" s="57"/>
      </tp>
      <tp>
        <v>36.9</v>
        <stp/>
        <stp>6432</stp>
        <stp>Price</stp>
        <tr r="W1193" s="57"/>
      </tp>
      <tp>
        <v>38.200000000000003</v>
        <stp/>
        <stp>6482</stp>
        <stp>Price</stp>
        <tr r="W1789" s="57"/>
      </tp>
      <tp>
        <v>81.599999999999994</v>
        <stp/>
        <stp>6492</stp>
        <stp>Price</stp>
        <tr r="W383" s="57"/>
      </tp>
      <tp>
        <v>46</v>
        <stp/>
        <stp>6542</stp>
        <stp>Price</stp>
        <tr r="W1790" s="57"/>
      </tp>
      <tp>
        <v>50</v>
        <stp/>
        <stp>6552</stp>
        <stp>Price</stp>
        <tr r="W662" s="57"/>
      </tp>
      <tp>
        <v>18.5</v>
        <stp/>
        <stp>6512</stp>
        <stp>Price</stp>
        <tr r="W1753" s="57"/>
      </tp>
      <tp>
        <v>46.7</v>
        <stp/>
        <stp>6532</stp>
        <stp>Price</stp>
        <tr r="W659" s="57"/>
      </tp>
      <tp>
        <v>143</v>
        <stp/>
        <stp>6582</stp>
        <stp>Price</stp>
        <tr r="W490" s="57"/>
      </tp>
      <tp>
        <v>112</v>
        <stp/>
        <stp>6592</stp>
        <stp>Price</stp>
        <tr r="W1345" s="57"/>
        <tr r="W31" s="28"/>
      </tp>
      <tp>
        <v>48.4</v>
        <stp/>
        <stp>7402</stp>
        <stp>Price</stp>
        <tr r="W917" s="57"/>
      </tp>
      <tp>
        <v>39.35</v>
        <stp/>
        <stp>4142</stp>
        <stp>Price</stp>
        <tr r="W342" s="57"/>
      </tp>
      <tp>
        <v>81.2</v>
        <stp/>
        <stp>4162</stp>
        <stp>Price</stp>
        <tr r="W22" s="28"/>
        <tr r="W44" s="22"/>
        <tr r="W351" s="57"/>
      </tp>
      <tp>
        <v>20</v>
        <stp/>
        <stp>4102</stp>
        <stp>Price</stp>
        <tr r="W317" s="57"/>
      </tp>
      <tp>
        <v>35.35</v>
        <stp/>
        <stp>4192</stp>
        <stp>Price</stp>
        <tr r="W362" s="57"/>
      </tp>
      <tp>
        <v>14.9</v>
        <stp/>
        <stp>4702</stp>
        <stp>Price</stp>
        <tr r="W266" s="57"/>
      </tp>
      <tp>
        <v>43.3</v>
        <stp/>
        <stp>4722</stp>
        <stp>Price</stp>
        <tr r="W274" s="57"/>
      </tp>
      <tp>
        <v>6.79</v>
        <stp/>
        <stp>4402</stp>
        <stp>Price</stp>
        <tr r="W112" s="57"/>
      </tp>
      <tp>
        <v>14.75</v>
        <stp/>
        <stp>4432</stp>
        <stp>Price</stp>
        <tr r="W38" s="28"/>
        <tr r="W124" s="22"/>
        <tr r="W125" s="22"/>
        <tr r="W126" s="22"/>
        <tr r="W127" s="22"/>
        <tr r="W128" s="22"/>
        <tr r="W129" s="22"/>
        <tr r="W130" s="22"/>
        <tr r="W123" s="22"/>
        <tr r="W121" s="57"/>
      </tp>
      <tp>
        <v>26.3</v>
        <stp/>
        <stp>4542</stp>
        <stp>Price</stp>
        <tr r="W1122" s="57"/>
      </tp>
      <tp>
        <v>33.25</v>
        <stp/>
        <stp>4552</stp>
        <stp>Price</stp>
        <tr r="W194" s="57"/>
      </tp>
      <tp>
        <v>15.45</v>
        <stp/>
        <stp>4562</stp>
        <stp>Price</stp>
        <tr r="W200" s="57"/>
      </tp>
      <tp>
        <v>97</v>
        <stp/>
        <stp>4572</stp>
        <stp>Price</stp>
        <tr r="W206" s="57"/>
      </tp>
      <tp>
        <v>38.4</v>
        <stp/>
        <stp>4502</stp>
        <stp>Price</stp>
        <tr r="W175" s="57"/>
      </tp>
      <tp>
        <v>18.05</v>
        <stp/>
        <stp>4532</stp>
        <stp>Price</stp>
        <tr r="W185" s="57"/>
      </tp>
      <tp>
        <v>49.15</v>
        <stp/>
        <stp>4942</stp>
        <stp>Price</stp>
        <tr r="W870" s="57"/>
      </tp>
      <tp>
        <v>71.5</v>
        <stp/>
        <stp>4952</stp>
        <stp>Price</stp>
        <tr r="W602" s="57"/>
      </tp>
      <tp>
        <v>32.65</v>
        <stp/>
        <stp>4972</stp>
        <stp>Price</stp>
        <tr r="W874" s="57"/>
      </tp>
      <tp>
        <v>166</v>
        <stp/>
        <stp>4912</stp>
        <stp>Price</stp>
        <tr r="W1124" s="57"/>
      </tp>
      <tp>
        <v>34.200000000000003</v>
        <stp/>
        <stp>5272</stp>
        <stp>Price</stp>
        <tr r="W613" s="57"/>
      </tp>
      <tp>
        <v>17.3</v>
        <stp/>
        <stp>5202</stp>
        <stp>Price</stp>
        <tr r="W1275" s="57"/>
      </tp>
      <tp>
        <v>49.9</v>
        <stp/>
        <stp>5212</stp>
        <stp>Price</stp>
        <tr r="W1280" s="57"/>
      </tp>
      <tp>
        <v>155</v>
        <stp/>
        <stp>5222</stp>
        <stp>Price</stp>
        <tr r="W610" s="57"/>
      </tp>
      <tp>
        <v>10.3</v>
        <stp/>
        <stp>5302</stp>
        <stp>Price</stp>
        <tr r="W617" s="57"/>
      </tp>
      <tp>
        <v>60.5</v>
        <stp/>
        <stp>5312</stp>
        <stp>Price</stp>
        <tr r="W375" s="57"/>
      </tp>
      <tp>
        <v>24.05</v>
        <stp/>
        <stp>5392</stp>
        <stp>Price</stp>
        <tr r="W887" s="57"/>
      </tp>
      <tp>
        <v>24.7</v>
        <stp/>
        <stp>5102</stp>
        <stp>Price</stp>
        <tr r="W489" s="57"/>
      </tp>
      <tp>
        <v>21.4</v>
        <stp/>
        <stp>5452</stp>
        <stp>Price</stp>
        <tr r="W1736" s="57"/>
      </tp>
      <tp>
        <v>38.6</v>
        <stp/>
        <stp>5432</stp>
        <stp>Price</stp>
        <tr r="W888" s="57"/>
      </tp>
      <tp>
        <v>9.0399999999999991</v>
        <stp/>
        <stp>5512</stp>
        <stp>Price</stp>
        <tr r="W1485" s="57"/>
      </tp>
      <tp>
        <v>62.7</v>
        <stp/>
        <stp>5522</stp>
        <stp>Price</stp>
        <tr r="W1818" s="57"/>
      </tp>
      <tp>
        <v>25.7</v>
        <stp/>
        <stp>5902</stp>
        <stp>Price</stp>
        <tr r="W1655" s="57"/>
      </tp>
      <tp>
        <v>14.3</v>
        <stp/>
        <stp>8222</stp>
        <stp>Price</stp>
        <tr r="W218" s="57"/>
      </tp>
      <tp>
        <v>53.5</v>
        <stp/>
        <stp>8342</stp>
        <stp>Price</stp>
        <tr r="W1361" s="57"/>
      </tp>
      <tp>
        <v>42</v>
        <stp/>
        <stp>8042</stp>
        <stp>Price</stp>
        <tr r="W1205" s="57"/>
      </tp>
      <tp>
        <v>24.2</v>
        <stp/>
        <stp>8072</stp>
        <stp>Price</stp>
        <tr r="W1258" s="57"/>
      </tp>
      <tp>
        <v>28.2</v>
        <stp/>
        <stp>8032</stp>
        <stp>Price</stp>
        <tr r="W1254" s="57"/>
      </tp>
      <tp>
        <v>10.25</v>
        <stp/>
        <stp>8092</stp>
        <stp>Price</stp>
        <tr r="W1764" s="57"/>
      </tp>
      <tp>
        <v>52.6</v>
        <stp/>
        <stp>8112</stp>
        <stp>Price</stp>
        <tr r="W1261" s="57"/>
      </tp>
      <tp>
        <v>48.8</v>
        <stp/>
        <stp>8182</stp>
        <stp>Price</stp>
        <tr r="W1218" s="57"/>
      </tp>
      <tp>
        <v>49.55</v>
        <stp/>
        <stp>8442</stp>
        <stp>Price</stp>
        <tr r="W1377" s="57"/>
      </tp>
      <tp>
        <v>129.5</v>
        <stp/>
        <stp>8462</stp>
        <stp>Price</stp>
        <tr r="W1583" s="57"/>
      </tp>
      <tp>
        <v>47.2</v>
        <stp/>
        <stp>8472</stp>
        <stp>Price</stp>
        <tr r="W1807" s="57"/>
      </tp>
      <tp>
        <v>200.5</v>
        <stp/>
        <stp>8422</stp>
        <stp>Price</stp>
        <tr r="W1369" s="57"/>
      </tp>
      <tp>
        <v>42.5</v>
        <stp/>
        <stp>8432</stp>
        <stp>Price</stp>
        <tr r="W412" s="57"/>
      </tp>
      <tp>
        <v>73</v>
        <stp/>
        <stp>8482</stp>
        <stp>Price</stp>
        <tr r="W1388" s="57"/>
      </tp>
      <tp>
        <v>67.599999999999994</v>
        <stp/>
        <stp>8942</stp>
        <stp>Price</stp>
        <tr r="W1404" s="57"/>
      </tp>
      <tp>
        <v>26</v>
        <stp/>
        <stp>8932</stp>
        <stp>Price</stp>
        <tr r="W1398" s="57"/>
      </tp>
      <tp>
        <v>107.5</v>
        <stp/>
        <stp>9802</stp>
        <stp>Price</stp>
        <tr r="W1405" s="57"/>
      </tp>
      <tp>
        <v>88.6</v>
        <stp/>
        <stp>9942</stp>
        <stp>Price</stp>
        <tr r="W1429" s="57"/>
      </tp>
      <tp>
        <v>17.75</v>
        <stp/>
        <stp>9962</stp>
        <stp>Price</stp>
        <tr r="W476" s="57"/>
      </tp>
      <tp>
        <v>12.05</v>
        <stp/>
        <stp>9902</stp>
        <stp>Price</stp>
        <tr r="W1406" s="57"/>
      </tp>
      <tp>
        <v>9.23</v>
        <stp/>
        <stp>9912</stp>
        <stp>Price</stp>
        <tr r="W805" s="57"/>
      </tp>
      <tp>
        <v>13.85</v>
        <stp/>
        <stp>2243</stp>
        <stp>Price</stp>
        <tr r="W516" s="57"/>
      </tp>
      <tp>
        <v>113.5</v>
        <stp/>
        <stp>2233</stp>
        <stp>Price</stp>
        <tr r="W10" s="114"/>
        <tr r="W513" s="57"/>
      </tp>
      <tp>
        <v>28.8</v>
        <stp/>
        <stp>2353</stp>
        <stp>Price</stp>
        <tr r="W703" s="57"/>
      </tp>
      <tp>
        <v>23.4</v>
        <stp/>
        <stp>2363</stp>
        <stp>Price</stp>
        <tr r="W537" s="57"/>
      </tp>
      <tp>
        <v>89.2</v>
        <stp/>
        <stp>2373</stp>
        <stp>Price</stp>
        <tr r="W1692" s="57"/>
      </tp>
      <tp>
        <v>52.5</v>
        <stp/>
        <stp>2303</stp>
        <stp>Price</stp>
        <tr r="W529" s="57"/>
      </tp>
      <tp>
        <v>43.5</v>
        <stp/>
        <stp>2313</stp>
        <stp>Price</stp>
        <tr r="W1025" s="57"/>
      </tp>
      <tp>
        <v>10.9</v>
        <stp/>
        <stp>2323</stp>
        <stp>Price</stp>
        <tr r="W808" s="57"/>
      </tp>
      <tp>
        <v>253</v>
        <stp/>
        <stp>2383</stp>
        <stp>Price</stp>
        <tr r="W1033" s="57"/>
      </tp>
      <tp>
        <v>48</v>
        <stp/>
        <stp>2393</stp>
        <stp>Price</stp>
        <tr r="W812" s="57"/>
      </tp>
      <tp>
        <v>35.85</v>
        <stp/>
        <stp>2063</stp>
        <stp>Price</stp>
        <tr r="W457" s="57"/>
      </tp>
      <tp>
        <v>57.9</v>
        <stp/>
        <stp>2013</stp>
        <stp>Price</stp>
        <tr r="W438" s="57"/>
      </tp>
      <tp>
        <v>25.1</v>
        <stp/>
        <stp>2023</stp>
        <stp>Price</stp>
        <tr r="W444" s="57"/>
      </tp>
      <tp>
        <v>24</v>
        <stp/>
        <stp>2033</stp>
        <stp>Price</stp>
        <tr r="W453" s="57"/>
      </tp>
      <tp>
        <v>34.200000000000003</v>
        <stp/>
        <stp>2103</stp>
        <stp>Price</stp>
        <tr r="W481" s="57"/>
      </tp>
      <tp>
        <v>72</v>
        <stp/>
        <stp>2643</stp>
        <stp>Price</stp>
        <tr r="W1532" s="57"/>
      </tp>
      <tp>
        <v>160</v>
        <stp/>
        <stp>2603</stp>
        <stp>Price</stp>
        <tr r="W1512" s="57"/>
      </tp>
      <tp>
        <v>39.5</v>
        <stp/>
        <stp>2613</stp>
        <stp>Price</stp>
        <tr r="W1521" s="57"/>
      </tp>
      <tp>
        <v>28.4</v>
        <stp/>
        <stp>2633</stp>
        <stp>Price</stp>
        <tr r="W1526" s="57"/>
      </tp>
      <tp>
        <v>36.1</v>
        <stp/>
        <stp>2743</stp>
        <stp>Price</stp>
        <tr r="W1565" s="57"/>
      </tp>
      <tp>
        <v>121.5</v>
        <stp/>
        <stp>2753</stp>
        <stp>Price</stp>
        <tr r="W1569" s="57"/>
      </tp>
      <tp>
        <v>97.5</v>
        <stp/>
        <stp>2723</stp>
        <stp>Price</stp>
        <tr r="W1554" s="57"/>
      </tp>
      <tp>
        <v>3.5</v>
        <stp/>
        <stp>2443</stp>
        <stp>Price</stp>
        <tr r="W1316" s="57"/>
      </tp>
      <tp>
        <v>24.55</v>
        <stp/>
        <stp>2453</stp>
        <stp>Price</stp>
        <tr r="W1265" s="57"/>
      </tp>
      <tp>
        <v>20.25</v>
        <stp/>
        <stp>2413</stp>
        <stp>Price</stp>
        <tr r="W1037" s="57"/>
      </tp>
      <tp>
        <v>27.85</v>
        <stp/>
        <stp>2423</stp>
        <stp>Price</stp>
        <tr r="W1695" s="57"/>
      </tp>
      <tp>
        <v>51.1</v>
        <stp/>
        <stp>2433</stp>
        <stp>Price</stp>
        <tr r="W1696" s="57"/>
      </tp>
      <tp>
        <v>23.5</v>
        <stp/>
        <stp>2483</stp>
        <stp>Price</stp>
        <tr r="W1052" s="57"/>
      </tp>
      <tp>
        <v>39.950000000000003</v>
        <stp/>
        <stp>2493</stp>
        <stp>Price</stp>
        <tr r="W1055" s="57"/>
      </tp>
      <tp>
        <v>7.54</v>
        <stp/>
        <stp>2543</stp>
        <stp>Price</stp>
        <tr r="W1461" s="57"/>
      </tp>
      <tp>
        <v>17.5</v>
        <stp/>
        <stp>2883</stp>
        <stp>Price</stp>
        <tr r="W1607" s="57"/>
      </tp>
      <tp>
        <v>21.1</v>
        <stp/>
        <stp>2903</stp>
        <stp>Price</stp>
        <tr r="W1637" s="57"/>
      </tp>
      <tp>
        <v>19.25</v>
        <stp/>
        <stp>2913</stp>
        <stp>Price</stp>
        <tr r="W1644" s="57"/>
      </tp>
      <tp>
        <v>24.4</v>
        <stp/>
        <stp>2923</stp>
        <stp>Price</stp>
        <tr r="W1469" s="57"/>
      </tp>
      <tp>
        <v>62.1</v>
        <stp/>
        <stp>3213</stp>
        <stp>Price</stp>
        <tr r="W734" s="57"/>
      </tp>
      <tp>
        <v>685</v>
        <stp/>
        <stp>3293</stp>
        <stp>Price</stp>
        <tr r="W1776" s="57"/>
      </tp>
      <tp>
        <v>27.6</v>
        <stp/>
        <stp>3363</stp>
        <stp>Price</stp>
        <tr r="W955" s="57"/>
      </tp>
      <tp>
        <v>30.6</v>
        <stp/>
        <stp>3373</stp>
        <stp>Price</stp>
        <tr r="W1715" s="57"/>
      </tp>
      <tp>
        <v>26.5</v>
        <stp/>
        <stp>3303</stp>
        <stp>Price</stp>
        <tr r="W1712" s="57"/>
      </tp>
      <tp>
        <v>11.35</v>
        <stp/>
        <stp>3313</stp>
        <stp>Price</stp>
        <tr r="W1086" s="57"/>
      </tp>
      <tp>
        <v>40</v>
        <stp/>
        <stp>3323</stp>
        <stp>Price</stp>
        <tr r="W738" s="57"/>
      </tp>
      <tp>
        <v>6.75</v>
        <stp/>
        <stp>3383</stp>
        <stp>Price</stp>
        <tr r="W838" s="57"/>
      </tp>
      <tp>
        <v>4.6100000000000003</v>
        <stp/>
        <stp>3043</stp>
        <stp>Price</stp>
        <tr r="W1706" s="57"/>
      </tp>
      <tp>
        <v>28.95</v>
        <stp/>
        <stp>3073</stp>
        <stp>Price</stp>
        <tr r="W558" s="57"/>
      </tp>
      <tp>
        <v>82.9</v>
        <stp/>
        <stp>3003</stp>
        <stp>Price</stp>
        <tr r="W1056" s="57"/>
      </tp>
      <tp>
        <v>13.3</v>
        <stp/>
        <stp>3013</stp>
        <stp>Price</stp>
        <tr r="W725" s="57"/>
      </tp>
      <tp>
        <v>267.5</v>
        <stp/>
        <stp>3023</stp>
        <stp>Price</stp>
        <tr r="W1060" s="57"/>
      </tp>
      <tp>
        <v>31.9</v>
        <stp/>
        <stp>3033</stp>
        <stp>Price</stp>
        <tr r="W1232" s="57"/>
      </tp>
      <tp>
        <v>48.5</v>
        <stp/>
        <stp>3083</stp>
        <stp>Price</stp>
        <tr r="W1774" s="57"/>
      </tp>
      <tp>
        <v>85.3</v>
        <stp/>
        <stp>3093</stp>
        <stp>Price</stp>
        <tr r="W1708" s="57"/>
      </tp>
      <tp>
        <v>40.9</v>
        <stp/>
        <stp>3163</stp>
        <stp>Price</stp>
        <tr r="W950" s="57"/>
      </tp>
      <tp>
        <v>371</v>
        <stp/>
        <stp>3653</stp>
        <stp>Price</stp>
        <tr r="W1118" s="57"/>
      </tp>
      <tp>
        <v>30.2</v>
        <stp/>
        <stp>3663</stp>
        <stp>Price</stp>
        <tr r="W1729" s="57"/>
      </tp>
      <tp>
        <v>37.4</v>
        <stp/>
        <stp>3673</stp>
        <stp>Price</stp>
        <tr r="W861" s="57"/>
      </tp>
      <tp>
        <v>19.649999999999999</v>
        <stp/>
        <stp>3623</stp>
        <stp>Price</stp>
        <tr r="W857" s="57"/>
      </tp>
      <tp>
        <v>51.1</v>
        <stp/>
        <stp>3693</stp>
        <stp>Price</stp>
        <tr r="W754" s="57"/>
      </tp>
      <tp>
        <v>23.5</v>
        <stp/>
        <stp>3703</stp>
        <stp>Price</stp>
        <tr r="W1475" s="57"/>
      </tp>
      <tp>
        <v>34.5</v>
        <stp/>
        <stp>3713</stp>
        <stp>Price</stp>
        <tr r="W96" s="22"/>
        <tr r="W34" s="28"/>
        <tr r="W95" s="22"/>
        <tr r="W864" s="57"/>
      </tp>
      <tp>
        <v>475</v>
        <stp/>
        <stp>3443</stp>
        <stp>Price</stp>
        <tr r="W579" s="57"/>
      </tp>
      <tp>
        <v>212.5</v>
        <stp/>
        <stp>3413</stp>
        <stp>Price</stp>
        <tr r="W577" s="57"/>
      </tp>
      <tp>
        <v>75.7</v>
        <stp/>
        <stp>3483</stp>
        <stp>Price</stp>
        <tr r="W744" s="57"/>
      </tp>
      <tp>
        <v>23</v>
        <stp/>
        <stp>3543</stp>
        <stp>Price</stp>
        <tr r="W851" s="57"/>
      </tp>
      <tp>
        <v>213</v>
        <stp/>
        <stp>3563</stp>
        <stp>Price</stp>
        <tr r="W852" s="57"/>
      </tp>
      <tp>
        <v>670</v>
        <stp/>
        <stp>3533</stp>
        <stp>Price</stp>
        <tr r="W1105" s="57"/>
      </tp>
      <tp>
        <v>85.5</v>
        <stp/>
        <stp>3583</stp>
        <stp>Price</stp>
        <tr r="W590" s="57"/>
      </tp>
      <tp>
        <v>15.2</v>
        <stp/>
        <stp>3593</stp>
        <stp>Price</stp>
        <tr r="W1109" s="57"/>
      </tp>
      <tp>
        <v>32.85</v>
        <stp/>
        <stp>1203</stp>
        <stp>Price</stp>
        <tr r="W14" s="57"/>
      </tp>
      <tp t="s">
        <v>無資料</v>
        <stp/>
        <stp>1213</stp>
        <stp>Price</stp>
        <tr r="W16" s="57"/>
      </tp>
      <tp>
        <v>33.25</v>
        <stp/>
        <stp>1233</stp>
        <stp>Price</stp>
        <tr r="W28" s="57"/>
      </tp>
      <tp>
        <v>89.8</v>
        <stp/>
        <stp>1303</stp>
        <stp>Price</stp>
        <tr r="W43" s="57"/>
      </tp>
      <tp>
        <v>18.95</v>
        <stp/>
        <stp>1313</stp>
        <stp>Price</stp>
        <tr r="W51" s="57"/>
      </tp>
      <tp>
        <v>36.25</v>
        <stp/>
        <stp>1323</stp>
        <stp>Price</stp>
        <tr r="W55" s="57"/>
      </tp>
      <tp>
        <v>20.2</v>
        <stp/>
        <stp>1103</stp>
        <stp>Price</stp>
        <tr r="W6" s="57"/>
      </tp>
      <tp>
        <v>28.4</v>
        <stp/>
        <stp>1603</stp>
        <stp>Price</stp>
        <tr r="W225" s="57"/>
      </tp>
      <tp>
        <v>206.5</v>
        <stp/>
        <stp>1773</stp>
        <stp>Price</stp>
        <tr r="W263" s="57"/>
      </tp>
      <tp>
        <v>24</v>
        <stp/>
        <stp>1713</stp>
        <stp>Price</stp>
        <tr r="W249" s="57"/>
      </tp>
      <tp>
        <v>117.5</v>
        <stp/>
        <stp>1723</stp>
        <stp>Price</stp>
        <tr r="W255" s="57"/>
      </tp>
      <tp>
        <v>25.25</v>
        <stp/>
        <stp>1733</stp>
        <stp>Price</stp>
        <tr r="W295" s="57"/>
      </tp>
      <tp>
        <v>40.25</v>
        <stp/>
        <stp>1783</stp>
        <stp>Price</stp>
        <tr r="W303" s="57"/>
      </tp>
      <tp>
        <v>15.5</v>
        <stp/>
        <stp>1443</stp>
        <stp>Price</stp>
        <tr r="W83" s="57"/>
      </tp>
      <tp>
        <v>8.44</v>
        <stp/>
        <stp>1453</stp>
        <stp>Price</stp>
        <tr r="W91" s="57"/>
      </tp>
      <tp>
        <v>13.55</v>
        <stp/>
        <stp>1463</stp>
        <stp>Price</stp>
        <tr r="W98" s="57"/>
      </tp>
      <tp>
        <v>18.149999999999999</v>
        <stp/>
        <stp>1473</stp>
        <stp>Price</stp>
        <tr r="W106" s="57"/>
      </tp>
      <tp>
        <v>10.7</v>
        <stp/>
        <stp>1413</stp>
        <stp>Price</stp>
        <tr r="W73" s="57"/>
      </tp>
      <tp>
        <v>19.8</v>
        <stp/>
        <stp>1423</stp>
        <stp>Price</stp>
        <tr r="W78" s="57"/>
      </tp>
      <tp>
        <v>52.4</v>
        <stp/>
        <stp>1503</stp>
        <stp>Price</stp>
        <tr r="W128" s="57"/>
      </tp>
      <tp>
        <v>45.55</v>
        <stp/>
        <stp>1513</stp>
        <stp>Price</stp>
        <tr r="W132" s="57"/>
      </tp>
      <tp>
        <v>54.3</v>
        <stp/>
        <stp>1533</stp>
        <stp>Price</stp>
        <tr r="W501" s="57"/>
      </tp>
      <tp>
        <v>55.5</v>
        <stp/>
        <stp>1583</stp>
        <stp>Price</stp>
        <tr r="W154" s="57"/>
      </tp>
      <tp>
        <v>71.3</v>
        <stp/>
        <stp>1593</stp>
        <stp>Price</stp>
        <tr r="W289" s="57"/>
      </tp>
      <tp>
        <v>18.899999999999999</v>
        <stp/>
        <stp>1813</stp>
        <stp>Price</stp>
        <tr r="W310" s="57"/>
      </tp>
      <tp>
        <v>60.9</v>
        <stp/>
        <stp>1903</stp>
        <stp>Price</stp>
        <tr r="W423" s="57"/>
      </tp>
      <tp>
        <v>43.1</v>
        <stp/>
        <stp>6243</stp>
        <stp>Price</stp>
        <tr r="W640" s="57"/>
      </tp>
      <tp>
        <v>72</v>
        <stp/>
        <stp>6263</stp>
        <stp>Price</stp>
        <tr r="W993" s="57"/>
      </tp>
      <tp>
        <v>63.2</v>
        <stp/>
        <stp>6203</stp>
        <stp>Price</stp>
        <tr r="W1171" s="57"/>
      </tp>
      <tp>
        <v>120</v>
        <stp/>
        <stp>6213</stp>
        <stp>Price</stp>
        <tr r="W1177" s="57"/>
      </tp>
      <tp>
        <v>101</v>
        <stp/>
        <stp>6223</stp>
        <stp>Price</stp>
        <tr r="W635" s="57"/>
        <tr r="W82" s="74"/>
        <tr r="W83" s="74"/>
      </tp>
      <tp>
        <v>28.15</v>
        <stp/>
        <stp>6233</stp>
        <stp>Price</stp>
        <tr r="W637" s="57"/>
      </tp>
      <tp>
        <v>37.75</v>
        <stp/>
        <stp>6283</stp>
        <stp>Price</stp>
        <tr r="W1750" s="57"/>
      </tp>
      <tp>
        <v>49.55</v>
        <stp/>
        <stp>6023</stp>
        <stp>Price</stp>
        <tr r="W1628" s="57"/>
      </tp>
      <tp>
        <v>46.8</v>
        <stp/>
        <stp>6143</stp>
        <stp>Price</stp>
        <tr r="W984" s="57"/>
      </tp>
      <tp>
        <v>22.95</v>
        <stp/>
        <stp>6153</stp>
        <stp>Price</stp>
        <tr r="W1159" s="57"/>
      </tp>
      <tp>
        <v>18.05</v>
        <stp/>
        <stp>6163</stp>
        <stp>Price</stp>
        <tr r="W986" s="57"/>
      </tp>
      <tp>
        <v>54.3</v>
        <stp/>
        <stp>6173</stp>
        <stp>Price</stp>
        <tr r="W1164" s="57"/>
      </tp>
      <tp>
        <v>7.8</v>
        <stp/>
        <stp>6103</stp>
        <stp>Price</stp>
        <tr r="W627" s="57"/>
      </tp>
      <tp>
        <v>13.2</v>
        <stp/>
        <stp>6113</stp>
        <stp>Price</stp>
        <tr r="W1245" s="57"/>
      </tp>
      <tp>
        <v>53.2</v>
        <stp/>
        <stp>6123</stp>
        <stp>Price</stp>
        <tr r="W777" s="57"/>
      </tp>
      <tp>
        <v>9.1999999999999993</v>
        <stp/>
        <stp>6133</stp>
        <stp>Price</stp>
        <tr r="W1156" s="57"/>
      </tp>
      <tp>
        <v>52.5</v>
        <stp/>
        <stp>6183</stp>
        <stp>Price</stp>
        <tr r="W1287" s="57"/>
      </tp>
      <tp>
        <v>325</v>
        <stp/>
        <stp>6643</stp>
        <stp>Price</stp>
        <tr r="W667" s="57"/>
      </tp>
      <tp>
        <v>16.8</v>
        <stp/>
        <stp>6603</stp>
        <stp>Price</stp>
        <tr r="W212" s="57"/>
      </tp>
      <tp>
        <v>170.5</v>
        <stp/>
        <stp>6613</stp>
        <stp>Price</stp>
        <tr r="W1755" s="57"/>
      </tp>
      <tp>
        <v>235.5</v>
        <stp/>
        <stp>6683</stp>
        <stp>Price</stp>
        <tr r="W670" s="57"/>
      </tp>
      <tp>
        <v>100</v>
        <stp/>
        <stp>6693</stp>
        <stp>Price</stp>
        <tr r="W672" s="57"/>
      </tp>
      <tp>
        <v>68.900000000000006</v>
        <stp/>
        <stp>6743</stp>
        <stp>Price</stp>
        <tr r="W1760" s="57"/>
      </tp>
      <tp>
        <v>925</v>
        <stp/>
        <stp>6763</stp>
        <stp>Price</stp>
        <tr r="W60" s="28"/>
        <tr r="W1805" s="57"/>
      </tp>
      <tp>
        <v>81.2</v>
        <stp/>
        <stp>6703</stp>
        <stp>Price</stp>
        <tr r="W402" s="57"/>
      </tp>
      <tp>
        <v>25</v>
        <stp/>
        <stp>6733</stp>
        <stp>Price</stp>
        <tr r="W404" s="57"/>
      </tp>
      <tp>
        <v>40.700000000000003</v>
        <stp/>
        <stp>6443</stp>
        <stp>Price</stp>
        <tr r="W910" s="57"/>
      </tp>
      <tp>
        <v>17</v>
        <stp/>
        <stp>6573</stp>
        <stp>Price</stp>
        <tr r="W664" s="57"/>
      </tp>
      <tp>
        <v>92.5</v>
        <stp/>
        <stp>6523</stp>
        <stp>Price</stp>
        <tr r="W19" s="28"/>
        <tr r="W10" s="22"/>
        <tr r="W11" s="22"/>
        <tr r="W12" s="22"/>
        <tr r="W13" s="22"/>
        <tr r="W386" s="57"/>
      </tp>
      <tp>
        <v>396</v>
        <stp/>
        <stp>6533</stp>
        <stp>Price</stp>
        <tr r="W660" s="57"/>
      </tp>
      <tp>
        <v>36.1</v>
        <stp/>
        <stp>6593</stp>
        <stp>Price</stp>
        <tr r="W1294" s="57"/>
        <tr r="W1295" s="57"/>
      </tp>
      <tp>
        <v>238</v>
        <stp/>
        <stp>6803</stp>
        <stp>Price</stp>
        <tr r="W1357" s="57"/>
      </tp>
      <tp>
        <v>24.6</v>
        <stp/>
        <stp>4303</stp>
        <stp>Price</stp>
        <tr r="W62" s="57"/>
      </tp>
      <tp>
        <v>24.95</v>
        <stp/>
        <stp>4153</stp>
        <stp>Price</stp>
        <tr r="W345" s="57"/>
      </tp>
      <tp>
        <v>82.6</v>
        <stp/>
        <stp>4163</stp>
        <stp>Price</stp>
        <tr r="W28" s="28"/>
        <tr r="W82" s="22"/>
        <tr r="W83" s="22"/>
        <tr r="W352" s="57"/>
      </tp>
      <tp>
        <v>17.2</v>
        <stp/>
        <stp>4173</stp>
        <stp>Price</stp>
        <tr r="W356" s="57"/>
      </tp>
      <tp>
        <v>14.2</v>
        <stp/>
        <stp>4113</stp>
        <stp>Price</stp>
        <tr r="W1476" s="57"/>
      </tp>
      <tp>
        <v>58.1</v>
        <stp/>
        <stp>4123</stp>
        <stp>Price</stp>
        <tr r="W330" s="57"/>
      </tp>
      <tp>
        <v>36.65</v>
        <stp/>
        <stp>4133</stp>
        <stp>Price</stp>
        <tr r="W337" s="57"/>
      </tp>
      <tp>
        <v>18.05</v>
        <stp/>
        <stp>4183</stp>
        <stp>Price</stp>
        <tr r="W359" s="57"/>
      </tp>
      <tp>
        <v>211</v>
        <stp/>
        <stp>4743</stp>
        <stp>Price</stp>
        <tr r="W16" s="28"/>
        <tr r="W369" s="57"/>
      </tp>
      <tp>
        <v>90.3</v>
        <stp/>
        <stp>4763</stp>
        <stp>Price</stp>
        <tr r="W279" s="57"/>
      </tp>
      <tp>
        <v>11.35</v>
        <stp/>
        <stp>4413</stp>
        <stp>Price</stp>
        <tr r="W114" s="57"/>
      </tp>
      <tp>
        <v>29.95</v>
        <stp/>
        <stp>4433</stp>
        <stp>Price</stp>
        <tr r="W122" s="57"/>
      </tp>
      <tp>
        <v>18.2</v>
        <stp/>
        <stp>4543</stp>
        <stp>Price</stp>
        <tr r="W191" s="57"/>
      </tp>
      <tp>
        <v>30.05</v>
        <stp/>
        <stp>4563</stp>
        <stp>Price</stp>
        <tr r="W201" s="57"/>
      </tp>
      <tp>
        <v>28</v>
        <stp/>
        <stp>4503</stp>
        <stp>Price</stp>
        <tr r="W176" s="57"/>
      </tp>
      <tp>
        <v>18.95</v>
        <stp/>
        <stp>4513</stp>
        <stp>Price</stp>
        <tr r="W179" s="57"/>
      </tp>
      <tp>
        <v>26.95</v>
        <stp/>
        <stp>4523</stp>
        <stp>Price</stp>
        <tr r="W180" s="57"/>
      </tp>
      <tp>
        <v>11.5</v>
        <stp/>
        <stp>4533</stp>
        <stp>Price</stp>
        <tr r="W186" s="57"/>
      </tp>
      <tp>
        <v>26.25</v>
        <stp/>
        <stp>4943</stp>
        <stp>Price</stp>
        <tr r="W1128" s="57"/>
      </tp>
      <tp>
        <v>87.6</v>
        <stp/>
        <stp>4953</stp>
        <stp>Price</stp>
        <tr r="W1272" s="57"/>
      </tp>
      <tp>
        <v>23.1</v>
        <stp/>
        <stp>4973</stp>
        <stp>Price</stp>
        <tr r="W608" s="57"/>
      </tp>
      <tp>
        <v>10.85</v>
        <stp/>
        <stp>4903</stp>
        <stp>Price</stp>
        <tr r="W971" s="57"/>
      </tp>
      <tp>
        <v>77.5</v>
        <stp/>
        <stp>4923</stp>
        <stp>Price</stp>
        <tr r="W61" s="28"/>
        <tr r="W600" s="57"/>
      </tp>
      <tp>
        <v>37.700000000000003</v>
        <stp/>
        <stp>4933</stp>
        <stp>Price</stp>
        <tr r="W867" s="57"/>
      </tp>
      <tp>
        <v>56.8</v>
        <stp/>
        <stp>5243</stp>
        <stp>Price</stp>
        <tr r="W880" s="57"/>
      </tp>
      <tp>
        <v>116.5</v>
        <stp/>
        <stp>5263</stp>
        <stp>Price</stp>
        <tr r="W1781" s="57"/>
      </tp>
      <tp>
        <v>104.5</v>
        <stp/>
        <stp>5203</stp>
        <stp>Price</stp>
        <tr r="W1276" s="57"/>
      </tp>
      <tp>
        <v>23.5</v>
        <stp/>
        <stp>5213</stp>
        <stp>Price</stp>
        <tr r="W1480" s="57"/>
      </tp>
      <tp>
        <v>51.4</v>
        <stp/>
        <stp>5223</stp>
        <stp>Price</stp>
        <tr r="W25" s="28"/>
        <tr r="W34" s="22"/>
        <tr r="W35" s="22"/>
        <tr r="W36" s="22"/>
        <tr r="W33" s="22"/>
        <tr r="W765" s="57"/>
      </tp>
      <tp>
        <v>120.5</v>
        <stp/>
        <stp>5283</stp>
        <stp>Price</stp>
        <tr r="W241" s="57"/>
      </tp>
      <tp>
        <v>20.149999999999999</v>
        <stp/>
        <stp>5353</stp>
        <stp>Price</stp>
        <tr r="W979" s="57"/>
      </tp>
      <tp>
        <v>39.049999999999997</v>
        <stp/>
        <stp>5383</stp>
        <stp>Price</stp>
        <tr r="W1735" s="57"/>
      </tp>
      <tp>
        <v>38.9</v>
        <stp/>
        <stp>5013</stp>
        <stp>Price</stp>
        <tr r="W466" s="57"/>
      </tp>
      <tp>
        <v>36.85</v>
        <stp/>
        <stp>5603</stp>
        <stp>Price</stp>
        <tr r="W1534" s="57"/>
      </tp>
      <tp>
        <v>24.3</v>
        <stp/>
        <stp>5703</stp>
        <stp>Price</stp>
        <tr r="W1579" s="57"/>
      </tp>
      <tp>
        <v>29.6</v>
        <stp/>
        <stp>5443</stp>
        <stp>Price</stp>
        <tr r="W889" s="57"/>
      </tp>
      <tp>
        <v>70.5</v>
        <stp/>
        <stp>5403</stp>
        <stp>Price</stp>
        <tr r="W1282" s="57"/>
      </tp>
      <tp>
        <v>171.5</v>
        <stp/>
        <stp>5483</stp>
        <stp>Price</stp>
        <tr r="W625" s="57"/>
      </tp>
      <tp>
        <v>43.95</v>
        <stp/>
        <stp>5493</stp>
        <stp>Price</stp>
        <tr r="W1738" s="57"/>
      </tp>
      <tp>
        <v>59.2</v>
        <stp/>
        <stp>5543</stp>
        <stp>Price</stp>
        <tr r="W1498" s="57"/>
      </tp>
      <tp>
        <v>28.1</v>
        <stp/>
        <stp>5523</stp>
        <stp>Price</stp>
        <tr r="W1492" s="57"/>
      </tp>
      <tp>
        <v>19.2</v>
        <stp/>
        <stp>5533</stp>
        <stp>Price</stp>
        <tr r="W1496" s="57"/>
      </tp>
      <tp>
        <v>212.5</v>
        <stp/>
        <stp>5903</stp>
        <stp>Price</stp>
        <tr r="W1656" s="57"/>
      </tp>
      <tp>
        <v>49.2</v>
        <stp/>
        <stp>8213</stp>
        <stp>Price</stp>
        <tr r="W1219" s="57"/>
      </tp>
      <tp>
        <v>39.5</v>
        <stp/>
        <stp>8383</stp>
        <stp>Price</stp>
        <tr r="W1767" s="57"/>
      </tp>
      <tp>
        <v>25.7</v>
        <stp/>
        <stp>8043</stp>
        <stp>Price</stp>
        <tr r="W1206" s="57"/>
      </tp>
      <tp>
        <v>15.75</v>
        <stp/>
        <stp>8033</stp>
        <stp>Price</stp>
        <tr r="W1359" s="57"/>
      </tp>
      <tp>
        <v>178</v>
        <stp/>
        <stp>8083</stp>
        <stp>Price</stp>
        <tr r="W216" s="57"/>
      </tp>
      <tp>
        <v>8</v>
        <stp/>
        <stp>8093</stp>
        <stp>Price</stp>
        <tr r="W1212" s="57"/>
      </tp>
      <tp>
        <v>48.4</v>
        <stp/>
        <stp>8163</stp>
        <stp>Price</stp>
        <tr r="W801" s="57"/>
      </tp>
      <tp>
        <v>46.1</v>
        <stp/>
        <stp>8103</stp>
        <stp>Price</stp>
        <tr r="W1213" s="57"/>
      </tp>
      <tp>
        <v>54.1</v>
        <stp/>
        <stp>8183</stp>
        <stp>Price</stp>
        <tr r="W1765" s="57"/>
      </tp>
      <tp>
        <v>11.6</v>
        <stp/>
        <stp>8443</stp>
        <stp>Price</stp>
        <tr r="W1666" s="57"/>
      </tp>
      <tp>
        <v>28.45</v>
        <stp/>
        <stp>8463</stp>
        <stp>Price</stp>
        <tr r="W1379" s="57"/>
      </tp>
      <tp>
        <v>31.7</v>
        <stp/>
        <stp>8473</stp>
        <stp>Price</stp>
        <tr r="W1383" s="57"/>
      </tp>
      <tp>
        <v>27.05</v>
        <stp/>
        <stp>8403</stp>
        <stp>Price</stp>
        <tr r="W409" s="57"/>
      </tp>
      <tp t="s">
        <v>無資料</v>
        <stp/>
        <stp>8423</stp>
        <stp>Price</stp>
        <tr r="W1370" s="57"/>
      </tp>
      <tp>
        <v>44.9</v>
        <stp/>
        <stp>8433</stp>
        <stp>Price</stp>
        <tr r="W1665" s="57"/>
      </tp>
      <tp>
        <v>18.95</v>
        <stp/>
        <stp>8923</stp>
        <stp>Price</stp>
        <tr r="W1795" s="57"/>
      </tp>
      <tp>
        <v>12.2</v>
        <stp/>
        <stp>8933</stp>
        <stp>Price</stp>
        <tr r="W1399" s="57"/>
      </tp>
      <tp>
        <v>59.8</v>
        <stp/>
        <stp>9943</stp>
        <stp>Price</stp>
        <tr r="W1585" s="57"/>
      </tp>
      <tp>
        <v>44.15</v>
        <stp/>
        <stp>9933</stp>
        <stp>Price</stp>
        <tr r="W1422" s="57"/>
      </tp>
      <tp>
        <v>14407.33</v>
        <stp/>
        <stp>$TWMC</stp>
        <stp>Price</stp>
        <tr r="T3" s="85"/>
      </tp>
      <tp>
        <v>100</v>
        <stp/>
        <stp>2250</stp>
        <stp>Price</stp>
        <tr r="W518" s="57"/>
      </tp>
      <tp>
        <v>15.2</v>
        <stp/>
        <stp>2230</stp>
        <stp>Price</stp>
        <tr r="W165" s="57"/>
      </tp>
      <tp>
        <v>49.6</v>
        <stp/>
        <stp>2340</stp>
        <stp>Price</stp>
        <tr r="W809" s="57"/>
      </tp>
      <tp>
        <v>180</v>
        <stp/>
        <stp>2360</stp>
        <stp>Price</stp>
        <tr r="W1691" s="57"/>
      </tp>
      <tp>
        <v>575</v>
        <stp/>
        <stp>2330</stp>
        <stp>Price</stp>
        <tr r="W531" s="57"/>
      </tp>
      <tp>
        <v>12.1</v>
        <stp/>
        <stp>2380</stp>
        <stp>Price</stp>
        <tr r="W711" s="57"/>
      </tp>
      <tp>
        <v>19.3</v>
        <stp/>
        <stp>2390</stp>
        <stp>Price</stp>
        <tr r="W1693" s="57"/>
      </tp>
      <tp>
        <v>32.65</v>
        <stp/>
        <stp>2070</stp>
        <stp>Price</stp>
        <tr r="W164" s="57"/>
      </tp>
      <tp>
        <v>24.55</v>
        <stp/>
        <stp>2010</stp>
        <stp>Price</stp>
        <tr r="W436" s="57"/>
      </tp>
      <tp>
        <v>32.799999999999997</v>
        <stp/>
        <stp>2020</stp>
        <stp>Price</stp>
        <tr r="W442" s="57"/>
      </tp>
      <tp>
        <v>33.799999999999997</v>
        <stp/>
        <stp>2030</stp>
        <stp>Price</stp>
        <tr r="W450" s="57"/>
      </tp>
      <tp>
        <v>81.400000000000006</v>
        <stp/>
        <stp>2640</stp>
        <stp>Price</stp>
        <tr r="W1319" s="57"/>
      </tp>
      <tp>
        <v>26.95</v>
        <stp/>
        <stp>2610</stp>
        <stp>Price</stp>
        <tr r="W1518" s="57"/>
      </tp>
      <tp>
        <v>18.5</v>
        <stp/>
        <stp>2630</stp>
        <stp>Price</stp>
        <tr r="W1525" s="57"/>
      </tp>
      <tp>
        <v>23.5</v>
        <stp/>
        <stp>2740</stp>
        <stp>Price</stp>
        <tr r="W1564" s="57"/>
      </tp>
      <tp>
        <v>15</v>
        <stp/>
        <stp>2440</stp>
        <stp>Price</stp>
        <tr r="W1044" s="57"/>
      </tp>
      <tp>
        <v>33</v>
        <stp/>
        <stp>2450</stp>
        <stp>Price</stp>
        <tr r="W937" s="57"/>
      </tp>
      <tp>
        <v>24.5</v>
        <stp/>
        <stp>2460</stp>
        <stp>Price</stp>
        <tr r="W1046" s="57"/>
      </tp>
      <tp>
        <v>43.4</v>
        <stp/>
        <stp>2420</stp>
        <stp>Price</stp>
        <tr r="W1039" s="57"/>
      </tp>
      <tp>
        <v>44.8</v>
        <stp/>
        <stp>2430</stp>
        <stp>Price</stp>
        <tr r="W1228" s="57"/>
      </tp>
      <tp>
        <v>95</v>
        <stp/>
        <stp>2480</stp>
        <stp>Price</stp>
        <tr r="W1268" s="57"/>
      </tp>
      <tp>
        <v>92.4</v>
        <stp/>
        <stp>2540</stp>
        <stp>Price</stp>
        <tr r="W1459" s="57"/>
      </tp>
      <tp>
        <v>37.1</v>
        <stp/>
        <stp>2520</stp>
        <stp>Price</stp>
        <tr r="W1448" s="57"/>
      </tp>
      <tp>
        <v>14.5</v>
        <stp/>
        <stp>2530</stp>
        <stp>Price</stp>
        <tr r="W1452" s="57"/>
      </tp>
      <tp>
        <v>49.3</v>
        <stp/>
        <stp>2850</stp>
        <stp>Price</stp>
        <tr r="W1599" s="57"/>
      </tp>
      <tp>
        <v>17.100000000000001</v>
        <stp/>
        <stp>2820</stp>
        <stp>Price</stp>
        <tr r="W1592" s="57"/>
      </tp>
      <tp>
        <v>22.4</v>
        <stp/>
        <stp>2880</stp>
        <stp>Price</stp>
        <tr r="W1604" s="57"/>
      </tp>
      <tp>
        <v>16.899999999999999</v>
        <stp/>
        <stp>2890</stp>
        <stp>Price</stp>
        <tr r="W1614" s="57"/>
      </tp>
      <tp>
        <v>30.4</v>
        <stp/>
        <stp>2910</stp>
        <stp>Price</stp>
        <tr r="W1641" s="57"/>
      </tp>
      <tp>
        <v>89.4</v>
        <stp/>
        <stp>3260</stp>
        <stp>Price</stp>
        <tr r="W11" s="114"/>
        <tr r="W10" s="74"/>
        <tr r="W8" s="114"/>
        <tr r="W570" s="57"/>
        <tr r="W9" s="74"/>
      </tp>
      <tp>
        <v>15.3</v>
        <stp/>
        <stp>3230</stp>
        <stp>Price</stp>
        <tr r="W833" s="57"/>
      </tp>
      <tp>
        <v>19.600000000000001</v>
        <stp/>
        <stp>3290</stp>
        <stp>Price</stp>
        <tr r="W1081" s="57"/>
      </tp>
      <tp>
        <v>15.9</v>
        <stp/>
        <stp>3360</stp>
        <stp>Price</stp>
        <tr r="W1240" s="57"/>
      </tp>
      <tp>
        <v>41.85</v>
        <stp/>
        <stp>3310</stp>
        <stp>Price</stp>
        <tr r="W1085" s="57"/>
      </tp>
      <tp>
        <v>30.25</v>
        <stp/>
        <stp>3380</stp>
        <stp>Price</stp>
        <tr r="W956" s="57"/>
      </tp>
      <tp>
        <v>19.149999999999999</v>
        <stp/>
        <stp>3390</stp>
        <stp>Price</stp>
        <tr r="W1095" s="57"/>
      </tp>
      <tp>
        <v>37.75</v>
        <stp/>
        <stp>3040</stp>
        <stp>Price</stp>
        <tr r="W1321" s="57"/>
      </tp>
      <tp>
        <v>18.05</v>
        <stp/>
        <stp>3050</stp>
        <stp>Price</stp>
        <tr r="W827" s="57"/>
      </tp>
      <tp>
        <v>22</v>
        <stp/>
        <stp>3060</stp>
        <stp>Price</stp>
        <tr r="W730" s="57"/>
      </tp>
      <tp>
        <v>108.5</v>
        <stp/>
        <stp>3010</stp>
        <stp>Price</stp>
        <tr r="W1230" s="57"/>
      </tp>
      <tp>
        <v>64.3</v>
        <stp/>
        <stp>3030</stp>
        <stp>Price</stp>
        <tr r="W1705" s="57"/>
      </tp>
      <tp>
        <v>53.1</v>
        <stp/>
        <stp>3090</stp>
        <stp>Price</stp>
        <tr r="W1068" s="57"/>
      </tp>
      <tp>
        <v>195</v>
        <stp/>
        <stp>3130</stp>
        <stp>Price</stp>
        <tr r="W1270" s="57"/>
      </tp>
      <tp>
        <v>32.5</v>
        <stp/>
        <stp>3630</stp>
        <stp>Price</stp>
        <tr r="W858" s="57"/>
      </tp>
      <tp>
        <v>245</v>
        <stp/>
        <stp>3680</stp>
        <stp>Price</stp>
        <tr r="W595" s="57"/>
      </tp>
      <tp>
        <v>15.4</v>
        <stp/>
        <stp>3710</stp>
        <stp>Price</stp>
        <tr r="W1121" s="57"/>
      </tp>
      <tp>
        <v>49.15</v>
        <stp/>
        <stp>3450</stp>
        <stp>Price</stp>
        <tr r="W1717" s="57"/>
      </tp>
      <tp>
        <v>30.35</v>
        <stp/>
        <stp>3490</stp>
        <stp>Price</stp>
        <tr r="W846" s="57"/>
      </tp>
      <tp>
        <v>36.700000000000003</v>
        <stp/>
        <stp>3540</stp>
        <stp>Price</stp>
        <tr r="W748" s="57"/>
      </tp>
      <tp>
        <v>17</v>
        <stp/>
        <stp>3550</stp>
        <stp>Price</stp>
        <tr r="W1108" s="57"/>
      </tp>
      <tp>
        <v>84.6</v>
        <stp/>
        <stp>3570</stp>
        <stp>Price</stp>
        <tr r="W1271" s="57"/>
      </tp>
      <tp>
        <v>15.45</v>
        <stp/>
        <stp>3520</stp>
        <stp>Price</stp>
        <tr r="W1103" s="57"/>
      </tp>
      <tp>
        <v>100</v>
        <stp/>
        <stp>3530</stp>
        <stp>Price</stp>
        <tr r="W582" s="57"/>
      </tp>
      <tp>
        <v>60.3</v>
        <stp/>
        <stp>3580</stp>
        <stp>Price</stp>
        <tr r="W1724" s="57"/>
      </tp>
      <tp>
        <v>134.4</v>
        <stp/>
        <stp>0050</stp>
        <stp>Price</stp>
        <tr r="W10" s="28"/>
        <tr r="W1" s="57"/>
      </tp>
      <tp>
        <v>50.3</v>
        <stp/>
        <stp>1240</stp>
        <stp>Price</stp>
        <tr r="W1812" s="57"/>
      </tp>
      <tp>
        <v>53.8</v>
        <stp/>
        <stp>1210</stp>
        <stp>Price</stp>
        <tr r="W15" s="57"/>
      </tp>
      <tp>
        <v>16.399999999999999</v>
        <stp/>
        <stp>1220</stp>
        <stp>Price</stp>
        <tr r="W22" s="57"/>
      </tp>
      <tp>
        <v>10.45</v>
        <stp/>
        <stp>1340</stp>
        <stp>Price</stp>
        <tr r="W60" s="57"/>
      </tp>
      <tp>
        <v>17.350000000000001</v>
        <stp/>
        <stp>1310</stp>
        <stp>Price</stp>
        <tr r="W49" s="57"/>
      </tp>
      <tp>
        <v>19.95</v>
        <stp/>
        <stp>1110</stp>
        <stp>Price</stp>
        <tr r="W10" s="57"/>
      </tp>
      <tp>
        <v>98.3</v>
        <stp/>
        <stp>1760</stp>
        <stp>Price</stp>
        <tr r="W299" s="57"/>
      </tp>
      <tp>
        <v>21.7</v>
        <stp/>
        <stp>1710</stp>
        <stp>Price</stp>
        <tr r="W246" s="57"/>
      </tp>
      <tp>
        <v>42.6</v>
        <stp/>
        <stp>1720</stp>
        <stp>Price</stp>
        <tr r="W293" s="57"/>
      </tp>
      <tp>
        <v>62.3</v>
        <stp/>
        <stp>1730</stp>
        <stp>Price</stp>
        <tr r="W259" s="57"/>
      </tp>
      <tp>
        <v>22.6</v>
        <stp/>
        <stp>1440</stp>
        <stp>Price</stp>
        <tr r="W81" s="57"/>
      </tp>
      <tp>
        <v>8.14</v>
        <stp/>
        <stp>1460</stp>
        <stp>Price</stp>
        <tr r="W97" s="57"/>
      </tp>
      <tp>
        <v>21.55</v>
        <stp/>
        <stp>1470</stp>
        <stp>Price</stp>
        <tr r="W104" s="57"/>
      </tp>
      <tp>
        <v>36.65</v>
        <stp/>
        <stp>1410</stp>
        <stp>Price</stp>
        <tr r="W72" s="57"/>
      </tp>
      <tp>
        <v>14.6</v>
        <stp/>
        <stp>1540</stp>
        <stp>Price</stp>
        <tr r="W148" s="57"/>
      </tp>
      <tp>
        <v>120.5</v>
        <stp/>
        <stp>1560</stp>
        <stp>Price</stp>
        <tr r="W151" s="57"/>
      </tp>
      <tp>
        <v>18.899999999999999</v>
        <stp/>
        <stp>1570</stp>
        <stp>Price</stp>
        <tr r="W152" s="57"/>
      </tp>
      <tp>
        <v>31.5</v>
        <stp/>
        <stp>1530</stp>
        <stp>Price</stp>
        <tr r="W141" s="57"/>
      </tp>
      <tp>
        <v>103</v>
        <stp/>
        <stp>1580</stp>
        <stp>Price</stp>
        <tr r="W153" s="57"/>
      </tp>
      <tp>
        <v>889</v>
        <stp/>
        <stp>1590</stp>
        <stp>Price</stp>
        <tr r="W157" s="57"/>
      </tp>
      <tp>
        <v>15.4</v>
        <stp/>
        <stp>1810</stp>
        <stp>Price</stp>
        <tr r="W419" s="57"/>
      </tp>
      <tp>
        <v>16.75</v>
        <stp/>
        <stp>6240</stp>
        <stp>Price</stp>
        <tr r="W1291" s="57"/>
      </tp>
      <tp>
        <v>24.65</v>
        <stp/>
        <stp>6270</stp>
        <stp>Price</stp>
        <tr r="W1251" s="57"/>
      </tp>
      <tp>
        <v>41.85</v>
        <stp/>
        <stp>6210</stp>
        <stp>Price</stp>
        <tr r="W1176" s="57"/>
      </tp>
      <tp>
        <v>23.1</v>
        <stp/>
        <stp>6220</stp>
        <stp>Price</stp>
        <tr r="W1179" s="57"/>
      </tp>
      <tp>
        <v>137.5</v>
        <stp/>
        <stp>6230</stp>
        <stp>Price</stp>
        <tr r="W786" s="57"/>
      </tp>
      <tp>
        <v>50.3</v>
        <stp/>
        <stp>6290</stp>
        <stp>Price</stp>
        <tr r="W1189" s="57"/>
      </tp>
      <tp>
        <v>21.5</v>
        <stp/>
        <stp>6020</stp>
        <stp>Price</stp>
        <tr r="W1626" s="57"/>
      </tp>
      <tp>
        <v>16.95</v>
        <stp/>
        <stp>6140</stp>
        <stp>Price</stp>
        <tr r="W1285" s="57"/>
      </tp>
      <tp>
        <v>151.5</v>
        <stp/>
        <stp>6150</stp>
        <stp>Price</stp>
        <tr r="W779" s="57"/>
      </tp>
      <tp>
        <v>15.3</v>
        <stp/>
        <stp>6160</stp>
        <stp>Price</stp>
        <tr r="W780" s="57"/>
      </tp>
      <tp>
        <v>32.15</v>
        <stp/>
        <stp>6170</stp>
        <stp>Price</stp>
        <tr r="W987" s="57"/>
      </tp>
      <tp>
        <v>13.2</v>
        <stp/>
        <stp>6120</stp>
        <stp>Price</stp>
        <tr r="W892" s="57"/>
      </tp>
      <tp>
        <v>49.35</v>
        <stp/>
        <stp>6130</stp>
        <stp>Price</stp>
        <tr r="W376" s="57"/>
      </tp>
      <tp>
        <v>66</v>
        <stp/>
        <stp>6180</stp>
        <stp>Price</stp>
        <tr r="W1787" s="57"/>
      </tp>
      <tp>
        <v>34.1</v>
        <stp/>
        <stp>6190</stp>
        <stp>Price</stp>
        <tr r="W988" s="57"/>
      </tp>
      <tp>
        <v>100</v>
        <stp/>
        <stp>6640</stp>
        <stp>Price</stp>
        <tr r="W666" s="57"/>
      </tp>
      <tp>
        <v>192</v>
        <stp/>
        <stp>6670</stp>
        <stp>Price</stp>
        <tr r="W1352" s="57"/>
      </tp>
      <tp>
        <v>48.5</v>
        <stp/>
        <stp>6680</stp>
        <stp>Price</stp>
        <tr r="W797" s="57"/>
      </tp>
      <tp>
        <v>121.5</v>
        <stp/>
        <stp>6690</stp>
        <stp>Price</stp>
        <tr r="W1296" s="57"/>
      </tp>
      <tp>
        <v>50.9</v>
        <stp/>
        <stp>6770</stp>
        <stp>Price</stp>
        <tr r="W677" s="57"/>
      </tp>
      <tp>
        <v>48.4</v>
        <stp/>
        <stp>6790</stp>
        <stp>Price</stp>
        <tr r="W1356" s="57"/>
      </tp>
      <tp>
        <v>43.95</v>
        <stp/>
        <stp>6470</stp>
        <stp>Price</stp>
        <tr r="W999" s="57"/>
      </tp>
      <tp>
        <v>78</v>
        <stp/>
        <stp>6560</stp>
        <stp>Price</stp>
        <tr r="W914" s="57"/>
      </tp>
      <tp>
        <v>42.5</v>
        <stp/>
        <stp>6570</stp>
        <stp>Price</stp>
        <tr r="W792" s="57"/>
      </tp>
      <tp>
        <v>605</v>
        <stp/>
        <stp>6510</stp>
        <stp>Price</stp>
        <tr r="W655" s="57"/>
      </tp>
      <tp>
        <v>21.75</v>
        <stp/>
        <stp>6530</stp>
        <stp>Price</stp>
        <tr r="W1002" s="57"/>
      </tp>
      <tp>
        <v>24.45</v>
        <stp/>
        <stp>4160</stp>
        <stp>Price</stp>
        <tr r="W349" s="57"/>
      </tp>
      <tp>
        <v>35.4</v>
        <stp/>
        <stp>4120</stp>
        <stp>Price</stp>
        <tr r="W328" s="57"/>
      </tp>
      <tp>
        <v>23.95</v>
        <stp/>
        <stp>4130</stp>
        <stp>Price</stp>
        <tr r="W35" s="28"/>
        <tr r="W117" s="22"/>
        <tr r="W118" s="22"/>
        <tr r="W119" s="22"/>
        <tr r="W335" s="57"/>
      </tp>
      <tp>
        <v>68.2</v>
        <stp/>
        <stp>4190</stp>
        <stp>Price</stp>
        <tr r="W361" s="57"/>
      </tp>
      <tp>
        <v>78.599999999999994</v>
        <stp/>
        <stp>4760</stp>
        <stp>Price</stp>
        <tr r="W1732" s="57"/>
        <tr r="W81" s="74"/>
      </tp>
      <tp>
        <v>239</v>
        <stp/>
        <stp>4770</stp>
        <stp>Price</stp>
        <tr r="W283" s="57"/>
      </tp>
      <tp>
        <v>15.55</v>
        <stp/>
        <stp>4720</stp>
        <stp>Price</stp>
        <tr r="W272" s="57"/>
      </tp>
      <tp>
        <v>47.2</v>
        <stp/>
        <stp>4440</stp>
        <stp>Price</stp>
        <tr r="W125" s="57"/>
      </tp>
      <tp>
        <v>32.799999999999997</v>
        <stp/>
        <stp>4420</stp>
        <stp>Price</stp>
        <tr r="W118" s="57"/>
      </tp>
      <tp>
        <v>23.8</v>
        <stp/>
        <stp>4430</stp>
        <stp>Price</stp>
        <tr r="W1324" s="57"/>
      </tp>
      <tp>
        <v>45.65</v>
        <stp/>
        <stp>4540</stp>
        <stp>Price</stp>
        <tr r="W190" s="57"/>
      </tp>
      <tp>
        <v>22.65</v>
        <stp/>
        <stp>4550</stp>
        <stp>Price</stp>
        <tr r="W189" s="57"/>
        <tr r="W193" s="57"/>
      </tp>
      <tp>
        <v>41.5</v>
        <stp/>
        <stp>4560</stp>
        <stp>Price</stp>
        <tr r="W198" s="57"/>
      </tp>
      <tp>
        <v>11.45</v>
        <stp/>
        <stp>4510</stp>
        <stp>Price</stp>
        <tr r="W178" s="57"/>
      </tp>
      <tp>
        <v>9</v>
        <stp/>
        <stp>4530</stp>
        <stp>Price</stp>
        <tr r="W184" s="57"/>
      </tp>
      <tp>
        <v>94</v>
        <stp/>
        <stp>4580</stp>
        <stp>Price</stp>
        <tr r="W208" s="57"/>
      </tp>
      <tp>
        <v>23.65</v>
        <stp/>
        <stp>4950</stp>
        <stp>Price</stp>
        <tr r="W1329" s="57"/>
      </tp>
      <tp>
        <v>12.1</v>
        <stp/>
        <stp>4960</stp>
        <stp>Price</stp>
        <tr r="W873" s="57"/>
      </tp>
      <tp>
        <v>26.3</v>
        <stp/>
        <stp>4930</stp>
        <stp>Price</stp>
        <tr r="W240" s="57"/>
      </tp>
      <tp>
        <v>16.600000000000001</v>
        <stp/>
        <stp>5210</stp>
        <stp>Price</stp>
        <tr r="W1278" s="57"/>
      </tp>
      <tp>
        <v>35.799999999999997</v>
        <stp/>
        <stp>5220</stp>
        <stp>Price</stp>
        <tr r="W877" s="57"/>
      </tp>
      <tp>
        <v>28.6</v>
        <stp/>
        <stp>5230</stp>
        <stp>Price</stp>
        <tr r="W878" s="57"/>
      </tp>
      <tp>
        <v>33.15</v>
        <stp/>
        <stp>5340</stp>
        <stp>Price</stp>
        <tr r="W1138" s="57"/>
      </tp>
      <tp>
        <v>25.05</v>
        <stp/>
        <stp>5310</stp>
        <stp>Price</stp>
        <tr r="W1281" s="57"/>
      </tp>
      <tp>
        <v>17.2</v>
        <stp/>
        <stp>5450</stp>
        <stp>Price</stp>
        <tr r="W1334" s="57"/>
      </tp>
      <tp>
        <v>11.85</v>
        <stp/>
        <stp>5460</stp>
        <stp>Price</stp>
        <tr r="W1144" s="57"/>
      </tp>
      <tp>
        <v>25.8</v>
        <stp/>
        <stp>5410</stp>
        <stp>Price</stp>
        <tr r="W1283" s="57"/>
      </tp>
      <tp>
        <v>26.5</v>
        <stp/>
        <stp>5490</stp>
        <stp>Price</stp>
        <tr r="W774" s="57"/>
      </tp>
      <tp>
        <v>59.3</v>
        <stp/>
        <stp>5520</stp>
        <stp>Price</stp>
        <tr r="W1490" s="57"/>
      </tp>
      <tp>
        <v>43.5</v>
        <stp/>
        <stp>5530</stp>
        <stp>Price</stp>
        <tr r="W1336" s="57"/>
      </tp>
      <tp>
        <v>12.4</v>
        <stp/>
        <stp>5820</stp>
        <stp>Price</stp>
        <tr r="W1618" s="57"/>
      </tp>
      <tp>
        <v>26.65</v>
        <stp/>
        <stp>5880</stp>
        <stp>Price</stp>
        <tr r="W1622" s="57"/>
      </tp>
      <tp>
        <v>31.7</v>
        <stp/>
        <stp>8240</stp>
        <stp>Price</stp>
        <tr r="W926" s="57"/>
      </tp>
      <tp>
        <v>75.900000000000006</v>
        <stp/>
        <stp>8210</stp>
        <stp>Price</stp>
        <tr r="W802" s="57"/>
      </tp>
      <tp>
        <v>36.6</v>
        <stp/>
        <stp>8390</stp>
        <stp>Price</stp>
        <tr r="W1362" s="57"/>
      </tp>
      <tp>
        <v>60</v>
        <stp/>
        <stp>8040</stp>
        <stp>Price</stp>
        <tr r="W683" s="57"/>
      </tp>
      <tp>
        <v>40.549999999999997</v>
        <stp/>
        <stp>8050</stp>
        <stp>Price</stp>
        <tr r="W798" s="57"/>
      </tp>
      <tp>
        <v>36.200000000000003</v>
        <stp/>
        <stp>8070</stp>
        <stp>Price</stp>
        <tr r="W1257" s="57"/>
      </tp>
      <tp>
        <v>16.899999999999999</v>
        <stp/>
        <stp>8080</stp>
        <stp>Price</stp>
        <tr r="W1210" s="57"/>
      </tp>
      <tp>
        <v>51.5</v>
        <stp/>
        <stp>8150</stp>
        <stp>Price</stp>
        <tr r="W690" s="57"/>
      </tp>
      <tp>
        <v>16.600000000000001</v>
        <stp/>
        <stp>8110</stp>
        <stp>Price</stp>
        <tr r="W688" s="57"/>
      </tp>
      <tp>
        <v>58.5</v>
        <stp/>
        <stp>8440</stp>
        <stp>Price</stp>
        <tr r="W1376" s="57"/>
      </tp>
      <tp>
        <v>37.549999999999997</v>
        <stp/>
        <stp>8450</stp>
        <stp>Price</stp>
        <tr r="W1793" s="57"/>
      </tp>
      <tp t="s">
        <v>無資料</v>
        <stp/>
        <stp>8410</stp>
        <stp>Price</stp>
        <tr r="W804" s="57"/>
      </tp>
      <tp>
        <v>38.450000000000003</v>
        <stp/>
        <stp>8420</stp>
        <stp>Price</stp>
        <tr r="W1367" s="57"/>
      </tp>
      <tp>
        <v>76</v>
        <stp/>
        <stp>8480</stp>
        <stp>Price</stp>
        <tr r="W1386" s="57"/>
      </tp>
      <tp>
        <v>13.45</v>
        <stp/>
        <stp>8940</stp>
        <stp>Price</stp>
        <tr r="W1584" s="57"/>
      </tp>
      <tp>
        <v>15.3</v>
        <stp/>
        <stp>8930</stp>
        <stp>Price</stp>
        <tr r="W474" s="57"/>
      </tp>
      <tp>
        <v>35.450000000000003</v>
        <stp/>
        <stp>9940</stp>
        <stp>Price</stp>
        <tr r="W1427" s="57"/>
      </tp>
      <tp>
        <v>11.55</v>
        <stp/>
        <stp>9950</stp>
        <stp>Price</stp>
        <tr r="W67" s="57"/>
      </tp>
      <tp>
        <v>26</v>
        <stp/>
        <stp>9960</stp>
        <stp>Price</stp>
        <tr r="W1669" s="57"/>
      </tp>
      <tp>
        <v>188.5</v>
        <stp/>
        <stp>9910</stp>
        <stp>Price</stp>
        <tr r="W1410" s="57"/>
      </tp>
      <tp>
        <v>47.15</v>
        <stp/>
        <stp>9930</stp>
        <stp>Price</stp>
        <tr r="W1421" s="57"/>
      </tp>
      <tp>
        <v>45.15</v>
        <stp/>
        <stp>2241</stp>
        <stp>Price</stp>
        <tr r="W167" s="57"/>
      </tp>
      <tp>
        <v>39.049999999999997</v>
        <stp/>
        <stp>2201</stp>
        <stp>Price</stp>
        <tr r="W506" s="57"/>
      </tp>
      <tp>
        <v>58</v>
        <stp/>
        <stp>2211</stp>
        <stp>Price</stp>
        <tr r="W461" s="57"/>
      </tp>
      <tp>
        <v>36.25</v>
        <stp/>
        <stp>2221</stp>
        <stp>Price</stp>
        <tr r="W1313" s="57"/>
      </tp>
      <tp>
        <v>147.5</v>
        <stp/>
        <stp>2231</stp>
        <stp>Price</stp>
        <tr r="W512" s="57"/>
      </tp>
      <tp>
        <v>139.5</v>
        <stp/>
        <stp>2351</stp>
        <stp>Price</stp>
        <tr r="W8" s="74"/>
        <tr r="W536" s="57"/>
      </tp>
      <tp>
        <v>32.049999999999997</v>
        <stp/>
        <stp>2371</stp>
        <stp>Price</stp>
        <tr r="W168" s="57"/>
      </tp>
      <tp>
        <v>70.599999999999994</v>
        <stp/>
        <stp>2301</stp>
        <stp>Price</stp>
        <tr r="W698" s="57"/>
      </tp>
      <tp>
        <v>6.7</v>
        <stp/>
        <stp>2321</stp>
        <stp>Price</stp>
        <tr r="W930" s="57"/>
      </tp>
      <tp>
        <v>18.850000000000001</v>
        <stp/>
        <stp>2331</stp>
        <stp>Price</stp>
        <tr r="W701" s="57"/>
      </tp>
      <tp>
        <v>19.399999999999999</v>
        <stp/>
        <stp>2061</stp>
        <stp>Price</stp>
        <tr r="W238" s="57"/>
      </tp>
      <tp>
        <v>63.8</v>
        <stp/>
        <stp>2031</stp>
        <stp>Price</stp>
        <tr r="W451" s="57"/>
      </tp>
      <tp>
        <v>40.65</v>
        <stp/>
        <stp>2101</stp>
        <stp>Price</stp>
        <tr r="W479" s="57"/>
      </tp>
      <tp>
        <v>27.75</v>
        <stp/>
        <stp>2641</stp>
        <stp>Price</stp>
        <tr r="W1530" s="57"/>
      </tp>
      <tp>
        <v>12.65</v>
        <stp/>
        <stp>2601</stp>
        <stp>Price</stp>
        <tr r="W1634" s="57"/>
      </tp>
      <tp>
        <v>25.45</v>
        <stp/>
        <stp>2611</stp>
        <stp>Price</stp>
        <tr r="W1519" s="57"/>
      </tp>
      <tp>
        <v>12.05</v>
        <stp/>
        <stp>2701</stp>
        <stp>Price</stp>
        <tr r="W1544" s="57"/>
      </tp>
      <tp>
        <v>98</v>
        <stp/>
        <stp>2731</stp>
        <stp>Price</stp>
        <tr r="W1559" s="57"/>
      </tp>
      <tp>
        <v>72.8</v>
        <stp/>
        <stp>2441</stp>
        <stp>Price</stp>
        <tr r="W545" s="57"/>
      </tp>
      <tp>
        <v>74.2</v>
        <stp/>
        <stp>2451</stp>
        <stp>Price</stp>
        <tr r="W547" s="57"/>
      </tp>
      <tp>
        <v>23.6</v>
        <stp/>
        <stp>2461</stp>
        <stp>Price</stp>
        <tr r="W1697" s="57"/>
      </tp>
      <tp>
        <v>25.5</v>
        <stp/>
        <stp>2471</stp>
        <stp>Price</stp>
        <tr r="W1267" s="57"/>
      </tp>
      <tp>
        <v>33.65</v>
        <stp/>
        <stp>2401</stp>
        <stp>Price</stp>
        <tr r="W541" s="57"/>
      </tp>
      <tp>
        <v>43.1</v>
        <stp/>
        <stp>2421</stp>
        <stp>Price</stp>
        <tr r="W80" s="74"/>
        <tr r="W1040" s="57"/>
      </tp>
      <tp>
        <v>11.2</v>
        <stp/>
        <stp>2431</stp>
        <stp>Price</stp>
        <tr r="W1043" s="57"/>
      </tp>
      <tp>
        <v>101</v>
        <stp/>
        <stp>2481</stp>
        <stp>Price</stp>
        <tr r="W550" s="57"/>
      </tp>
      <tp>
        <v>18.55</v>
        <stp/>
        <stp>2491</stp>
        <stp>Price</stp>
        <tr r="W820" s="57"/>
      </tp>
      <tp>
        <v>18.7</v>
        <stp/>
        <stp>2501</stp>
        <stp>Price</stp>
        <tr r="W1441" s="57"/>
      </tp>
      <tp>
        <v>13.25</v>
        <stp/>
        <stp>2511</stp>
        <stp>Price</stp>
        <tr r="W1446" s="57"/>
      </tp>
      <tp>
        <v>3.7</v>
        <stp/>
        <stp>2841</stp>
        <stp>Price</stp>
        <tr r="W1468" s="57"/>
      </tp>
      <tp>
        <v>29</v>
        <stp/>
        <stp>2851</stp>
        <stp>Price</stp>
        <tr r="W1600" s="57"/>
      </tp>
      <tp>
        <v>17.55</v>
        <stp/>
        <stp>2801</stp>
        <stp>Price</stp>
        <tr r="W1588" s="57"/>
      </tp>
      <tp>
        <v>72.7</v>
        <stp/>
        <stp>2881</stp>
        <stp>Price</stp>
        <tr r="W1605" s="57"/>
      </tp>
      <tp>
        <v>26.5</v>
        <stp/>
        <stp>2891</stp>
        <stp>Price</stp>
        <tr r="W1615" s="57"/>
      </tp>
      <tp>
        <v>25.1</v>
        <stp/>
        <stp>2901</stp>
        <stp>Price</stp>
        <tr r="W1636" s="57"/>
      </tp>
      <tp>
        <v>7.65</v>
        <stp/>
        <stp>2911</stp>
        <stp>Price</stp>
        <tr r="W1642" s="57"/>
      </tp>
      <tp>
        <v>120</v>
        <stp/>
        <stp>3211</stp>
        <stp>Price</stp>
        <tr r="W733" s="57"/>
      </tp>
      <tp>
        <v>31.9</v>
        <stp/>
        <stp>3221</stp>
        <stp>Price</stp>
        <tr r="W951" s="57"/>
      </tp>
      <tp>
        <v>29.5</v>
        <stp/>
        <stp>3231</stp>
        <stp>Price</stp>
        <tr r="W735" s="57"/>
      </tp>
      <tp>
        <v>33.1</v>
        <stp/>
        <stp>3311</stp>
        <stp>Price</stp>
        <tr r="W954" s="57"/>
      </tp>
      <tp>
        <v>12.5</v>
        <stp/>
        <stp>3321</stp>
        <stp>Price</stp>
        <tr r="W1087" s="57"/>
      </tp>
      <tp>
        <v>32.75</v>
        <stp/>
        <stp>3041</stp>
        <stp>Price</stp>
        <tr r="W556" s="57"/>
      </tp>
      <tp>
        <v>22.5</v>
        <stp/>
        <stp>3051</stp>
        <stp>Price</stp>
        <tr r="W828" s="57"/>
      </tp>
      <tp>
        <v>26.9</v>
        <stp/>
        <stp>3071</stp>
        <stp>Price</stp>
        <tr r="W731" s="57"/>
      </tp>
      <tp>
        <v>13.05</v>
        <stp/>
        <stp>3011</stp>
        <stp>Price</stp>
        <tr r="W1057" s="57"/>
      </tp>
      <tp>
        <v>22.4</v>
        <stp/>
        <stp>3021</stp>
        <stp>Price</stp>
        <tr r="W1059" s="57"/>
      </tp>
      <tp>
        <v>21</v>
        <stp/>
        <stp>3031</stp>
        <stp>Price</stp>
        <tr r="W824" s="57"/>
      </tp>
      <tp>
        <v>185</v>
        <stp/>
        <stp>3081</stp>
        <stp>Price</stp>
        <tr r="W946" s="57"/>
      </tp>
      <tp>
        <v>167.5</v>
        <stp/>
        <stp>3141</stp>
        <stp>Price</stp>
        <tr r="W562" s="57"/>
      </tp>
      <tp>
        <v>20.350000000000001</v>
        <stp/>
        <stp>3171</stp>
        <stp>Price</stp>
        <tr r="W1653" s="57"/>
      </tp>
      <tp>
        <v>297</v>
        <stp/>
        <stp>3131</stp>
        <stp>Price</stp>
        <tr r="W1709" s="57"/>
      </tp>
      <tp>
        <v>10.8</v>
        <stp/>
        <stp>3191</stp>
        <stp>Price</stp>
        <tr r="W1072" s="57"/>
      </tp>
      <tp>
        <v>1090</v>
        <stp/>
        <stp>3661</stp>
        <stp>Price</stp>
        <tr r="W593" s="57"/>
      </tp>
      <tp>
        <v>198</v>
        <stp/>
        <stp>3611</stp>
        <stp>Price</stp>
        <tr r="W751" s="57"/>
      </tp>
      <tp>
        <v>44.65</v>
        <stp/>
        <stp>3631</stp>
        <stp>Price</stp>
        <tr r="W1115" s="57"/>
      </tp>
      <tp>
        <v>178</v>
        <stp/>
        <stp>3691</stp>
        <stp>Price</stp>
        <tr r="W863" s="57"/>
      </tp>
      <tp>
        <v>61</v>
        <stp/>
        <stp>3701</stp>
        <stp>Price</stp>
        <tr r="W755" s="57"/>
      </tp>
      <tp>
        <v>100.5</v>
        <stp/>
        <stp>3711</stp>
        <stp>Price</stp>
        <tr r="W598" s="57"/>
      </tp>
      <tp>
        <v>32.299999999999997</v>
        <stp/>
        <stp>3441</stp>
        <stp>Price</stp>
        <tr r="W842" s="57"/>
      </tp>
      <tp>
        <v>17.350000000000001</v>
        <stp/>
        <stp>3481</stp>
        <stp>Price</stp>
        <tr r="W845" s="57"/>
      </tp>
      <tp>
        <v>150.5</v>
        <stp/>
        <stp>3491</stp>
        <stp>Price</stp>
        <tr r="W17" s="114"/>
        <tr r="W959" s="57"/>
      </tp>
      <tp>
        <v>58.8</v>
        <stp/>
        <stp>3541</stp>
        <stp>Price</stp>
        <tr r="W1721" s="57"/>
      </tp>
      <tp>
        <v>70.2</v>
        <stp/>
        <stp>3551</stp>
        <stp>Price</stp>
        <tr r="W1722" s="57"/>
      </tp>
      <tp>
        <v>46.9</v>
        <stp/>
        <stp>3501</stp>
        <stp>Price</stp>
        <tr r="W1100" s="57"/>
      </tp>
      <tp>
        <v>36.9</v>
        <stp/>
        <stp>3511</stp>
        <stp>Price</stp>
        <tr r="W1101" s="57"/>
      </tp>
      <tp>
        <v>14.15</v>
        <stp/>
        <stp>3521</stp>
        <stp>Price</stp>
        <tr r="W747" s="57"/>
      </tp>
      <tp>
        <v>21.2</v>
        <stp/>
        <stp>3531</stp>
        <stp>Price</stp>
        <tr r="W849" s="57"/>
      </tp>
      <tp>
        <v>26.3</v>
        <stp/>
        <stp>3581</stp>
        <stp>Price</stp>
        <tr r="W589" s="57"/>
      </tp>
      <tp>
        <v>19.399999999999999</v>
        <stp/>
        <stp>3591</stp>
        <stp>Price</stp>
        <tr r="W854" s="57"/>
      </tp>
      <tp>
        <v>21.55</v>
        <stp/>
        <stp>1201</stp>
        <stp>Price</stp>
        <tr r="W13" s="57"/>
      </tp>
      <tp>
        <v>83.6</v>
        <stp/>
        <stp>1231</stp>
        <stp>Price</stp>
        <tr r="W26" s="57"/>
      </tp>
      <tp>
        <v>66.7</v>
        <stp/>
        <stp>1341</stp>
        <stp>Price</stp>
        <tr r="W61" s="57"/>
      </tp>
      <tp>
        <v>106.5</v>
        <stp/>
        <stp>1301</stp>
        <stp>Price</stp>
        <tr r="W42" s="57"/>
      </tp>
      <tp>
        <v>33.700000000000003</v>
        <stp/>
        <stp>1321</stp>
        <stp>Price</stp>
        <tr r="W54" s="57"/>
      </tp>
      <tp>
        <v>47.45</v>
        <stp/>
        <stp>1101</stp>
        <stp>Price</stp>
        <tr r="W4" s="57"/>
      </tp>
      <tp>
        <v>19.149999999999999</v>
        <stp/>
        <stp>1611</stp>
        <stp>Price</stp>
        <tr r="W230" s="57"/>
      </tp>
      <tp>
        <v>21.75</v>
        <stp/>
        <stp>1701</stp>
        <stp>Price</stp>
        <tr r="W291" s="57"/>
      </tp>
      <tp>
        <v>25.15</v>
        <stp/>
        <stp>1711</stp>
        <stp>Price</stp>
        <tr r="W247" s="57"/>
      </tp>
      <tp>
        <v>20.05</v>
        <stp/>
        <stp>1721</stp>
        <stp>Price</stp>
        <tr r="W253" s="57"/>
      </tp>
      <tp>
        <v>19.600000000000001</v>
        <stp/>
        <stp>1731</stp>
        <stp>Price</stp>
        <tr r="W294" s="57"/>
      </tp>
      <tp>
        <v>14</v>
        <stp/>
        <stp>1781</stp>
        <stp>Price</stp>
        <tr r="W302" s="57"/>
      </tp>
      <tp>
        <v>8.57</v>
        <stp/>
        <stp>1441</stp>
        <stp>Price</stp>
        <tr r="W82" s="57"/>
      </tp>
      <tp>
        <v>19.899999999999999</v>
        <stp/>
        <stp>1451</stp>
        <stp>Price</stp>
        <tr r="W89" s="57"/>
      </tp>
      <tp>
        <v>7.12</v>
        <stp/>
        <stp>1471</stp>
        <stp>Price</stp>
        <tr r="W1019" s="57"/>
      </tp>
      <tp>
        <v>42.7</v>
        <stp/>
        <stp>1541</stp>
        <stp>Price</stp>
        <tr r="W149" s="57"/>
      </tp>
      <tp>
        <v>39.4</v>
        <stp/>
        <stp>1521</stp>
        <stp>Price</stp>
        <tr r="W497" s="57"/>
      </tp>
      <tp>
        <v>15.15</v>
        <stp/>
        <stp>1531</stp>
        <stp>Price</stp>
        <tr r="W142" s="57"/>
      </tp>
      <tp>
        <v>16.3</v>
        <stp/>
        <stp>1591</stp>
        <stp>Price</stp>
        <tr r="W158" s="57"/>
      </tp>
      <tp>
        <v>27.1</v>
        <stp/>
        <stp>6241</stp>
        <stp>Price</stp>
        <tr r="W991" s="57"/>
      </tp>
      <tp>
        <v>21.95</v>
        <stp/>
        <stp>6251</stp>
        <stp>Price</stp>
        <tr r="W1181" s="57"/>
      </tp>
      <tp>
        <v>80.099999999999994</v>
        <stp/>
        <stp>6261</stp>
        <stp>Price</stp>
        <tr r="W642" s="57"/>
        <tr r="W79" s="74"/>
      </tp>
      <tp>
        <v>269</v>
        <stp/>
        <stp>6271</stp>
        <stp>Price</stp>
        <tr r="W9" s="114"/>
        <tr r="W643" s="57"/>
      </tp>
      <tp>
        <v>44.15</v>
        <stp/>
        <stp>6201</stp>
        <stp>Price</stp>
        <tr r="W1746" s="57"/>
      </tp>
      <tp>
        <v>48.3</v>
        <stp/>
        <stp>6221</stp>
        <stp>Price</stp>
        <tr r="W1289" s="57"/>
      </tp>
      <tp>
        <v>110</v>
        <stp/>
        <stp>6231</stp>
        <stp>Price</stp>
        <tr r="W1290" s="57"/>
      </tp>
      <tp>
        <v>84.4</v>
        <stp/>
        <stp>6281</stp>
        <stp>Price</stp>
        <tr r="W1252" s="57"/>
      </tp>
      <tp>
        <v>42.85</v>
        <stp/>
        <stp>6291</stp>
        <stp>Price</stp>
        <tr r="W645" s="57"/>
      </tp>
      <tp>
        <v>20.8</v>
        <stp/>
        <stp>6021</stp>
        <stp>Price</stp>
        <tr r="W1627" s="57"/>
      </tp>
      <tp>
        <v>27.75</v>
        <stp/>
        <stp>6141</stp>
        <stp>Price</stp>
        <tr r="W1158" s="57"/>
      </tp>
      <tp>
        <v>37.6</v>
        <stp/>
        <stp>6151</stp>
        <stp>Price</stp>
        <tr r="W1742" s="57"/>
      </tp>
      <tp>
        <v>33.75</v>
        <stp/>
        <stp>6161</stp>
        <stp>Price</stp>
        <tr r="W781" s="57"/>
      </tp>
      <tp>
        <v>29.15</v>
        <stp/>
        <stp>6171</stp>
        <stp>Price</stp>
        <tr r="W1500" s="57"/>
      </tp>
      <tp>
        <v>21.5</v>
        <stp/>
        <stp>6101</stp>
        <stp>Price</stp>
        <tr r="W1783" s="57"/>
      </tp>
      <tp>
        <v>93</v>
        <stp/>
        <stp>6111</stp>
        <stp>Price</stp>
        <tr r="W1784" s="57"/>
      </tp>
      <tp>
        <v>317</v>
        <stp/>
        <stp>6121</stp>
        <stp>Price</stp>
        <tr r="W776" s="57"/>
      </tp>
      <tp>
        <v>34.15</v>
        <stp/>
        <stp>6191</stp>
        <stp>Price</stp>
        <tr r="W1168" s="57"/>
      </tp>
      <tp>
        <v>63.3</v>
        <stp/>
        <stp>6641</stp>
        <stp>Price</stp>
        <tr r="W1350" s="57"/>
      </tp>
      <tp>
        <v>93.1</v>
        <stp/>
        <stp>6651</stp>
        <stp>Price</stp>
        <tr r="W668" s="57"/>
        <tr r="W84" s="74"/>
      </tp>
      <tp>
        <v>21.5</v>
        <stp/>
        <stp>6661</stp>
        <stp>Price</stp>
        <tr r="W399" s="57"/>
      </tp>
      <tp>
        <v>48.6</v>
        <stp/>
        <stp>6671</stp>
        <stp>Price</stp>
        <tr r="W1353" s="57"/>
      </tp>
      <tp>
        <v>182.5</v>
        <stp/>
        <stp>6691</stp>
        <stp>Price</stp>
        <tr r="W1758" s="57"/>
      </tp>
      <tp>
        <v>151.5</v>
        <stp/>
        <stp>6741</stp>
        <stp>Price</stp>
        <tr r="W1803" s="57"/>
      </tp>
      <tp>
        <v>45.25</v>
        <stp/>
        <stp>6751</stp>
        <stp>Price</stp>
        <tr r="W65" s="28"/>
        <tr r="W1298" s="57"/>
      </tp>
      <tp>
        <v>117</v>
        <stp/>
        <stp>6761</stp>
        <stp>Price</stp>
        <tr r="W1201" s="57"/>
      </tp>
      <tp>
        <v>1250</v>
        <stp/>
        <stp>6781</stp>
        <stp>Price</stp>
        <tr r="W1202" s="57"/>
      </tp>
      <tp>
        <v>45.05</v>
        <stp/>
        <stp>6441</stp>
        <stp>Price</stp>
        <tr r="W791" s="57"/>
      </tp>
      <tp>
        <v>83.3</v>
        <stp/>
        <stp>6451</stp>
        <stp>Price</stp>
        <tr r="W649" s="57"/>
      </tp>
      <tp>
        <v>18.850000000000001</v>
        <stp/>
        <stp>6461</stp>
        <stp>Price</stp>
        <tr r="W379" s="57"/>
      </tp>
      <tp>
        <v>180</v>
        <stp/>
        <stp>6411</stp>
        <stp>Price</stp>
        <tr r="W13" s="114"/>
        <tr r="W646" s="57"/>
        <tr r="W11" s="74"/>
      </tp>
      <tp>
        <v>27.5</v>
        <stp/>
        <stp>6431</stp>
        <stp>Price</stp>
        <tr r="W909" s="57"/>
      </tp>
      <tp>
        <v>465</v>
        <stp/>
        <stp>6491</stp>
        <stp>Price</stp>
        <tr r="W382" s="57"/>
      </tp>
      <tp>
        <v>54.9</v>
        <stp/>
        <stp>6541</stp>
        <stp>Price</stp>
        <tr r="W389" s="57"/>
      </tp>
      <tp>
        <v>280</v>
        <stp/>
        <stp>6561</stp>
        <stp>Price</stp>
        <tr r="W1003" s="57"/>
      </tp>
      <tp>
        <v>337</v>
        <stp/>
        <stp>6531</stp>
        <stp>Price</stp>
        <tr r="W5" s="74"/>
        <tr r="W658" s="57"/>
      </tp>
      <tp>
        <v>87.4</v>
        <stp/>
        <stp>6581</stp>
        <stp>Price</stp>
        <tr r="W1344" s="57"/>
      </tp>
      <tp>
        <v>59.3</v>
        <stp/>
        <stp>6591</stp>
        <stp>Price</stp>
        <tr r="W795" s="57"/>
      </tp>
      <tp>
        <v>25.65</v>
        <stp/>
        <stp>4141</stp>
        <stp>Price</stp>
        <tr r="W341" s="57"/>
      </tp>
      <tp>
        <v>25.35</v>
        <stp/>
        <stp>4161</stp>
        <stp>Price</stp>
        <tr r="W350" s="57"/>
      </tp>
      <tp>
        <v>82.6</v>
        <stp/>
        <stp>4171</stp>
        <stp>Price</stp>
        <tr r="W1814" s="57"/>
      </tp>
      <tp>
        <v>22.95</v>
        <stp/>
        <stp>4111</stp>
        <stp>Price</stp>
        <tr r="W324" s="57"/>
      </tp>
      <tp>
        <v>19.7</v>
        <stp/>
        <stp>4121</stp>
        <stp>Price</stp>
        <tr r="W329" s="57"/>
      </tp>
      <tp t="s">
        <v>無資料</v>
        <stp/>
        <stp>4131</stp>
        <stp>Price</stp>
        <tr r="W336" s="57"/>
      </tp>
      <tp>
        <v>26.4</v>
        <stp/>
        <stp>4741</stp>
        <stp>Price</stp>
        <tr r="W276" s="57"/>
      </tp>
      <tp>
        <v>17.899999999999999</v>
        <stp/>
        <stp>4711</stp>
        <stp>Price</stp>
        <tr r="W269" s="57"/>
      </tp>
      <tp>
        <v>143</v>
        <stp/>
        <stp>4721</stp>
        <stp>Price</stp>
        <tr r="W273" s="57"/>
      </tp>
      <tp>
        <v>33.1</v>
        <stp/>
        <stp>4401</stp>
        <stp>Price</stp>
        <tr r="W111" s="57"/>
      </tp>
      <tp>
        <v>22.35</v>
        <stp/>
        <stp>4541</stp>
        <stp>Price</stp>
        <tr r="W1327" s="57"/>
      </tp>
      <tp>
        <v>148.5</v>
        <stp/>
        <stp>4551</stp>
        <stp>Price</stp>
        <tr r="W521" s="57"/>
      </tp>
      <tp>
        <v>28.6</v>
        <stp/>
        <stp>4561</stp>
        <stp>Price</stp>
        <tr r="W199" s="57"/>
      </tp>
      <tp>
        <v>90.1</v>
        <stp/>
        <stp>4571</stp>
        <stp>Price</stp>
        <tr r="W205" s="57"/>
      </tp>
      <tp>
        <v>35.1</v>
        <stp/>
        <stp>4581</stp>
        <stp>Price</stp>
        <tr r="W523" s="57"/>
      </tp>
      <tp>
        <v>210.5</v>
        <stp/>
        <stp>4961</stp>
        <stp>Price</stp>
        <tr r="W603" s="57"/>
      </tp>
      <tp>
        <v>69</v>
        <stp/>
        <stp>4971</stp>
        <stp>Price</stp>
        <tr r="W607" s="57"/>
      </tp>
      <tp>
        <v>27.1</v>
        <stp/>
        <stp>4911</stp>
        <stp>Price</stp>
        <tr r="W374" s="57"/>
      </tp>
      <tp>
        <v>28.6</v>
        <stp/>
        <stp>4931</stp>
        <stp>Price</stp>
        <tr r="W761" s="57"/>
      </tp>
      <tp>
        <v>43.65</v>
        <stp/>
        <stp>4991</stp>
        <stp>Price</stp>
        <tr r="W609" s="57"/>
      </tp>
      <tp>
        <v>17.55</v>
        <stp/>
        <stp>5251</stp>
        <stp>Price</stp>
        <tr r="W883" s="57"/>
      </tp>
      <tp>
        <v>30.4</v>
        <stp/>
        <stp>5201</stp>
        <stp>Price</stp>
        <tr r="W1274" s="57"/>
      </tp>
      <tp>
        <v>18.100000000000001</v>
        <stp/>
        <stp>5211</stp>
        <stp>Price</stp>
        <tr r="W1279" s="57"/>
      </tp>
      <tp>
        <v>20.399999999999999</v>
        <stp/>
        <stp>5281</stp>
        <stp>Price</stp>
        <tr r="W884" s="57"/>
      </tp>
      <tp>
        <v>38</v>
        <stp/>
        <stp>5291</stp>
        <stp>Price</stp>
        <tr r="W1134" s="57"/>
      </tp>
      <tp>
        <v>77.599999999999994</v>
        <stp/>
        <stp>5351</stp>
        <stp>Price</stp>
        <tr r="W621" s="57"/>
      </tp>
      <tp>
        <v>71</v>
        <stp/>
        <stp>5371</stp>
        <stp>Price</stp>
        <tr r="W886" s="57"/>
      </tp>
      <tp>
        <v>15.2</v>
        <stp/>
        <stp>5301</stp>
        <stp>Price</stp>
        <tr r="W1576" s="57"/>
      </tp>
      <tp>
        <v>137.5</v>
        <stp/>
        <stp>5321</stp>
        <stp>Price</stp>
        <tr r="W1136" s="57"/>
      </tp>
      <tp>
        <v>5.92</v>
        <stp/>
        <stp>5381</stp>
        <stp>Price</stp>
        <tr r="W1141" s="57"/>
      </tp>
      <tp>
        <v>39</v>
        <stp/>
        <stp>5011</stp>
        <stp>Price</stp>
        <tr r="W465" s="57"/>
      </tp>
      <tp>
        <v>41.85</v>
        <stp/>
        <stp>5601</stp>
        <stp>Price</stp>
        <tr r="W1533" s="57"/>
      </tp>
      <tp>
        <v>3.16</v>
        <stp/>
        <stp>5701</stp>
        <stp>Price</stp>
        <tr r="W1578" s="57"/>
      </tp>
      <tp>
        <v>86.4</v>
        <stp/>
        <stp>5471</stp>
        <stp>Price</stp>
        <tr r="W67" s="22"/>
        <tr r="W66" s="22"/>
        <tr r="W26" s="28"/>
        <tr r="W624" s="57"/>
      </tp>
      <tp>
        <v>13.1</v>
        <stp/>
        <stp>5481</stp>
        <stp>Price</stp>
        <tr r="W1335" s="57"/>
      </tp>
      <tp>
        <v>30.55</v>
        <stp/>
        <stp>5511</stp>
        <stp>Price</stp>
        <tr r="W1484" s="57"/>
      </tp>
      <tp>
        <v>8.17</v>
        <stp/>
        <stp>5521</stp>
        <stp>Price</stp>
        <tr r="W1491" s="57"/>
      </tp>
      <tp>
        <v>10</v>
        <stp/>
        <stp>5531</stp>
        <stp>Price</stp>
        <tr r="W1495" s="57"/>
      </tp>
      <tp>
        <v>238.5</v>
        <stp/>
        <stp>5871</stp>
        <stp>Price</stp>
        <tr r="W1337" s="57"/>
      </tp>
      <tp>
        <v>105</v>
        <stp/>
        <stp>8261</stp>
        <stp>Price</stp>
        <tr r="W691" s="57"/>
      </tp>
      <tp>
        <v>46.85</v>
        <stp/>
        <stp>8271</stp>
        <stp>Price</stp>
        <tr r="W692" s="57"/>
      </tp>
      <tp>
        <v>14.55</v>
        <stp/>
        <stp>8201</stp>
        <stp>Price</stp>
        <tr r="W1766" s="57"/>
      </tp>
      <tp>
        <v>6.53</v>
        <stp/>
        <stp>8291</stp>
        <stp>Price</stp>
        <tr r="W1222" s="57"/>
      </tp>
      <tp>
        <v>200</v>
        <stp/>
        <stp>8341</stp>
        <stp>Price</stp>
        <tr r="W1360" s="57"/>
      </tp>
      <tp>
        <v>16.899999999999999</v>
        <stp/>
        <stp>8071</stp>
        <stp>Price</stp>
        <tr r="W1208" s="57"/>
      </tp>
      <tp>
        <v>17.05</v>
        <stp/>
        <stp>8011</stp>
        <stp>Price</stp>
        <tr r="W1007" s="57"/>
      </tp>
      <tp>
        <v>36.4</v>
        <stp/>
        <stp>8021</stp>
        <stp>Price</stp>
        <tr r="W1761" s="57"/>
      </tp>
      <tp>
        <v>241</v>
        <stp/>
        <stp>8081</stp>
        <stp>Price</stp>
        <tr r="W685" s="57"/>
      </tp>
      <tp>
        <v>90</v>
        <stp/>
        <stp>8091</stp>
        <stp>Price</stp>
        <tr r="W1211" s="57"/>
      </tp>
      <tp>
        <v>49.65</v>
        <stp/>
        <stp>8171</stp>
        <stp>Price</stp>
        <tr r="W1014" s="57"/>
      </tp>
      <tp>
        <v>2.87</v>
        <stp/>
        <stp>8101</stp>
        <stp>Price</stp>
        <tr r="W1013" s="57"/>
      </tp>
      <tp>
        <v>23.6</v>
        <stp/>
        <stp>8111</stp>
        <stp>Price</stp>
        <tr r="W924" s="57"/>
      </tp>
      <tp>
        <v>35.200000000000003</v>
        <stp/>
        <stp>8121</stp>
        <stp>Price</stp>
        <tr r="W1215" s="57"/>
      </tp>
      <tp>
        <v>40.9</v>
        <stp/>
        <stp>8131</stp>
        <stp>Price</stp>
        <tr r="W689" s="57"/>
      </tp>
      <tp>
        <v>19.899999999999999</v>
        <stp/>
        <stp>8401</stp>
        <stp>Price</stp>
        <tr r="W1363" s="57"/>
      </tp>
      <tp>
        <v>16.5</v>
        <stp/>
        <stp>8411</stp>
        <stp>Price</stp>
        <tr r="W1365" s="57"/>
      </tp>
      <tp>
        <v>14.3</v>
        <stp/>
        <stp>8421</stp>
        <stp>Price</stp>
        <tr r="W1368" s="57"/>
      </tp>
      <tp>
        <v>69.8</v>
        <stp/>
        <stp>8431</stp>
        <stp>Price</stp>
        <tr r="W1768" s="57"/>
      </tp>
      <tp>
        <v>63.2</v>
        <stp/>
        <stp>8481</stp>
        <stp>Price</stp>
        <tr r="W1387" s="57"/>
      </tp>
      <tp>
        <v>37.5</v>
        <stp/>
        <stp>8941</stp>
        <stp>Price</stp>
        <tr r="W1668" s="57"/>
      </tp>
      <tp t="s">
        <v>無資料</v>
        <stp/>
        <stp>8921</stp>
        <stp>Price</stp>
        <tr r="W1394" s="57"/>
      </tp>
      <tp>
        <v>31.45</v>
        <stp/>
        <stp>8931</stp>
        <stp>Price</stp>
        <tr r="W1676" s="57"/>
      </tp>
      <tp>
        <v>221</v>
        <stp/>
        <stp>9941</stp>
        <stp>Price</stp>
        <tr r="W1428" s="57"/>
      </tp>
      <tp>
        <v>74.5</v>
        <stp/>
        <stp>9951</stp>
        <stp>Price</stp>
        <tr r="W222" s="57"/>
      </tp>
      <tp>
        <v>66</v>
        <stp/>
        <stp>9911</stp>
        <stp>Price</stp>
        <tr r="W1411" s="57"/>
      </tp>
      <tp>
        <v>277</v>
        <stp/>
        <stp>9921</stp>
        <stp>Price</stp>
        <tr r="W1415" s="57"/>
      </tp>
      <tp>
        <v>39.5</v>
        <stp/>
        <stp>9931</stp>
        <stp>Price</stp>
        <tr r="W1675" s="57"/>
      </tp>
      <tp>
        <v>28</v>
        <stp/>
        <stp>2206</stp>
        <stp>Price</stp>
        <tr r="W508" s="57"/>
      </tp>
      <tp>
        <v>25.9</v>
        <stp/>
        <stp>2236</stp>
        <stp>Price</stp>
        <tr r="W514" s="57"/>
      </tp>
      <tp>
        <v>25.15</v>
        <stp/>
        <stp>2356</stp>
        <stp>Price</stp>
        <tr r="W704" s="57"/>
      </tp>
      <tp>
        <v>133</v>
        <stp/>
        <stp>2376</stp>
        <stp>Price</stp>
        <tr r="W709" s="57"/>
      </tp>
      <tp>
        <v>31</v>
        <stp/>
        <stp>2316</stp>
        <stp>Price</stp>
        <tr r="W1026" s="57"/>
      </tp>
      <tp>
        <v>59</v>
        <stp/>
        <stp>2066</stp>
        <stp>Price</stp>
        <tr r="W162" s="57"/>
      </tp>
      <tp>
        <v>77.3</v>
        <stp/>
        <stp>2006</stp>
        <stp>Price</stp>
        <tr r="W432" s="57"/>
      </tp>
      <tp>
        <v>30.15</v>
        <stp/>
        <stp>2106</stp>
        <stp>Price</stp>
        <tr r="W484" s="57"/>
      </tp>
      <tp>
        <v>65.099999999999994</v>
        <stp/>
        <stp>2606</stp>
        <stp>Price</stp>
        <tr r="W1514" s="57"/>
      </tp>
      <tp>
        <v>38.6</v>
        <stp/>
        <stp>2616</stp>
        <stp>Price</stp>
        <tr r="W1672" s="57"/>
      </tp>
      <tp>
        <v>140</v>
        <stp/>
        <stp>2636</stp>
        <stp>Price</stp>
        <tr r="W7" s="74"/>
        <tr r="W1528" s="57"/>
      </tp>
      <tp>
        <v>119</v>
        <stp/>
        <stp>2756</stp>
        <stp>Price</stp>
        <tr r="W1572" s="57"/>
      </tp>
      <tp>
        <v>14.05</v>
        <stp/>
        <stp>2706</stp>
        <stp>Price</stp>
        <tr r="W1548" s="57"/>
      </tp>
      <tp>
        <v>29.2</v>
        <stp/>
        <stp>2726</stp>
        <stp>Price</stp>
        <tr r="W1556" s="57"/>
      </tp>
      <tp>
        <v>16.350000000000001</v>
        <stp/>
        <stp>2736</stp>
        <stp>Price</stp>
        <tr r="W1562" s="57"/>
      </tp>
      <tp>
        <v>34</v>
        <stp/>
        <stp>2466</stp>
        <stp>Price</stp>
        <tr r="W817" s="57"/>
      </tp>
      <tp>
        <v>55.4</v>
        <stp/>
        <stp>2476</stp>
        <stp>Price</stp>
        <tr r="W1050" s="57"/>
      </tp>
      <tp>
        <v>26.15</v>
        <stp/>
        <stp>2406</stp>
        <stp>Price</stp>
        <tr r="W813" s="57"/>
        <tr r="W70" s="28"/>
      </tp>
      <tp>
        <v>25.15</v>
        <stp/>
        <stp>2426</stp>
        <stp>Price</stp>
        <tr r="W815" s="57"/>
      </tp>
      <tp>
        <v>88.8</v>
        <stp/>
        <stp>2436</stp>
        <stp>Price</stp>
        <tr r="W544" s="57"/>
      </tp>
      <tp>
        <v>40.799999999999997</v>
        <stp/>
        <stp>2486</stp>
        <stp>Price</stp>
        <tr r="W818" s="57"/>
      </tp>
      <tp>
        <v>49.1</v>
        <stp/>
        <stp>2496</stp>
        <stp>Price</stp>
        <tr r="W1317" s="57"/>
      </tp>
      <tp>
        <v>51.8</v>
        <stp/>
        <stp>2546</stp>
        <stp>Price</stp>
        <tr r="W1463" s="57"/>
      </tp>
      <tp>
        <v>9.1</v>
        <stp/>
        <stp>2506</stp>
        <stp>Price</stp>
        <tr r="W1444" s="57"/>
      </tp>
      <tp>
        <v>5.83</v>
        <stp/>
        <stp>2516</stp>
        <stp>Price</stp>
        <tr r="W1447" s="57"/>
      </tp>
      <tp>
        <v>22.6</v>
        <stp/>
        <stp>2536</stp>
        <stp>Price</stp>
        <tr r="W1455" s="57"/>
      </tp>
      <tp>
        <v>21.9</v>
        <stp/>
        <stp>2596</stp>
        <stp>Price</stp>
        <tr r="W1466" s="57"/>
      </tp>
      <tp>
        <v>19.2</v>
        <stp/>
        <stp>2816</stp>
        <stp>Price</stp>
        <tr r="W1591" s="57"/>
      </tp>
      <tp>
        <v>13.5</v>
        <stp/>
        <stp>2836</stp>
        <stp>Price</stp>
        <tr r="W1595" s="57"/>
      </tp>
      <tp>
        <v>37.950000000000003</v>
        <stp/>
        <stp>2886</stp>
        <stp>Price</stp>
        <tr r="W1610" s="57"/>
      </tp>
      <tp>
        <v>25</v>
        <stp/>
        <stp>2906</stp>
        <stp>Price</stp>
        <tr r="W1639" s="57"/>
      </tp>
      <tp>
        <v>22.8</v>
        <stp/>
        <stp>2916</stp>
        <stp>Price</stp>
        <tr r="W1646" s="57"/>
      </tp>
      <tp>
        <v>60.5</v>
        <stp/>
        <stp>2926</stp>
        <stp>Price</stp>
        <tr r="W1772" s="57"/>
      </tp>
      <tp>
        <v>38.700000000000003</v>
        <stp/>
        <stp>2936</stp>
        <stp>Price</stp>
        <tr r="W1648" s="57"/>
      </tp>
      <tp>
        <v>13.45</v>
        <stp/>
        <stp>3266</stp>
        <stp>Price</stp>
        <tr r="W1473" s="57"/>
      </tp>
      <tp>
        <v>16.45</v>
        <stp/>
        <stp>3276</stp>
        <stp>Price</stp>
        <tr r="W1079" s="57"/>
      </tp>
      <tp>
        <v>28.8</v>
        <stp/>
        <stp>3206</stp>
        <stp>Price</stp>
        <tr r="W1074" s="57"/>
      </tp>
      <tp>
        <v>63.8</v>
        <stp/>
        <stp>3226</stp>
        <stp>Price</stp>
        <tr r="W172" s="57"/>
      </tp>
      <tp>
        <v>23</v>
        <stp/>
        <stp>3236</stp>
        <stp>Price</stp>
        <tr r="W1078" s="57"/>
      </tp>
      <tp>
        <v>16.649999999999999</v>
        <stp/>
        <stp>3296</stp>
        <stp>Price</stp>
        <tr r="W1083" s="57"/>
      </tp>
      <tp>
        <v>38.15</v>
        <stp/>
        <stp>3346</stp>
        <stp>Price</stp>
        <tr r="W520" s="57"/>
      </tp>
      <tp>
        <v>28</v>
        <stp/>
        <stp>3356</stp>
        <stp>Price</stp>
        <tr r="W836" s="57"/>
      </tp>
      <tp>
        <v>84.6</v>
        <stp/>
        <stp>3376</stp>
        <stp>Price</stp>
        <tr r="W1093" s="57"/>
      </tp>
      <tp>
        <v>25.35</v>
        <stp/>
        <stp>3306</stp>
        <stp>Price</stp>
        <tr r="W953" s="57"/>
      </tp>
      <tp>
        <v>31.95</v>
        <stp/>
        <stp>3046</stp>
        <stp>Price</stp>
        <tr r="W728" s="57"/>
      </tp>
      <tp>
        <v>39.25</v>
        <stp/>
        <stp>3056</stp>
        <stp>Price</stp>
        <tr r="W1471" s="57"/>
      </tp>
      <tp>
        <v>37.5</v>
        <stp/>
        <stp>3066</stp>
        <stp>Price</stp>
        <tr r="W830" s="57"/>
      </tp>
      <tp>
        <v>157.5</v>
        <stp/>
        <stp>3006</stp>
        <stp>Price</stp>
        <tr r="W6" s="114"/>
        <tr r="W4" s="114"/>
        <tr r="W551" s="57"/>
      </tp>
      <tp>
        <v>104.5</v>
        <stp/>
        <stp>3016</stp>
        <stp>Price</stp>
        <tr r="W553" s="57"/>
      </tp>
      <tp>
        <v>119</v>
        <stp/>
        <stp>3026</stp>
        <stp>Price</stp>
        <tr r="W1061" s="57"/>
      </tp>
      <tp>
        <v>84.1</v>
        <stp/>
        <stp>3036</stp>
        <stp>Price</stp>
        <tr r="W1233" s="57"/>
      </tp>
      <tp>
        <v>127</v>
        <stp/>
        <stp>3086</stp>
        <stp>Price</stp>
        <tr r="W1775" s="57"/>
      </tp>
      <tp>
        <v>50</v>
        <stp/>
        <stp>3176</stp>
        <stp>Price</stp>
        <tr r="W313" s="57"/>
      </tp>
      <tp>
        <v>26.8</v>
        <stp/>
        <stp>3646</stp>
        <stp>Price</stp>
        <tr r="W1117" s="57"/>
      </tp>
      <tp>
        <v>27.9</v>
        <stp/>
        <stp>3666</stp>
        <stp>Price</stp>
        <tr r="W859" s="57"/>
      </tp>
      <tp>
        <v>16.399999999999999</v>
        <stp/>
        <stp>3686</stp>
        <stp>Price</stp>
        <tr r="W596" s="57"/>
      </tp>
      <tp>
        <v>31.75</v>
        <stp/>
        <stp>3706</stp>
        <stp>Price</stp>
        <tr r="W756" s="57"/>
      </tp>
      <tp>
        <v>17</v>
        <stp/>
        <stp>3466</stp>
        <stp>Price</stp>
        <tr r="W958" s="57"/>
      </tp>
      <tp>
        <v>425</v>
        <stp/>
        <stp>3406</stp>
        <stp>Price</stp>
        <tr r="W839" s="57"/>
      </tp>
      <tp>
        <v>77.5</v>
        <stp/>
        <stp>3416</stp>
        <stp>Price</stp>
        <tr r="W742" s="57"/>
      </tp>
      <tp t="s">
        <v>無資料</v>
        <stp/>
        <stp>3426</stp>
        <stp>Price</stp>
        <tr r="W174" s="57"/>
      </tp>
      <tp>
        <v>82.8</v>
        <stp/>
        <stp>3546</stp>
        <stp>Price</stp>
        <tr r="W86" s="74"/>
        <tr r="W1777" s="57"/>
      </tp>
      <tp>
        <v>81.3</v>
        <stp/>
        <stp>3556</stp>
        <stp>Price</stp>
        <tr r="W587" s="57"/>
      </tp>
      <tp>
        <v>22.9</v>
        <stp/>
        <stp>3576</stp>
        <stp>Price</stp>
        <tr r="W853" s="57"/>
      </tp>
      <tp>
        <v>16.05</v>
        <stp/>
        <stp>3516</stp>
        <stp>Price</stp>
        <tr r="W848" s="57"/>
      </tp>
      <tp>
        <v>195</v>
        <stp/>
        <stp>3526</stp>
        <stp>Price</stp>
        <tr r="W1104" s="57"/>
      </tp>
      <tp>
        <v>5.9</v>
        <stp/>
        <stp>3536</stp>
        <stp>Price</stp>
        <tr r="W584" s="57"/>
      </tp>
      <tp>
        <v>111</v>
        <stp/>
        <stp>3596</stp>
        <stp>Price</stp>
        <tr r="W963" s="57"/>
      </tp>
      <tp>
        <v>297.5</v>
        <stp/>
        <stp>1256</stp>
        <stp>Price</stp>
        <tr r="W32" s="57"/>
      </tp>
      <tp>
        <v>66.3</v>
        <stp/>
        <stp>1216</stp>
        <stp>Price</stp>
        <tr r="W18" s="57"/>
      </tp>
      <tp>
        <v>26.7</v>
        <stp/>
        <stp>1236</stp>
        <stp>Price</stp>
        <tr r="W31" s="57"/>
      </tp>
      <tp>
        <v>19.5</v>
        <stp/>
        <stp>1316</stp>
        <stp>Price</stp>
        <tr r="W1435" s="57"/>
      </tp>
      <tp>
        <v>79.2</v>
        <stp/>
        <stp>1326</stp>
        <stp>Price</stp>
        <tr r="W58" s="57"/>
      </tp>
      <tp>
        <v>19.649999999999999</v>
        <stp/>
        <stp>1336</stp>
        <stp>Price</stp>
        <tr r="W1018" s="57"/>
      </tp>
      <tp>
        <v>10.050000000000001</v>
        <stp/>
        <stp>1616</stp>
        <stp>Price</stp>
        <tr r="W234" s="57"/>
      </tp>
      <tp>
        <v>19.850000000000001</v>
        <stp/>
        <stp>1626</stp>
        <stp>Price</stp>
        <tr r="W237" s="57"/>
      </tp>
      <tp>
        <v>21</v>
        <stp/>
        <stp>1776</stp>
        <stp>Price</stp>
        <tr r="W264" s="57"/>
      </tp>
      <tp>
        <v>73.8</v>
        <stp/>
        <stp>1726</stp>
        <stp>Price</stp>
        <tr r="W257" s="57"/>
      </tp>
      <tp>
        <v>52.6</v>
        <stp/>
        <stp>1736</stp>
        <stp>Price</stp>
        <tr r="W297" s="57"/>
      </tp>
      <tp>
        <v>41.45</v>
        <stp/>
        <stp>1786</stp>
        <stp>Price</stp>
        <tr r="W305" s="57"/>
      </tp>
      <tp>
        <v>45.2</v>
        <stp/>
        <stp>1796</stp>
        <stp>Price</stp>
        <tr r="W37" s="57"/>
      </tp>
      <tp>
        <v>31.5</v>
        <stp/>
        <stp>1446</stp>
        <stp>Price</stp>
        <tr r="W86" s="57"/>
      </tp>
      <tp>
        <v>20.2</v>
        <stp/>
        <stp>1456</stp>
        <stp>Price</stp>
        <tr r="W94" s="57"/>
      </tp>
      <tp>
        <v>14.85</v>
        <stp/>
        <stp>1466</stp>
        <stp>Price</stp>
        <tr r="W101" s="57"/>
      </tp>
      <tp>
        <v>437.5</v>
        <stp/>
        <stp>1476</stp>
        <stp>Price</stp>
        <tr r="W37" s="28"/>
        <tr r="W109" s="57"/>
      </tp>
      <tp>
        <v>56.5</v>
        <stp/>
        <stp>1436</stp>
        <stp>Price</stp>
        <tr r="W1436" s="57"/>
      </tp>
      <tp>
        <v>14.05</v>
        <stp/>
        <stp>1506</stp>
        <stp>Price</stp>
        <tr r="W130" s="57"/>
      </tp>
      <tp>
        <v>24.8</v>
        <stp/>
        <stp>1516</stp>
        <stp>Price</stp>
        <tr r="W1307" s="57"/>
        <tr r="W1310" s="57"/>
      </tp>
      <tp>
        <v>47.25</v>
        <stp/>
        <stp>1526</stp>
        <stp>Price</stp>
        <tr r="W137" s="57"/>
      </tp>
      <tp>
        <v>76.8</v>
        <stp/>
        <stp>1536</stp>
        <stp>Price</stp>
        <tr r="W502" s="57"/>
      </tp>
      <tp>
        <v>40.5</v>
        <stp/>
        <stp>1586</stp>
        <stp>Price</stp>
        <tr r="W155" s="57"/>
      </tp>
      <tp>
        <v>11.05</v>
        <stp/>
        <stp>1806</stp>
        <stp>Price</stp>
        <tr r="W417" s="57"/>
      </tp>
      <tp>
        <v>19.350000000000001</v>
        <stp/>
        <stp>1906</stp>
        <stp>Price</stp>
        <tr r="W426" s="57"/>
      </tp>
      <tp>
        <v>16.25</v>
        <stp/>
        <stp>6246</stp>
        <stp>Price</stp>
        <tr r="W899" s="57"/>
        <tr r="W904" s="57"/>
      </tp>
      <tp>
        <v>26.05</v>
        <stp/>
        <stp>6266</stp>
        <stp>Price</stp>
        <tr r="W1183" s="57"/>
      </tp>
      <tp>
        <v>19.05</v>
        <stp/>
        <stp>6276</stp>
        <stp>Price</stp>
        <tr r="W788" s="57"/>
      </tp>
      <tp>
        <v>72.5</v>
        <stp/>
        <stp>6206</stp>
        <stp>Price</stp>
        <tr r="W784" s="57"/>
      </tp>
      <tp>
        <v>26.55</v>
        <stp/>
        <stp>6216</stp>
        <stp>Price</stp>
        <tr r="W989" s="57"/>
      </tp>
      <tp>
        <v>12.8</v>
        <stp/>
        <stp>6226</stp>
        <stp>Price</stp>
        <tr r="W901" s="57"/>
      </tp>
      <tp t="s">
        <v>無資料</v>
        <stp/>
        <stp>6236</stp>
        <stp>Price</stp>
        <tr r="W1341" s="57"/>
      </tp>
      <tp>
        <v>13.65</v>
        <stp/>
        <stp>6016</stp>
        <stp>Price</stp>
        <tr r="W1625" s="57"/>
      </tp>
      <tp>
        <v>20.149999999999999</v>
        <stp/>
        <stp>6026</stp>
        <stp>Price</stp>
        <tr r="W1630" s="57"/>
      </tp>
      <tp>
        <v>185.5</v>
        <stp/>
        <stp>6146</stp>
        <stp>Price</stp>
        <tr r="W1741" s="57"/>
      </tp>
      <tp>
        <v>19.649999999999999</v>
        <stp/>
        <stp>6156</stp>
        <stp>Price</stp>
        <tr r="W1161" s="57"/>
      </tp>
      <tp>
        <v>58.3</v>
        <stp/>
        <stp>6166</stp>
        <stp>Price</stp>
        <tr r="W782" s="57"/>
      </tp>
      <tp>
        <v>101.5</v>
        <stp/>
        <stp>6176</stp>
        <stp>Price</stp>
        <tr r="W897" s="57"/>
      </tp>
      <tp>
        <v>15.85</v>
        <stp/>
        <stp>6116</stp>
        <stp>Price</stp>
        <tr r="W891" s="57"/>
      </tp>
      <tp>
        <v>25.25</v>
        <stp/>
        <stp>6126</stp>
        <stp>Price</stp>
        <tr r="W1154" s="57"/>
      </tp>
      <tp>
        <v>18.45</v>
        <stp/>
        <stp>6136</stp>
        <stp>Price</stp>
        <tr r="W982" s="57"/>
      </tp>
      <tp>
        <v>26.5</v>
        <stp/>
        <stp>6186</stp>
        <stp>Price</stp>
        <tr r="W1502" s="57"/>
      </tp>
      <tp>
        <v>152.5</v>
        <stp/>
        <stp>6196</stp>
        <stp>Price</stp>
        <tr r="W1745" s="57"/>
      </tp>
      <tp>
        <v>62.2</v>
        <stp/>
        <stp>6666</stp>
        <stp>Price</stp>
        <tr r="W401" s="57"/>
      </tp>
      <tp>
        <v>18.600000000000001</v>
        <stp/>
        <stp>6616</stp>
        <stp>Price</stp>
        <tr r="W1346" s="57"/>
      </tp>
      <tp>
        <v>418.5</v>
        <stp/>
        <stp>6756</stp>
        <stp>Price</stp>
        <tr r="W676" s="57"/>
      </tp>
      <tp>
        <v>40.950000000000003</v>
        <stp/>
        <stp>6776</stp>
        <stp>Price</stp>
        <tr r="W1253" s="57"/>
      </tp>
      <tp>
        <v>183.5</v>
        <stp/>
        <stp>6706</stp>
        <stp>Price</stp>
        <tr r="W14" s="114"/>
        <tr r="W916" s="57"/>
      </tp>
      <tp>
        <v>153</v>
        <stp/>
        <stp>6716</stp>
        <stp>Price</stp>
        <tr r="W673" s="57"/>
      </tp>
      <tp>
        <v>305</v>
        <stp/>
        <stp>6446</stp>
        <stp>Price</stp>
        <tr r="W15" s="28"/>
        <tr r="W378" s="57"/>
      </tp>
      <tp>
        <v>93.1</v>
        <stp/>
        <stp>6456</stp>
        <stp>Price</stp>
        <tr r="W911" s="57"/>
      </tp>
      <tp>
        <v>85.1</v>
        <stp/>
        <stp>6416</stp>
        <stp>Price</stp>
        <tr r="W995" s="57"/>
      </tp>
      <tp>
        <v>69.900000000000006</v>
        <stp/>
        <stp>6426</stp>
        <stp>Price</stp>
        <tr r="W997" s="57"/>
      </tp>
      <tp>
        <v>77.599999999999994</v>
        <stp/>
        <stp>6486</stp>
        <stp>Price</stp>
        <tr r="W1000" s="57"/>
      </tp>
      <tp>
        <v>27.65</v>
        <stp/>
        <stp>6496</stp>
        <stp>Price</stp>
        <tr r="W384" s="57"/>
      </tp>
      <tp>
        <v>59.5</v>
        <stp/>
        <stp>6556</stp>
        <stp>Price</stp>
        <tr r="W913" s="57"/>
      </tp>
      <tp>
        <v>117</v>
        <stp/>
        <stp>6576</stp>
        <stp>Price</stp>
        <tr r="W393" s="57"/>
      </tp>
      <tp>
        <v>19</v>
        <stp/>
        <stp>6506</stp>
        <stp>Price</stp>
        <tr r="W284" s="57"/>
      </tp>
      <tp>
        <v>90</v>
        <stp/>
        <stp>6516</stp>
        <stp>Price</stp>
        <tr r="W1293" s="57"/>
      </tp>
      <tp>
        <v>49</v>
        <stp/>
        <stp>6596</stp>
        <stp>Price</stp>
        <tr r="W1791" s="57"/>
      </tp>
      <tp>
        <v>96.5</v>
        <stp/>
        <stp>6806</stp>
        <stp>Price</stp>
        <tr r="W1358" s="57"/>
      </tp>
      <tp>
        <v>112.5</v>
        <stp/>
        <stp>7556</stp>
        <stp>Price</stp>
        <tr r="W679" s="57"/>
      </tp>
      <tp>
        <v>14.65</v>
        <stp/>
        <stp>4306</stp>
        <stp>Price</stp>
        <tr r="W65" s="57"/>
      </tp>
      <tp>
        <v>25.8</v>
        <stp/>
        <stp>4106</stp>
        <stp>Price</stp>
        <tr r="W320" s="57"/>
      </tp>
      <tp>
        <v>33.299999999999997</v>
        <stp/>
        <stp>4116</stp>
        <stp>Price</stp>
        <tr r="W326" s="57"/>
      </tp>
      <tp>
        <v>71.8</v>
        <stp/>
        <stp>4126</stp>
        <stp>Price</stp>
        <tr r="W331" s="57"/>
      </tp>
      <tp>
        <v>56.4</v>
        <stp/>
        <stp>4746</stp>
        <stp>Price</stp>
        <tr r="W372" s="57"/>
      </tp>
      <tp>
        <v>134.5</v>
        <stp/>
        <stp>4766</stp>
        <stp>Price</stp>
        <tr r="W281" s="57"/>
      </tp>
      <tp>
        <v>18.75</v>
        <stp/>
        <stp>4706</stp>
        <stp>Price</stp>
        <tr r="W267" s="57"/>
      </tp>
      <tp>
        <v>13.95</v>
        <stp/>
        <stp>4716</stp>
        <stp>Price</stp>
        <tr r="W271" s="57"/>
      </tp>
      <tp>
        <v>38.4</v>
        <stp/>
        <stp>4726</stp>
        <stp>Price</stp>
        <tr r="W364" s="57"/>
      </tp>
      <tp>
        <v>179.5</v>
        <stp/>
        <stp>4736</stp>
        <stp>Price</stp>
        <tr r="W367" s="57"/>
      </tp>
      <tp>
        <v>9.9700000000000006</v>
        <stp/>
        <stp>4406</stp>
        <stp>Price</stp>
        <tr r="W113" s="57"/>
      </tp>
      <tp>
        <v>114</v>
        <stp/>
        <stp>4416</stp>
        <stp>Price</stp>
        <tr r="W1477" s="57"/>
      </tp>
      <tp>
        <v>22.55</v>
        <stp/>
        <stp>4426</stp>
        <stp>Price</stp>
        <tr r="W119" s="57"/>
      </tp>
      <tp>
        <v>30.05</v>
        <stp/>
        <stp>4556</stp>
        <stp>Price</stp>
        <tr r="W1328" s="57"/>
      </tp>
      <tp>
        <v>43.8</v>
        <stp/>
        <stp>4566</stp>
        <stp>Price</stp>
        <tr r="W203" s="57"/>
      </tp>
      <tp>
        <v>107.5</v>
        <stp/>
        <stp>4576</stp>
        <stp>Price</stp>
        <tr r="W207" s="57"/>
      </tp>
      <tp>
        <v>67.2</v>
        <stp/>
        <stp>4506</stp>
        <stp>Price</stp>
        <tr r="W177" s="57"/>
      </tp>
      <tp>
        <v>16.149999999999999</v>
        <stp/>
        <stp>4526</stp>
        <stp>Price</stp>
        <tr r="W181" s="57"/>
      </tp>
      <tp>
        <v>131</v>
        <stp/>
        <stp>4536</stp>
        <stp>Price</stp>
        <tr r="W1326" s="57"/>
      </tp>
      <tp>
        <v>9.92</v>
        <stp/>
        <stp>4806</stp>
        <stp>Price</stp>
        <tr r="W1779" s="57"/>
      </tp>
      <tp>
        <v>79.099999999999994</v>
        <stp/>
        <stp>4946</stp>
        <stp>Price</stp>
        <tr r="W1780" s="57"/>
      </tp>
      <tp>
        <v>22.35</v>
        <stp/>
        <stp>4956</stp>
        <stp>Price</stp>
        <tr r="W872" s="57"/>
      </tp>
      <tp>
        <v>1790</v>
        <stp/>
        <stp>4966</stp>
        <stp>Price</stp>
        <tr r="W604" s="57"/>
      </tp>
      <tp>
        <v>52.5</v>
        <stp/>
        <stp>4976</stp>
        <stp>Price</stp>
        <tr r="W875" s="57"/>
      </tp>
      <tp>
        <v>29.45</v>
        <stp/>
        <stp>4906</stp>
        <stp>Price</stp>
        <tr r="W973" s="57"/>
      </tp>
      <tp>
        <v>26.5</v>
        <stp/>
        <stp>4916</stp>
        <stp>Price</stp>
        <tr r="W759" s="57"/>
      </tp>
      <tp>
        <v>12.8</v>
        <stp/>
        <stp>5276</stp>
        <stp>Price</stp>
        <tr r="W1330" s="57"/>
      </tp>
      <tp>
        <v>15.85</v>
        <stp/>
        <stp>5206</stp>
        <stp>Price</stp>
        <tr r="W1479" s="57"/>
      </tp>
      <tp>
        <v>131</v>
        <stp/>
        <stp>5236</stp>
        <stp>Price</stp>
        <tr r="W611" s="57"/>
      </tp>
      <tp>
        <v>27</v>
        <stp/>
        <stp>5356</stp>
        <stp>Price</stp>
        <tr r="W768" s="57"/>
      </tp>
      <tp>
        <v>193.5</v>
        <stp/>
        <stp>5306</stp>
        <stp>Price</stp>
        <tr r="W1332" s="57"/>
      </tp>
      <tp>
        <v>43.6</v>
        <stp/>
        <stp>5386</stp>
        <stp>Price</stp>
        <tr r="W769" s="57"/>
      </tp>
      <tp>
        <v>39.1</v>
        <stp/>
        <stp>5016</stp>
        <stp>Price</stp>
        <tr r="W469" s="57"/>
      </tp>
      <tp>
        <v>63.1</v>
        <stp/>
        <stp>5706</stp>
        <stp>Price</stp>
        <tr r="W1581" s="57"/>
      </tp>
      <tp>
        <v>11.25</v>
        <stp/>
        <stp>5426</stp>
        <stp>Price</stp>
        <tr r="W770" s="57"/>
      </tp>
      <tp>
        <v>60.3</v>
        <stp/>
        <stp>5546</stp>
        <stp>Price</stp>
        <tr r="W1499" s="57"/>
      </tp>
      <tp>
        <v>15.4</v>
        <stp/>
        <stp>5516</stp>
        <stp>Price</stp>
        <tr r="W1488" s="57"/>
      </tp>
      <tp>
        <v>209.5</v>
        <stp/>
        <stp>5536</stp>
        <stp>Price</stp>
        <tr r="W1739" s="57"/>
      </tp>
      <tp>
        <v>45.7</v>
        <stp/>
        <stp>5876</stp>
        <stp>Price</stp>
        <tr r="W1620" s="57"/>
      </tp>
      <tp>
        <v>37.950000000000003</v>
        <stp/>
        <stp>5906</stp>
        <stp>Price</stp>
        <tr r="W1659" s="57"/>
      </tp>
      <tp>
        <v>489</v>
        <stp/>
        <stp>8046</stp>
        <stp>Price</stp>
        <tr r="W1207" s="57"/>
      </tp>
      <tp>
        <v>31.3</v>
        <stp/>
        <stp>8066</stp>
        <stp>Price</stp>
        <tr r="W1663" s="57"/>
      </tp>
      <tp>
        <v>29.75</v>
        <stp/>
        <stp>8076</stp>
        <stp>Price</stp>
        <tr r="W799" s="57"/>
      </tp>
      <tp>
        <v>305.5</v>
        <stp/>
        <stp>8016</stp>
        <stp>Price</stp>
        <tr r="W680" s="57"/>
      </tp>
      <tp>
        <v>98.2</v>
        <stp/>
        <stp>8086</stp>
        <stp>Price</stp>
        <tr r="W686" s="57"/>
      </tp>
      <tp>
        <v>13.3</v>
        <stp/>
        <stp>8096</stp>
        <stp>Price</stp>
        <tr r="W1260" s="57"/>
      </tp>
      <tp>
        <v>8.4499999999999993</v>
        <stp/>
        <stp>8176</stp>
        <stp>Price</stp>
        <tr r="W1015" s="57"/>
      </tp>
      <tp>
        <v>86.8</v>
        <stp/>
        <stp>8446</stp>
        <stp>Price</stp>
        <tr r="W1792" s="57"/>
      </tp>
      <tp>
        <v>49.85</v>
        <stp/>
        <stp>8466</stp>
        <stp>Price</stp>
        <tr r="W1381" s="57"/>
      </tp>
      <tp>
        <v>58.4</v>
        <stp/>
        <stp>8476</stp>
        <stp>Price</stp>
        <tr r="W1384" s="57"/>
      </tp>
      <tp>
        <v>277</v>
        <stp/>
        <stp>8406</stp>
        <stp>Price</stp>
        <tr r="W410" s="57"/>
      </tp>
      <tp>
        <v>123</v>
        <stp/>
        <stp>8416</stp>
        <stp>Price</stp>
        <tr r="W1302" s="57"/>
      </tp>
      <tp t="s">
        <v>無資料</v>
        <stp/>
        <stp>8426</stp>
        <stp>Price</stp>
        <tr r="W1371" s="57"/>
      </tp>
      <tp>
        <v>205</v>
        <stp/>
        <stp>8436</stp>
        <stp>Price</stp>
        <tr r="W413" s="57"/>
      </tp>
      <tp>
        <v>18.55</v>
        <stp/>
        <stp>8906</stp>
        <stp>Price</stp>
        <tr r="W1392" s="57"/>
      </tp>
      <tp>
        <v>42.5</v>
        <stp/>
        <stp>8916</stp>
        <stp>Price</stp>
        <tr r="W1393" s="57"/>
      </tp>
      <tp>
        <v>36.950000000000003</v>
        <stp/>
        <stp>8926</stp>
        <stp>Price</stp>
        <tr r="W1673" s="57"/>
      </tp>
      <tp>
        <v>20.7</v>
        <stp/>
        <stp>8936</stp>
        <stp>Price</stp>
        <tr r="W36" s="28"/>
        <tr r="W100" s="22"/>
        <tr r="W101" s="22"/>
        <tr r="W102" s="22"/>
        <tr r="W1401" s="57"/>
      </tp>
      <tp>
        <v>65.3</v>
        <stp/>
        <stp>8996</stp>
        <stp>Price</stp>
        <tr r="W221" s="57"/>
      </tp>
      <tp>
        <v>14</v>
        <stp/>
        <stp>9946</stp>
        <stp>Price</stp>
        <tr r="W1508" s="57"/>
      </tp>
      <tp>
        <v>52.1</v>
        <stp/>
        <stp>9906</stp>
        <stp>Price</stp>
        <tr r="W1507" s="57"/>
      </tp>
      <tp>
        <v>48.45</v>
        <stp/>
        <stp>9926</stp>
        <stp>Price</stp>
        <tr r="W1678" s="57"/>
      </tp>
      <tp>
        <v>206.5</v>
        <stp/>
        <stp>2247</stp>
        <stp>Price</stp>
        <tr r="W517" s="57"/>
      </tp>
      <tp>
        <v>582</v>
        <stp/>
        <stp>2207</stp>
        <stp>Price</stp>
        <tr r="W509" s="57"/>
      </tp>
      <tp>
        <v>246.5</v>
        <stp/>
        <stp>2227</stp>
        <stp>Price</stp>
        <tr r="W510" s="57"/>
      </tp>
      <tp>
        <v>72.3</v>
        <stp/>
        <stp>2347</stp>
        <stp>Price</stp>
        <tr r="W1226" s="57"/>
      </tp>
      <tp>
        <v>371.5</v>
        <stp/>
        <stp>2357</stp>
        <stp>Price</stp>
        <tr r="W705" s="57"/>
      </tp>
      <tp>
        <v>17.8</v>
        <stp/>
        <stp>2367</stp>
        <stp>Price</stp>
        <tr r="W1030" s="57"/>
      </tp>
      <tp>
        <v>142</v>
        <stp/>
        <stp>2377</stp>
        <stp>Price</stp>
        <tr r="W710" s="57"/>
      </tp>
      <tp>
        <v>103.5</v>
        <stp/>
        <stp>2317</stp>
        <stp>Price</stp>
        <tr r="W1688" s="57"/>
      </tp>
      <tp>
        <v>434</v>
        <stp/>
        <stp>2327</stp>
        <stp>Price</stp>
        <tr r="W1027" s="57"/>
      </tp>
      <tp>
        <v>41.25</v>
        <stp/>
        <stp>2337</stp>
        <stp>Price</stp>
        <tr r="W532" s="57"/>
      </tp>
      <tp>
        <v>40.6</v>
        <stp/>
        <stp>2387</stp>
        <stp>Price</stp>
        <tr r="W39" s="28"/>
        <tr r="W91" s="22"/>
        <tr r="W85" s="74"/>
        <tr r="W713" s="57"/>
      </tp>
      <tp>
        <v>60.5</v>
        <stp/>
        <stp>2397</stp>
        <stp>Price</stp>
        <tr r="W715" s="57"/>
      </tp>
      <tp>
        <v>14.25</v>
        <stp/>
        <stp>2067</stp>
        <stp>Price</stp>
        <tr r="W163" s="57"/>
      </tp>
      <tp>
        <v>20.6</v>
        <stp/>
        <stp>2007</stp>
        <stp>Price</stp>
        <tr r="W433" s="57"/>
      </tp>
      <tp>
        <v>19.7</v>
        <stp/>
        <stp>2017</stp>
        <stp>Price</stp>
        <tr r="W441" s="57"/>
      </tp>
      <tp>
        <v>49.9</v>
        <stp/>
        <stp>2027</stp>
        <stp>Price</stp>
        <tr r="W447" s="57"/>
      </tp>
      <tp>
        <v>21.9</v>
        <stp/>
        <stp>2107</stp>
        <stp>Price</stp>
        <tr r="W485" s="57"/>
      </tp>
      <tp>
        <v>39.6</v>
        <stp/>
        <stp>2607</stp>
        <stp>Price</stp>
        <tr r="W1515" s="57"/>
      </tp>
      <tp>
        <v>37.1</v>
        <stp/>
        <stp>2617</stp>
        <stp>Price</stp>
        <tr r="W1523" s="57"/>
      </tp>
      <tp>
        <v>99.5</v>
        <stp/>
        <stp>2637</stp>
        <stp>Price</stp>
        <tr r="W1529" s="57"/>
      </tp>
      <tp>
        <v>162.5</v>
        <stp/>
        <stp>2707</stp>
        <stp>Price</stp>
        <tr r="W1549" s="57"/>
      </tp>
      <tp>
        <v>121</v>
        <stp/>
        <stp>2727</stp>
        <stp>Price</stp>
        <tr r="W1557" s="57"/>
      </tp>
      <tp>
        <v>42.1</v>
        <stp/>
        <stp>2457</stp>
        <stp>Price</stp>
        <tr r="W1045" s="57"/>
      </tp>
      <tp>
        <v>49.3</v>
        <stp/>
        <stp>2467</stp>
        <stp>Price</stp>
        <tr r="W1048" s="57"/>
      </tp>
      <tp>
        <v>32.799999999999997</v>
        <stp/>
        <stp>2477</stp>
        <stp>Price</stp>
        <tr r="W1700" s="57"/>
      </tp>
      <tp>
        <v>25.7</v>
        <stp/>
        <stp>2417</stp>
        <stp>Price</stp>
        <tr r="W718" s="57"/>
      </tp>
      <tp>
        <v>12.6</v>
        <stp/>
        <stp>2427</stp>
        <stp>Price</stp>
        <tr r="W1264" s="57"/>
      </tp>
      <tp>
        <v>103.5</v>
        <stp/>
        <stp>2497</stp>
        <stp>Price</stp>
        <tr r="W519" s="57"/>
      </tp>
      <tp>
        <v>10.35</v>
        <stp/>
        <stp>2547</stp>
        <stp>Price</stp>
        <tr r="W1464" s="57"/>
      </tp>
      <tp>
        <v>29.3</v>
        <stp/>
        <stp>2527</stp>
        <stp>Price</stp>
        <tr r="W1450" s="57"/>
      </tp>
      <tp>
        <v>10.15</v>
        <stp/>
        <stp>2537</stp>
        <stp>Price</stp>
        <tr r="W1456" s="57"/>
      </tp>
      <tp>
        <v>136.5</v>
        <stp/>
        <stp>2597</stp>
        <stp>Price</stp>
        <tr r="W1467" s="57"/>
      </tp>
      <tp>
        <v>8.31</v>
        <stp/>
        <stp>2867</stp>
        <stp>Price</stp>
        <tr r="W56" s="28"/>
        <tr r="W1603" s="57"/>
      </tp>
      <tp>
        <v>18.899999999999999</v>
        <stp/>
        <stp>2887</stp>
        <stp>Price</stp>
        <tr r="W1611" s="57"/>
      </tp>
      <tp>
        <v>8.9499999999999993</v>
        <stp/>
        <stp>2897</stp>
        <stp>Price</stp>
        <tr r="W1617" s="57"/>
      </tp>
      <tp>
        <v>140.5</v>
        <stp/>
        <stp>2947</stp>
        <stp>Price</stp>
        <tr r="W1652" s="57"/>
      </tp>
      <tp>
        <v>36.85</v>
        <stp/>
        <stp>2937</stp>
        <stp>Price</stp>
        <tr r="W1649" s="57"/>
      </tp>
      <tp>
        <v>79.400000000000006</v>
        <stp/>
        <stp>3257</stp>
        <stp>Price</stp>
        <tr r="W568" s="57"/>
      </tp>
      <tp>
        <v>23.45</v>
        <stp/>
        <stp>3207</stp>
        <stp>Price</stp>
        <tr r="W1075" s="57"/>
      </tp>
      <tp>
        <v>99.2</v>
        <stp/>
        <stp>3217</stp>
        <stp>Price</stp>
        <tr r="W18" s="114"/>
        <tr r="W1076" s="57"/>
      </tp>
      <tp>
        <v>138.5</v>
        <stp/>
        <stp>3227</stp>
        <stp>Price</stp>
        <tr r="W566" s="57"/>
      </tp>
      <tp>
        <v>15.5</v>
        <stp/>
        <stp>3287</stp>
        <stp>Price</stp>
        <tr r="W737" s="57"/>
      </tp>
      <tp>
        <v>16</v>
        <stp/>
        <stp>3297</stp>
        <stp>Price</stp>
        <tr r="W834" s="57"/>
      </tp>
      <tp>
        <v>118.5</v>
        <stp/>
        <stp>3357</stp>
        <stp>Price</stp>
        <tr r="W1092" s="57"/>
      </tp>
      <tp>
        <v>66.2</v>
        <stp/>
        <stp>3317</stp>
        <stp>Price</stp>
        <tr r="W574" s="57"/>
      </tp>
      <tp>
        <v>12.5</v>
        <stp/>
        <stp>3047</stp>
        <stp>Price</stp>
        <tr r="W944" s="57"/>
      </tp>
      <tp>
        <v>12.85</v>
        <stp/>
        <stp>3057</stp>
        <stp>Price</stp>
        <tr r="W729" s="57"/>
      </tp>
      <tp>
        <v>40</v>
        <stp/>
        <stp>3067</stp>
        <stp>Price</stp>
        <tr r="W1707" s="57"/>
      </tp>
      <tp>
        <v>122.5</v>
        <stp/>
        <stp>3017</stp>
        <stp>Price</stp>
        <tr r="W726" s="57"/>
      </tp>
      <tp>
        <v>21.1</v>
        <stp/>
        <stp>3027</stp>
        <stp>Price</stp>
        <tr r="W942" s="57"/>
      </tp>
      <tp>
        <v>235.5</v>
        <stp/>
        <stp>3037</stp>
        <stp>Price</stp>
        <tr r="W1063" s="57"/>
      </tp>
      <tp>
        <v>44.9</v>
        <stp/>
        <stp>3147</stp>
        <stp>Price</stp>
        <tr r="W1303" s="57"/>
      </tp>
      <tp>
        <v>68.3</v>
        <stp/>
        <stp>3167</stp>
        <stp>Price</stp>
        <tr r="W170" s="57"/>
      </tp>
      <tp>
        <v>14</v>
        <stp/>
        <stp>3607</stp>
        <stp>Price</stp>
        <tr r="W1112" s="57"/>
      </tp>
      <tp>
        <v>69.7</v>
        <stp/>
        <stp>3617</stp>
        <stp>Price</stp>
        <tr r="W1726" s="57"/>
      </tp>
      <tp>
        <v>190</v>
        <stp/>
        <stp>3687</stp>
        <stp>Price</stp>
        <tr r="W1800" s="57"/>
      </tp>
      <tp>
        <v>117.5</v>
        <stp/>
        <stp>3707</stp>
        <stp>Price</stp>
        <tr r="W597" s="57"/>
      </tp>
      <tp>
        <v>22.9</v>
        <stp/>
        <stp>3437</stp>
        <stp>Price</stp>
        <tr r="W841" s="57"/>
      </tp>
      <tp>
        <v>71.8</v>
        <stp/>
        <stp>3557</stp>
        <stp>Price</stp>
        <tr r="W1323" s="57"/>
      </tp>
      <tp>
        <v>35.5</v>
        <stp/>
        <stp>3567</stp>
        <stp>Price</stp>
        <tr r="W588" s="57"/>
      </tp>
      <tp>
        <v>76.400000000000006</v>
        <stp/>
        <stp>3577</stp>
        <stp>Price</stp>
        <tr r="W749" s="57"/>
      </tp>
      <tp>
        <v>167</v>
        <stp/>
        <stp>3527</stp>
        <stp>Price</stp>
        <tr r="W580" s="57"/>
      </tp>
      <tp>
        <v>38.75</v>
        <stp/>
        <stp>3537</stp>
        <stp>Price</stp>
        <tr r="W1106" s="57"/>
      </tp>
      <tp>
        <v>143.5</v>
        <stp/>
        <stp>3587</stp>
        <stp>Price</stp>
        <tr r="W1725" s="57"/>
      </tp>
      <tp>
        <v>28.9</v>
        <stp/>
        <stp>3597</stp>
        <stp>Price</stp>
        <tr r="W1110" s="57"/>
      </tp>
      <tp>
        <v>10.7</v>
        <stp/>
        <stp>1217</stp>
        <stp>Price</stp>
        <tr r="W19" s="57"/>
      </tp>
      <tp>
        <v>48.25</v>
        <stp/>
        <stp>1227</stp>
        <stp>Price</stp>
        <tr r="W24" s="57"/>
      </tp>
      <tp>
        <v>20.149999999999999</v>
        <stp/>
        <stp>1307</stp>
        <stp>Price</stp>
        <tr r="W46" s="57"/>
      </tp>
      <tp>
        <v>6.65</v>
        <stp/>
        <stp>1337</stp>
        <stp>Price</stp>
        <tr r="W59" s="57"/>
      </tp>
      <tp>
        <v>18.100000000000001</v>
        <stp/>
        <stp>1617</stp>
        <stp>Price</stp>
        <tr r="W235" s="57"/>
      </tp>
      <tp>
        <v>66.099999999999994</v>
        <stp/>
        <stp>1777</stp>
        <stp>Price</stp>
        <tr r="W301" s="57"/>
      </tp>
      <tp>
        <v>145.5</v>
        <stp/>
        <stp>1707</stp>
        <stp>Price</stp>
        <tr r="W292" s="57"/>
      </tp>
      <tp>
        <v>36.299999999999997</v>
        <stp/>
        <stp>1717</stp>
        <stp>Price</stp>
        <tr r="W251" s="57"/>
      </tp>
      <tp>
        <v>38.549999999999997</v>
        <stp/>
        <stp>1727</stp>
        <stp>Price</stp>
        <tr r="W258" s="57"/>
      </tp>
      <tp>
        <v>33.950000000000003</v>
        <stp/>
        <stp>1737</stp>
        <stp>Price</stp>
        <tr r="W36" s="57"/>
      </tp>
      <tp>
        <v>9.19</v>
        <stp/>
        <stp>1447</stp>
        <stp>Price</stp>
        <tr r="W87" s="57"/>
      </tp>
      <tp>
        <v>18.95</v>
        <stp/>
        <stp>1457</stp>
        <stp>Price</stp>
        <tr r="W95" s="57"/>
      </tp>
      <tp>
        <v>14.3</v>
        <stp/>
        <stp>1467</stp>
        <stp>Price</stp>
        <tr r="W102" s="57"/>
      </tp>
      <tp>
        <v>197</v>
        <stp/>
        <stp>1477</stp>
        <stp>Price</stp>
        <tr r="W110" s="57"/>
      </tp>
      <tp>
        <v>13.85</v>
        <stp/>
        <stp>1417</stp>
        <stp>Price</stp>
        <tr r="W75" s="57"/>
      </tp>
      <tp>
        <v>26.85</v>
        <stp/>
        <stp>1437</stp>
        <stp>Price</stp>
        <tr r="W1309" s="57"/>
      </tp>
      <tp>
        <v>64.5</v>
        <stp/>
        <stp>1507</stp>
        <stp>Price</stp>
        <tr r="W131" s="57"/>
      </tp>
      <tp>
        <v>23.9</v>
        <stp/>
        <stp>1517</stp>
        <stp>Price</stp>
        <tr r="W135" s="57"/>
      </tp>
      <tp>
        <v>40.6</v>
        <stp/>
        <stp>1527</stp>
        <stp>Price</stp>
        <tr r="W138" s="57"/>
      </tp>
      <tp>
        <v>138.5</v>
        <stp/>
        <stp>1537</stp>
        <stp>Price</stp>
        <tr r="W145" s="57"/>
      </tp>
      <tp>
        <v>24.95</v>
        <stp/>
        <stp>1587</stp>
        <stp>Price</stp>
        <tr r="W504" s="57"/>
      </tp>
      <tp>
        <v>91.9</v>
        <stp/>
        <stp>1597</stp>
        <stp>Price</stp>
        <tr r="W159" s="57"/>
      </tp>
      <tp>
        <v>35.6</v>
        <stp/>
        <stp>1817</stp>
        <stp>Price</stp>
        <tr r="W420" s="57"/>
      </tp>
      <tp>
        <v>33.299999999999997</v>
        <stp/>
        <stp>1907</stp>
        <stp>Price</stp>
        <tr r="W427" s="57"/>
      </tp>
      <tp>
        <v>10.5</v>
        <stp/>
        <stp>6247</stp>
        <stp>Price</stp>
        <tr r="W1748" s="57"/>
      </tp>
      <tp>
        <v>57.7</v>
        <stp/>
        <stp>6257</stp>
        <stp>Price</stp>
        <tr r="W641" s="57"/>
      </tp>
      <tp>
        <v>81.2</v>
        <stp/>
        <stp>6277</stp>
        <stp>Price</stp>
        <tr r="W789" s="57"/>
      </tp>
      <tp>
        <v>33.799999999999997</v>
        <stp/>
        <stp>6207</stp>
        <stp>Price</stp>
        <tr r="W1174" s="57"/>
      </tp>
      <tp>
        <v>49.55</v>
        <stp/>
        <stp>6217</stp>
        <stp>Price</stp>
        <tr r="W1178" s="57"/>
      </tp>
      <tp>
        <v>38.799999999999997</v>
        <stp/>
        <stp>6227</stp>
        <stp>Price</stp>
        <tr r="W1249" s="57"/>
      </tp>
      <tp>
        <v>72.8</v>
        <stp/>
        <stp>6237</stp>
        <stp>Price</stp>
        <tr r="W638" s="57"/>
      </tp>
      <tp>
        <v>8.1</v>
        <stp/>
        <stp>6287</stp>
        <stp>Price</stp>
        <tr r="W644" s="57"/>
      </tp>
      <tp>
        <v>71.3</v>
        <stp/>
        <stp>6147</stp>
        <stp>Price</stp>
        <tr r="W631" s="57"/>
      </tp>
      <tp>
        <v>12.55</v>
        <stp/>
        <stp>6167</stp>
        <stp>Price</stp>
        <tr r="W895" s="57"/>
      </tp>
      <tp>
        <v>30.5</v>
        <stp/>
        <stp>6177</stp>
        <stp>Price</stp>
        <tr r="W1501" s="57"/>
      </tp>
      <tp>
        <v>15.55</v>
        <stp/>
        <stp>6117</stp>
        <stp>Price</stp>
        <tr r="W775" s="57"/>
      </tp>
      <tp>
        <v>26</v>
        <stp/>
        <stp>6127</stp>
        <stp>Price</stp>
        <tr r="W1155" s="57"/>
      </tp>
      <tp>
        <v>139</v>
        <stp/>
        <stp>6187</stp>
        <stp>Price</stp>
        <tr r="W1743" s="57"/>
      </tp>
      <tp>
        <v>42.65</v>
        <stp/>
        <stp>6197</stp>
        <stp>Price</stp>
        <tr r="W1170" s="57"/>
      </tp>
      <tp>
        <v>83</v>
        <stp/>
        <stp>6667</stp>
        <stp>Price</stp>
        <tr r="W1757" s="57"/>
      </tp>
      <tp>
        <v>38</v>
        <stp/>
        <stp>6697</stp>
        <stp>Price</stp>
        <tr r="W1297" s="57"/>
      </tp>
      <tp>
        <v>222</v>
        <stp/>
        <stp>6747</stp>
        <stp>Price</stp>
        <tr r="W405" s="57"/>
      </tp>
      <tp>
        <v>31.35</v>
        <stp/>
        <stp>6767</stp>
        <stp>Price</stp>
        <tr r="W407" s="57"/>
      </tp>
      <tp>
        <v>75.099999999999994</v>
        <stp/>
        <stp>6727</stp>
        <stp>Price</stp>
        <tr r="W1200" s="57"/>
      </tp>
      <tp>
        <v>149.5</v>
        <stp/>
        <stp>6457</stp>
        <stp>Price</stp>
        <tr r="W650" s="57"/>
      </tp>
      <tp>
        <v>59.9</v>
        <stp/>
        <stp>6477</stp>
        <stp>Price</stp>
        <tr r="W12" s="28"/>
        <tr r="W912" s="57"/>
      </tp>
      <tp t="s">
        <v>無資料</v>
        <stp/>
        <stp>6417</stp>
        <stp>Price</stp>
        <tr r="W996" s="57"/>
      </tp>
      <tp>
        <v>242.5</v>
        <stp/>
        <stp>6547</stp>
        <stp>Price</stp>
        <tr r="W390" s="57"/>
      </tp>
      <tp>
        <v>64.5</v>
        <stp/>
        <stp>6577</stp>
        <stp>Price</stp>
        <tr r="W793" s="57"/>
      </tp>
      <tp>
        <v>46.4</v>
        <stp/>
        <stp>6527</stp>
        <stp>Price</stp>
        <tr r="W387" s="57"/>
      </tp>
      <tp>
        <v>13.75</v>
        <stp/>
        <stp>4207</stp>
        <stp>Price</stp>
        <tr r="W39" s="57"/>
      </tp>
      <tp>
        <v>62</v>
        <stp/>
        <stp>4147</stp>
        <stp>Price</stp>
        <tr r="W343" s="57"/>
      </tp>
      <tp>
        <v>15.9</v>
        <stp/>
        <stp>4157</stp>
        <stp>Price</stp>
        <tr r="W348" s="57"/>
      </tp>
      <tp>
        <v>15.65</v>
        <stp/>
        <stp>4167</stp>
        <stp>Price</stp>
        <tr r="W354" s="57"/>
      </tp>
      <tp>
        <v>105</v>
        <stp/>
        <stp>4107</stp>
        <stp>Price</stp>
        <tr r="W321" s="57"/>
      </tp>
      <tp>
        <v>12.35</v>
        <stp/>
        <stp>4127</stp>
        <stp>Price</stp>
        <tr r="W332" s="57"/>
      </tp>
      <tp>
        <v>208</v>
        <stp/>
        <stp>4137</stp>
        <stp>Price</stp>
        <tr r="W338" s="57"/>
      </tp>
      <tp>
        <v>34.200000000000003</v>
        <stp/>
        <stp>4747</stp>
        <stp>Price</stp>
        <tr r="W373" s="57"/>
      </tp>
      <tp>
        <v>29.45</v>
        <stp/>
        <stp>4767</stp>
        <stp>Price</stp>
        <tr r="W282" s="57"/>
      </tp>
      <tp>
        <v>12.6</v>
        <stp/>
        <stp>4707</stp>
        <stp>Price</stp>
        <tr r="W268" s="57"/>
      </tp>
      <tp>
        <v>68</v>
        <stp/>
        <stp>4737</stp>
        <stp>Price</stp>
        <tr r="W368" s="57"/>
      </tp>
      <tp>
        <v>34.65</v>
        <stp/>
        <stp>4417</stp>
        <stp>Price</stp>
        <tr r="W116" s="57"/>
      </tp>
      <tp>
        <v>75.5</v>
        <stp/>
        <stp>4557</stp>
        <stp>Price</stp>
        <tr r="W522" s="57"/>
      </tp>
      <tp>
        <v>28.1</v>
        <stp/>
        <stp>4527</stp>
        <stp>Price</stp>
        <tr r="W182" s="57"/>
      </tp>
      <tp>
        <v>26.7</v>
        <stp/>
        <stp>4807</stp>
        <stp>Price</stp>
        <tr r="W1654" s="57"/>
      </tp>
      <tp>
        <v>41.2</v>
        <stp/>
        <stp>4967</stp>
        <stp>Price</stp>
        <tr r="W605" s="57"/>
      </tp>
      <tp>
        <v>78.2</v>
        <stp/>
        <stp>4977</stp>
        <stp>Price</stp>
        <tr r="W976" s="57"/>
      </tp>
      <tp>
        <v>24.3</v>
        <stp/>
        <stp>4907</stp>
        <stp>Price</stp>
        <tr r="W1478" s="57"/>
      </tp>
      <tp>
        <v>94.6</v>
        <stp/>
        <stp>4927</stp>
        <stp>Price</stp>
        <tr r="W13" s="74"/>
        <tr r="W16" s="114"/>
        <tr r="W1126" s="57"/>
      </tp>
      <tp>
        <v>55.3</v>
        <stp/>
        <stp>4987</stp>
        <stp>Price</stp>
        <tr r="W763" s="57"/>
      </tp>
      <tp>
        <v>89.5</v>
        <stp/>
        <stp>5227</stp>
        <stp>Price</stp>
        <tr r="W1133" s="57"/>
      </tp>
      <tp>
        <v>219</v>
        <stp/>
        <stp>5287</stp>
        <stp>Price</stp>
        <tr r="W1802" s="57"/>
      </tp>
      <tp>
        <v>124.5</v>
        <stp/>
        <stp>5347</stp>
        <stp>Price</stp>
        <tr r="W620" s="57"/>
      </tp>
      <tp>
        <v>54.4</v>
        <stp/>
        <stp>5007</stp>
        <stp>Price</stp>
        <tr r="W463" s="57"/>
      </tp>
      <tp>
        <v>63.6</v>
        <stp/>
        <stp>5607</stp>
        <stp>Price</stp>
        <tr r="W1536" s="57"/>
      </tp>
      <tp>
        <v>57.2</v>
        <stp/>
        <stp>5457</stp>
        <stp>Price</stp>
        <tr r="W1143" s="57"/>
      </tp>
      <tp t="s">
        <v>無資料</v>
        <stp/>
        <stp>5487</stp>
        <stp>Price</stp>
        <tr r="W626" s="57"/>
      </tp>
      <tp>
        <v>17.5</v>
        <stp/>
        <stp>5907</stp>
        <stp>Price</stp>
        <tr r="W1660" s="57"/>
      </tp>
      <tp>
        <v>11.65</v>
        <stp/>
        <stp>8277</stp>
        <stp>Price</stp>
        <tr r="W693" s="57"/>
      </tp>
      <tp>
        <v>51.3</v>
        <stp/>
        <stp>8367</stp>
        <stp>Price</stp>
        <tr r="W68" s="28"/>
        <tr r="W1539" s="57"/>
      </tp>
      <tp>
        <v>13.8</v>
        <stp/>
        <stp>8047</stp>
        <stp>Price</stp>
        <tr r="W1762" s="57"/>
      </tp>
      <tp>
        <v>9.64</v>
        <stp/>
        <stp>8067</stp>
        <stp>Price</stp>
        <tr r="W1255" s="57"/>
      </tp>
      <tp>
        <v>12.25</v>
        <stp/>
        <stp>8077</stp>
        <stp>Price</stp>
        <tr r="W1582" s="57"/>
      </tp>
      <tp>
        <v>69.099999999999994</v>
        <stp/>
        <stp>8027</stp>
        <stp>Price</stp>
        <tr r="W215" s="57"/>
      </tp>
      <tp>
        <v>33.799999999999997</v>
        <stp/>
        <stp>8087</stp>
        <stp>Price</stp>
        <tr r="W921" s="57"/>
      </tp>
      <tp>
        <v>37.450000000000003</v>
        <stp/>
        <stp>8097</stp>
        <stp>Price</stp>
        <tr r="W1012" s="57"/>
      </tp>
      <tp>
        <v>63.1</v>
        <stp/>
        <stp>8147</stp>
        <stp>Price</stp>
        <tr r="W1216" s="57"/>
      </tp>
      <tp>
        <v>19.600000000000001</v>
        <stp/>
        <stp>8107</stp>
        <stp>Price</stp>
        <tr r="W217" s="57"/>
      </tp>
      <tp>
        <v>38.6</v>
        <stp/>
        <stp>8467</stp>
        <stp>Price</stp>
        <tr r="W1382" s="57"/>
      </tp>
      <tp>
        <v>28.35</v>
        <stp/>
        <stp>8477</stp>
        <stp>Price</stp>
        <tr r="W1808" s="57"/>
      </tp>
      <tp t="s">
        <v>商品錯誤</v>
        <stp/>
        <stp>8427</stp>
        <stp>Price</stp>
        <tr r="W1372" s="57"/>
      </tp>
      <tp>
        <v>118.5</v>
        <stp/>
        <stp>8437</stp>
        <stp>Price</stp>
        <tr r="W1374" s="57"/>
      </tp>
      <tp>
        <v>90</v>
        <stp/>
        <stp>8917</stp>
        <stp>Price</stp>
        <tr r="W1674" s="57"/>
      </tp>
      <tp>
        <v>32.200000000000003</v>
        <stp/>
        <stp>8927</stp>
        <stp>Price</stp>
        <tr r="W1683" s="57"/>
      </tp>
      <tp>
        <v>12.25</v>
        <stp/>
        <stp>8937</stp>
        <stp>Price</stp>
        <tr r="W1402" s="57"/>
      </tp>
      <tp>
        <v>15.5</v>
        <stp/>
        <stp>9907</stp>
        <stp>Price</stp>
        <tr r="W1409" s="57"/>
      </tp>
      <tp>
        <v>103.5</v>
        <stp/>
        <stp>9917</stp>
        <stp>Price</stp>
        <tr r="W1413" s="57"/>
      </tp>
      <tp>
        <v>39.299999999999997</v>
        <stp/>
        <stp>9927</stp>
        <stp>Price</stp>
        <tr r="W1418" s="57"/>
      </tp>
      <tp>
        <v>48.85</v>
        <stp/>
        <stp>9937</stp>
        <stp>Price</stp>
        <tr r="W1681" s="57"/>
      </tp>
      <tp>
        <v>809</v>
        <stp/>
        <stp>6499</stp>
        <stp>PredictVolume</stp>
        <tr r="AJ385" s="57"/>
      </tp>
      <tp>
        <v>27</v>
        <stp/>
        <stp>6419</stp>
        <stp>PredictVolume</stp>
        <tr r="AJ908" s="57"/>
      </tp>
      <tp>
        <v>48</v>
        <stp/>
        <stp>6409</stp>
        <stp>PredictVolume</stp>
        <tr r="AJ1751" s="57"/>
      </tp>
      <tp>
        <v>726</v>
        <stp/>
        <stp>6469</stp>
        <stp>PredictVolume</stp>
        <tr r="AJ380" s="57"/>
      </tp>
      <tp>
        <v>39</v>
        <stp/>
        <stp>6449</stp>
        <stp>PredictVolume</stp>
        <tr r="AJ1194" s="57"/>
      </tp>
      <tp>
        <v>929</v>
        <stp/>
        <stp>6589</stp>
        <stp>PredictVolume</stp>
        <tr r="AJ394" s="57"/>
      </tp>
      <tp>
        <v>1719</v>
        <stp/>
        <stp>6509</stp>
        <stp>PredictVolume</stp>
        <tr r="AJ285" s="57"/>
      </tp>
      <tp>
        <v>15</v>
        <stp/>
        <stp>6579</stp>
        <stp>PredictVolume</stp>
        <tr r="AJ794" s="57"/>
      </tp>
      <tp>
        <v>9</v>
        <stp/>
        <stp>6569</stp>
        <stp>PredictVolume</stp>
        <tr r="AJ391" s="57"/>
      </tp>
      <tp>
        <v>2</v>
        <stp/>
        <stp>6629</stp>
        <stp>PredictVolume</stp>
        <tr r="AJ1349" s="57"/>
      </tp>
      <tp>
        <v>284</v>
        <stp/>
        <stp>6609</stp>
        <stp>PredictVolume</stp>
        <tr r="AJ213" s="57"/>
      </tp>
      <tp>
        <v>670</v>
        <stp/>
        <stp>6679</stp>
        <stp>PredictVolume</stp>
        <tr r="AJ669" s="57"/>
      </tp>
      <tp>
        <v>484</v>
        <stp/>
        <stp>6669</stp>
        <stp>PredictVolume</stp>
        <tr r="AJ796" s="57"/>
      </tp>
      <tp>
        <v>20</v>
        <stp/>
        <stp>6649</stp>
        <stp>PredictVolume</stp>
        <tr r="AJ398" s="57"/>
      </tp>
      <tp>
        <v>2205</v>
        <stp/>
        <stp>6719</stp>
        <stp>PredictVolume</stp>
        <tr r="AJ674" s="57"/>
      </tp>
      <tp>
        <v>19</v>
        <stp/>
        <stp>6199</stp>
        <stp>PredictVolume</stp>
        <tr r="AJ1340" s="57"/>
      </tp>
      <tp>
        <v>180</v>
        <stp/>
        <stp>6189</stp>
        <stp>PredictVolume</stp>
        <tr r="AJ1248" s="57"/>
      </tp>
      <tp>
        <v>296</v>
        <stp/>
        <stp>6139</stp>
        <stp>PredictVolume</stp>
        <tr r="AJ1740" s="57"/>
      </tp>
      <tp>
        <v>1745</v>
        <stp/>
        <stp>6129</stp>
        <stp>PredictVolume</stp>
        <tr r="AJ629" s="57"/>
      </tp>
      <tp>
        <v>27</v>
        <stp/>
        <stp>6109</stp>
        <stp>PredictVolume</stp>
        <tr r="AJ981" s="57"/>
      </tp>
      <tp>
        <v>63</v>
        <stp/>
        <stp>6179</stp>
        <stp>PredictVolume</stp>
        <tr r="AJ30" s="28"/>
        <tr r="AJ1338" s="57"/>
      </tp>
      <tp>
        <v>16</v>
        <stp/>
        <stp>6169</stp>
        <stp>PredictVolume</stp>
        <tr r="AJ1786" s="57"/>
      </tp>
      <tp>
        <v>24</v>
        <stp/>
        <stp>6289</stp>
        <stp>PredictVolume</stp>
        <tr r="AJ906" s="57"/>
      </tp>
      <tp>
        <v>3666</v>
        <stp/>
        <stp>6239</stp>
        <stp>PredictVolume</stp>
        <tr r="AJ639" s="57"/>
      </tp>
      <tp>
        <v>952</v>
        <stp/>
        <stp>6229</stp>
        <stp>PredictVolume</stp>
        <tr r="AJ636" s="57"/>
      </tp>
      <tp>
        <v>5260</v>
        <stp/>
        <stp>6219</stp>
        <stp>PredictVolume</stp>
        <tr r="AJ1504" s="57"/>
      </tp>
      <tp>
        <v>332</v>
        <stp/>
        <stp>6209</stp>
        <stp>PredictVolume</stp>
        <tr r="AJ898" s="57"/>
      </tp>
      <tp>
        <v>141</v>
        <stp/>
        <stp>6279</stp>
        <stp>PredictVolume</stp>
        <tr r="AJ1186" s="57"/>
      </tp>
      <tp>
        <v>609</v>
        <stp/>
        <stp>6269</stp>
        <stp>PredictVolume</stp>
        <tr r="AJ1184" s="57"/>
      </tp>
      <tp>
        <v>226</v>
        <stp/>
        <stp>6259</stp>
        <stp>PredictVolume</stp>
        <tr r="AJ1182" s="57"/>
      </tp>
      <tp>
        <v>1438</v>
        <stp/>
        <stp>6829</stp>
        <stp>PredictVolume</stp>
        <tr r="AJ64" s="28"/>
        <tr r="AJ214" s="57"/>
      </tp>
      <tp>
        <v>11</v>
        <stp/>
        <stp>4439</stp>
        <stp>PredictVolume</stp>
        <tr r="AJ124" s="57"/>
      </tp>
      <tp>
        <v>4</v>
        <stp/>
        <stp>4429</stp>
        <stp>PredictVolume</stp>
        <tr r="AJ120" s="57"/>
      </tp>
      <tp>
        <v>0</v>
        <stp/>
        <stp>4419</stp>
        <stp>PredictVolume</stp>
        <tr r="AJ117" s="57"/>
      </tp>
      <tp>
        <v>128</v>
        <stp/>
        <stp>4529</stp>
        <stp>PredictVolume</stp>
        <tr r="AJ1325" s="57"/>
      </tp>
      <tp>
        <v>59</v>
        <stp/>
        <stp>4549</stp>
        <stp>PredictVolume</stp>
        <tr r="AJ192" s="57"/>
      </tp>
      <tp>
        <v>0</v>
        <stp/>
        <stp>4609</stp>
        <stp>PredictVolume</stp>
        <tr r="AJ239" s="57"/>
      </tp>
      <tp>
        <v>26502</v>
        <stp/>
        <stp>4739</stp>
        <stp>PredictVolume</stp>
        <tr r="AJ25" s="114"/>
        <tr r="AJ275" s="57"/>
      </tp>
      <tp>
        <v>72</v>
        <stp/>
        <stp>4729</stp>
        <stp>PredictVolume</stp>
        <tr r="AJ866" s="57"/>
      </tp>
      <tp>
        <v>161</v>
        <stp/>
        <stp>4139</stp>
        <stp>PredictVolume</stp>
        <tr r="AJ340" s="57"/>
      </tp>
      <tp>
        <v>154</v>
        <stp/>
        <stp>4129</stp>
        <stp>PredictVolume</stp>
        <tr r="AJ334" s="57"/>
      </tp>
      <tp>
        <v>144</v>
        <stp/>
        <stp>4119</stp>
        <stp>PredictVolume</stp>
        <tr r="AJ327" s="57"/>
      </tp>
      <tp>
        <v>39</v>
        <stp/>
        <stp>4109</stp>
        <stp>PredictVolume</stp>
        <tr r="AJ323" s="57"/>
      </tp>
      <tp>
        <v>49</v>
        <stp/>
        <stp>4999</stp>
        <stp>PredictVolume</stp>
        <tr r="AJ1132" s="57"/>
      </tp>
      <tp>
        <v>393</v>
        <stp/>
        <stp>4989</stp>
        <stp>PredictVolume</stp>
        <tr r="AJ1131" s="57"/>
      </tp>
      <tp>
        <v>322</v>
        <stp/>
        <stp>4939</stp>
        <stp>PredictVolume</stp>
        <tr r="AJ1127" s="57"/>
      </tp>
      <tp>
        <v>6387</v>
        <stp/>
        <stp>4919</stp>
        <stp>PredictVolume</stp>
        <tr r="AJ599" s="57"/>
      </tp>
      <tp>
        <v>98</v>
        <stp/>
        <stp>4909</stp>
        <stp>PredictVolume</stp>
        <tr r="AJ975" s="57"/>
      </tp>
      <tp>
        <v>139</v>
        <stp/>
        <stp>4979</stp>
        <stp>PredictVolume</stp>
        <tr r="AJ977" s="57"/>
      </tp>
      <tp>
        <v>35</v>
        <stp/>
        <stp>5489</stp>
        <stp>PredictVolume</stp>
        <tr r="AJ1737" s="57"/>
      </tp>
      <tp>
        <v>191</v>
        <stp/>
        <stp>5439</stp>
        <stp>PredictVolume</stp>
        <tr r="AJ1142" s="57"/>
      </tp>
      <tp>
        <v>528</v>
        <stp/>
        <stp>5469</stp>
        <stp>PredictVolume</stp>
        <tr r="AJ1146" s="57"/>
      </tp>
      <tp>
        <v>28</v>
        <stp/>
        <stp>5529</stp>
        <stp>PredictVolume</stp>
        <tr r="AJ1494" s="57"/>
      </tp>
      <tp>
        <v>216</v>
        <stp/>
        <stp>5519</stp>
        <stp>PredictVolume</stp>
        <tr r="AJ1489" s="57"/>
      </tp>
      <tp>
        <v>702</v>
        <stp/>
        <stp>5609</stp>
        <stp>PredictVolume</stp>
        <tr r="AJ1538" s="57"/>
      </tp>
      <tp>
        <v>6904</v>
        <stp/>
        <stp>5009</stp>
        <stp>PredictVolume</stp>
        <tr r="AJ464" s="57"/>
      </tp>
      <tp>
        <v>145</v>
        <stp/>
        <stp>5299</stp>
        <stp>PredictVolume</stp>
        <tr r="AJ616" s="57"/>
      </tp>
      <tp>
        <v>196</v>
        <stp/>
        <stp>5289</stp>
        <stp>PredictVolume</stp>
        <tr r="AJ767" s="57"/>
      </tp>
      <tp>
        <v>107</v>
        <stp/>
        <stp>5209</stp>
        <stp>PredictVolume</stp>
        <tr r="AJ1277" s="57"/>
      </tp>
      <tp>
        <v>760</v>
        <stp/>
        <stp>5269</stp>
        <stp>PredictVolume</stp>
        <tr r="AJ612" s="57"/>
      </tp>
      <tp>
        <v>1101</v>
        <stp/>
        <stp>5309</stp>
        <stp>PredictVolume</stp>
        <tr r="AJ1135" s="57"/>
      </tp>
      <tp>
        <v>1235</v>
        <stp/>
        <stp>2489</stp>
        <stp>PredictVolume</stp>
        <tr r="AJ819" s="57"/>
      </tp>
      <tp>
        <v>319</v>
        <stp/>
        <stp>2439</stp>
        <stp>PredictVolume</stp>
        <tr r="AJ935" s="57"/>
      </tp>
      <tp>
        <v>0</v>
        <stp/>
        <stp>2429</stp>
        <stp>PredictVolume</stp>
        <tr r="AJ1042" s="57"/>
      </tp>
      <tp>
        <v>389</v>
        <stp/>
        <stp>2419</stp>
        <stp>PredictVolume</stp>
        <tr r="AJ934" s="57"/>
      </tp>
      <tp>
        <v>91704</v>
        <stp/>
        <stp>2409</stp>
        <stp>PredictVolume</stp>
        <tr r="AJ814" s="57"/>
      </tp>
      <tp>
        <v>32</v>
        <stp/>
        <stp>2459</stp>
        <stp>PredictVolume</stp>
        <tr r="AJ1229" s="57"/>
      </tp>
      <tp>
        <v>4825</v>
        <stp/>
        <stp>2449</stp>
        <stp>PredictVolume</stp>
        <tr r="AJ546" s="57"/>
      </tp>
      <tp>
        <v>121</v>
        <stp/>
        <stp>2539</stp>
        <stp>PredictVolume</stp>
        <tr r="AJ1458" s="57"/>
      </tp>
      <tp>
        <v>57</v>
        <stp/>
        <stp>2509</stp>
        <stp>PredictVolume</stp>
        <tr r="AJ1445" s="57"/>
      </tp>
      <tp>
        <v>89509</v>
        <stp/>
        <stp>2609</stp>
        <stp>PredictVolume</stp>
        <tr r="AJ1517" s="57"/>
      </tp>
      <tp>
        <v>10</v>
        <stp/>
        <stp>2739</stp>
        <stp>PredictVolume</stp>
        <tr r="AJ1563" s="57"/>
      </tp>
      <tp>
        <v>4</v>
        <stp/>
        <stp>2729</stp>
        <stp>PredictVolume</stp>
        <tr r="AJ1558" s="57"/>
      </tp>
      <tp>
        <v>8</v>
        <stp/>
        <stp>2719</stp>
        <stp>PredictVolume</stp>
        <tr r="AJ1552" s="57"/>
      </tp>
      <tp>
        <v>1450</v>
        <stp/>
        <stp>2029</stp>
        <stp>PredictVolume</stp>
        <tr r="AJ449" s="57"/>
      </tp>
      <tp>
        <v>10382</v>
        <stp/>
        <stp>2009</stp>
        <stp>PredictVolume</stp>
        <tr r="AJ435" s="57"/>
      </tp>
      <tp>
        <v>4121</v>
        <stp/>
        <stp>2069</stp>
        <stp>PredictVolume</stp>
        <tr r="AJ460" s="57"/>
      </tp>
      <tp>
        <v>94</v>
        <stp/>
        <stp>2059</stp>
        <stp>PredictVolume</stp>
        <tr r="AJ1023" s="57"/>
      </tp>
      <tp>
        <v>2343</v>
        <stp/>
        <stp>2049</stp>
        <stp>PredictVolume</stp>
        <tr r="AJ161" s="57"/>
      </tp>
      <tp>
        <v>59</v>
        <stp/>
        <stp>2109</stp>
        <stp>PredictVolume</stp>
        <tr r="AJ487" s="57"/>
      </tp>
      <tp>
        <v>53</v>
        <stp/>
        <stp>2239</stp>
        <stp>PredictVolume</stp>
        <tr r="AJ515" s="57"/>
      </tp>
      <tp>
        <v>1381</v>
        <stp/>
        <stp>2399</stp>
        <stp>PredictVolume</stp>
        <tr r="AJ716" s="57"/>
      </tp>
      <tp>
        <v>1091</v>
        <stp/>
        <stp>2329</stp>
        <stp>PredictVolume</stp>
        <tr r="AJ530" s="57"/>
      </tp>
      <tp>
        <v>1237</v>
        <stp/>
        <stp>2379</stp>
        <stp>PredictVolume</stp>
        <tr r="AJ539" s="57"/>
      </tp>
      <tp>
        <v>1746</v>
        <stp/>
        <stp>2369</stp>
        <stp>PredictVolume</stp>
        <tr r="AJ538" s="57"/>
      </tp>
      <tp>
        <v>9474</v>
        <stp/>
        <stp>2359</stp>
        <stp>PredictVolume</stp>
        <tr r="AJ1690" s="57"/>
      </tp>
      <tp>
        <v>1343</v>
        <stp/>
        <stp>2349</stp>
        <stp>PredictVolume</stp>
        <tr r="AJ810" s="57"/>
      </tp>
      <tp>
        <v>3069</v>
        <stp/>
        <stp>2889</stp>
        <stp>PredictVolume</stp>
        <tr r="AJ1613" s="57"/>
      </tp>
      <tp>
        <v>1000</v>
        <stp/>
        <stp>2809</stp>
        <stp>PredictVolume</stp>
        <tr r="AJ1589" s="57"/>
      </tp>
      <tp>
        <v>13</v>
        <stp/>
        <stp>2849</stp>
        <stp>PredictVolume</stp>
        <tr r="AJ1598" s="57"/>
      </tp>
      <tp>
        <v>117</v>
        <stp/>
        <stp>2939</stp>
        <stp>PredictVolume</stp>
        <tr r="AJ1650" s="57"/>
      </tp>
      <tp>
        <v>375</v>
        <stp/>
        <stp>3499</stp>
        <stp>PredictVolume</stp>
        <tr r="AJ960" s="57"/>
      </tp>
      <tp>
        <v>34</v>
        <stp/>
        <stp>3489</stp>
        <stp>PredictVolume</stp>
        <tr r="AJ1474" s="57"/>
      </tp>
      <tp>
        <v>391</v>
        <stp/>
        <stp>3419</stp>
        <stp>PredictVolume</stp>
        <tr r="AJ957" s="57"/>
      </tp>
      <tp>
        <v>114</v>
        <stp/>
        <stp>3479</stp>
        <stp>PredictVolume</stp>
        <tr r="AJ743" s="57"/>
      </tp>
      <tp>
        <v>545</v>
        <stp/>
        <stp>3529</stp>
        <stp>PredictVolume</stp>
        <tr r="AJ581" s="57"/>
      </tp>
      <tp>
        <v>1065</v>
        <stp/>
        <stp>3689</stp>
        <stp>PredictVolume</stp>
        <tr r="AJ1120" s="57"/>
      </tp>
      <tp>
        <v>4</v>
        <stp/>
        <stp>3629</stp>
        <stp>PredictVolume</stp>
        <tr r="AJ1778" s="57"/>
      </tp>
      <tp>
        <v>33</v>
        <stp/>
        <stp>3609</stp>
        <stp>PredictVolume</stp>
        <tr r="AJ1113" s="57"/>
      </tp>
      <tp>
        <v>37</v>
        <stp/>
        <stp>3679</stp>
        <stp>PredictVolume</stp>
        <tr r="AJ1119" s="57"/>
      </tp>
      <tp>
        <v>238</v>
        <stp/>
        <stp>3669</stp>
        <stp>PredictVolume</stp>
        <tr r="AJ860" s="57"/>
      </tp>
      <tp>
        <v>3</v>
        <stp/>
        <stp>3709</stp>
        <stp>PredictVolume</stp>
        <tr r="AJ757" s="57"/>
      </tp>
      <tp>
        <v>1640</v>
        <stp/>
        <stp>3029</stp>
        <stp>PredictVolume</stp>
        <tr r="AJ1269" s="57"/>
      </tp>
      <tp>
        <v>1266</v>
        <stp/>
        <stp>3019</stp>
        <stp>PredictVolume</stp>
        <tr r="AJ822" s="57"/>
      </tp>
      <tp>
        <v>10773</v>
        <stp/>
        <stp>3059</stp>
        <stp>PredictVolume</stp>
        <tr r="AJ829" s="57"/>
      </tp>
      <tp>
        <v>2092</v>
        <stp/>
        <stp>3049</stp>
        <stp>PredictVolume</stp>
        <tr r="AJ826" s="57"/>
      </tp>
      <tp>
        <v>6630</v>
        <stp/>
        <stp>3189</stp>
        <stp>PredictVolume</stp>
        <tr r="AJ564" s="57"/>
      </tp>
      <tp>
        <v>3373</v>
        <stp/>
        <stp>3169</stp>
        <stp>PredictVolume</stp>
        <tr r="AJ5" s="114"/>
        <tr r="AJ563" s="57"/>
        <tr r="AJ6" s="74"/>
      </tp>
      <tp>
        <v>309</v>
        <stp/>
        <stp>3149</stp>
        <stp>PredictVolume</stp>
        <tr r="AJ832" s="57"/>
      </tp>
      <tp>
        <v>167</v>
        <stp/>
        <stp>3289</stp>
        <stp>PredictVolume</stp>
        <tr r="AJ1711" s="57"/>
      </tp>
      <tp>
        <v>21</v>
        <stp/>
        <stp>3229</stp>
        <stp>PredictVolume</stp>
        <tr r="AJ1077" s="57"/>
      </tp>
      <tp>
        <v>124</v>
        <stp/>
        <stp>3219</stp>
        <stp>PredictVolume</stp>
        <tr r="AJ565" s="57"/>
      </tp>
      <tp>
        <v>1359</v>
        <stp/>
        <stp>3209</stp>
        <stp>PredictVolume</stp>
        <tr r="AJ1236" s="57"/>
      </tp>
      <tp>
        <v>43</v>
        <stp/>
        <stp>3259</stp>
        <stp>PredictVolume</stp>
        <tr r="AJ569" s="57"/>
      </tp>
      <tp>
        <v>319</v>
        <stp/>
        <stp>3339</stp>
        <stp>PredictVolume</stp>
        <tr r="AJ835" s="57"/>
      </tp>
      <tp>
        <v>24</v>
        <stp/>
        <stp>3379</stp>
        <stp>PredictVolume</stp>
        <tr r="AJ173" s="57"/>
      </tp>
      <tp>
        <v>52</v>
        <stp/>
        <stp>3349</stp>
        <stp>PredictVolume</stp>
        <tr r="AJ57" s="28"/>
        <tr r="AJ741" s="57"/>
      </tp>
      <tp>
        <v>13</v>
        <stp/>
        <stp>1439</stp>
        <stp>PredictVolume</stp>
        <tr r="AJ80" s="57"/>
      </tp>
      <tp>
        <v>30</v>
        <stp/>
        <stp>1419</stp>
        <stp>PredictVolume</stp>
        <tr r="AJ77" s="57"/>
      </tp>
      <tp>
        <v>2089</v>
        <stp/>
        <stp>1409</stp>
        <stp>PredictVolume</stp>
        <tr r="AJ71" s="57"/>
      </tp>
      <tp>
        <v>195</v>
        <stp/>
        <stp>1459</stp>
        <stp>PredictVolume</stp>
        <tr r="AJ96" s="57"/>
      </tp>
      <tp>
        <v>47</v>
        <stp/>
        <stp>1449</stp>
        <stp>PredictVolume</stp>
        <tr r="AJ88" s="57"/>
      </tp>
      <tp>
        <v>270</v>
        <stp/>
        <stp>1599</stp>
        <stp>PredictVolume</stp>
        <tr r="AJ160" s="57"/>
      </tp>
      <tp>
        <v>142</v>
        <stp/>
        <stp>1589</stp>
        <stp>PredictVolume</stp>
        <tr r="AJ156" s="57"/>
      </tp>
      <tp>
        <v>83</v>
        <stp/>
        <stp>1539</stp>
        <stp>PredictVolume</stp>
        <tr r="AJ147" s="57"/>
      </tp>
      <tp>
        <v>4957</v>
        <stp/>
        <stp>1529</stp>
        <stp>PredictVolume</stp>
        <tr r="AJ140" s="57"/>
      </tp>
      <tp>
        <v>921</v>
        <stp/>
        <stp>1519</stp>
        <stp>PredictVolume</stp>
        <tr r="AJ136" s="57"/>
      </tp>
      <tp>
        <v>155</v>
        <stp/>
        <stp>1569</stp>
        <stp>PredictVolume</stp>
        <tr r="AJ697" s="57"/>
      </tp>
      <tp>
        <v>2831</v>
        <stp/>
        <stp>1609</stp>
        <stp>PredictVolume</stp>
        <tr r="AJ229" s="57"/>
      </tp>
      <tp>
        <v>4</v>
        <stp/>
        <stp>1799</stp>
        <stp>PredictVolume</stp>
        <tr r="AJ309" s="57"/>
      </tp>
      <tp>
        <v>315</v>
        <stp/>
        <stp>1789</stp>
        <stp>PredictVolume</stp>
        <tr r="AJ307" s="57"/>
      </tp>
      <tp>
        <v>17226</v>
        <stp/>
        <stp>1709</stp>
        <stp>PredictVolume</stp>
        <tr r="AJ245" s="57"/>
      </tp>
      <tp>
        <v>289</v>
        <stp/>
        <stp>1109</stp>
        <stp>PredictVolume</stp>
        <tr r="AJ9" s="57"/>
      </tp>
      <tp>
        <v>8274</v>
        <stp/>
        <stp>1229</stp>
        <stp>PredictVolume</stp>
        <tr r="AJ25" s="57"/>
      </tp>
      <tp>
        <v>723</v>
        <stp/>
        <stp>1219</stp>
        <stp>PredictVolume</stp>
        <tr r="AJ21" s="57"/>
      </tp>
      <tp>
        <v>5</v>
        <stp/>
        <stp>1259</stp>
        <stp>PredictVolume</stp>
        <tr r="AJ1542" s="57"/>
      </tp>
      <tp>
        <v>35</v>
        <stp/>
        <stp>1339</stp>
        <stp>PredictVolume</stp>
        <tr r="AJ495" s="57"/>
      </tp>
      <tp>
        <v>1242</v>
        <stp/>
        <stp>1319</stp>
        <stp>PredictVolume</stp>
        <tr r="AJ493" s="57"/>
      </tp>
      <tp>
        <v>1419</v>
        <stp/>
        <stp>1309</stp>
        <stp>PredictVolume</stp>
        <tr r="AJ27" s="28"/>
        <tr r="AJ48" s="57"/>
      </tp>
      <tp>
        <v>1231</v>
        <stp/>
        <stp>1809</stp>
        <stp>PredictVolume</stp>
        <tr r="AJ418" s="57"/>
      </tp>
      <tp>
        <v>3606</v>
        <stp/>
        <stp>1909</stp>
        <stp>PredictVolume</stp>
        <tr r="AJ428" s="57"/>
      </tp>
      <tp>
        <v>34</v>
        <stp/>
        <stp>8499</stp>
        <stp>PredictVolume</stp>
        <tr r="AJ1390" s="57"/>
      </tp>
      <tp>
        <v>49</v>
        <stp/>
        <stp>8489</stp>
        <stp>PredictVolume</stp>
        <tr r="AJ1794" s="57"/>
      </tp>
      <tp>
        <v>98</v>
        <stp/>
        <stp>8429</stp>
        <stp>PredictVolume</stp>
        <tr r="AJ1664" s="57"/>
      </tp>
      <tp>
        <v>0</v>
        <stp/>
        <stp>8409</stp>
        <stp>PredictVolume</stp>
        <tr r="AJ411" s="57"/>
      </tp>
      <tp>
        <v>24</v>
        <stp/>
        <stp>8099</stp>
        <stp>PredictVolume</stp>
        <tr r="AJ1300" s="57"/>
      </tp>
      <tp>
        <v>59</v>
        <stp/>
        <stp>8089</stp>
        <stp>PredictVolume</stp>
        <tr r="AJ1011" s="57"/>
      </tp>
      <tp>
        <v>632</v>
        <stp/>
        <stp>8039</stp>
        <stp>PredictVolume</stp>
        <tr r="AJ1204" s="57"/>
      </tp>
      <tp>
        <v>20835</v>
        <stp/>
        <stp>8069</stp>
        <stp>PredictVolume</stp>
        <tr r="AJ920" s="57"/>
      </tp>
      <tp>
        <v>44</v>
        <stp/>
        <stp>8059</stp>
        <stp>PredictVolume</stp>
        <tr r="AJ1010" s="57"/>
      </tp>
      <tp>
        <v>394</v>
        <stp/>
        <stp>8049</stp>
        <stp>PredictVolume</stp>
        <tr r="AJ918" s="57"/>
      </tp>
      <tp>
        <v>17</v>
        <stp/>
        <stp>8109</stp>
        <stp>PredictVolume</stp>
        <tr r="AJ1214" s="57"/>
      </tp>
      <tp>
        <v>2105</v>
        <stp/>
        <stp>8299</stp>
        <stp>PredictVolume</stp>
        <tr r="AJ694" s="57"/>
      </tp>
      <tp>
        <v>188</v>
        <stp/>
        <stp>8289</stp>
        <stp>PredictVolume</stp>
        <tr r="AJ1221" s="57"/>
      </tp>
      <tp>
        <v>44</v>
        <stp/>
        <stp>8279</stp>
        <stp>PredictVolume</stp>
        <tr r="AJ408" s="57"/>
      </tp>
      <tp>
        <v>29</v>
        <stp/>
        <stp>8249</stp>
        <stp>PredictVolume</stp>
        <tr r="AJ1220" s="57"/>
      </tp>
      <tp>
        <v>25</v>
        <stp/>
        <stp>8349</stp>
        <stp>PredictVolume</stp>
        <tr r="AJ472" s="57"/>
      </tp>
      <tp>
        <v>6</v>
        <stp/>
        <stp>8929</stp>
        <stp>PredictVolume</stp>
        <tr r="AJ1397" s="57"/>
      </tp>
      <tp>
        <v>555</v>
        <stp/>
        <stp>9939</stp>
        <stp>PredictVolume</stp>
        <tr r="AJ1426" s="57"/>
      </tp>
      <tp>
        <v>17</v>
        <stp/>
        <stp>9929</stp>
        <stp>PredictVolume</stp>
        <tr r="AJ1420" s="57"/>
      </tp>
      <tp>
        <v>741</v>
        <stp/>
        <stp>9919</stp>
        <stp>PredictVolume</stp>
        <tr r="AJ13" s="28"/>
        <tr r="AJ1414" s="57"/>
      </tp>
      <tp>
        <v>20</v>
        <stp/>
        <stp>9949</stp>
        <stp>PredictVolume</stp>
        <tr r="AJ1796" s="57"/>
      </tp>
      <tp>
        <v>61.7</v>
        <stp/>
        <stp>2204</stp>
        <stp>Price</stp>
        <tr r="W507" s="57"/>
      </tp>
      <tp>
        <v>33.65</v>
        <stp/>
        <stp>2344</stp>
        <stp>Price</stp>
        <tr r="W535" s="57"/>
      </tp>
      <tp>
        <v>62.4</v>
        <stp/>
        <stp>2354</stp>
        <stp>Price</stp>
        <tr r="W1689" s="57"/>
      </tp>
      <tp>
        <v>20.100000000000001</v>
        <stp/>
        <stp>2364</stp>
        <stp>Price</stp>
        <tr r="W707" s="57"/>
      </tp>
      <tp>
        <v>27.15</v>
        <stp/>
        <stp>2374</stp>
        <stp>Price</stp>
        <tr r="W811" s="57"/>
      </tp>
      <tp>
        <v>56.8</v>
        <stp/>
        <stp>2314</stp>
        <stp>Price</stp>
        <tr r="W66" s="28"/>
        <tr r="W929" s="57"/>
      </tp>
      <tp>
        <v>25.85</v>
        <stp/>
        <stp>2324</stp>
        <stp>Price</stp>
        <tr r="W700" s="57"/>
      </tp>
      <tp>
        <v>26.15</v>
        <stp/>
        <stp>2064</stp>
        <stp>Price</stp>
        <tr r="W458" s="57"/>
      </tp>
      <tp>
        <v>43.6</v>
        <stp/>
        <stp>2014</stp>
        <stp>Price</stp>
        <tr r="W439" s="57"/>
      </tp>
      <tp>
        <v>26.1</v>
        <stp/>
        <stp>2024</stp>
        <stp>Price</stp>
        <tr r="W445" s="57"/>
      </tp>
      <tp>
        <v>33.75</v>
        <stp/>
        <stp>2034</stp>
        <stp>Price</stp>
        <tr r="W454" s="57"/>
      </tp>
      <tp>
        <v>27.15</v>
        <stp/>
        <stp>2104</stp>
        <stp>Price</stp>
        <tr r="W482" s="57"/>
      </tp>
      <tp>
        <v>139</v>
        <stp/>
        <stp>2114</stp>
        <stp>Price</stp>
        <tr r="W488" s="57"/>
      </tp>
      <tp>
        <v>31.6</v>
        <stp/>
        <stp>2614</stp>
        <stp>Price</stp>
        <tr r="W1635" s="57"/>
      </tp>
      <tp>
        <v>29.4</v>
        <stp/>
        <stp>2634</stp>
        <stp>Price</stp>
        <tr r="W1527" s="57"/>
      </tp>
      <tp>
        <v>76</v>
        <stp/>
        <stp>2754</stp>
        <stp>Price</stp>
        <tr r="W1570" s="57"/>
      </tp>
      <tp>
        <v>33.299999999999997</v>
        <stp/>
        <stp>2704</stp>
        <stp>Price</stp>
        <tr r="W1546" s="57"/>
      </tp>
      <tp>
        <v>16</v>
        <stp/>
        <stp>2724</stp>
        <stp>Price</stp>
        <tr r="W1555" s="57"/>
      </tp>
      <tp>
        <v>27.2</v>
        <stp/>
        <stp>2734</stp>
        <stp>Price</stp>
        <tr r="W1561" s="57"/>
      </tp>
      <tp>
        <v>11.15</v>
        <stp/>
        <stp>2444</stp>
        <stp>Price</stp>
        <tr r="W936" s="57"/>
      </tp>
      <tp>
        <v>963</v>
        <stp/>
        <stp>2454</stp>
        <stp>Price</stp>
        <tr r="W548" s="57"/>
      </tp>
      <tp>
        <v>41.2</v>
        <stp/>
        <stp>2464</stp>
        <stp>Price</stp>
        <tr r="W1698" s="57"/>
      </tp>
      <tp>
        <v>146</v>
        <stp/>
        <stp>2474</stp>
        <stp>Price</stp>
        <tr r="W1699" s="57"/>
      </tp>
      <tp>
        <v>189</v>
        <stp/>
        <stp>2404</stp>
        <stp>Price</stp>
        <tr r="W87" s="74"/>
        <tr r="W1694" s="57"/>
      </tp>
      <tp>
        <v>34.799999999999997</v>
        <stp/>
        <stp>2414</stp>
        <stp>Price</stp>
        <tr r="W1227" s="57"/>
      </tp>
      <tp>
        <v>18.100000000000001</v>
        <stp/>
        <stp>2424</stp>
        <stp>Price</stp>
        <tr r="W719" s="57"/>
      </tp>
      <tp>
        <v>36</v>
        <stp/>
        <stp>2434</stp>
        <stp>Price</stp>
        <tr r="W543" s="57"/>
      </tp>
      <tp>
        <v>31.55</v>
        <stp/>
        <stp>2484</stp>
        <stp>Price</stp>
        <tr r="W1053" s="57"/>
      </tp>
      <tp>
        <v>27.4</v>
        <stp/>
        <stp>2504</stp>
        <stp>Price</stp>
        <tr r="W1442" s="57"/>
      </tp>
      <tp>
        <v>17.5</v>
        <stp/>
        <stp>2514</stp>
        <stp>Price</stp>
        <tr r="W1318" s="57"/>
      </tp>
      <tp>
        <v>36.65</v>
        <stp/>
        <stp>2524</stp>
        <stp>Price</stp>
        <tr r="W1449" s="57"/>
      </tp>
      <tp>
        <v>24.3</v>
        <stp/>
        <stp>2534</stp>
        <stp>Price</stp>
        <tr r="W1453" s="57"/>
      </tp>
      <tp>
        <v>11.15</v>
        <stp/>
        <stp>2834</stp>
        <stp>Price</stp>
        <tr r="W1594" s="57"/>
      </tp>
      <tp>
        <v>29.95</v>
        <stp/>
        <stp>2884</stp>
        <stp>Price</stp>
        <tr r="W1608" s="57"/>
      </tp>
      <tp>
        <v>24.35</v>
        <stp/>
        <stp>2904</stp>
        <stp>Price</stp>
        <tr r="W1320" s="57"/>
      </tp>
      <tp>
        <v>33.75</v>
        <stp/>
        <stp>2924</stp>
        <stp>Price</stp>
        <tr r="W1647" s="57"/>
      </tp>
      <tp>
        <v>49.95</v>
        <stp/>
        <stp>3264</stp>
        <stp>Price</stp>
        <tr r="W571" s="57"/>
      </tp>
      <tp>
        <v>49.45</v>
        <stp/>
        <stp>3224</stp>
        <stp>Price</stp>
        <tr r="W1237" s="57"/>
      </tp>
      <tp>
        <v>23.9</v>
        <stp/>
        <stp>3234</stp>
        <stp>Price</stp>
        <tr r="W952" s="57"/>
      </tp>
      <tp>
        <v>13.6</v>
        <stp/>
        <stp>3284</stp>
        <stp>Price</stp>
        <tr r="W1322" s="57"/>
      </tp>
      <tp>
        <v>21.25</v>
        <stp/>
        <stp>3294</stp>
        <stp>Price</stp>
        <tr r="W1082" s="57"/>
      </tp>
      <tp>
        <v>15.6</v>
        <stp/>
        <stp>3354</stp>
        <stp>Price</stp>
        <tr r="W1091" s="57"/>
      </tp>
      <tp>
        <v>119.5</v>
        <stp/>
        <stp>3374</stp>
        <stp>Price</stp>
        <tr r="W52" s="22"/>
        <tr r="W51" s="22"/>
        <tr r="W50" s="22"/>
        <tr r="W49" s="22"/>
        <tr r="W33" s="28"/>
        <tr r="W48" s="22"/>
        <tr r="W576" s="57"/>
      </tp>
      <tp>
        <v>216</v>
        <stp/>
        <stp>3324</stp>
        <stp>Price</stp>
        <tr r="W1714" s="57"/>
      </tp>
      <tp>
        <v>128</v>
        <stp/>
        <stp>3044</stp>
        <stp>Price</stp>
        <tr r="W1065" s="57"/>
      </tp>
      <tp>
        <v>22.85</v>
        <stp/>
        <stp>3054</stp>
        <stp>Price</stp>
        <tr r="W557" s="57"/>
      </tp>
      <tp>
        <v>13.95</v>
        <stp/>
        <stp>3064</stp>
        <stp>Price</stp>
        <tr r="W1773" s="57"/>
      </tp>
      <tp>
        <v>56.9</v>
        <stp/>
        <stp>3004</stp>
        <stp>Price</stp>
        <tr r="W462" s="57"/>
      </tp>
      <tp>
        <v>113.5</v>
        <stp/>
        <stp>3014</stp>
        <stp>Price</stp>
        <tr r="W552" s="57"/>
      </tp>
      <tp>
        <v>12.2</v>
        <stp/>
        <stp>3024</stp>
        <stp>Price</stp>
        <tr r="W823" s="57"/>
      </tp>
      <tp>
        <v>466.5</v>
        <stp/>
        <stp>3034</stp>
        <stp>Price</stp>
        <tr r="W554" s="57"/>
      </tp>
      <tp>
        <v>33.1</v>
        <stp/>
        <stp>3094</stp>
        <stp>Price</stp>
        <tr r="W559" s="57"/>
      </tp>
      <tp>
        <v>23.9</v>
        <stp/>
        <stp>3164</stp>
        <stp>Price</stp>
        <tr r="W312" s="57"/>
      </tp>
      <tp>
        <v>26.5</v>
        <stp/>
        <stp>3114</stp>
        <stp>Price</stp>
        <tr r="W1070" s="57"/>
      </tp>
      <tp>
        <v>8.06</v>
        <stp/>
        <stp>3664</stp>
        <stp>Price</stp>
        <tr r="W965" s="57"/>
      </tp>
      <tp>
        <v>72</v>
        <stp/>
        <stp>3624</stp>
        <stp>Price</stp>
        <tr r="W1114" s="57"/>
      </tp>
      <tp>
        <v>61.5</v>
        <stp/>
        <stp>3684</stp>
        <stp>Price</stp>
        <tr r="W968" s="57"/>
      </tp>
      <tp>
        <v>21.2</v>
        <stp/>
        <stp>3694</stp>
        <stp>Price</stp>
        <tr r="W969" s="57"/>
      </tp>
      <tp>
        <v>30.05</v>
        <stp/>
        <stp>3704</stp>
        <stp>Price</stp>
        <tr r="W970" s="57"/>
      </tp>
      <tp>
        <v>71.099999999999994</v>
        <stp/>
        <stp>3714</stp>
        <stp>Price</stp>
        <tr r="W865" s="57"/>
      </tp>
      <tp>
        <v>49.9</v>
        <stp/>
        <stp>3444</stp>
        <stp>Price</stp>
        <tr r="W1241" s="57"/>
      </tp>
      <tp>
        <v>76.900000000000006</v>
        <stp/>
        <stp>3454</stp>
        <stp>Price</stp>
        <tr r="W843" s="57"/>
      </tp>
      <tp>
        <v>21.05</v>
        <stp/>
        <stp>3434</stp>
        <stp>Price</stp>
        <tr r="W840" s="57"/>
      </tp>
      <tp>
        <v>73.7</v>
        <stp/>
        <stp>3484</stp>
        <stp>Price</stp>
        <tr r="W1098" s="57"/>
      </tp>
      <tp>
        <v>4.8499999999999996</v>
        <stp/>
        <stp>3494</stp>
        <stp>Price</stp>
        <tr r="W745" s="57"/>
      </tp>
      <tp>
        <v>25.1</v>
        <stp/>
        <stp>3564</stp>
        <stp>Price</stp>
        <tr r="W962" s="57"/>
      </tp>
      <tp>
        <v>79.099999999999994</v>
        <stp/>
        <stp>3504</stp>
        <stp>Price</stp>
        <tr r="W847" s="57"/>
      </tp>
      <tp>
        <v>24.8</v>
        <stp/>
        <stp>3594</stp>
        <stp>Price</stp>
        <tr r="W750" s="57"/>
      </tp>
      <tp>
        <v>284</v>
        <stp/>
        <stp>1264</stp>
        <stp>Price</stp>
        <tr r="W34" s="57"/>
      </tp>
      <tp>
        <v>35</v>
        <stp/>
        <stp>1234</stp>
        <stp>Price</stp>
        <tr r="W29" s="57"/>
      </tp>
      <tp>
        <v>28.55</v>
        <stp/>
        <stp>1304</stp>
        <stp>Price</stp>
        <tr r="W44" s="57"/>
      </tp>
      <tp>
        <v>11.9</v>
        <stp/>
        <stp>1314</stp>
        <stp>Price</stp>
        <tr r="W52" s="57"/>
      </tp>
      <tp>
        <v>11.35</v>
        <stp/>
        <stp>1324</stp>
        <stp>Price</stp>
        <tr r="W56" s="57"/>
      </tp>
      <tp>
        <v>21</v>
        <stp/>
        <stp>1104</stp>
        <stp>Price</stp>
        <tr r="W7" s="57"/>
      </tp>
      <tp>
        <v>31.4</v>
        <stp/>
        <stp>1604</stp>
        <stp>Price</stp>
        <tr r="W226" s="57"/>
      </tp>
      <tp>
        <v>37.5</v>
        <stp/>
        <stp>1614</stp>
        <stp>Price</stp>
        <tr r="W232" s="57"/>
      </tp>
      <tp>
        <v>10.35</v>
        <stp/>
        <stp>1714</stp>
        <stp>Price</stp>
        <tr r="W250" s="57"/>
      </tp>
      <tp>
        <v>27.9</v>
        <stp/>
        <stp>1734</stp>
        <stp>Price</stp>
        <tr r="W296" s="57"/>
      </tp>
      <tp>
        <v>36.4</v>
        <stp/>
        <stp>1784</stp>
        <stp>Price</stp>
        <tr r="W304" s="57"/>
      </tp>
      <tp>
        <v>10.199999999999999</v>
        <stp/>
        <stp>1444</stp>
        <stp>Price</stp>
        <tr r="W84" s="57"/>
      </tp>
      <tp>
        <v>14.95</v>
        <stp/>
        <stp>1454</stp>
        <stp>Price</stp>
        <tr r="W92" s="57"/>
      </tp>
      <tp>
        <v>15.25</v>
        <stp/>
        <stp>1464</stp>
        <stp>Price</stp>
        <tr r="W99" s="57"/>
      </tp>
      <tp>
        <v>15.1</v>
        <stp/>
        <stp>1474</stp>
        <stp>Price</stp>
        <tr r="W107" s="57"/>
      </tp>
      <tp>
        <v>17.75</v>
        <stp/>
        <stp>1414</stp>
        <stp>Price</stp>
        <tr r="W74" s="57"/>
      </tp>
      <tp>
        <v>28.1</v>
        <stp/>
        <stp>1434</stp>
        <stp>Price</stp>
        <tr r="W79" s="57"/>
      </tp>
      <tp>
        <v>29.5</v>
        <stp/>
        <stp>1504</stp>
        <stp>Price</stp>
        <tr r="W129" s="57"/>
      </tp>
      <tp>
        <v>25.65</v>
        <stp/>
        <stp>1514</stp>
        <stp>Price</stp>
        <tr r="W133" s="57"/>
      </tp>
      <tp>
        <v>10.35</v>
        <stp/>
        <stp>1524</stp>
        <stp>Price</stp>
        <tr r="W499" s="57"/>
      </tp>
      <tp>
        <v>18.149999999999999</v>
        <stp/>
        <stp>1584</stp>
        <stp>Price</stp>
        <tr r="W1311" s="57"/>
      </tp>
      <tp>
        <v>34.25</v>
        <stp/>
        <stp>1904</stp>
        <stp>Price</stp>
        <tr r="W424" s="57"/>
      </tp>
      <tp>
        <v>33.5</v>
        <stp/>
        <stp>6244</stp>
        <stp>Price</stp>
        <tr r="W903" s="57"/>
      </tp>
      <tp>
        <v>9</v>
        <stp/>
        <stp>6264</stp>
        <stp>Price</stp>
        <tr r="W1505" s="57"/>
      </tp>
      <tp>
        <v>81.7</v>
        <stp/>
        <stp>6274</stp>
        <stp>Price</stp>
        <tr r="W1185" s="57"/>
      </tp>
      <tp>
        <v>70.7</v>
        <stp/>
        <stp>6204</stp>
        <stp>Price</stp>
        <tr r="W1172" s="57"/>
      </tp>
      <tp>
        <v>81.5</v>
        <stp/>
        <stp>6214</stp>
        <stp>Price</stp>
        <tr r="W1288" s="57"/>
      </tp>
      <tp>
        <v>102</v>
        <stp/>
        <stp>6224</stp>
        <stp>Price</stp>
        <tr r="W1180" s="57"/>
      </tp>
      <tp>
        <v>19.75</v>
        <stp/>
        <stp>6234</stp>
        <stp>Price</stp>
        <tr r="W902" s="57"/>
      </tp>
      <tp>
        <v>56.8</v>
        <stp/>
        <stp>6284</stp>
        <stp>Price</stp>
        <tr r="W11" s="28"/>
        <tr r="W1188" s="57"/>
      </tp>
      <tp>
        <v>125.5</v>
        <stp/>
        <stp>6294</stp>
        <stp>Price</stp>
        <tr r="W1788" s="57"/>
      </tp>
      <tp>
        <v>38.299999999999997</v>
        <stp/>
        <stp>6024</stp>
        <stp>Price</stp>
        <tr r="W1629" s="57"/>
      </tp>
      <tp>
        <v>14.5</v>
        <stp/>
        <stp>6144</stp>
        <stp>Price</stp>
        <tr r="W1785" s="57"/>
      </tp>
      <tp>
        <v>18.05</v>
        <stp/>
        <stp>6154</stp>
        <stp>Price</stp>
        <tr r="W1247" s="57"/>
      </tp>
      <tp>
        <v>12.75</v>
        <stp/>
        <stp>6164</stp>
        <stp>Price</stp>
        <tr r="W894" s="57"/>
      </tp>
      <tp>
        <v>28</v>
        <stp/>
        <stp>6174</stp>
        <stp>Price</stp>
        <tr r="W1165" s="57"/>
      </tp>
      <tp>
        <v>289.5</v>
        <stp/>
        <stp>6104</stp>
        <stp>Price</stp>
        <tr r="W7" s="114"/>
        <tr r="W628" s="57"/>
      </tp>
      <tp>
        <v>22.55</v>
        <stp/>
        <stp>6114</stp>
        <stp>Price</stp>
        <tr r="W1151" s="57"/>
      </tp>
      <tp>
        <v>25</v>
        <stp/>
        <stp>6124</stp>
        <stp>Price</stp>
        <tr r="W1153" s="57"/>
      </tp>
      <tp>
        <v>24.1</v>
        <stp/>
        <stp>6134</stp>
        <stp>Price</stp>
        <tr r="W1157" s="57"/>
      </tp>
      <tp>
        <v>45.9</v>
        <stp/>
        <stp>6184</stp>
        <stp>Price</stp>
        <tr r="W1339" s="57"/>
      </tp>
      <tp>
        <v>24.65</v>
        <stp/>
        <stp>6194</stp>
        <stp>Price</stp>
        <tr r="W1169" s="57"/>
      </tp>
      <tp>
        <v>77.5</v>
        <stp/>
        <stp>6654</stp>
        <stp>Price</stp>
        <tr r="W1756" s="57"/>
      </tp>
      <tp>
        <v>89</v>
        <stp/>
        <stp>6664</stp>
        <stp>Price</stp>
        <tr r="W1197" s="57"/>
      </tp>
      <tp t="s">
        <v>無資料</v>
        <stp/>
        <stp>6674</stp>
        <stp>Price</stp>
        <tr r="W1005" s="57"/>
      </tp>
      <tp>
        <v>40.450000000000003</v>
        <stp/>
        <stp>6624</stp>
        <stp>Price</stp>
        <tr r="W1347" s="57"/>
      </tp>
      <tp>
        <v>139.5</v>
        <stp/>
        <stp>6684</stp>
        <stp>Price</stp>
        <tr r="W671" s="57"/>
      </tp>
      <tp>
        <v>40</v>
        <stp/>
        <stp>6754</stp>
        <stp>Price</stp>
        <tr r="W1354" s="57"/>
      </tp>
      <tp>
        <v>89.4</v>
        <stp/>
        <stp>6464</stp>
        <stp>Price</stp>
        <tr r="W1342" s="57"/>
      </tp>
      <tp>
        <v>19.600000000000001</v>
        <stp/>
        <stp>6404</stp>
        <stp>Price</stp>
        <tr r="W1292" s="57"/>
      </tp>
      <tp>
        <v>192.5</v>
        <stp/>
        <stp>6414</stp>
        <stp>Price</stp>
        <tr r="W790" s="57"/>
      </tp>
      <tp>
        <v>145</v>
        <stp/>
        <stp>6494</stp>
        <stp>Price</stp>
        <tr r="W654" s="57"/>
      </tp>
      <tp t="s">
        <v>無資料</v>
        <stp/>
        <stp>6574</stp>
        <stp>Price</stp>
        <tr r="W392" s="57"/>
      </tp>
      <tp>
        <v>105.5</v>
        <stp/>
        <stp>6504</stp>
        <stp>Price</stp>
        <tr r="W1343" s="57"/>
      </tp>
      <tp>
        <v>58.7</v>
        <stp/>
        <stp>6514</stp>
        <stp>Price</stp>
        <tr r="W1001" s="57"/>
      </tp>
      <tp>
        <v>40.299999999999997</v>
        <stp/>
        <stp>6594</stp>
        <stp>Price</stp>
        <tr r="W665" s="57"/>
      </tp>
      <tp>
        <v>13.85</v>
        <stp/>
        <stp>4304</stp>
        <stp>Price</stp>
        <tr r="W63" s="57"/>
      </tp>
      <tp>
        <v>43</v>
        <stp/>
        <stp>4154</stp>
        <stp>Price</stp>
        <tr r="W346" s="57"/>
      </tp>
      <tp>
        <v>42.15</v>
        <stp/>
        <stp>4164</stp>
        <stp>Price</stp>
        <tr r="W353" s="57"/>
      </tp>
      <tp>
        <v>108.5</v>
        <stp/>
        <stp>4174</stp>
        <stp>Price</stp>
        <tr r="W357" s="57"/>
      </tp>
      <tp>
        <v>59.9</v>
        <stp/>
        <stp>4104</stp>
        <stp>Price</stp>
        <tr r="W318" s="57"/>
      </tp>
      <tp>
        <v>24.35</v>
        <stp/>
        <stp>4114</stp>
        <stp>Price</stp>
        <tr r="W325" s="57"/>
      </tp>
      <tp>
        <v>30.75</v>
        <stp/>
        <stp>4744</stp>
        <stp>Price</stp>
        <tr r="W370" s="57"/>
      </tp>
      <tp>
        <v>39.85</v>
        <stp/>
        <stp>4754</stp>
        <stp>Price</stp>
        <tr r="W277" s="57"/>
      </tp>
      <tp>
        <v>58.3</v>
        <stp/>
        <stp>4764</stp>
        <stp>Price</stp>
        <tr r="W280" s="57"/>
      </tp>
      <tp>
        <v>13.1</v>
        <stp/>
        <stp>4714</stp>
        <stp>Price</stp>
        <tr r="W270" s="57"/>
      </tp>
      <tp>
        <v>6.1</v>
        <stp/>
        <stp>4414</stp>
        <stp>Price</stp>
        <tr r="W115" s="57"/>
      </tp>
      <tp>
        <v>29.55</v>
        <stp/>
        <stp>4554</stp>
        <stp>Price</stp>
        <tr r="W1731" s="57"/>
      </tp>
      <tp>
        <v>34.450000000000003</v>
        <stp/>
        <stp>4564</stp>
        <stp>Price</stp>
        <tr r="W202" s="57"/>
      </tp>
      <tp>
        <v>12.9</v>
        <stp/>
        <stp>4534</stp>
        <stp>Price</stp>
        <tr r="W187" s="57"/>
      </tp>
      <tp>
        <v>10.45</v>
        <stp/>
        <stp>4804</stp>
        <stp>Price</stp>
        <tr r="W1575" s="57"/>
      </tp>
      <tp>
        <v>23.75</v>
        <stp/>
        <stp>4944</stp>
        <stp>Price</stp>
        <tr r="W871" s="57"/>
      </tp>
      <tp>
        <v>56.3</v>
        <stp/>
        <stp>4974</stp>
        <stp>Price</stp>
        <tr r="W1130" s="57"/>
      </tp>
      <tp>
        <v>73.2</v>
        <stp/>
        <stp>4904</stp>
        <stp>Price</stp>
        <tr r="W972" s="57"/>
      </tp>
      <tp>
        <v>14.25</v>
        <stp/>
        <stp>4924</stp>
        <stp>Price</stp>
        <tr r="W760" s="57"/>
      </tp>
      <tp>
        <v>32.299999999999997</v>
        <stp/>
        <stp>4934</stp>
        <stp>Price</stp>
        <tr r="W868" s="57"/>
      </tp>
      <tp>
        <v>45.3</v>
        <stp/>
        <stp>4994</stp>
        <stp>Price</stp>
        <tr r="W1273" s="57"/>
      </tp>
      <tp>
        <v>43.7</v>
        <stp/>
        <stp>5244</stp>
        <stp>Price</stp>
        <tr r="W881" s="57"/>
      </tp>
      <tp>
        <v>2900</v>
        <stp/>
        <stp>5274</stp>
        <stp>Price</stp>
        <tr r="W3" s="74"/>
        <tr r="W614" s="57"/>
      </tp>
      <tp>
        <v>115.5</v>
        <stp/>
        <stp>5234</stp>
        <stp>Price</stp>
        <tr r="W879" s="57"/>
      </tp>
      <tp>
        <v>45.25</v>
        <stp/>
        <stp>5284</stp>
        <stp>Price</stp>
        <tr r="W1331" s="57"/>
      </tp>
      <tp>
        <v>23.95</v>
        <stp/>
        <stp>5344</stp>
        <stp>Price</stp>
        <tr r="W619" s="57"/>
      </tp>
      <tp>
        <v>19.2</v>
        <stp/>
        <stp>5364</stp>
        <stp>Price</stp>
        <tr r="W1577" s="57"/>
      </tp>
      <tp>
        <v>5.38</v>
        <stp/>
        <stp>5314</stp>
        <stp>Price</stp>
        <tr r="W618" s="57"/>
      </tp>
      <tp>
        <v>9.35</v>
        <stp/>
        <stp>5324</stp>
        <stp>Price</stp>
        <tr r="W1481" s="57"/>
      </tp>
      <tp>
        <v>21.5</v>
        <stp/>
        <stp>5014</stp>
        <stp>Price</stp>
        <tr r="W467" s="57"/>
      </tp>
      <tp>
        <v>79.8</v>
        <stp/>
        <stp>5604</stp>
        <stp>Price</stp>
        <tr r="W1535" s="57"/>
      </tp>
      <tp t="s">
        <v>無資料</v>
        <stp/>
        <stp>5704</stp>
        <stp>Price</stp>
        <tr r="W1580" s="57"/>
      </tp>
      <tp>
        <v>23.25</v>
        <stp/>
        <stp>5464</stp>
        <stp>Price</stp>
        <tr r="W1145" s="57"/>
      </tp>
      <tp>
        <v>96.9</v>
        <stp/>
        <stp>5474</stp>
        <stp>Price</stp>
        <tr r="W773" s="57"/>
      </tp>
      <tp>
        <v>171.5</v>
        <stp/>
        <stp>5434</stp>
        <stp>Price</stp>
        <tr r="W1244" s="57"/>
      </tp>
      <tp>
        <v>14.7</v>
        <stp/>
        <stp>5484</stp>
        <stp>Price</stp>
        <tr r="W890" s="57"/>
      </tp>
      <tp>
        <v>20.25</v>
        <stp/>
        <stp>5514</stp>
        <stp>Price</stp>
        <tr r="W1486" s="57"/>
      </tp>
      <tp>
        <v>74.900000000000006</v>
        <stp/>
        <stp>5534</stp>
        <stp>Price</stp>
        <tr r="W1497" s="57"/>
      </tp>
      <tp>
        <v>16.25</v>
        <stp/>
        <stp>5864</stp>
        <stp>Price</stp>
        <tr r="W1619" s="57"/>
      </tp>
      <tp>
        <v>388</v>
        <stp/>
        <stp>5904</stp>
        <stp>Price</stp>
        <tr r="W1657" s="57"/>
      </tp>
      <tp>
        <v>22.6</v>
        <stp/>
        <stp>8234</stp>
        <stp>Price</stp>
        <tr r="W803" s="57"/>
      </tp>
      <tp>
        <v>52</v>
        <stp/>
        <stp>8284</stp>
        <stp>Price</stp>
        <tr r="W1301" s="57"/>
      </tp>
      <tp>
        <v>14.2</v>
        <stp/>
        <stp>8354</stp>
        <stp>Price</stp>
        <tr r="W66" s="57"/>
      </tp>
      <tp>
        <v>30.3</v>
        <stp/>
        <stp>8374</stp>
        <stp>Price</stp>
        <tr r="W220" s="57"/>
      </tp>
      <tp>
        <v>84.9</v>
        <stp/>
        <stp>8044</stp>
        <stp>Price</stp>
        <tr r="W1806" s="57"/>
      </tp>
      <tp>
        <v>58.6</v>
        <stp/>
        <stp>8054</stp>
        <stp>Price</stp>
        <tr r="W684" s="57"/>
      </tp>
      <tp>
        <v>18.8</v>
        <stp/>
        <stp>8064</stp>
        <stp>Price</stp>
        <tr r="W919" s="57"/>
      </tp>
      <tp>
        <v>20.2</v>
        <stp/>
        <stp>8074</stp>
        <stp>Price</stp>
        <tr r="W1209" s="57"/>
      </tp>
      <tp>
        <v>23.25</v>
        <stp/>
        <stp>8024</stp>
        <stp>Price</stp>
        <tr r="W681" s="57"/>
      </tp>
      <tp>
        <v>18</v>
        <stp/>
        <stp>8034</stp>
        <stp>Price</stp>
        <tr r="W1008" s="57"/>
      </tp>
      <tp>
        <v>65.7</v>
        <stp/>
        <stp>8084</stp>
        <stp>Price</stp>
        <tr r="W1259" s="57"/>
      </tp>
      <tp>
        <v>65.5</v>
        <stp/>
        <stp>8104</stp>
        <stp>Price</stp>
        <tr r="W922" s="57"/>
      </tp>
      <tp>
        <v>98.2</v>
        <stp/>
        <stp>8114</stp>
        <stp>Price</stp>
        <tr r="W800" s="57"/>
      </tp>
      <tp>
        <v>104</v>
        <stp/>
        <stp>8444</stp>
        <stp>Price</stp>
        <tr r="W1378" s="57"/>
      </tp>
      <tp>
        <v>868</v>
        <stp/>
        <stp>8454</stp>
        <stp>Price</stp>
        <tr r="W1667" s="57"/>
      </tp>
      <tp>
        <v>323</v>
        <stp/>
        <stp>8464</stp>
        <stp>Price</stp>
        <tr r="W1380" s="57"/>
      </tp>
      <tp>
        <v>35.75</v>
        <stp/>
        <stp>8404</stp>
        <stp>Price</stp>
        <tr r="W1364" s="57"/>
      </tp>
      <tp>
        <v>140</v>
        <stp/>
        <stp>8924</stp>
        <stp>Price</stp>
        <tr r="W1395" s="57"/>
      </tp>
      <tp>
        <v>21.15</v>
        <stp/>
        <stp>9944</stp>
        <stp>Price</stp>
        <tr r="W1430" s="57"/>
      </tp>
      <tp>
        <v>30.2</v>
        <stp/>
        <stp>9904</stp>
        <stp>Price</stp>
        <tr r="W1407" s="57"/>
      </tp>
      <tp>
        <v>268</v>
        <stp/>
        <stp>9914</stp>
        <stp>Price</stp>
        <tr r="W1412" s="57"/>
      </tp>
      <tp>
        <v>42</v>
        <stp/>
        <stp>9924</stp>
        <stp>Price</stp>
        <tr r="W1416" s="57"/>
      </tp>
      <tp>
        <v>13.95</v>
        <stp/>
        <stp>9934</stp>
        <stp>Price</stp>
        <tr r="W1423" s="57"/>
      </tp>
      <tp>
        <v>1138</v>
        <stp/>
        <stp>6488</stp>
        <stp>PredictVolume</stp>
        <tr r="AJ653" s="57"/>
      </tp>
      <tp>
        <v>1509</v>
        <stp/>
        <stp>6438</stp>
        <stp>PredictVolume</stp>
        <tr r="AJ3" s="114"/>
        <tr r="AJ1752" s="57"/>
      </tp>
      <tp>
        <v>59</v>
        <stp/>
        <stp>6418</stp>
        <stp>PredictVolume</stp>
        <tr r="AJ1192" s="57"/>
      </tp>
      <tp>
        <v>249</v>
        <stp/>
        <stp>6598</stp>
        <stp>PredictVolume</stp>
        <tr r="AJ395" s="57"/>
      </tp>
      <tp>
        <v>8</v>
        <stp/>
        <stp>6588</stp>
        <stp>PredictVolume</stp>
        <tr r="AJ1004" s="57"/>
      </tp>
      <tp>
        <v>123</v>
        <stp/>
        <stp>6538</stp>
        <stp>PredictVolume</stp>
        <tr r="AJ1195" s="57"/>
      </tp>
      <tp>
        <v>217</v>
        <stp/>
        <stp>6508</stp>
        <stp>PredictVolume</stp>
        <tr r="AJ1813" s="57"/>
      </tp>
      <tp>
        <v>64</v>
        <stp/>
        <stp>6578</stp>
        <stp>PredictVolume</stp>
        <tr r="AJ1811" s="57"/>
      </tp>
      <tp>
        <v>444</v>
        <stp/>
        <stp>6568</stp>
        <stp>PredictVolume</stp>
        <tr r="AJ663" s="57"/>
      </tp>
      <tp>
        <v>156</v>
        <stp/>
        <stp>6558</stp>
        <stp>PredictVolume</stp>
        <tr r="AJ40" s="28"/>
        <tr r="AJ1754" s="57"/>
      </tp>
      <tp>
        <v>454</v>
        <stp/>
        <stp>6548</stp>
        <stp>PredictVolume</stp>
        <tr r="AJ661" s="57"/>
      </tp>
      <tp>
        <v>179</v>
        <stp/>
        <stp>6698</stp>
        <stp>PredictVolume</stp>
        <tr r="AJ1759" s="57"/>
      </tp>
      <tp>
        <v>83</v>
        <stp/>
        <stp>6668</stp>
        <stp>PredictVolume</stp>
        <tr r="AJ915" s="57"/>
      </tp>
      <tp>
        <v>85</v>
        <stp/>
        <stp>6788</stp>
        <stp>PredictVolume</stp>
        <tr r="AJ678" s="57"/>
      </tp>
      <tp>
        <v>122</v>
        <stp/>
        <stp>6728</stp>
        <stp>PredictVolume</stp>
        <tr r="AJ1662" s="57"/>
      </tp>
      <tp>
        <v>147</v>
        <stp/>
        <stp>6768</stp>
        <stp>PredictVolume</stp>
        <tr r="AJ1355" s="57"/>
      </tp>
      <tp>
        <v>11</v>
        <stp/>
        <stp>6198</stp>
        <stp>PredictVolume</stp>
        <tr r="AJ633" s="57"/>
      </tp>
      <tp>
        <v>943</v>
        <stp/>
        <stp>6188</stp>
        <stp>PredictVolume</stp>
        <tr r="AJ783" s="57"/>
      </tp>
      <tp>
        <v>1757</v>
        <stp/>
        <stp>6138</stp>
        <stp>PredictVolume</stp>
        <tr r="AJ630" s="57"/>
      </tp>
      <tp>
        <v>59</v>
        <stp/>
        <stp>6128</stp>
        <stp>PredictVolume</stp>
        <tr r="AJ778" s="57"/>
      </tp>
      <tp>
        <v>771</v>
        <stp/>
        <stp>6118</stp>
        <stp>PredictVolume</stp>
        <tr r="AJ1246" s="57"/>
      </tp>
      <tp>
        <v>396</v>
        <stp/>
        <stp>6108</stp>
        <stp>PredictVolume</stp>
        <tr r="AJ1150" s="57"/>
      </tp>
      <tp>
        <v>349</v>
        <stp/>
        <stp>6168</stp>
        <stp>PredictVolume</stp>
        <tr r="AJ896" s="57"/>
      </tp>
      <tp>
        <v>716</v>
        <stp/>
        <stp>6158</stp>
        <stp>PredictVolume</stp>
        <tr r="AJ1162" s="57"/>
      </tp>
      <tp>
        <v>100</v>
        <stp/>
        <stp>6148</stp>
        <stp>PredictVolume</stp>
        <tr r="AJ1286" s="57"/>
      </tp>
      <tp>
        <v>612</v>
        <stp/>
        <stp>6288</stp>
        <stp>PredictVolume</stp>
        <tr r="AJ524" s="57"/>
      </tp>
      <tp>
        <v>368</v>
        <stp/>
        <stp>6228</stp>
        <stp>PredictVolume</stp>
        <tr r="AJ785" s="57"/>
      </tp>
      <tp>
        <v>59</v>
        <stp/>
        <stp>6218</stp>
        <stp>PredictVolume</stp>
        <tr r="AJ990" s="57"/>
      </tp>
      <tp>
        <v>882</v>
        <stp/>
        <stp>6208</stp>
        <stp>PredictVolume</stp>
        <tr r="AJ1175" s="57"/>
      </tp>
      <tp>
        <v>1522</v>
        <stp/>
        <stp>6278</stp>
        <stp>PredictVolume</stp>
        <tr r="AJ15" s="114"/>
        <tr r="AJ905" s="57"/>
      </tp>
      <tp>
        <v>1456</v>
        <stp/>
        <stp>6248</stp>
        <stp>PredictVolume</stp>
        <tr r="AJ471" s="57"/>
      </tp>
      <tp>
        <v>69</v>
        <stp/>
        <stp>4438</stp>
        <stp>PredictVolume</stp>
        <tr r="AJ123" s="57"/>
      </tp>
      <tp>
        <v>10</v>
        <stp/>
        <stp>4538</stp>
        <stp>PredictVolume</stp>
        <tr r="AJ189" s="57"/>
      </tp>
      <tp>
        <v>16</v>
        <stp/>
        <stp>4528</stp>
        <stp>PredictVolume</stp>
        <tr r="AJ183" s="57"/>
      </tp>
      <tp>
        <v>8</v>
        <stp/>
        <stp>4568</stp>
        <stp>PredictVolume</stp>
        <tr r="AJ204" s="57"/>
      </tp>
      <tp>
        <v>58</v>
        <stp/>
        <stp>4558</stp>
        <stp>PredictVolume</stp>
        <tr r="AJ59" s="28"/>
        <tr r="AJ197" s="57"/>
      </tp>
      <tp>
        <v>233</v>
        <stp/>
        <stp>4728</stp>
        <stp>PredictVolume</stp>
        <tr r="AJ365" s="57"/>
      </tp>
      <tp>
        <v>12</v>
        <stp/>
        <stp>4198</stp>
        <stp>PredictVolume</stp>
        <tr r="AJ363" s="57"/>
      </tp>
      <tp>
        <v>2</v>
        <stp/>
        <stp>4188</stp>
        <stp>PredictVolume</stp>
        <tr r="AJ360" s="57"/>
      </tp>
      <tp>
        <v>4</v>
        <stp/>
        <stp>4138</stp>
        <stp>PredictVolume</stp>
        <tr r="AJ339" s="57"/>
      </tp>
      <tp>
        <v>1196</v>
        <stp/>
        <stp>4128</stp>
        <stp>PredictVolume</stp>
        <tr r="AJ23" s="28"/>
        <tr r="AJ333" s="57"/>
      </tp>
      <tp>
        <v>154</v>
        <stp/>
        <stp>4108</stp>
        <stp>PredictVolume</stp>
        <tr r="AJ322" s="57"/>
      </tp>
      <tp>
        <v>296</v>
        <stp/>
        <stp>4168</stp>
        <stp>PredictVolume</stp>
        <tr r="AJ355" s="57"/>
      </tp>
      <tp>
        <v>4153</v>
        <stp/>
        <stp>4148</stp>
        <stp>PredictVolume</stp>
        <tr r="AJ344" s="57"/>
      </tp>
      <tp>
        <v>16069</v>
        <stp/>
        <stp>4938</stp>
        <stp>PredictVolume</stp>
        <tr r="AJ21" s="28"/>
        <tr r="AJ762" s="57"/>
      </tp>
      <tp>
        <v>807</v>
        <stp/>
        <stp>4908</stp>
        <stp>PredictVolume</stp>
        <tr r="AJ974" s="57"/>
      </tp>
      <tp>
        <v>1376</v>
        <stp/>
        <stp>4968</stp>
        <stp>PredictVolume</stp>
        <tr r="AJ606" s="57"/>
      </tp>
      <tp>
        <v>1151</v>
        <stp/>
        <stp>4958</stp>
        <stp>PredictVolume</stp>
        <tr r="AJ29" s="28"/>
        <tr r="AJ1129" s="57"/>
      </tp>
      <tp>
        <v>436</v>
        <stp/>
        <stp>5498</stp>
        <stp>PredictVolume</stp>
        <tr r="AJ1149" s="57"/>
      </tp>
      <tp>
        <v>71</v>
        <stp/>
        <stp>5488</stp>
        <stp>PredictVolume</stp>
        <tr r="AJ1148" s="57"/>
      </tp>
      <tp>
        <v>21</v>
        <stp/>
        <stp>5438</stp>
        <stp>PredictVolume</stp>
        <tr r="AJ771" s="57"/>
      </tp>
      <tp>
        <v>44</v>
        <stp/>
        <stp>5478</stp>
        <stp>PredictVolume</stp>
        <tr r="AJ1782" s="57"/>
      </tp>
      <tp>
        <v>627</v>
        <stp/>
        <stp>5468</stp>
        <stp>PredictVolume</stp>
        <tr r="AJ623" s="57"/>
      </tp>
      <tp>
        <v>3839</v>
        <stp/>
        <stp>5538</stp>
        <stp>PredictVolume</stp>
        <tr r="AJ470" s="57"/>
      </tp>
      <tp>
        <v>535</v>
        <stp/>
        <stp>5508</stp>
        <stp>PredictVolume</stp>
        <tr r="AJ1483" s="57"/>
      </tp>
      <tp>
        <v>65313</v>
        <stp/>
        <stp>5608</stp>
        <stp>PredictVolume</stp>
        <tr r="AJ1537" s="57"/>
      </tp>
      <tp>
        <v>38</v>
        <stp/>
        <stp>5288</stp>
        <stp>PredictVolume</stp>
        <tr r="AJ209" s="57"/>
      </tp>
      <tp>
        <v>78</v>
        <stp/>
        <stp>5278</stp>
        <stp>PredictVolume</stp>
        <tr r="AJ1801" s="57"/>
      </tp>
      <tp>
        <v>875</v>
        <stp/>
        <stp>5258</stp>
        <stp>PredictVolume</stp>
        <tr r="AJ766" s="57"/>
      </tp>
      <tp>
        <v>15</v>
        <stp/>
        <stp>5398</stp>
        <stp>PredictVolume</stp>
        <tr r="AJ1333" s="57"/>
      </tp>
      <tp>
        <v>7783</v>
        <stp/>
        <stp>5388</stp>
        <stp>PredictVolume</stp>
        <tr r="AJ980" s="57"/>
      </tp>
      <tp>
        <v>202</v>
        <stp/>
        <stp>5328</stp>
        <stp>PredictVolume</stp>
        <tr r="AJ1137" s="57"/>
      </tp>
      <tp>
        <v>45</v>
        <stp/>
        <stp>5348</stp>
        <stp>PredictVolume</stp>
        <tr r="AJ978" s="57"/>
      </tp>
      <tp>
        <v>0</v>
        <stp/>
        <stp>5878</stp>
        <stp>PredictVolume</stp>
        <tr r="AJ1621" s="57"/>
      </tp>
      <tp>
        <v>21332</v>
        <stp/>
        <stp>2498</stp>
        <stp>PredictVolume</stp>
        <tr r="AJ940" s="57"/>
      </tp>
      <tp>
        <v>24</v>
        <stp/>
        <stp>2488</stp>
        <stp>PredictVolume</stp>
        <tr r="AJ1702" s="57"/>
      </tp>
      <tp>
        <v>70</v>
        <stp/>
        <stp>2438</stp>
        <stp>PredictVolume</stp>
        <tr r="AJ816" s="57"/>
      </tp>
      <tp>
        <v>132</v>
        <stp/>
        <stp>2428</stp>
        <stp>PredictVolume</stp>
        <tr r="AJ1041" s="57"/>
      </tp>
      <tp>
        <v>8131</v>
        <stp/>
        <stp>2408</stp>
        <stp>PredictVolume</stp>
        <tr r="AJ542" s="57"/>
      </tp>
      <tp>
        <v>123</v>
        <stp/>
        <stp>2478</stp>
        <stp>PredictVolume</stp>
        <tr r="AJ1051" s="57"/>
      </tp>
      <tp>
        <v>53</v>
        <stp/>
        <stp>2468</stp>
        <stp>PredictVolume</stp>
        <tr r="AJ1266" s="57"/>
      </tp>
      <tp>
        <v>1273</v>
        <stp/>
        <stp>2458</stp>
        <stp>PredictVolume</stp>
        <tr r="AJ549" s="57"/>
      </tp>
      <tp>
        <v>1071</v>
        <stp/>
        <stp>2538</stp>
        <stp>PredictVolume</stp>
        <tr r="AJ1457" s="57"/>
      </tp>
      <tp>
        <v>10</v>
        <stp/>
        <stp>2528</stp>
        <stp>PredictVolume</stp>
        <tr r="AJ1451" s="57"/>
      </tp>
      <tp>
        <v>426</v>
        <stp/>
        <stp>2548</stp>
        <stp>PredictVolume</stp>
        <tr r="AJ1465" s="57"/>
      </tp>
      <tp>
        <v>135833</v>
        <stp/>
        <stp>2618</stp>
        <stp>PredictVolume</stp>
        <tr r="AJ1524" s="57"/>
      </tp>
      <tp>
        <v>510</v>
        <stp/>
        <stp>2608</stp>
        <stp>PredictVolume</stp>
        <tr r="AJ1516" s="57"/>
      </tp>
      <tp>
        <v>0</v>
        <stp/>
        <stp>2718</stp>
        <stp>PredictVolume</stp>
        <tr r="AJ1551" s="57"/>
      </tp>
      <tp>
        <v>77</v>
        <stp/>
        <stp>2748</stp>
        <stp>PredictVolume</stp>
        <tr r="AJ1567" s="57"/>
      </tp>
      <tp>
        <v>2355</v>
        <stp/>
        <stp>2038</stp>
        <stp>PredictVolume</stp>
        <tr r="AJ456" s="57"/>
      </tp>
      <tp>
        <v>1575</v>
        <stp/>
        <stp>2028</stp>
        <stp>PredictVolume</stp>
        <tr r="AJ448" s="57"/>
      </tp>
      <tp>
        <v>685</v>
        <stp/>
        <stp>2008</stp>
        <stp>PredictVolume</stp>
        <tr r="AJ434" s="57"/>
      </tp>
      <tp>
        <v>5368</v>
        <stp/>
        <stp>2108</stp>
        <stp>PredictVolume</stp>
        <tr r="AJ486" s="57"/>
      </tp>
      <tp>
        <v>20</v>
        <stp/>
        <stp>2228</stp>
        <stp>PredictVolume</stp>
        <tr r="AJ511" s="57"/>
      </tp>
      <tp>
        <v>1640</v>
        <stp/>
        <stp>2208</stp>
        <stp>PredictVolume</stp>
        <tr r="AJ1511" s="57"/>
      </tp>
      <tp>
        <v>2982</v>
        <stp/>
        <stp>2388</stp>
        <stp>PredictVolume</stp>
        <tr r="AJ540" s="57"/>
      </tp>
      <tp>
        <v>2873</v>
        <stp/>
        <stp>2338</stp>
        <stp>PredictVolume</stp>
        <tr r="AJ533" s="57"/>
      </tp>
      <tp>
        <v>1377</v>
        <stp/>
        <stp>2328</stp>
        <stp>PredictVolume</stp>
        <tr r="AJ1028" s="57"/>
      </tp>
      <tp>
        <v>10770</v>
        <stp/>
        <stp>2308</stp>
        <stp>PredictVolume</stp>
        <tr r="AJ1024" s="57"/>
      </tp>
      <tp>
        <v>6114</v>
        <stp/>
        <stp>2368</stp>
        <stp>PredictVolume</stp>
        <tr r="AJ1031" s="57"/>
      </tp>
      <tp>
        <v>4204</v>
        <stp/>
        <stp>2358</stp>
        <stp>PredictVolume</stp>
        <tr r="AJ1315" s="57"/>
      </tp>
      <tp>
        <v>90</v>
        <stp/>
        <stp>2348</stp>
        <stp>PredictVolume</stp>
        <tr r="AJ1314" s="57"/>
      </tp>
      <tp>
        <v>54487</v>
        <stp/>
        <stp>2888</stp>
        <stp>PredictVolume</stp>
        <tr r="AJ1612" s="57"/>
      </tp>
      <tp>
        <v>1999</v>
        <stp/>
        <stp>2838</stp>
        <stp>PredictVolume</stp>
        <tr r="AJ1596" s="57"/>
      </tp>
      <tp>
        <v>101</v>
        <stp/>
        <stp>2908</stp>
        <stp>PredictVolume</stp>
        <tr r="AJ1640" s="57"/>
      </tp>
      <tp>
        <v>15</v>
        <stp/>
        <stp>3498</stp>
        <stp>PredictVolume</stp>
        <tr r="AJ1718" s="57"/>
      </tp>
      <tp>
        <v>72</v>
        <stp/>
        <stp>3438</stp>
        <stp>PredictVolume</stp>
        <tr r="AJ578" s="57"/>
      </tp>
      <tp>
        <v>476</v>
        <stp/>
        <stp>3588</stp>
        <stp>PredictVolume</stp>
        <tr r="AJ591" s="57"/>
      </tp>
      <tp>
        <v>71</v>
        <stp/>
        <stp>3528</stp>
        <stp>PredictVolume</stp>
        <tr r="AJ1242" s="57"/>
      </tp>
      <tp>
        <v>41</v>
        <stp/>
        <stp>3518</stp>
        <stp>PredictVolume</stp>
        <tr r="AJ1720" s="57"/>
      </tp>
      <tp>
        <v>2387</v>
        <stp/>
        <stp>3508</stp>
        <stp>PredictVolume</stp>
        <tr r="AJ1719" s="57"/>
      </tp>
      <tp>
        <v>408</v>
        <stp/>
        <stp>3558</stp>
        <stp>PredictVolume</stp>
        <tr r="AJ961" s="57"/>
      </tp>
      <tp>
        <v>595</v>
        <stp/>
        <stp>3548</stp>
        <stp>PredictVolume</stp>
        <tr r="AJ1107" s="57"/>
      </tp>
      <tp>
        <v>10087</v>
        <stp/>
        <stp>3628</stp>
        <stp>PredictVolume</stp>
        <tr r="AJ1727" s="57"/>
      </tp>
      <tp>
        <v>244</v>
        <stp/>
        <stp>3708</stp>
        <stp>PredictVolume</stp>
        <tr r="AJ265" s="57"/>
      </tp>
      <tp>
        <v>348</v>
        <stp/>
        <stp>3088</stp>
        <stp>PredictVolume</stp>
        <tr r="AJ732" s="57"/>
      </tp>
      <tp>
        <v>376</v>
        <stp/>
        <stp>3038</stp>
        <stp>PredictVolume</stp>
        <tr r="AJ825" s="57"/>
      </tp>
      <tp>
        <v>794</v>
        <stp/>
        <stp>3028</stp>
        <stp>PredictVolume</stp>
        <tr r="AJ1231" s="57"/>
      </tp>
      <tp>
        <v>338</v>
        <stp/>
        <stp>3018</stp>
        <stp>PredictVolume</stp>
        <tr r="AJ1704" s="57"/>
      </tp>
      <tp>
        <v>238</v>
        <stp/>
        <stp>3008</stp>
        <stp>PredictVolume</stp>
        <tr r="AJ821" s="57"/>
      </tp>
      <tp>
        <v>340</v>
        <stp/>
        <stp>3078</stp>
        <stp>PredictVolume</stp>
        <tr r="AJ1067" s="57"/>
      </tp>
      <tp>
        <v>222</v>
        <stp/>
        <stp>3058</stp>
        <stp>PredictVolume</stp>
        <tr r="AJ1066" s="57"/>
      </tp>
      <tp>
        <v>1953</v>
        <stp/>
        <stp>3048</stp>
        <stp>PredictVolume</stp>
        <tr r="AJ1234" s="57"/>
      </tp>
      <tp>
        <v>30</v>
        <stp/>
        <stp>3188</stp>
        <stp>PredictVolume</stp>
        <tr r="AJ1472" s="57"/>
      </tp>
      <tp>
        <v>201</v>
        <stp/>
        <stp>3138</stp>
        <stp>PredictVolume</stp>
        <tr r="AJ948" s="57"/>
      </tp>
      <tp>
        <v>34</v>
        <stp/>
        <stp>3128</stp>
        <stp>PredictVolume</stp>
        <tr r="AJ831" s="57"/>
      </tp>
      <tp>
        <v>14</v>
        <stp/>
        <stp>3118</stp>
        <stp>PredictVolume</stp>
        <tr r="AJ311" s="57"/>
      </tp>
      <tp>
        <v>46</v>
        <stp/>
        <stp>3178</stp>
        <stp>PredictVolume</stp>
        <tr r="AJ171" s="57"/>
      </tp>
      <tp>
        <v>18</v>
        <stp/>
        <stp>3288</stp>
        <stp>PredictVolume</stp>
        <tr r="AJ1080" s="57"/>
      </tp>
      <tp>
        <v>1119</v>
        <stp/>
        <stp>3228</stp>
        <stp>PredictVolume</stp>
        <tr r="AJ567" s="57"/>
      </tp>
      <tp>
        <v>1714</v>
        <stp/>
        <stp>3218</stp>
        <stp>PredictVolume</stp>
        <tr r="AJ315" s="57"/>
      </tp>
      <tp>
        <v>7</v>
        <stp/>
        <stp>3268</stp>
        <stp>PredictVolume</stp>
        <tr r="AJ573" s="57"/>
      </tp>
      <tp>
        <v>128</v>
        <stp/>
        <stp>3388</stp>
        <stp>PredictVolume</stp>
        <tr r="AJ1094" s="57"/>
      </tp>
      <tp>
        <v>343</v>
        <stp/>
        <stp>3338</stp>
        <stp>PredictVolume</stp>
        <tr r="AJ1090" s="57"/>
      </tp>
      <tp>
        <v>61</v>
        <stp/>
        <stp>3308</stp>
        <stp>PredictVolume</stp>
        <tr r="AJ1084" s="57"/>
      </tp>
      <tp>
        <v>62</v>
        <stp/>
        <stp>1438</stp>
        <stp>PredictVolume</stp>
        <tr r="AJ1437" s="57"/>
      </tp>
      <tp>
        <v>6</v>
        <stp/>
        <stp>1418</stp>
        <stp>PredictVolume</stp>
        <tr r="AJ76" s="57"/>
      </tp>
      <tp>
        <v>52</v>
        <stp/>
        <stp>1468</stp>
        <stp>PredictVolume</stp>
        <tr r="AJ103" s="57"/>
      </tp>
      <tp>
        <v>290</v>
        <stp/>
        <stp>1598</stp>
        <stp>PredictVolume</stp>
        <tr r="AJ42" s="28"/>
        <tr r="AJ290" s="57"/>
      </tp>
      <tp>
        <v>13</v>
        <stp/>
        <stp>1538</stp>
        <stp>PredictVolume</stp>
        <tr r="AJ146" s="57"/>
      </tp>
      <tp>
        <v>1545</v>
        <stp/>
        <stp>1528</stp>
        <stp>PredictVolume</stp>
        <tr r="AJ139" s="57"/>
      </tp>
      <tp>
        <v>31</v>
        <stp/>
        <stp>1568</stp>
        <stp>PredictVolume</stp>
        <tr r="AJ503" s="57"/>
      </tp>
      <tp>
        <v>46</v>
        <stp/>
        <stp>1558</stp>
        <stp>PredictVolume</stp>
        <tr r="AJ150" s="57"/>
      </tp>
      <tp>
        <v>163</v>
        <stp/>
        <stp>1618</stp>
        <stp>PredictVolume</stp>
        <tr r="AJ236" s="57"/>
      </tp>
      <tp>
        <v>1074</v>
        <stp/>
        <stp>1608</stp>
        <stp>PredictVolume</stp>
        <tr r="AJ228" s="57"/>
      </tp>
      <tp>
        <v>7</v>
        <stp/>
        <stp>1788</stp>
        <stp>PredictVolume</stp>
        <tr r="AJ306" s="57"/>
      </tp>
      <tp>
        <v>2526</v>
        <stp/>
        <stp>1718</stp>
        <stp>PredictVolume</stp>
        <tr r="AJ252" s="57"/>
      </tp>
      <tp>
        <v>27283</v>
        <stp/>
        <stp>1708</stp>
        <stp>PredictVolume</stp>
        <tr r="AJ244" s="57"/>
      </tp>
      <tp>
        <v>231</v>
        <stp/>
        <stp>1108</stp>
        <stp>PredictVolume</stp>
        <tr r="AJ8" s="57"/>
      </tp>
      <tp>
        <v>117</v>
        <stp/>
        <stp>1218</stp>
        <stp>PredictVolume</stp>
        <tr r="AJ20" s="57"/>
      </tp>
      <tp>
        <v>57</v>
        <stp/>
        <stp>1268</stp>
        <stp>PredictVolume</stp>
        <tr r="AJ1543" s="57"/>
      </tp>
      <tp>
        <v>220</v>
        <stp/>
        <stp>1258</stp>
        <stp>PredictVolume</stp>
        <tr r="AJ33" s="57"/>
      </tp>
      <tp>
        <v>352</v>
        <stp/>
        <stp>1338</stp>
        <stp>PredictVolume</stp>
        <tr r="AJ494" s="57"/>
      </tp>
      <tp>
        <v>8588</v>
        <stp/>
        <stp>1308</stp>
        <stp>PredictVolume</stp>
        <tr r="AJ47" s="57"/>
      </tp>
      <tp>
        <v>116</v>
        <stp/>
        <stp>1808</stp>
        <stp>PredictVolume</stp>
        <tr r="AJ1440" s="57"/>
      </tp>
      <tp>
        <v>0</v>
        <stp/>
        <stp>8488</stp>
        <stp>PredictVolume</stp>
        <tr r="AJ1389" s="57"/>
      </tp>
      <tp>
        <v>1917</v>
        <stp/>
        <stp>8438</stp>
        <stp>PredictVolume</stp>
        <tr r="AJ63" s="28"/>
        <tr r="AJ1375" s="57"/>
      </tp>
      <tp>
        <v>1</v>
        <stp/>
        <stp>8418</stp>
        <stp>PredictVolume</stp>
        <tr r="AJ1366" s="57"/>
      </tp>
      <tp>
        <v>4109</v>
        <stp/>
        <stp>8478</stp>
        <stp>PredictVolume</stp>
        <tr r="AJ1385" s="57"/>
      </tp>
      <tp>
        <v>59</v>
        <stp/>
        <stp>8088</stp>
        <stp>PredictVolume</stp>
        <tr r="AJ687" s="57"/>
      </tp>
      <tp>
        <v>173</v>
        <stp/>
        <stp>8038</stp>
        <stp>PredictVolume</stp>
        <tr r="AJ1203" s="57"/>
      </tp>
      <tp>
        <v>363</v>
        <stp/>
        <stp>8028</stp>
        <stp>PredictVolume</stp>
        <tr r="AJ682" s="57"/>
      </tp>
      <tp>
        <v>77</v>
        <stp/>
        <stp>8068</stp>
        <stp>PredictVolume</stp>
        <tr r="AJ1256" s="57"/>
      </tp>
      <tp>
        <v>218</v>
        <stp/>
        <stp>8048</stp>
        <stp>PredictVolume</stp>
        <tr r="AJ1009" s="57"/>
      </tp>
      <tp>
        <v>1070</v>
        <stp/>
        <stp>8358</stp>
        <stp>PredictVolume</stp>
        <tr r="AJ1223" s="57"/>
      </tp>
      <tp>
        <v>620</v>
        <stp/>
        <stp>8938</stp>
        <stp>PredictVolume</stp>
        <tr r="AJ1403" s="57"/>
      </tp>
      <tp>
        <v>266</v>
        <stp/>
        <stp>8928</stp>
        <stp>PredictVolume</stp>
        <tr r="AJ1396" s="57"/>
      </tp>
      <tp>
        <v>11</v>
        <stp/>
        <stp>8908</stp>
        <stp>PredictVolume</stp>
        <tr r="AJ1679" s="57"/>
      </tp>
      <tp>
        <v>1029</v>
        <stp/>
        <stp>9938</stp>
        <stp>PredictVolume</stp>
        <tr r="AJ1425" s="57"/>
      </tp>
      <tp>
        <v>11</v>
        <stp/>
        <stp>9928</stp>
        <stp>PredictVolume</stp>
        <tr r="AJ1419" s="57"/>
      </tp>
      <tp>
        <v>11</v>
        <stp/>
        <stp>9918</stp>
        <stp>PredictVolume</stp>
        <tr r="AJ1677" s="57"/>
      </tp>
      <tp>
        <v>68</v>
        <stp/>
        <stp>9908</stp>
        <stp>PredictVolume</stp>
        <tr r="AJ1680" s="57"/>
      </tp>
      <tp>
        <v>988</v>
        <stp/>
        <stp>9958</stp>
        <stp>PredictVolume</stp>
        <tr r="AJ475" s="57"/>
      </tp>
      <tp>
        <v>39.549999999999997</v>
        <stp/>
        <stp>2235</stp>
        <stp>Price</stp>
        <tr r="W166" s="57"/>
      </tp>
      <tp>
        <v>234.5</v>
        <stp/>
        <stp>2345</stp>
        <stp>Price</stp>
        <tr r="W932" s="57"/>
      </tp>
      <tp>
        <v>34.450000000000003</v>
        <stp/>
        <stp>2355</stp>
        <stp>Price</stp>
        <tr r="W1029" s="57"/>
      </tp>
      <tp>
        <v>10.9</v>
        <stp/>
        <stp>2365</stp>
        <stp>Price</stp>
        <tr r="W708" s="57"/>
      </tp>
      <tp>
        <v>80.8</v>
        <stp/>
        <stp>2375</stp>
        <stp>Price</stp>
        <tr r="W1032" s="57"/>
      </tp>
      <tp>
        <v>9.61</v>
        <stp/>
        <stp>2305</stp>
        <stp>Price</stp>
        <tr r="W699" s="57"/>
      </tp>
      <tp>
        <v>89.1</v>
        <stp/>
        <stp>2385</stp>
        <stp>Price</stp>
        <tr r="W1034" s="57"/>
      </tp>
      <tp>
        <v>364</v>
        <stp/>
        <stp>2395</stp>
        <stp>Price</stp>
        <tr r="W714" s="57"/>
      </tp>
      <tp>
        <v>51.7</v>
        <stp/>
        <stp>2065</stp>
        <stp>Price</stp>
        <tr r="W459" s="57"/>
      </tp>
      <tp>
        <v>89</v>
        <stp/>
        <stp>2015</stp>
        <stp>Price</stp>
        <tr r="W440" s="57"/>
      </tp>
      <tp>
        <v>5.91</v>
        <stp/>
        <stp>2025</stp>
        <stp>Price</stp>
        <tr r="W446" s="57"/>
      </tp>
      <tp>
        <v>36.4</v>
        <stp/>
        <stp>2035</stp>
        <stp>Price</stp>
        <tr r="W455" s="57"/>
      </tp>
      <tp>
        <v>34.5</v>
        <stp/>
        <stp>2105</stp>
        <stp>Price</stp>
        <tr r="W483" s="57"/>
      </tp>
      <tp>
        <v>40.65</v>
        <stp/>
        <stp>2115</stp>
        <stp>Price</stp>
        <tr r="W505" s="57"/>
      </tp>
      <tp>
        <v>29.6</v>
        <stp/>
        <stp>2605</stp>
        <stp>Price</stp>
        <tr r="W1513" s="57"/>
      </tp>
      <tp>
        <v>175</v>
        <stp/>
        <stp>2615</stp>
        <stp>Price</stp>
        <tr r="W1522" s="57"/>
      </tp>
      <tp>
        <v>33.4</v>
        <stp/>
        <stp>2745</stp>
        <stp>Price</stp>
        <tr r="W1566" s="57"/>
      </tp>
      <tp>
        <v>56</v>
        <stp/>
        <stp>2755</stp>
        <stp>Price</stp>
        <tr r="W1571" s="57"/>
      </tp>
      <tp>
        <v>17.149999999999999</v>
        <stp/>
        <stp>2705</stp>
        <stp>Price</stp>
        <tr r="W1547" s="57"/>
      </tp>
      <tp>
        <v>113.5</v>
        <stp/>
        <stp>2455</stp>
        <stp>Price</stp>
        <tr r="W938" s="57"/>
      </tp>
      <tp>
        <v>67.7</v>
        <stp/>
        <stp>2465</stp>
        <stp>Price</stp>
        <tr r="W722" s="57"/>
      </tp>
      <tp>
        <v>15.4</v>
        <stp/>
        <stp>2405</stp>
        <stp>Price</stp>
        <tr r="W717" s="57"/>
      </tp>
      <tp>
        <v>39.4</v>
        <stp/>
        <stp>2415</stp>
        <stp>Price</stp>
        <tr r="W1038" s="57"/>
      </tp>
      <tp>
        <v>26.15</v>
        <stp/>
        <stp>2425</stp>
        <stp>Price</stp>
        <tr r="W720" s="57"/>
      </tp>
      <tp>
        <v>18.2</v>
        <stp/>
        <stp>2485</stp>
        <stp>Price</stp>
        <tr r="W939" s="57"/>
      </tp>
      <tp>
        <v>15.15</v>
        <stp/>
        <stp>2495</stp>
        <stp>Price</stp>
        <tr r="W1703" s="57"/>
      </tp>
      <tp>
        <v>41.7</v>
        <stp/>
        <stp>2545</stp>
        <stp>Price</stp>
        <tr r="W1462" s="57"/>
      </tp>
      <tp>
        <v>22.45</v>
        <stp/>
        <stp>2505</stp>
        <stp>Price</stp>
        <tr r="W1443" s="57"/>
      </tp>
      <tp>
        <v>8.8800000000000008</v>
        <stp/>
        <stp>2515</stp>
        <stp>Price</stp>
        <tr r="W1817" s="57"/>
      </tp>
      <tp>
        <v>34.299999999999997</v>
        <stp/>
        <stp>2535</stp>
        <stp>Price</stp>
        <tr r="W1454" s="57"/>
      </tp>
      <tp>
        <v>11.1</v>
        <stp/>
        <stp>2845</stp>
        <stp>Price</stp>
        <tr r="W1597" s="57"/>
      </tp>
      <tp>
        <v>21.6</v>
        <stp/>
        <stp>2855</stp>
        <stp>Price</stp>
        <tr r="W1602" s="57"/>
      </tp>
      <tp>
        <v>24.75</v>
        <stp/>
        <stp>2885</stp>
        <stp>Price</stp>
        <tr r="W1609" s="57"/>
      </tp>
      <tp>
        <v>59.9</v>
        <stp/>
        <stp>2945</stp>
        <stp>Price</stp>
        <tr r="W1651" s="57"/>
      </tp>
      <tp>
        <v>20.9</v>
        <stp/>
        <stp>2905</stp>
        <stp>Price</stp>
        <tr r="W1638" s="57"/>
      </tp>
      <tp>
        <v>108.5</v>
        <stp/>
        <stp>2915</stp>
        <stp>Price</stp>
        <tr r="W1645" s="57"/>
      </tp>
      <tp>
        <v>33.4</v>
        <stp/>
        <stp>3265</stp>
        <stp>Price</stp>
        <tr r="W20" s="28"/>
        <tr r="W75" s="22"/>
        <tr r="W76" s="22"/>
        <tr r="W77" s="22"/>
        <tr r="W78" s="22"/>
        <tr r="W572" s="57"/>
      </tp>
      <tp>
        <v>22.65</v>
        <stp/>
        <stp>3205</stp>
        <stp>Price</stp>
        <tr r="W314" s="57"/>
      </tp>
      <tp>
        <v>21.4</v>
        <stp/>
        <stp>3285</stp>
        <stp>Price</stp>
        <tr r="W1710" s="57"/>
      </tp>
      <tp>
        <v>71.2</v>
        <stp/>
        <stp>3305</stp>
        <stp>Price</stp>
        <tr r="W1713" s="57"/>
      </tp>
      <tp>
        <v>17.149999999999999</v>
        <stp/>
        <stp>3325</stp>
        <stp>Price</stp>
        <tr r="W739" s="57"/>
      </tp>
      <tp>
        <v>106</v>
        <stp/>
        <stp>3045</stp>
        <stp>Price</stp>
        <tr r="W943" s="57"/>
      </tp>
      <tp>
        <v>27.3</v>
        <stp/>
        <stp>3055</stp>
        <stp>Price</stp>
        <tr r="W1235" s="57"/>
      </tp>
      <tp>
        <v>57.3</v>
        <stp/>
        <stp>3005</stp>
        <stp>Price</stp>
        <tr r="W724" s="57"/>
      </tp>
      <tp>
        <v>43.55</v>
        <stp/>
        <stp>3015</stp>
        <stp>Price</stp>
        <tr r="W24" s="28"/>
        <tr r="W40" s="22"/>
        <tr r="W1058" s="57"/>
      </tp>
      <tp>
        <v>18.850000000000001</v>
        <stp/>
        <stp>3025</stp>
        <stp>Price</stp>
        <tr r="W941" s="57"/>
      </tp>
      <tp>
        <v>287</v>
        <stp/>
        <stp>3035</stp>
        <stp>Price</stp>
        <tr r="W555" s="57"/>
      </tp>
      <tp>
        <v>10.1</v>
        <stp/>
        <stp>3085</stp>
        <stp>Price</stp>
        <tr r="W1799" s="57"/>
      </tp>
      <tp>
        <v>3.31</v>
        <stp/>
        <stp>3095</stp>
        <stp>Price</stp>
        <tr r="W947" s="57"/>
      </tp>
      <tp>
        <v>290.5</v>
        <stp/>
        <stp>3105</stp>
        <stp>Price</stp>
        <tr r="W560" s="57"/>
      </tp>
      <tp>
        <v>12.05</v>
        <stp/>
        <stp>3115</stp>
        <stp>Price</stp>
        <tr r="W1071" s="57"/>
      </tp>
      <tp>
        <v>46.8</v>
        <stp/>
        <stp>3645</stp>
        <stp>Price</stp>
        <tr r="W1116" s="57"/>
      </tp>
      <tp>
        <v>312</v>
        <stp/>
        <stp>3665</stp>
        <stp>Price</stp>
        <tr r="W1730" s="57"/>
      </tp>
      <tp>
        <v>276</v>
        <stp/>
        <stp>3675</stp>
        <stp>Price</stp>
        <tr r="W594" s="57"/>
      </tp>
      <tp>
        <v>48.2</v>
        <stp/>
        <stp>3605</stp>
        <stp>Price</stp>
        <tr r="W1111" s="57"/>
      </tp>
      <tp>
        <v>20.45</v>
        <stp/>
        <stp>3615</stp>
        <stp>Price</stp>
        <tr r="W855" s="57"/>
      </tp>
      <tp>
        <v>21.75</v>
        <stp/>
        <stp>3625</stp>
        <stp>Price</stp>
        <tr r="W752" s="57"/>
      </tp>
      <tp>
        <v>29</v>
        <stp/>
        <stp>3685</stp>
        <stp>Price</stp>
        <tr r="W862" s="57"/>
      </tp>
      <tp>
        <v>42.55</v>
        <stp/>
        <stp>3705</stp>
        <stp>Price</stp>
        <tr r="W316" s="57"/>
      </tp>
      <tp>
        <v>93.8</v>
        <stp/>
        <stp>3455</stp>
        <stp>Price</stp>
        <tr r="W844" s="57"/>
      </tp>
      <tp>
        <v>158</v>
        <stp/>
        <stp>3465</stp>
        <stp>Price</stp>
        <tr r="W1097" s="57"/>
      </tp>
      <tp>
        <v>145</v>
        <stp/>
        <stp>3545</stp>
        <stp>Price</stp>
        <tr r="W585" s="57"/>
      </tp>
      <tp>
        <v>36.35</v>
        <stp/>
        <stp>3555</stp>
        <stp>Price</stp>
        <tr r="W586" s="57"/>
      </tp>
      <tp>
        <v>201</v>
        <stp/>
        <stp>3515</stp>
        <stp>Price</stp>
        <tr r="W746" s="57"/>
      </tp>
      <tp>
        <v>20.55</v>
        <stp/>
        <stp>3535</stp>
        <stp>Price</stp>
        <tr r="W850" s="57"/>
      </tp>
      <tp>
        <v>83.7</v>
        <stp/>
        <stp>1215</stp>
        <stp>Price</stp>
        <tr r="W17" s="57"/>
      </tp>
      <tp>
        <v>58.4</v>
        <stp/>
        <stp>1225</stp>
        <stp>Price</stp>
        <tr r="W23" s="57"/>
      </tp>
      <tp>
        <v>43.65</v>
        <stp/>
        <stp>1235</stp>
        <stp>Price</stp>
        <tr r="W30" s="57"/>
      </tp>
      <tp>
        <v>34.200000000000003</v>
        <stp/>
        <stp>1305</stp>
        <stp>Price</stp>
        <tr r="W45" s="57"/>
      </tp>
      <tp>
        <v>83.9</v>
        <stp/>
        <stp>1315</stp>
        <stp>Price</stp>
        <tr r="W53" s="57"/>
      </tp>
      <tp>
        <v>38.5</v>
        <stp/>
        <stp>1325</stp>
        <stp>Price</stp>
        <tr r="W141" s="22"/>
        <tr r="W142" s="22"/>
        <tr r="W143" s="22"/>
        <tr r="W144" s="22"/>
        <tr r="W145" s="22"/>
        <tr r="W146" s="22"/>
        <tr r="W57" s="57"/>
        <tr r="W18" s="28"/>
      </tp>
      <tp>
        <v>28.7</v>
        <stp/>
        <stp>1605</stp>
        <stp>Price</stp>
        <tr r="W227" s="57"/>
      </tp>
      <tp>
        <v>32.450000000000003</v>
        <stp/>
        <stp>1615</stp>
        <stp>Price</stp>
        <tr r="W233" s="57"/>
      </tp>
      <tp>
        <v>25.85</v>
        <stp/>
        <stp>1725</stp>
        <stp>Price</stp>
        <tr r="W256" s="57"/>
      </tp>
      <tp>
        <v>18</v>
        <stp/>
        <stp>1735</stp>
        <stp>Price</stp>
        <tr r="W261" s="57"/>
      </tp>
      <tp>
        <v>50.1</v>
        <stp/>
        <stp>1785</stp>
        <stp>Price</stp>
        <tr r="W1686" s="57"/>
      </tp>
      <tp>
        <v>102.5</v>
        <stp/>
        <stp>1795</stp>
        <stp>Price</stp>
        <tr r="W308" s="57"/>
      </tp>
      <tp>
        <v>16.149999999999999</v>
        <stp/>
        <stp>1445</stp>
        <stp>Price</stp>
        <tr r="W85" s="57"/>
      </tp>
      <tp>
        <v>15.55</v>
        <stp/>
        <stp>1455</stp>
        <stp>Price</stp>
        <tr r="W93" s="57"/>
      </tp>
      <tp>
        <v>12.35</v>
        <stp/>
        <stp>1465</stp>
        <stp>Price</stp>
        <tr r="W100" s="57"/>
      </tp>
      <tp>
        <v>61.8</v>
        <stp/>
        <stp>1475</stp>
        <stp>Price</stp>
        <tr r="W108" s="57"/>
      </tp>
      <tp>
        <v>57.7</v>
        <stp/>
        <stp>1435</stp>
        <stp>Price</stp>
        <tr r="W1308" s="57"/>
      </tp>
      <tp>
        <v>282</v>
        <stp/>
        <stp>1565</stp>
        <stp>Price</stp>
        <tr r="W288" s="57"/>
      </tp>
      <tp>
        <v>41.6</v>
        <stp/>
        <stp>1515</stp>
        <stp>Price</stp>
        <tr r="W134" s="57"/>
      </tp>
      <tp>
        <v>59.8</v>
        <stp/>
        <stp>1525</stp>
        <stp>Price</stp>
        <tr r="W500" s="57"/>
      </tp>
      <tp>
        <v>42.2</v>
        <stp/>
        <stp>1535</stp>
        <stp>Price</stp>
        <tr r="W144" s="57"/>
      </tp>
      <tp>
        <v>40.65</v>
        <stp/>
        <stp>1595</stp>
        <stp>Price</stp>
        <tr r="W1021" s="57"/>
      </tp>
      <tp>
        <v>13.45</v>
        <stp/>
        <stp>1805</stp>
        <stp>Price</stp>
        <tr r="W1439" s="57"/>
      </tp>
      <tp>
        <v>14.8</v>
        <stp/>
        <stp>1815</stp>
        <stp>Price</stp>
        <tr r="W1022" s="57"/>
      </tp>
      <tp>
        <v>22.05</v>
        <stp/>
        <stp>1905</stp>
        <stp>Price</stp>
        <tr r="W425" s="57"/>
      </tp>
      <tp>
        <v>54.2</v>
        <stp/>
        <stp>6245</stp>
        <stp>Price</stp>
        <tr r="W992" s="57"/>
      </tp>
      <tp>
        <v>13.3</v>
        <stp/>
        <stp>6265</stp>
        <stp>Price</stp>
        <tr r="W1250" s="57"/>
      </tp>
      <tp>
        <v>39.799999999999997</v>
        <stp/>
        <stp>6275</stp>
        <stp>Price</stp>
        <tr r="W1749" s="57"/>
      </tp>
      <tp>
        <v>87</v>
        <stp/>
        <stp>6205</stp>
        <stp>Price</stp>
        <tr r="W1173" s="57"/>
      </tp>
      <tp>
        <v>26.2</v>
        <stp/>
        <stp>6215</stp>
        <stp>Price</stp>
        <tr r="W1747" s="57"/>
      </tp>
      <tp>
        <v>11.1</v>
        <stp/>
        <stp>6225</stp>
        <stp>Price</stp>
        <tr r="W900" s="57"/>
      </tp>
      <tp>
        <v>31.65</v>
        <stp/>
        <stp>6235</stp>
        <stp>Price</stp>
        <tr r="W787" s="57"/>
      </tp>
      <tp>
        <v>69.900000000000006</v>
        <stp/>
        <stp>6285</stp>
        <stp>Price</stp>
        <tr r="W994" s="57"/>
      </tp>
      <tp>
        <v>15.65</v>
        <stp/>
        <stp>6005</stp>
        <stp>Price</stp>
        <tr r="W1623" s="57"/>
      </tp>
      <tp>
        <v>15.55</v>
        <stp/>
        <stp>6015</stp>
        <stp>Price</stp>
        <tr r="W1624" s="57"/>
      </tp>
      <tp>
        <v>22.55</v>
        <stp/>
        <stp>6155</stp>
        <stp>Price</stp>
        <tr r="W1160" s="57"/>
      </tp>
      <tp>
        <v>32.200000000000003</v>
        <stp/>
        <stp>6165</stp>
        <stp>Price</stp>
        <tr r="W1163" s="57"/>
      </tp>
      <tp>
        <v>42.9</v>
        <stp/>
        <stp>6175</stp>
        <stp>Price</stp>
        <tr r="W1166" s="57"/>
      </tp>
      <tp>
        <v>42.75</v>
        <stp/>
        <stp>6115</stp>
        <stp>Price</stp>
        <tr r="W1152" s="57"/>
      </tp>
      <tp>
        <v>25.7</v>
        <stp/>
        <stp>6125</stp>
        <stp>Price</stp>
        <tr r="W893" s="57"/>
      </tp>
      <tp>
        <v>13.95</v>
        <stp/>
        <stp>6185</stp>
        <stp>Price</stp>
        <tr r="W1167" s="57"/>
      </tp>
      <tp>
        <v>54</v>
        <stp/>
        <stp>6195</stp>
        <stp>Price</stp>
        <tr r="W1661" s="57"/>
      </tp>
      <tp>
        <v>89</v>
        <stp/>
        <stp>6655</stp>
        <stp>Price</stp>
        <tr r="W1351" s="57"/>
      </tp>
      <tp>
        <v>56.6</v>
        <stp/>
        <stp>6605</stp>
        <stp>Price</stp>
        <tr r="W525" s="57"/>
      </tp>
      <tp>
        <v>46.8</v>
        <stp/>
        <stp>6615</stp>
        <stp>Price</stp>
        <tr r="W397" s="57"/>
        <tr r="W400" s="57"/>
      </tp>
      <tp>
        <v>30.9</v>
        <stp/>
        <stp>6625</stp>
        <stp>Price</stp>
        <tr r="W1348" s="57"/>
      </tp>
      <tp>
        <v>101.5</v>
        <stp/>
        <stp>6715</stp>
        <stp>Price</stp>
        <tr r="W69" s="28"/>
        <tr r="W1199" s="57"/>
      </tp>
      <tp>
        <v>26.9</v>
        <stp/>
        <stp>6405</stp>
        <stp>Price</stp>
        <tr r="W907" s="57"/>
      </tp>
      <tp>
        <v>3415</v>
        <stp/>
        <stp>6415</stp>
        <stp>Price</stp>
        <tr r="W647" s="57"/>
      </tp>
      <tp>
        <v>25.05</v>
        <stp/>
        <stp>6425</stp>
        <stp>Price</stp>
        <tr r="W211" s="57"/>
      </tp>
      <tp>
        <v>143.5</v>
        <stp/>
        <stp>6435</stp>
        <stp>Price</stp>
        <tr r="W12" s="114"/>
        <tr r="W648" s="57"/>
      </tp>
      <tp>
        <v>137</v>
        <stp/>
        <stp>6485</stp>
        <stp>Price</stp>
        <tr r="W652" s="57"/>
      </tp>
      <tp>
        <v>95.7</v>
        <stp/>
        <stp>6505</stp>
        <stp>Price</stp>
        <tr r="W1682" s="57"/>
      </tp>
      <tp>
        <v>393.5</v>
        <stp/>
        <stp>6515</stp>
        <stp>Price</stp>
        <tr r="W656" s="57"/>
      </tp>
      <tp>
        <v>88.7</v>
        <stp/>
        <stp>6525</stp>
        <stp>Price</stp>
        <tr r="W657" s="57"/>
      </tp>
      <tp>
        <v>35.200000000000003</v>
        <stp/>
        <stp>6535</stp>
        <stp>Price</stp>
        <tr r="W388" s="57"/>
      </tp>
      <tp>
        <v>122</v>
        <stp/>
        <stp>4205</stp>
        <stp>Price</stp>
        <tr r="W38" s="57"/>
      </tp>
      <tp t="s">
        <v>無資料</v>
        <stp/>
        <stp>4305</stp>
        <stp>Price</stp>
        <tr r="W64" s="57"/>
      </tp>
      <tp>
        <v>22.65</v>
        <stp/>
        <stp>4155</stp>
        <stp>Price</stp>
        <tr r="W347" s="57"/>
      </tp>
      <tp>
        <v>68</v>
        <stp/>
        <stp>4175</stp>
        <stp>Price</stp>
        <tr r="W358" s="57"/>
      </tp>
      <tp>
        <v>68.7</v>
        <stp/>
        <stp>4105</stp>
        <stp>Price</stp>
        <tr r="W319" s="57"/>
      </tp>
      <tp>
        <v>28.05</v>
        <stp/>
        <stp>4745</stp>
        <stp>Price</stp>
        <tr r="W371" s="57"/>
      </tp>
      <tp>
        <v>152.5</v>
        <stp/>
        <stp>4755</stp>
        <stp>Price</stp>
        <tr r="W278" s="57"/>
      </tp>
      <tp>
        <v>50.8</v>
        <stp/>
        <stp>4735</stp>
        <stp>Price</stp>
        <tr r="W41" s="28"/>
        <tr r="W111" s="22"/>
        <tr r="W113" s="22"/>
        <tr r="W112" s="22"/>
        <tr r="W366" s="57"/>
      </tp>
      <tp>
        <v>30.75</v>
        <stp/>
        <stp>4545</stp>
        <stp>Price</stp>
        <tr r="W1123" s="57"/>
      </tp>
      <tp>
        <v>56</v>
        <stp/>
        <stp>4555</stp>
        <stp>Price</stp>
        <tr r="W195" s="57"/>
      </tp>
      <tp>
        <v>35.4</v>
        <stp/>
        <stp>4535</stp>
        <stp>Price</stp>
        <tr r="W188" s="57"/>
      </tp>
      <tp>
        <v>91</v>
        <stp/>
        <stp>4945</stp>
        <stp>Price</stp>
        <tr r="W601" s="57"/>
      </tp>
      <tp>
        <v>51.4</v>
        <stp/>
        <stp>4915</stp>
        <stp>Price</stp>
        <tr r="W1125" s="57"/>
      </tp>
      <tp>
        <v>69.599999999999994</v>
        <stp/>
        <stp>4935</stp>
        <stp>Price</stp>
        <tr r="W869" s="57"/>
      </tp>
      <tp>
        <v>39.4</v>
        <stp/>
        <stp>4995</stp>
        <stp>Price</stp>
        <tr r="W876" s="57"/>
      </tp>
      <tp>
        <v>70.400000000000006</v>
        <stp/>
        <stp>5245</stp>
        <stp>Price</stp>
        <tr r="W882" s="57"/>
      </tp>
      <tp>
        <v>15.1</v>
        <stp/>
        <stp>5205</stp>
        <stp>Price</stp>
        <tr r="W1733" s="57"/>
      </tp>
      <tp>
        <v>64.7</v>
        <stp/>
        <stp>5215</stp>
        <stp>Price</stp>
        <tr r="W764" s="57"/>
      </tp>
      <tp>
        <v>25.15</v>
        <stp/>
        <stp>5225</stp>
        <stp>Price</stp>
        <tr r="W1734" s="57"/>
      </tp>
      <tp>
        <v>93.6</v>
        <stp/>
        <stp>5285</stp>
        <stp>Price</stp>
        <tr r="W615" s="57"/>
      </tp>
      <tp>
        <v>5.85</v>
        <stp/>
        <stp>5345</stp>
        <stp>Price</stp>
        <tr r="W1139" s="57"/>
      </tp>
      <tp>
        <v>6.59</v>
        <stp/>
        <stp>5355</stp>
        <stp>Price</stp>
        <tr r="W1140" s="57"/>
      </tp>
      <tp>
        <v>18.100000000000001</v>
        <stp/>
        <stp>5315</stp>
        <stp>Price</stp>
        <tr r="W885" s="57"/>
      </tp>
      <tp>
        <v>41.65</v>
        <stp/>
        <stp>5015</stp>
        <stp>Price</stp>
        <tr r="W468" s="57"/>
      </tp>
      <tp>
        <v>29.6</v>
        <stp/>
        <stp>5455</stp>
        <stp>Price</stp>
        <tr r="W1482" s="57"/>
      </tp>
      <tp>
        <v>15.65</v>
        <stp/>
        <stp>5465</stp>
        <stp>Price</stp>
        <tr r="W772" s="57"/>
      </tp>
      <tp>
        <v>22</v>
        <stp/>
        <stp>5475</stp>
        <stp>Price</stp>
        <tr r="W1147" s="57"/>
      </tp>
      <tp>
        <v>70</v>
        <stp/>
        <stp>5425</stp>
        <stp>Price</stp>
        <tr r="W622" s="57"/>
      </tp>
      <tp>
        <v>13.6</v>
        <stp/>
        <stp>5515</stp>
        <stp>Price</stp>
        <tr r="W1487" s="57"/>
      </tp>
      <tp>
        <v>27.1</v>
        <stp/>
        <stp>5525</stp>
        <stp>Price</stp>
        <tr r="W1493" s="57"/>
      </tp>
      <tp>
        <v>14.05</v>
        <stp/>
        <stp>5905</stp>
        <stp>Price</stp>
        <tr r="W1658" s="57"/>
      </tp>
      <tp>
        <v>213.5</v>
        <stp/>
        <stp>8255</stp>
        <stp>Price</stp>
        <tr r="W219" s="57"/>
      </tp>
      <tp>
        <v>34.1</v>
        <stp/>
        <stp>8215</stp>
        <stp>Price</stp>
        <tr r="W925" s="57"/>
      </tp>
      <tp>
        <v>16.350000000000001</v>
        <stp/>
        <stp>8085</stp>
        <stp>Price</stp>
        <tr r="W1763" s="57"/>
      </tp>
      <tp>
        <v>193</v>
        <stp/>
        <stp>8155</stp>
        <stp>Price</stp>
        <tr r="W1217" s="57"/>
      </tp>
      <tp>
        <v>11.95</v>
        <stp/>
        <stp>8105</stp>
        <stp>Price</stp>
        <tr r="W923" s="57"/>
      </tp>
      <tp>
        <v>29.45</v>
        <stp/>
        <stp>8455</stp>
        <stp>Price</stp>
        <tr r="W1769" s="57"/>
      </tp>
      <tp>
        <v>39.6</v>
        <stp/>
        <stp>8415</stp>
        <stp>Price</stp>
        <tr r="W473" s="57"/>
      </tp>
      <tp>
        <v>64.3</v>
        <stp/>
        <stp>8435</stp>
        <stp>Price</stp>
        <tr r="W1373" s="57"/>
      </tp>
      <tp>
        <v>22.85</v>
        <stp/>
        <stp>8905</stp>
        <stp>Price</stp>
        <tr r="W1391" s="57"/>
      </tp>
      <tp>
        <v>13.6</v>
        <stp/>
        <stp>8935</stp>
        <stp>Price</stp>
        <tr r="W1400" s="57"/>
      </tp>
      <tp>
        <v>72.099999999999994</v>
        <stp/>
        <stp>9945</stp>
        <stp>Price</stp>
        <tr r="W1431" s="57"/>
      </tp>
      <tp>
        <v>24.95</v>
        <stp/>
        <stp>9955</stp>
        <stp>Price</stp>
        <tr r="W1432" s="57"/>
      </tp>
      <tp>
        <v>26.7</v>
        <stp/>
        <stp>9905</stp>
        <stp>Price</stp>
        <tr r="W1408" s="57"/>
      </tp>
      <tp>
        <v>39.299999999999997</v>
        <stp/>
        <stp>9925</stp>
        <stp>Price</stp>
        <tr r="W1417" s="57"/>
      </tp>
      <tp>
        <v>17.8</v>
        <stp/>
        <stp>9935</stp>
        <stp>Price</stp>
        <tr r="W1424" s="57"/>
      </tp>
      <tp>
        <v>23056.53</v>
        <stp/>
        <stp>$TWIT</stp>
        <stp>Price</stp>
        <tr r="T2" s="85"/>
      </tp>
      <tp>
        <v>17264.740000000002</v>
        <stp/>
        <stp>$TWT</stp>
        <stp>Price</stp>
        <tr r="T9" s="85"/>
      </tp>
      <tp>
        <v>209.8</v>
        <stp/>
        <stp>$TWO</stp>
        <stp>Price</stp>
        <tr r="T10" s="85"/>
      </tp>
      <tp>
        <v>179.21</v>
        <stp/>
        <stp>$TWOIGI</stp>
        <stp>Price</stp>
        <tr r="T7" s="85"/>
      </tp>
      <tp>
        <v>101.44</v>
        <stp/>
        <stp>$TWO28</stp>
        <stp>Price</stp>
        <tr r="N7" s="85"/>
      </tp>
      <tp>
        <v>183.18</v>
        <stp/>
        <stp>$TWT28</stp>
        <stp>Price</stp>
        <tr r="G7" s="85"/>
      </tp>
      <tp>
        <v>62.93</v>
        <stp/>
        <stp>$TWT08</stp>
        <stp>Price</stp>
        <tr r="G18" s="85"/>
      </tp>
      <tp>
        <v>302.22000000000003</v>
        <stp/>
        <stp>$TWT18</stp>
        <stp>Price</stp>
        <tr r="G26" s="85"/>
      </tp>
      <tp>
        <v>82.68</v>
        <stp/>
        <stp>$TWO29</stp>
        <stp>Price</stp>
        <tr r="N8" s="85"/>
      </tp>
      <tp>
        <v>205.76</v>
        <stp/>
        <stp>$TWT29</stp>
        <stp>Price</stp>
        <tr r="G8" s="85"/>
      </tp>
      <tp>
        <v>381.68</v>
        <stp/>
        <stp>$TWT09</stp>
        <stp>Price</stp>
        <tr r="G19" s="85"/>
      </tp>
      <tp>
        <v>173.99</v>
        <stp/>
        <stp>$TWO22</stp>
        <stp>Price</stp>
        <tr r="N20" s="85"/>
      </tp>
      <tp>
        <v>108.28</v>
        <stp/>
        <stp>$TWO32</stp>
        <stp>Price</stp>
        <tr r="N18" s="85"/>
      </tp>
      <tp>
        <v>63.52</v>
        <stp/>
        <stp>$TWT22</stp>
        <stp>Price</stp>
        <tr r="G29" s="85"/>
      </tp>
      <tp>
        <v>1876.89</v>
        <stp/>
        <stp>$TWT02</stp>
        <stp>Price</stp>
        <tr r="G13" s="85"/>
      </tp>
      <tp>
        <v>315.08</v>
        <stp/>
        <stp>$TWT12</stp>
        <stp>Price</stp>
        <tr r="G22" s="85"/>
      </tp>
      <tp>
        <v>124.44</v>
        <stp/>
        <stp>$TWT23</stp>
        <stp>Price</stp>
        <tr r="G30" s="85"/>
      </tp>
      <tp>
        <v>288.81</v>
        <stp/>
        <stp>$TWT03</stp>
        <stp>Price</stp>
        <tr r="G14" s="85"/>
      </tp>
      <tp>
        <v>119.21</v>
        <stp/>
        <stp>$TWO20</stp>
        <stp>Price</stp>
        <tr r="N19" s="85"/>
      </tp>
      <tp>
        <v>116.1</v>
        <stp/>
        <stp>$TWO30</stp>
        <stp>Price</stp>
        <tr r="N9" s="85"/>
      </tp>
      <tp>
        <v>166.7</v>
        <stp/>
        <stp>$TWO10</stp>
        <stp>Price</stp>
        <tr r="N13" s="85"/>
      </tp>
      <tp>
        <v>377.47</v>
        <stp/>
        <stp>$TWT20</stp>
        <stp>Price</stp>
        <tr r="G27" s="85"/>
      </tp>
      <tp>
        <v>132.91</v>
        <stp/>
        <stp>$TWT30</stp>
        <stp>Price</stp>
        <tr r="G9" s="85"/>
      </tp>
      <tp>
        <v>184.97</v>
        <stp/>
        <stp>$TWT10</stp>
        <stp>Price</stp>
        <tr r="G20" s="85"/>
      </tp>
      <tp>
        <v>145.36000000000001</v>
        <stp/>
        <stp>$TWO21</stp>
        <stp>Price</stp>
        <tr r="N17" s="85"/>
      </tp>
      <tp>
        <v>153.05000000000001</v>
        <stp/>
        <stp>$TWO31</stp>
        <stp>Price</stp>
        <tr r="N10" s="85"/>
      </tp>
      <tp>
        <v>146.35</v>
        <stp/>
        <stp>$TWT21</stp>
        <stp>Price</stp>
        <tr r="G28" s="85"/>
      </tp>
      <tp>
        <v>97.73</v>
        <stp/>
        <stp>$TWT31</stp>
        <stp>Price</stp>
        <tr r="G10" s="85"/>
      </tp>
      <tp>
        <v>186.04</v>
        <stp/>
        <stp>$TWT01</stp>
        <stp>Price</stp>
        <tr r="G12" s="85"/>
      </tp>
      <tp>
        <v>281.58</v>
        <stp/>
        <stp>$TWT11</stp>
        <stp>Price</stp>
        <tr r="G21" s="85"/>
      </tp>
      <tp>
        <v>45.93</v>
        <stp/>
        <stp>$TWO26</stp>
        <stp>Price</stp>
        <tr r="N5" s="85"/>
      </tp>
      <tp>
        <v>66.099999999999994</v>
        <stp/>
        <stp>$TWO16</stp>
        <stp>Price</stp>
        <tr r="N16" s="85"/>
      </tp>
      <tp>
        <v>39.229999999999997</v>
        <stp/>
        <stp>$TWT26</stp>
        <stp>Price</stp>
        <tr r="G5" s="85"/>
      </tp>
      <tp>
        <v>84.32</v>
        <stp/>
        <stp>$TWT06</stp>
        <stp>Price</stp>
        <tr r="G17" s="85"/>
      </tp>
      <tp>
        <v>94.96</v>
        <stp/>
        <stp>$TWT16</stp>
        <stp>Price</stp>
        <tr r="G25" s="85"/>
      </tp>
      <tp>
        <v>180.76</v>
        <stp/>
        <stp>$TWOIHD</stp>
        <stp>Price</stp>
        <tr r="T6" s="85"/>
      </tp>
      <tp>
        <v>77.67</v>
        <stp/>
        <stp>$TWO27</stp>
        <stp>Price</stp>
        <tr r="N6" s="85"/>
      </tp>
      <tp>
        <v>134.41999999999999</v>
        <stp/>
        <stp>$TWT27</stp>
        <stp>Price</stp>
        <tr r="G6" s="85"/>
      </tp>
      <tp>
        <v>127.94</v>
        <stp/>
        <stp>$TWO24</stp>
        <stp>Price</stp>
        <tr r="N3" s="85"/>
      </tp>
      <tp>
        <v>106.92</v>
        <stp/>
        <stp>$TWO04</stp>
        <stp>Price</stp>
        <tr r="N11" s="85"/>
      </tp>
      <tp>
        <v>175.19</v>
        <stp/>
        <stp>$TWO14</stp>
        <stp>Price</stp>
        <tr r="N14" s="85"/>
      </tp>
      <tp>
        <v>400.45</v>
        <stp/>
        <stp>$TWT24</stp>
        <stp>Price</stp>
        <tr r="G3" s="85"/>
      </tp>
      <tp>
        <v>576.6</v>
        <stp/>
        <stp>$TWT04</stp>
        <stp>Price</stp>
        <tr r="G15" s="85"/>
      </tp>
      <tp>
        <v>363.36</v>
        <stp/>
        <stp>$TWT14</stp>
        <stp>Price</stp>
        <tr r="G23" s="85"/>
      </tp>
      <tp>
        <v>86.07</v>
        <stp/>
        <stp>$TWO25</stp>
        <stp>Price</stp>
        <tr r="N4" s="85"/>
      </tp>
      <tp>
        <v>156.78</v>
        <stp/>
        <stp>$TWO05</stp>
        <stp>Price</stp>
        <tr r="N12" s="85"/>
      </tp>
      <tp>
        <v>218.96</v>
        <stp/>
        <stp>$TWO15</stp>
        <stp>Price</stp>
        <tr r="N15" s="85"/>
      </tp>
      <tp>
        <v>142.11000000000001</v>
        <stp/>
        <stp>$TWT25</stp>
        <stp>Price</stp>
        <tr r="G4" s="85"/>
      </tp>
      <tp>
        <v>227.67</v>
        <stp/>
        <stp>$TWT05</stp>
        <stp>Price</stp>
        <tr r="G16" s="85"/>
      </tp>
      <tp>
        <v>285.29000000000002</v>
        <stp/>
        <stp>$TWT15</stp>
        <stp>Price</stp>
        <tr r="G24" s="8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secretshop@163.com" TargetMode="External"/><Relationship Id="rId2" Type="http://schemas.openxmlformats.org/officeDocument/2006/relationships/hyperlink" Target="mailto:judyyuezhu@hotmail.com" TargetMode="External"/><Relationship Id="rId1" Type="http://schemas.openxmlformats.org/officeDocument/2006/relationships/hyperlink" Target="mailto:yuezhujudy@hotmail.com" TargetMode="Externa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V5208"/>
  <sheetViews>
    <sheetView workbookViewId="0">
      <selection activeCell="AC24" sqref="AC24"/>
    </sheetView>
  </sheetViews>
  <sheetFormatPr defaultRowHeight="16.5"/>
  <cols>
    <col min="1" max="1" width="5.7109375" style="132" customWidth="1"/>
    <col min="2" max="5" width="5.7109375" style="94" customWidth="1"/>
    <col min="6" max="6" width="8.7109375" style="64" customWidth="1"/>
    <col min="7" max="7" width="7.7109375" style="19" customWidth="1"/>
    <col min="8" max="8" width="5.7109375" style="12" customWidth="1"/>
    <col min="9" max="9" width="8.7109375" style="9" customWidth="1"/>
    <col min="10" max="10" width="6.7109375" style="31" customWidth="1"/>
    <col min="11" max="11" width="6.7109375" style="327" customWidth="1"/>
    <col min="12" max="12" width="6.7109375" style="75" customWidth="1"/>
    <col min="13" max="13" width="6.7109375" style="325" customWidth="1"/>
    <col min="14" max="14" width="7.7109375" style="327" customWidth="1"/>
    <col min="15" max="15" width="4.7109375" style="27" customWidth="1"/>
    <col min="16" max="16" width="4.7109375" style="56" customWidth="1"/>
    <col min="17" max="17" width="4.7109375" style="26" customWidth="1"/>
    <col min="18" max="18" width="2.7109375" style="308" customWidth="1"/>
    <col min="19" max="19" width="6.7109375" style="330" customWidth="1"/>
    <col min="20" max="20" width="7.7109375" style="62" customWidth="1"/>
    <col min="21" max="21" width="6.7109375" style="367" customWidth="1"/>
    <col min="22" max="22" width="7.7109375" style="231" customWidth="1"/>
    <col min="23" max="23" width="9.7109375" style="270" customWidth="1"/>
    <col min="24" max="24" width="9.7109375" style="70" customWidth="1"/>
    <col min="25" max="25" width="9.7109375" style="59" customWidth="1"/>
    <col min="26" max="26" width="8.7109375" style="11" customWidth="1"/>
    <col min="27" max="27" width="6.7109375" style="101" customWidth="1"/>
    <col min="28" max="28" width="8.7109375" style="9" customWidth="1"/>
    <col min="29" max="29" width="11.7109375" style="86" customWidth="1"/>
    <col min="30" max="30" width="11.7109375" style="85" customWidth="1"/>
    <col min="31" max="31" width="3.7109375" style="80" customWidth="1"/>
    <col min="32" max="32" width="14.7109375" style="269" customWidth="1"/>
    <col min="33" max="33" width="2.7109375" style="126" customWidth="1"/>
    <col min="34" max="34" width="2.7109375" style="254" customWidth="1"/>
    <col min="35" max="35" width="7.7109375" style="243" customWidth="1"/>
    <col min="36" max="36" width="7.7109375" style="269" customWidth="1"/>
    <col min="37" max="37" width="7.7109375" style="22" customWidth="1"/>
    <col min="38" max="38" width="2.7109375" style="308" customWidth="1"/>
    <col min="39" max="39" width="12.7109375" style="243" customWidth="1"/>
    <col min="40" max="40" width="5.7109375" style="256" customWidth="1"/>
    <col min="41" max="16384" width="9.140625" style="269"/>
  </cols>
  <sheetData>
    <row r="1" spans="1:40" ht="17.25" customHeight="1">
      <c r="A1" s="132" t="s">
        <v>1854</v>
      </c>
      <c r="B1" s="93" t="s">
        <v>1657</v>
      </c>
      <c r="C1" s="93" t="s">
        <v>1658</v>
      </c>
      <c r="D1" s="93" t="s">
        <v>1659</v>
      </c>
      <c r="E1" s="93" t="s">
        <v>1660</v>
      </c>
      <c r="F1" s="8" t="s">
        <v>1122</v>
      </c>
      <c r="G1" s="26" t="s">
        <v>4231</v>
      </c>
      <c r="H1" s="55" t="s">
        <v>342</v>
      </c>
      <c r="I1" s="50" t="s">
        <v>6234</v>
      </c>
      <c r="J1" s="324" t="s">
        <v>1529</v>
      </c>
      <c r="K1" s="324" t="s">
        <v>1217</v>
      </c>
      <c r="L1" s="324" t="s">
        <v>298</v>
      </c>
      <c r="M1" s="324" t="s">
        <v>1115</v>
      </c>
      <c r="N1" s="324" t="s">
        <v>6091</v>
      </c>
      <c r="O1" s="27" t="s">
        <v>6253</v>
      </c>
      <c r="P1" s="56" t="s">
        <v>6219</v>
      </c>
      <c r="Q1" s="26" t="s">
        <v>6313</v>
      </c>
      <c r="R1" s="309" t="s">
        <v>6121</v>
      </c>
      <c r="S1" s="335" t="s">
        <v>4398</v>
      </c>
      <c r="T1" s="10" t="s">
        <v>75</v>
      </c>
      <c r="U1" s="364" t="s">
        <v>6152</v>
      </c>
      <c r="V1" s="69" t="s">
        <v>4406</v>
      </c>
      <c r="W1" s="28" t="s">
        <v>4424</v>
      </c>
      <c r="X1" s="17" t="s">
        <v>1465</v>
      </c>
      <c r="Y1" s="14" t="s">
        <v>5</v>
      </c>
      <c r="Z1" s="21" t="s">
        <v>3</v>
      </c>
      <c r="AA1" s="25" t="s">
        <v>117</v>
      </c>
      <c r="AB1" s="50" t="s">
        <v>6234</v>
      </c>
      <c r="AC1" s="73" t="s">
        <v>1466</v>
      </c>
      <c r="AD1" s="74" t="s">
        <v>1223</v>
      </c>
      <c r="AE1" s="32" t="s">
        <v>1224</v>
      </c>
      <c r="AF1" s="252" t="s">
        <v>6235</v>
      </c>
      <c r="AG1" s="269"/>
      <c r="AI1" s="8" t="s">
        <v>4414</v>
      </c>
      <c r="AJ1" s="50" t="s">
        <v>4121</v>
      </c>
      <c r="AK1" s="22" t="s">
        <v>6074</v>
      </c>
      <c r="AM1" s="128"/>
      <c r="AN1" s="254"/>
    </row>
    <row r="2" spans="1:40" ht="17.25" customHeight="1">
      <c r="B2" s="93"/>
      <c r="C2" s="93"/>
      <c r="D2" s="93"/>
      <c r="E2" s="93"/>
      <c r="F2" s="8"/>
      <c r="G2" s="26"/>
      <c r="H2" s="55"/>
      <c r="I2" s="50"/>
      <c r="J2" s="324"/>
      <c r="K2" s="324"/>
      <c r="L2" s="324"/>
      <c r="M2" s="324"/>
      <c r="N2" s="324"/>
      <c r="R2" s="309"/>
      <c r="S2" s="335"/>
      <c r="T2" s="10"/>
      <c r="U2" s="364"/>
      <c r="V2" s="69"/>
      <c r="W2" s="28"/>
      <c r="X2" s="17"/>
      <c r="Y2" s="14"/>
      <c r="Z2" s="21"/>
      <c r="AA2" s="25"/>
      <c r="AB2" s="50"/>
      <c r="AC2" s="73"/>
      <c r="AD2" s="74"/>
      <c r="AE2" s="32"/>
      <c r="AF2" s="252"/>
      <c r="AG2" s="269"/>
      <c r="AI2" s="8"/>
      <c r="AJ2" s="50"/>
      <c r="AM2" s="128"/>
      <c r="AN2" s="254"/>
    </row>
    <row r="3" spans="1:40">
      <c r="A3" s="132" t="s">
        <v>4267</v>
      </c>
      <c r="B3" s="81">
        <v>71</v>
      </c>
      <c r="C3" s="81">
        <v>65</v>
      </c>
      <c r="D3" s="82">
        <v>-20</v>
      </c>
      <c r="E3" s="81">
        <v>30</v>
      </c>
      <c r="F3" s="58">
        <v>16.79</v>
      </c>
      <c r="G3" s="81">
        <v>6438</v>
      </c>
      <c r="H3" s="5" t="s">
        <v>334</v>
      </c>
      <c r="I3" s="22" t="s">
        <v>6045</v>
      </c>
      <c r="J3" s="330">
        <v>23.09</v>
      </c>
      <c r="K3" s="75">
        <v>23.57</v>
      </c>
      <c r="L3" s="330">
        <v>34.4</v>
      </c>
      <c r="M3" s="75">
        <v>13.6</v>
      </c>
      <c r="N3" s="325">
        <f t="shared" ref="N3" si="0">J3+K3+L3+M3</f>
        <v>94.66</v>
      </c>
      <c r="R3" s="309" t="s">
        <v>6219</v>
      </c>
      <c r="S3" s="330">
        <v>2.4300000000000002</v>
      </c>
      <c r="T3" s="67">
        <v>6.5</v>
      </c>
      <c r="U3" s="366">
        <f t="shared" ref="U3" si="1">T3/W3</f>
        <v>5.3941908713692949E-2</v>
      </c>
      <c r="V3" s="97">
        <v>10.36</v>
      </c>
      <c r="W3" s="36">
        <f>RTD("money.excel",,"6438","Price")</f>
        <v>120.5</v>
      </c>
      <c r="X3" s="67">
        <v>120</v>
      </c>
      <c r="Y3" s="15">
        <f t="shared" ref="Y3" si="2">W3-X3</f>
        <v>0.5</v>
      </c>
      <c r="Z3" s="3">
        <f t="shared" ref="Z3" si="3">Y3/X3</f>
        <v>4.1666666666666666E-3</v>
      </c>
      <c r="AA3" s="174" t="s">
        <v>6508</v>
      </c>
      <c r="AB3" s="22" t="s">
        <v>6045</v>
      </c>
      <c r="AC3" s="86">
        <v>44631</v>
      </c>
      <c r="AE3" s="33">
        <f t="shared" ref="AE3" si="4">AD3-AC3</f>
        <v>-44631</v>
      </c>
      <c r="AF3" s="61" t="s">
        <v>2827</v>
      </c>
      <c r="AG3" s="269"/>
      <c r="AI3" s="64">
        <f t="shared" ref="AI3" si="5">AJ3/(A3*10000)</f>
        <v>2.064295485636115E-2</v>
      </c>
      <c r="AJ3" s="313">
        <f>RTD("money.excel",,$G3,"PredictVolume")</f>
        <v>1509</v>
      </c>
      <c r="AK3" s="348">
        <v>29.74</v>
      </c>
      <c r="AM3" s="269"/>
      <c r="AN3" s="269"/>
    </row>
    <row r="4" spans="1:40">
      <c r="A4" s="132" t="s">
        <v>4177</v>
      </c>
      <c r="B4" s="81">
        <v>364</v>
      </c>
      <c r="C4" s="81">
        <v>408</v>
      </c>
      <c r="D4" s="82">
        <v>-12</v>
      </c>
      <c r="E4" s="81">
        <v>3</v>
      </c>
      <c r="F4" s="58">
        <v>24.64</v>
      </c>
      <c r="G4" s="81">
        <v>3006</v>
      </c>
      <c r="H4" s="8" t="s">
        <v>3761</v>
      </c>
      <c r="I4" s="22" t="s">
        <v>107</v>
      </c>
      <c r="J4" s="75">
        <v>40.950000000000003</v>
      </c>
      <c r="K4" s="75">
        <v>24.24</v>
      </c>
      <c r="L4" s="75">
        <v>56.87</v>
      </c>
      <c r="M4" s="330">
        <v>5.75</v>
      </c>
      <c r="N4" s="325">
        <f t="shared" ref="N4:N5" si="6">J4+K4+L4+M4</f>
        <v>127.81</v>
      </c>
      <c r="P4" s="56" t="s">
        <v>6266</v>
      </c>
      <c r="Q4" s="26" t="s">
        <v>6274</v>
      </c>
      <c r="R4" s="309" t="s">
        <v>6219</v>
      </c>
      <c r="S4" s="330">
        <v>8.1</v>
      </c>
      <c r="T4" s="67">
        <v>8</v>
      </c>
      <c r="U4" s="366">
        <f t="shared" ref="U4:U5" si="7">T4/W4</f>
        <v>5.0793650793650794E-2</v>
      </c>
      <c r="V4" s="97">
        <v>17.760000000000002</v>
      </c>
      <c r="W4" s="36">
        <f>RTD("money.excel",,"3006","Price")</f>
        <v>157.5</v>
      </c>
      <c r="X4" s="67">
        <v>166.5</v>
      </c>
      <c r="Y4" s="15">
        <f t="shared" ref="Y4:Y5" si="8">W4-X4</f>
        <v>-9</v>
      </c>
      <c r="Z4" s="3">
        <f t="shared" ref="Z4:Z5" si="9">Y4/X4</f>
        <v>-5.4054054054054057E-2</v>
      </c>
      <c r="AA4" s="174" t="s">
        <v>6482</v>
      </c>
      <c r="AB4" s="22" t="s">
        <v>107</v>
      </c>
      <c r="AC4" s="86">
        <v>44627</v>
      </c>
      <c r="AE4" s="33">
        <f t="shared" ref="AE4:AE5" si="10">AD4-AC4</f>
        <v>-44627</v>
      </c>
      <c r="AF4" s="122" t="s">
        <v>2592</v>
      </c>
      <c r="AG4" s="128"/>
      <c r="AI4" s="64">
        <f t="shared" ref="AI4:AI5" si="11">AJ4/(A4*10000)</f>
        <v>3.4720279720279718E-2</v>
      </c>
      <c r="AJ4" s="313">
        <f>RTD("money.excel",,$G4,"PredictVolume")</f>
        <v>9930</v>
      </c>
      <c r="AK4" s="348">
        <v>38.299999999999997</v>
      </c>
      <c r="AM4" s="269"/>
      <c r="AN4" s="269"/>
    </row>
    <row r="5" spans="1:40">
      <c r="A5" s="132" t="s">
        <v>2804</v>
      </c>
      <c r="B5" s="81">
        <v>141</v>
      </c>
      <c r="C5" s="81">
        <v>145</v>
      </c>
      <c r="D5" s="81">
        <v>3</v>
      </c>
      <c r="E5" s="81">
        <v>59</v>
      </c>
      <c r="F5" s="58">
        <v>34.74</v>
      </c>
      <c r="G5" s="82">
        <v>3169</v>
      </c>
      <c r="H5" s="151" t="s">
        <v>3761</v>
      </c>
      <c r="I5" s="16" t="s">
        <v>388</v>
      </c>
      <c r="J5" s="75">
        <v>28.47</v>
      </c>
      <c r="K5" s="75">
        <v>10.57</v>
      </c>
      <c r="L5" s="330">
        <v>52.61</v>
      </c>
      <c r="M5" s="330">
        <v>24.21</v>
      </c>
      <c r="N5" s="325">
        <f t="shared" si="6"/>
        <v>115.86000000000001</v>
      </c>
      <c r="P5" s="56" t="s">
        <v>6480</v>
      </c>
      <c r="Q5" s="26" t="s">
        <v>6481</v>
      </c>
      <c r="R5" s="309" t="s">
        <v>6219</v>
      </c>
      <c r="S5" s="330">
        <v>2.58</v>
      </c>
      <c r="T5" s="67">
        <v>5</v>
      </c>
      <c r="U5" s="366">
        <f t="shared" si="7"/>
        <v>2.4937655860349128E-2</v>
      </c>
      <c r="V5" s="97">
        <v>5.5</v>
      </c>
      <c r="W5" s="36">
        <f>RTD("money.excel",,"3169","Price")</f>
        <v>200.5</v>
      </c>
      <c r="X5" s="67">
        <v>230</v>
      </c>
      <c r="Y5" s="15">
        <f t="shared" si="8"/>
        <v>-29.5</v>
      </c>
      <c r="Z5" s="3">
        <f t="shared" si="9"/>
        <v>-0.1282608695652174</v>
      </c>
      <c r="AA5" s="174" t="s">
        <v>6483</v>
      </c>
      <c r="AB5" s="16" t="s">
        <v>388</v>
      </c>
      <c r="AC5" s="86">
        <v>44627</v>
      </c>
      <c r="AE5" s="33">
        <f t="shared" si="10"/>
        <v>-44627</v>
      </c>
      <c r="AF5" s="43" t="s">
        <v>3418</v>
      </c>
      <c r="AG5" s="128"/>
      <c r="AI5" s="64">
        <f t="shared" si="11"/>
        <v>5.4228295819935692E-2</v>
      </c>
      <c r="AJ5" s="313">
        <f>RTD("money.excel",,$G5,"PredictVolume")</f>
        <v>3373</v>
      </c>
      <c r="AK5" s="348">
        <v>70.58</v>
      </c>
      <c r="AM5" s="269"/>
      <c r="AN5" s="269"/>
    </row>
    <row r="6" spans="1:40">
      <c r="A6" s="132" t="s">
        <v>4177</v>
      </c>
      <c r="B6" s="81">
        <v>364</v>
      </c>
      <c r="C6" s="81">
        <v>408</v>
      </c>
      <c r="D6" s="82">
        <v>-12</v>
      </c>
      <c r="E6" s="81">
        <v>3</v>
      </c>
      <c r="F6" s="58">
        <v>24.64</v>
      </c>
      <c r="G6" s="81">
        <v>3006</v>
      </c>
      <c r="H6" s="8" t="s">
        <v>3761</v>
      </c>
      <c r="I6" s="22" t="s">
        <v>107</v>
      </c>
      <c r="J6" s="330">
        <v>36.35</v>
      </c>
      <c r="K6" s="75">
        <v>24.17</v>
      </c>
      <c r="L6" s="330">
        <v>53</v>
      </c>
      <c r="M6" s="330">
        <v>5.75</v>
      </c>
      <c r="N6" s="325">
        <f t="shared" ref="N6:N7" si="12">J6+K6+L6+M6</f>
        <v>119.27000000000001</v>
      </c>
      <c r="P6" s="56" t="s">
        <v>6266</v>
      </c>
      <c r="Q6" s="26" t="s">
        <v>6274</v>
      </c>
      <c r="R6" s="309" t="s">
        <v>6219</v>
      </c>
      <c r="S6" s="330">
        <v>8</v>
      </c>
      <c r="T6" s="67">
        <v>8</v>
      </c>
      <c r="U6" s="366">
        <f>T6/W6</f>
        <v>5.0793650793650794E-2</v>
      </c>
      <c r="V6" s="97">
        <v>17.760000000000002</v>
      </c>
      <c r="W6" s="36">
        <f>RTD("money.excel",,"3006","Price")</f>
        <v>157.5</v>
      </c>
      <c r="X6" s="67">
        <v>172</v>
      </c>
      <c r="Y6" s="15">
        <f t="shared" ref="Y6:Y7" si="13">W6-X6</f>
        <v>-14.5</v>
      </c>
      <c r="Z6" s="3">
        <f t="shared" ref="Z6:Z7" si="14">Y6/X6</f>
        <v>-8.4302325581395346E-2</v>
      </c>
      <c r="AA6" s="174" t="s">
        <v>6458</v>
      </c>
      <c r="AB6" s="22" t="s">
        <v>107</v>
      </c>
      <c r="AC6" s="86">
        <v>44624</v>
      </c>
      <c r="AE6" s="33">
        <f t="shared" ref="AE6:AE7" si="15">AD6-AC6</f>
        <v>-44624</v>
      </c>
      <c r="AF6" s="122" t="s">
        <v>2592</v>
      </c>
      <c r="AG6" s="128"/>
      <c r="AI6" s="64">
        <f>AJ6/(A6*10000)</f>
        <v>3.4720279720279718E-2</v>
      </c>
      <c r="AJ6" s="313">
        <f>RTD("money.excel",,$G6,"PredictVolume")</f>
        <v>9930</v>
      </c>
      <c r="AK6" s="348">
        <v>38.299999999999997</v>
      </c>
      <c r="AM6" s="269"/>
      <c r="AN6" s="269"/>
    </row>
    <row r="7" spans="1:40">
      <c r="A7" s="132" t="s">
        <v>2677</v>
      </c>
      <c r="B7" s="81">
        <v>23</v>
      </c>
      <c r="C7" s="81">
        <v>31</v>
      </c>
      <c r="D7" s="81">
        <v>13</v>
      </c>
      <c r="E7" s="81">
        <v>123</v>
      </c>
      <c r="F7" s="58">
        <v>18.86</v>
      </c>
      <c r="G7" s="81">
        <v>6104</v>
      </c>
      <c r="H7" s="151" t="s">
        <v>3761</v>
      </c>
      <c r="I7" s="16" t="s">
        <v>401</v>
      </c>
      <c r="J7" s="330">
        <v>19.649999999999999</v>
      </c>
      <c r="K7" s="75">
        <v>25.67</v>
      </c>
      <c r="L7" s="75">
        <v>68.150000000000006</v>
      </c>
      <c r="M7" s="75">
        <v>8.68</v>
      </c>
      <c r="N7" s="325">
        <f t="shared" si="12"/>
        <v>122.15</v>
      </c>
      <c r="P7" s="56" t="s">
        <v>6259</v>
      </c>
      <c r="Q7" s="26" t="s">
        <v>6275</v>
      </c>
      <c r="R7" s="309" t="s">
        <v>6219</v>
      </c>
      <c r="S7" s="330">
        <v>10.24</v>
      </c>
      <c r="T7" s="67">
        <v>3</v>
      </c>
      <c r="U7" s="366">
        <f>T7/W7</f>
        <v>1.0362694300518135E-2</v>
      </c>
      <c r="V7" s="97">
        <v>4.42</v>
      </c>
      <c r="W7" s="36">
        <f>RTD("money.excel",,"6104","Price")</f>
        <v>289.5</v>
      </c>
      <c r="X7" s="67">
        <v>292.5</v>
      </c>
      <c r="Y7" s="15">
        <f t="shared" si="13"/>
        <v>-3</v>
      </c>
      <c r="Z7" s="3">
        <f t="shared" si="14"/>
        <v>-1.0256410256410256E-2</v>
      </c>
      <c r="AA7" s="174" t="s">
        <v>6459</v>
      </c>
      <c r="AB7" s="16" t="s">
        <v>401</v>
      </c>
      <c r="AC7" s="86">
        <v>44624</v>
      </c>
      <c r="AE7" s="33">
        <f t="shared" si="15"/>
        <v>-44624</v>
      </c>
      <c r="AF7" s="43" t="s">
        <v>3768</v>
      </c>
      <c r="AG7" s="128"/>
      <c r="AI7" s="64">
        <f>AJ7/(A7*10000)</f>
        <v>0.26252491694352159</v>
      </c>
      <c r="AJ7" s="313">
        <f>RTD("money.excel",,$G7,"PredictVolume")</f>
        <v>23706</v>
      </c>
      <c r="AK7" s="224">
        <v>114.78</v>
      </c>
      <c r="AM7" s="269"/>
      <c r="AN7" s="269"/>
    </row>
    <row r="8" spans="1:40">
      <c r="A8" s="148" t="s">
        <v>1784</v>
      </c>
      <c r="B8" s="81">
        <v>116</v>
      </c>
      <c r="C8" s="81">
        <v>35</v>
      </c>
      <c r="D8" s="81">
        <v>1</v>
      </c>
      <c r="E8" s="81">
        <v>13</v>
      </c>
      <c r="F8" s="6">
        <v>7.23</v>
      </c>
      <c r="G8" s="81">
        <v>3260</v>
      </c>
      <c r="H8" s="197" t="s">
        <v>3761</v>
      </c>
      <c r="I8" s="16" t="s">
        <v>229</v>
      </c>
      <c r="J8" s="75">
        <v>20.6</v>
      </c>
      <c r="K8" s="75">
        <v>9.59</v>
      </c>
      <c r="L8" s="75">
        <v>29.86</v>
      </c>
      <c r="M8" s="75">
        <v>5.58</v>
      </c>
      <c r="N8" s="325">
        <f t="shared" ref="N8" si="16">J8+K8+L8+M8</f>
        <v>65.63</v>
      </c>
      <c r="P8" s="56" t="s">
        <v>6270</v>
      </c>
      <c r="Q8" s="26" t="s">
        <v>6231</v>
      </c>
      <c r="R8" s="309" t="s">
        <v>6219</v>
      </c>
      <c r="S8" s="330">
        <v>7.35</v>
      </c>
      <c r="T8" s="67">
        <v>3.18</v>
      </c>
      <c r="U8" s="366">
        <f t="shared" ref="U8:U18" si="17">T8/W8</f>
        <v>3.5570469798657717E-2</v>
      </c>
      <c r="V8" s="97">
        <v>10.55</v>
      </c>
      <c r="W8" s="36">
        <f>RTD("money.excel",,"3260","Price")</f>
        <v>89.4</v>
      </c>
      <c r="X8" s="67">
        <v>99.4</v>
      </c>
      <c r="Y8" s="15">
        <f t="shared" ref="Y8" si="18">W8-X8</f>
        <v>-10</v>
      </c>
      <c r="Z8" s="3">
        <f t="shared" ref="Z8" si="19">Y8/X8</f>
        <v>-0.10060362173038229</v>
      </c>
      <c r="AA8" s="174" t="s">
        <v>6454</v>
      </c>
      <c r="AB8" s="16" t="s">
        <v>229</v>
      </c>
      <c r="AC8" s="86">
        <v>44623</v>
      </c>
      <c r="AE8" s="33">
        <f t="shared" ref="AE8" si="20">AD8-AC8</f>
        <v>-44623</v>
      </c>
      <c r="AF8" s="122" t="s">
        <v>1482</v>
      </c>
      <c r="AG8" s="128"/>
      <c r="AI8" s="64">
        <f t="shared" ref="AI8:AI18" si="21">AJ8/(A8*10000)</f>
        <v>9.1596958174904944E-3</v>
      </c>
      <c r="AJ8" s="313">
        <f>RTD("money.excel",,$G8,"PredictVolume")</f>
        <v>2409</v>
      </c>
      <c r="AK8" s="348">
        <v>35.89</v>
      </c>
      <c r="AM8" s="269"/>
      <c r="AN8" s="269"/>
    </row>
    <row r="9" spans="1:40">
      <c r="A9" s="132" t="s">
        <v>1888</v>
      </c>
      <c r="B9" s="81">
        <v>111</v>
      </c>
      <c r="C9" s="81">
        <v>92</v>
      </c>
      <c r="D9" s="81">
        <v>7</v>
      </c>
      <c r="E9" s="81">
        <v>13</v>
      </c>
      <c r="F9" s="58">
        <v>23.9</v>
      </c>
      <c r="G9" s="81">
        <v>6271</v>
      </c>
      <c r="H9" s="8" t="s">
        <v>3761</v>
      </c>
      <c r="I9" s="22" t="s">
        <v>61</v>
      </c>
      <c r="J9" s="75">
        <v>46.99</v>
      </c>
      <c r="K9" s="75">
        <v>54.45</v>
      </c>
      <c r="L9" s="330">
        <v>9.4499999999999993</v>
      </c>
      <c r="M9" s="330">
        <v>11.77</v>
      </c>
      <c r="N9" s="325">
        <f t="shared" ref="N9:N10" si="22">J9+K9+L9+M9</f>
        <v>122.66</v>
      </c>
      <c r="P9" s="56" t="s">
        <v>6432</v>
      </c>
      <c r="Q9" s="26" t="s">
        <v>6433</v>
      </c>
      <c r="R9" s="309" t="s">
        <v>6219</v>
      </c>
      <c r="S9" s="330">
        <v>5.56</v>
      </c>
      <c r="T9" s="67">
        <v>5.5</v>
      </c>
      <c r="U9" s="366">
        <f t="shared" si="17"/>
        <v>2.0446096654275093E-2</v>
      </c>
      <c r="V9" s="97">
        <v>14.03</v>
      </c>
      <c r="W9" s="13">
        <f>RTD("money.excel",,"6271","Price")</f>
        <v>269</v>
      </c>
      <c r="X9" s="67">
        <v>292</v>
      </c>
      <c r="Y9" s="15">
        <f t="shared" ref="Y9:Y10" si="23">W9-X9</f>
        <v>-23</v>
      </c>
      <c r="Z9" s="3">
        <f t="shared" ref="Z9:Z10" si="24">Y9/X9</f>
        <v>-7.8767123287671229E-2</v>
      </c>
      <c r="AA9" s="174" t="s">
        <v>6434</v>
      </c>
      <c r="AB9" s="22" t="s">
        <v>61</v>
      </c>
      <c r="AC9" s="86">
        <v>44621</v>
      </c>
      <c r="AE9" s="33">
        <f t="shared" ref="AE9:AE10" si="25">AD9-AC9</f>
        <v>-44621</v>
      </c>
      <c r="AF9" s="122" t="s">
        <v>2814</v>
      </c>
      <c r="AG9" s="128"/>
      <c r="AI9" s="64">
        <f t="shared" si="21"/>
        <v>4.1179775280898879E-3</v>
      </c>
      <c r="AJ9" s="313">
        <f>RTD("money.excel",,$G9,"PredictVolume")</f>
        <v>733</v>
      </c>
      <c r="AK9" s="348">
        <v>4.34</v>
      </c>
      <c r="AM9" s="269"/>
      <c r="AN9" s="269"/>
    </row>
    <row r="10" spans="1:40">
      <c r="A10" s="132" t="s">
        <v>1899</v>
      </c>
      <c r="B10" s="81">
        <v>67</v>
      </c>
      <c r="C10" s="81">
        <v>108</v>
      </c>
      <c r="D10" s="81">
        <v>31</v>
      </c>
      <c r="E10" s="81">
        <v>5</v>
      </c>
      <c r="F10" s="58">
        <v>21.5</v>
      </c>
      <c r="G10" s="81">
        <v>2233</v>
      </c>
      <c r="H10" s="8" t="s">
        <v>319</v>
      </c>
      <c r="I10" s="22" t="s">
        <v>166</v>
      </c>
      <c r="J10" s="330">
        <v>23.94</v>
      </c>
      <c r="K10" s="75">
        <v>18.91</v>
      </c>
      <c r="L10" s="75">
        <v>17.18</v>
      </c>
      <c r="M10" s="330">
        <v>9.84</v>
      </c>
      <c r="N10" s="325">
        <f t="shared" si="22"/>
        <v>69.87</v>
      </c>
      <c r="O10" s="27" t="s">
        <v>1735</v>
      </c>
      <c r="P10" s="56" t="s">
        <v>6260</v>
      </c>
      <c r="Q10" s="26" t="s">
        <v>6273</v>
      </c>
      <c r="R10" s="309" t="s">
        <v>6219</v>
      </c>
      <c r="S10" s="330">
        <v>1.46</v>
      </c>
      <c r="T10" s="67">
        <v>3.74</v>
      </c>
      <c r="U10" s="366">
        <f t="shared" si="17"/>
        <v>3.2951541850220263E-2</v>
      </c>
      <c r="V10" s="97">
        <v>9.02</v>
      </c>
      <c r="W10" s="36">
        <f>RTD("money.excel",,"2233","Price")</f>
        <v>113.5</v>
      </c>
      <c r="X10" s="67">
        <v>125</v>
      </c>
      <c r="Y10" s="15">
        <f t="shared" si="23"/>
        <v>-11.5</v>
      </c>
      <c r="Z10" s="3">
        <f t="shared" si="24"/>
        <v>-9.1999999999999998E-2</v>
      </c>
      <c r="AA10" s="174" t="s">
        <v>6435</v>
      </c>
      <c r="AB10" s="22" t="s">
        <v>166</v>
      </c>
      <c r="AC10" s="86">
        <v>44621</v>
      </c>
      <c r="AE10" s="33">
        <f t="shared" si="25"/>
        <v>-44621</v>
      </c>
      <c r="AF10" s="122" t="s">
        <v>3315</v>
      </c>
      <c r="AG10" s="128"/>
      <c r="AI10" s="64">
        <f t="shared" si="21"/>
        <v>6.9817578772802657E-3</v>
      </c>
      <c r="AJ10" s="313">
        <f>RTD("money.excel",,$G10,"PredictVolume")</f>
        <v>421</v>
      </c>
      <c r="AK10" s="348">
        <v>9.94</v>
      </c>
      <c r="AM10" s="269"/>
      <c r="AN10" s="269"/>
    </row>
    <row r="11" spans="1:40">
      <c r="A11" s="148" t="s">
        <v>1784</v>
      </c>
      <c r="B11" s="81">
        <v>116</v>
      </c>
      <c r="C11" s="81">
        <v>35</v>
      </c>
      <c r="D11" s="81">
        <v>1</v>
      </c>
      <c r="E11" s="81">
        <v>13</v>
      </c>
      <c r="F11" s="6">
        <v>7.23</v>
      </c>
      <c r="G11" s="81">
        <v>3260</v>
      </c>
      <c r="H11" s="151" t="s">
        <v>3761</v>
      </c>
      <c r="I11" s="16" t="s">
        <v>229</v>
      </c>
      <c r="J11" s="75">
        <v>16.920000000000002</v>
      </c>
      <c r="K11" s="75">
        <v>9.1999999999999993</v>
      </c>
      <c r="L11" s="75">
        <v>30.38</v>
      </c>
      <c r="M11" s="75">
        <v>5.58</v>
      </c>
      <c r="N11" s="325">
        <f t="shared" ref="N11" si="26">J11+K11+L11+M11</f>
        <v>62.08</v>
      </c>
      <c r="P11" s="56" t="s">
        <v>6270</v>
      </c>
      <c r="Q11" s="26" t="s">
        <v>6231</v>
      </c>
      <c r="R11" s="309" t="s">
        <v>6253</v>
      </c>
      <c r="S11" s="330">
        <v>8.1</v>
      </c>
      <c r="T11" s="67">
        <v>3.18</v>
      </c>
      <c r="U11" s="366">
        <f t="shared" si="17"/>
        <v>3.5570469798657717E-2</v>
      </c>
      <c r="V11" s="97">
        <v>10.55</v>
      </c>
      <c r="W11" s="36">
        <f>RTD("money.excel",,"3260","Price")</f>
        <v>89.4</v>
      </c>
      <c r="X11" s="67">
        <v>100.5</v>
      </c>
      <c r="Y11" s="15">
        <f t="shared" ref="Y11" si="27">W11-X11</f>
        <v>-11.099999999999994</v>
      </c>
      <c r="Z11" s="3">
        <f t="shared" ref="Z11" si="28">Y11/X11</f>
        <v>-0.1104477611940298</v>
      </c>
      <c r="AA11" s="174" t="s">
        <v>6330</v>
      </c>
      <c r="AB11" s="16" t="s">
        <v>229</v>
      </c>
      <c r="AC11" s="86">
        <v>44613</v>
      </c>
      <c r="AE11" s="33">
        <f t="shared" ref="AE11" si="29">AD11-AC11</f>
        <v>-44613</v>
      </c>
      <c r="AF11" s="122" t="s">
        <v>1482</v>
      </c>
      <c r="AG11" s="128"/>
      <c r="AI11" s="64">
        <f t="shared" si="21"/>
        <v>9.1596958174904944E-3</v>
      </c>
      <c r="AJ11" s="313">
        <f>RTD("money.excel",,$G11,"PredictVolume")</f>
        <v>2409</v>
      </c>
      <c r="AK11" s="348">
        <v>35.89</v>
      </c>
      <c r="AM11" s="269"/>
      <c r="AN11" s="269"/>
    </row>
    <row r="12" spans="1:40">
      <c r="A12" s="132" t="s">
        <v>3497</v>
      </c>
      <c r="B12" s="81">
        <v>84</v>
      </c>
      <c r="C12" s="81">
        <v>110</v>
      </c>
      <c r="D12" s="81">
        <v>34</v>
      </c>
      <c r="E12" s="81">
        <v>33</v>
      </c>
      <c r="F12" s="58">
        <v>15</v>
      </c>
      <c r="G12" s="81">
        <v>6435</v>
      </c>
      <c r="H12" s="8" t="s">
        <v>3761</v>
      </c>
      <c r="I12" s="16" t="s">
        <v>5188</v>
      </c>
      <c r="J12" s="330">
        <v>43.41</v>
      </c>
      <c r="K12" s="330">
        <v>4.54</v>
      </c>
      <c r="L12" s="75">
        <v>32.18</v>
      </c>
      <c r="M12" s="75">
        <v>48.47</v>
      </c>
      <c r="N12" s="325">
        <f t="shared" ref="N12" si="30">J12+K12+L12+M12</f>
        <v>128.6</v>
      </c>
      <c r="O12" s="27" t="s">
        <v>6316</v>
      </c>
      <c r="P12" s="56" t="s">
        <v>6317</v>
      </c>
      <c r="Q12" s="26" t="s">
        <v>6318</v>
      </c>
      <c r="R12" s="309" t="s">
        <v>6219</v>
      </c>
      <c r="S12" s="330">
        <v>1.51</v>
      </c>
      <c r="T12" s="67">
        <v>5</v>
      </c>
      <c r="U12" s="366">
        <f t="shared" si="17"/>
        <v>3.484320557491289E-2</v>
      </c>
      <c r="V12" s="97">
        <v>11.25</v>
      </c>
      <c r="W12" s="36">
        <f>RTD("money.excel",,"6435","Price")</f>
        <v>143.5</v>
      </c>
      <c r="X12" s="67">
        <v>155</v>
      </c>
      <c r="Y12" s="15">
        <f t="shared" ref="Y12" si="31">W12-X12</f>
        <v>-11.5</v>
      </c>
      <c r="Z12" s="3">
        <f t="shared" ref="Z12" si="32">Y12/X12</f>
        <v>-7.4193548387096769E-2</v>
      </c>
      <c r="AA12" s="174" t="s">
        <v>6295</v>
      </c>
      <c r="AB12" s="16" t="s">
        <v>5188</v>
      </c>
      <c r="AC12" s="86">
        <v>44607</v>
      </c>
      <c r="AE12" s="33">
        <f t="shared" ref="AE12" si="33">AD12-AC12</f>
        <v>-44607</v>
      </c>
      <c r="AF12" s="43" t="s">
        <v>2654</v>
      </c>
      <c r="AG12" s="128"/>
      <c r="AI12" s="64">
        <f t="shared" si="21"/>
        <v>5.9580838323353294E-3</v>
      </c>
      <c r="AJ12" s="313">
        <f>RTD("money.excel",,$G12,"PredictVolume")</f>
        <v>199</v>
      </c>
      <c r="AK12" s="348">
        <v>21.18</v>
      </c>
      <c r="AM12" s="269"/>
      <c r="AN12" s="269"/>
    </row>
    <row r="13" spans="1:40">
      <c r="A13" s="132" t="s">
        <v>1576</v>
      </c>
      <c r="B13" s="81">
        <v>75</v>
      </c>
      <c r="C13" s="81">
        <v>77</v>
      </c>
      <c r="D13" s="81">
        <v>3</v>
      </c>
      <c r="E13" s="81">
        <v>24</v>
      </c>
      <c r="F13" s="58">
        <v>24.43</v>
      </c>
      <c r="G13" s="82">
        <v>6411</v>
      </c>
      <c r="H13" s="151" t="s">
        <v>3761</v>
      </c>
      <c r="I13" s="16" t="s">
        <v>267</v>
      </c>
      <c r="J13" s="75">
        <v>26.05</v>
      </c>
      <c r="K13" s="330">
        <v>17.43</v>
      </c>
      <c r="L13" s="75">
        <v>35.590000000000003</v>
      </c>
      <c r="M13" s="330">
        <v>13.98</v>
      </c>
      <c r="N13" s="325">
        <f t="shared" ref="N13" si="34">J13+K13+L13+M13</f>
        <v>93.050000000000011</v>
      </c>
      <c r="P13" s="56" t="s">
        <v>6321</v>
      </c>
      <c r="Q13" s="26" t="s">
        <v>6322</v>
      </c>
      <c r="R13" s="309" t="s">
        <v>6219</v>
      </c>
      <c r="S13" s="330">
        <v>3.14</v>
      </c>
      <c r="T13" s="67">
        <v>5.03</v>
      </c>
      <c r="U13" s="366">
        <f t="shared" si="17"/>
        <v>2.7944444444444445E-2</v>
      </c>
      <c r="V13" s="97">
        <v>8.82</v>
      </c>
      <c r="W13" s="36">
        <f>RTD("money.excel",,"6411","Price")</f>
        <v>180</v>
      </c>
      <c r="X13" s="67">
        <v>217</v>
      </c>
      <c r="Y13" s="15">
        <f t="shared" ref="Y13" si="35">W13-X13</f>
        <v>-37</v>
      </c>
      <c r="Z13" s="3">
        <f t="shared" ref="Z13" si="36">Y13/X13</f>
        <v>-0.17050691244239632</v>
      </c>
      <c r="AA13" s="174" t="s">
        <v>6277</v>
      </c>
      <c r="AB13" s="16" t="s">
        <v>267</v>
      </c>
      <c r="AC13" s="86">
        <v>44602</v>
      </c>
      <c r="AE13" s="33">
        <f t="shared" ref="AE13" si="37">AD13-AC13</f>
        <v>-44602</v>
      </c>
      <c r="AF13" s="43" t="s">
        <v>2615</v>
      </c>
      <c r="AG13" s="128"/>
      <c r="AI13" s="64">
        <f t="shared" si="21"/>
        <v>1.5486338797814208E-2</v>
      </c>
      <c r="AJ13" s="313">
        <f>RTD("money.excel",,$G13,"PredictVolume")</f>
        <v>1417</v>
      </c>
      <c r="AK13" s="348">
        <v>48.2</v>
      </c>
      <c r="AM13" s="269"/>
      <c r="AN13" s="269"/>
    </row>
    <row r="14" spans="1:40">
      <c r="A14" s="132" t="s">
        <v>4267</v>
      </c>
      <c r="B14" s="81">
        <v>254</v>
      </c>
      <c r="C14" s="81">
        <v>240</v>
      </c>
      <c r="D14" s="81">
        <v>4</v>
      </c>
      <c r="E14" s="81">
        <v>69</v>
      </c>
      <c r="F14" s="58">
        <v>20.85</v>
      </c>
      <c r="G14" s="81">
        <v>6706</v>
      </c>
      <c r="H14" s="8" t="s">
        <v>325</v>
      </c>
      <c r="I14" s="22" t="s">
        <v>1981</v>
      </c>
      <c r="J14" s="330">
        <v>23.99</v>
      </c>
      <c r="K14" s="75">
        <v>26.14</v>
      </c>
      <c r="L14" s="75">
        <v>31.46</v>
      </c>
      <c r="M14" s="330">
        <v>11.36</v>
      </c>
      <c r="N14" s="325">
        <f t="shared" ref="N14:N16" si="38">J14+K14+L14+M14</f>
        <v>92.95</v>
      </c>
      <c r="O14" s="27" t="s">
        <v>6323</v>
      </c>
      <c r="P14" s="56" t="s">
        <v>6319</v>
      </c>
      <c r="Q14" s="26" t="s">
        <v>6324</v>
      </c>
      <c r="R14" s="309" t="s">
        <v>6253</v>
      </c>
      <c r="S14" s="330">
        <v>5.05</v>
      </c>
      <c r="T14" s="67">
        <v>4</v>
      </c>
      <c r="U14" s="366">
        <f t="shared" si="17"/>
        <v>2.1798365122615803E-2</v>
      </c>
      <c r="V14" s="97">
        <v>11.85</v>
      </c>
      <c r="W14" s="36">
        <f>RTD("money.excel",,"6706","Price")</f>
        <v>183.5</v>
      </c>
      <c r="X14" s="67">
        <v>254</v>
      </c>
      <c r="Y14" s="15">
        <f t="shared" ref="Y14:Y16" si="39">W14-X14</f>
        <v>-70.5</v>
      </c>
      <c r="Z14" s="35">
        <f t="shared" ref="Z14:Z16" si="40">Y14/X14</f>
        <v>-0.27755905511811024</v>
      </c>
      <c r="AA14" s="174" t="s">
        <v>6278</v>
      </c>
      <c r="AB14" s="22" t="s">
        <v>1981</v>
      </c>
      <c r="AC14" s="86">
        <v>44602</v>
      </c>
      <c r="AE14" s="33">
        <f t="shared" ref="AE14:AE16" si="41">AD14-AC14</f>
        <v>-44602</v>
      </c>
      <c r="AF14" s="124" t="s">
        <v>2146</v>
      </c>
      <c r="AG14" s="128"/>
      <c r="AI14" s="64">
        <f t="shared" si="21"/>
        <v>4.9165526675786594E-2</v>
      </c>
      <c r="AJ14" s="313">
        <f>RTD("money.excel",,$G14,"PredictVolume")</f>
        <v>3594</v>
      </c>
      <c r="AK14" s="348">
        <v>35.24</v>
      </c>
      <c r="AM14" s="269"/>
      <c r="AN14" s="269"/>
    </row>
    <row r="15" spans="1:40">
      <c r="A15" s="148" t="s">
        <v>5493</v>
      </c>
      <c r="B15" s="81">
        <v>64</v>
      </c>
      <c r="C15" s="81">
        <v>64</v>
      </c>
      <c r="D15" s="82">
        <v>-6</v>
      </c>
      <c r="E15" s="81">
        <v>68</v>
      </c>
      <c r="F15" s="6">
        <v>6.45</v>
      </c>
      <c r="G15" s="81">
        <v>6278</v>
      </c>
      <c r="H15" s="5" t="s">
        <v>325</v>
      </c>
      <c r="I15" s="22" t="s">
        <v>5494</v>
      </c>
      <c r="J15" s="330">
        <v>58.95</v>
      </c>
      <c r="K15" s="75">
        <v>22.13</v>
      </c>
      <c r="L15" s="75">
        <v>14.91</v>
      </c>
      <c r="M15" s="75">
        <v>8.68</v>
      </c>
      <c r="N15" s="325">
        <f t="shared" si="38"/>
        <v>104.66999999999999</v>
      </c>
      <c r="P15" s="56" t="s">
        <v>6316</v>
      </c>
      <c r="Q15" s="26" t="s">
        <v>6325</v>
      </c>
      <c r="R15" s="309" t="s">
        <v>6219</v>
      </c>
      <c r="S15" s="330">
        <v>4.1100000000000003</v>
      </c>
      <c r="T15" s="67">
        <v>3.3</v>
      </c>
      <c r="U15" s="366">
        <f t="shared" si="17"/>
        <v>2.9333333333333333E-2</v>
      </c>
      <c r="V15" s="58">
        <v>10.73</v>
      </c>
      <c r="W15" s="36">
        <f>RTD("money.excel",,"6278","Price")</f>
        <v>112.5</v>
      </c>
      <c r="X15" s="67">
        <v>140</v>
      </c>
      <c r="Y15" s="15">
        <f t="shared" si="39"/>
        <v>-27.5</v>
      </c>
      <c r="Z15" s="3">
        <f t="shared" si="40"/>
        <v>-0.19642857142857142</v>
      </c>
      <c r="AA15" s="174" t="s">
        <v>6279</v>
      </c>
      <c r="AB15" s="22" t="s">
        <v>5494</v>
      </c>
      <c r="AC15" s="86">
        <v>44602</v>
      </c>
      <c r="AE15" s="33">
        <f t="shared" si="41"/>
        <v>-44602</v>
      </c>
      <c r="AF15" s="43" t="s">
        <v>5495</v>
      </c>
      <c r="AG15" s="128"/>
      <c r="AI15" s="64">
        <f t="shared" si="21"/>
        <v>5.2123287671232881E-3</v>
      </c>
      <c r="AJ15" s="313">
        <f>RTD("money.excel",,$G15,"PredictVolume")</f>
        <v>1522</v>
      </c>
      <c r="AK15" s="348">
        <v>11.08</v>
      </c>
      <c r="AM15" s="269"/>
      <c r="AN15" s="269"/>
    </row>
    <row r="16" spans="1:40">
      <c r="A16" s="148" t="s">
        <v>1733</v>
      </c>
      <c r="B16" s="82">
        <v>-16</v>
      </c>
      <c r="C16" s="82">
        <v>-5</v>
      </c>
      <c r="D16" s="81">
        <v>0</v>
      </c>
      <c r="E16" s="81">
        <v>41</v>
      </c>
      <c r="F16" s="6">
        <v>8.8800000000000008</v>
      </c>
      <c r="G16" s="82">
        <v>4927</v>
      </c>
      <c r="H16" s="18" t="s">
        <v>4155</v>
      </c>
      <c r="I16" s="22" t="s">
        <v>478</v>
      </c>
      <c r="J16" s="75">
        <v>64.66</v>
      </c>
      <c r="K16" s="330">
        <v>35.32</v>
      </c>
      <c r="L16" s="75">
        <v>13.44</v>
      </c>
      <c r="M16" s="75">
        <v>1.57</v>
      </c>
      <c r="N16" s="325">
        <f t="shared" si="38"/>
        <v>114.98999999999998</v>
      </c>
      <c r="O16" s="27" t="s">
        <v>6316</v>
      </c>
      <c r="P16" s="56" t="s">
        <v>6326</v>
      </c>
      <c r="Q16" s="26" t="s">
        <v>6322</v>
      </c>
      <c r="R16" s="309" t="s">
        <v>6219</v>
      </c>
      <c r="S16" s="330">
        <v>2.91</v>
      </c>
      <c r="T16" s="67">
        <v>3</v>
      </c>
      <c r="U16" s="366">
        <f t="shared" si="17"/>
        <v>3.1712473572938694E-2</v>
      </c>
      <c r="V16" s="58">
        <v>5.45</v>
      </c>
      <c r="W16" s="36">
        <f>RTD("money.excel",,"4927","Price")</f>
        <v>94.6</v>
      </c>
      <c r="X16" s="67">
        <v>106.5</v>
      </c>
      <c r="Y16" s="15">
        <f t="shared" si="39"/>
        <v>-11.900000000000006</v>
      </c>
      <c r="Z16" s="3">
        <f t="shared" si="40"/>
        <v>-0.11173708920187798</v>
      </c>
      <c r="AA16" s="174"/>
      <c r="AB16" s="22" t="s">
        <v>478</v>
      </c>
      <c r="AC16" s="86">
        <v>44602</v>
      </c>
      <c r="AE16" s="33">
        <f t="shared" si="41"/>
        <v>-44602</v>
      </c>
      <c r="AF16" s="43" t="s">
        <v>1101</v>
      </c>
      <c r="AG16" s="128"/>
      <c r="AI16" s="64">
        <f t="shared" si="21"/>
        <v>6.6560846560846558E-3</v>
      </c>
      <c r="AJ16" s="313">
        <f>RTD("money.excel",,$G16,"PredictVolume")</f>
        <v>1258</v>
      </c>
      <c r="AK16" s="349">
        <v>15.88</v>
      </c>
      <c r="AM16" s="262"/>
      <c r="AN16" s="269"/>
    </row>
    <row r="17" spans="1:48">
      <c r="A17" s="132" t="s">
        <v>2804</v>
      </c>
      <c r="B17" s="81">
        <v>64</v>
      </c>
      <c r="C17" s="81">
        <v>6</v>
      </c>
      <c r="D17" s="82">
        <v>-13</v>
      </c>
      <c r="E17" s="81">
        <v>7</v>
      </c>
      <c r="F17" s="58">
        <v>11.41</v>
      </c>
      <c r="G17" s="82">
        <v>3491</v>
      </c>
      <c r="H17" s="5" t="s">
        <v>331</v>
      </c>
      <c r="I17" s="16" t="s">
        <v>5617</v>
      </c>
      <c r="J17" s="330">
        <v>19.09</v>
      </c>
      <c r="K17" s="330">
        <v>14.15</v>
      </c>
      <c r="L17" s="75">
        <v>31.08</v>
      </c>
      <c r="M17" s="330">
        <v>10.39</v>
      </c>
      <c r="N17" s="325">
        <f t="shared" ref="N17" si="42">J17+K17+L17+M17</f>
        <v>74.709999999999994</v>
      </c>
      <c r="O17" s="27" t="s">
        <v>6316</v>
      </c>
      <c r="P17" s="56" t="s">
        <v>6316</v>
      </c>
      <c r="Q17" s="26" t="s">
        <v>6322</v>
      </c>
      <c r="R17" s="309" t="s">
        <v>6219</v>
      </c>
      <c r="S17" s="330">
        <v>2.58</v>
      </c>
      <c r="T17" s="34">
        <v>2.5</v>
      </c>
      <c r="U17" s="366">
        <f t="shared" si="17"/>
        <v>1.6611295681063124E-2</v>
      </c>
      <c r="V17" s="97">
        <v>3.19</v>
      </c>
      <c r="W17" s="36">
        <f>RTD("money.excel",,"3491","Price")</f>
        <v>150.5</v>
      </c>
      <c r="X17" s="67">
        <v>171.5</v>
      </c>
      <c r="Y17" s="15">
        <f t="shared" ref="Y17" si="43">W17-X17</f>
        <v>-21</v>
      </c>
      <c r="Z17" s="3">
        <f t="shared" ref="Z17" si="44">Y17/X17</f>
        <v>-0.12244897959183673</v>
      </c>
      <c r="AA17" s="174" t="s">
        <v>6281</v>
      </c>
      <c r="AB17" s="16" t="s">
        <v>5617</v>
      </c>
      <c r="AC17" s="86">
        <v>44602</v>
      </c>
      <c r="AE17" s="33">
        <f t="shared" ref="AE17" si="45">AD17-AC17</f>
        <v>-44602</v>
      </c>
      <c r="AF17" s="122" t="s">
        <v>5618</v>
      </c>
      <c r="AG17" s="128"/>
      <c r="AI17" s="64">
        <f t="shared" si="21"/>
        <v>0.03</v>
      </c>
      <c r="AJ17" s="313">
        <f>RTD("money.excel",,$G17,"PredictVolume")</f>
        <v>1866</v>
      </c>
      <c r="AK17" s="348">
        <v>37.9</v>
      </c>
      <c r="AM17" s="269"/>
      <c r="AN17" s="269"/>
    </row>
    <row r="18" spans="1:48">
      <c r="A18" s="132" t="s">
        <v>2305</v>
      </c>
      <c r="B18" s="81">
        <v>8</v>
      </c>
      <c r="C18" s="81">
        <v>1</v>
      </c>
      <c r="D18" s="82">
        <v>-12</v>
      </c>
      <c r="E18" s="81">
        <v>12</v>
      </c>
      <c r="F18" s="58">
        <v>25.71</v>
      </c>
      <c r="G18" s="81">
        <v>3217</v>
      </c>
      <c r="H18" s="8" t="s">
        <v>327</v>
      </c>
      <c r="I18" s="16" t="s">
        <v>5890</v>
      </c>
      <c r="J18" s="75">
        <v>45.44</v>
      </c>
      <c r="K18" s="330">
        <v>14.75</v>
      </c>
      <c r="L18" s="75">
        <v>19.03</v>
      </c>
      <c r="M18" s="330">
        <v>12.99</v>
      </c>
      <c r="N18" s="325">
        <f t="shared" ref="N18" si="46">J18+K18+L18+M18</f>
        <v>92.21</v>
      </c>
      <c r="O18" s="27" t="s">
        <v>6316</v>
      </c>
      <c r="P18" s="56" t="s">
        <v>6317</v>
      </c>
      <c r="Q18" s="26" t="s">
        <v>6328</v>
      </c>
      <c r="R18" s="309" t="s">
        <v>6219</v>
      </c>
      <c r="S18" s="330">
        <v>0.96</v>
      </c>
      <c r="T18" s="67">
        <v>5.6</v>
      </c>
      <c r="U18" s="366">
        <f t="shared" si="17"/>
        <v>5.6451612903225798E-2</v>
      </c>
      <c r="V18" s="97">
        <v>7.33</v>
      </c>
      <c r="W18" s="36">
        <f>RTD("money.excel",,"3217","Price")</f>
        <v>99.2</v>
      </c>
      <c r="X18" s="67">
        <v>131</v>
      </c>
      <c r="Y18" s="15">
        <f t="shared" ref="Y18" si="47">W18-X18</f>
        <v>-31.799999999999997</v>
      </c>
      <c r="Z18" s="3">
        <f t="shared" ref="Z18" si="48">Y18/X18</f>
        <v>-0.24274809160305341</v>
      </c>
      <c r="AA18" s="174" t="s">
        <v>6250</v>
      </c>
      <c r="AB18" s="16" t="s">
        <v>5890</v>
      </c>
      <c r="AC18" s="86">
        <v>44600</v>
      </c>
      <c r="AE18" s="33">
        <f t="shared" ref="AE18" si="49">AD18-AC18</f>
        <v>-44600</v>
      </c>
      <c r="AF18" s="43" t="s">
        <v>5891</v>
      </c>
      <c r="AG18" s="128"/>
      <c r="AI18" s="64">
        <f t="shared" si="21"/>
        <v>1.0233074361820201E-2</v>
      </c>
      <c r="AJ18" s="313">
        <f>RTD("money.excel",,$G18,"PredictVolume")</f>
        <v>922</v>
      </c>
      <c r="AK18" s="348">
        <v>28.12</v>
      </c>
      <c r="AM18" s="269"/>
      <c r="AN18" s="269"/>
    </row>
    <row r="19" spans="1:48" s="273" customFormat="1">
      <c r="A19" s="147"/>
      <c r="B19" s="81"/>
      <c r="C19" s="81"/>
      <c r="D19" s="81"/>
      <c r="E19" s="81"/>
      <c r="F19" s="6"/>
      <c r="G19" s="41"/>
      <c r="H19" s="8"/>
      <c r="I19" s="160"/>
      <c r="J19" s="330"/>
      <c r="K19" s="330"/>
      <c r="L19" s="330"/>
      <c r="M19" s="325"/>
      <c r="N19" s="325"/>
      <c r="O19" s="329"/>
      <c r="P19" s="354"/>
      <c r="Q19" s="312"/>
      <c r="R19" s="308"/>
      <c r="S19" s="330"/>
      <c r="T19" s="199"/>
      <c r="U19" s="366"/>
      <c r="V19" s="97"/>
      <c r="W19" s="361">
        <f>SUM(W3:W18)</f>
        <v>2450.6</v>
      </c>
      <c r="X19" s="339">
        <f>SUM(X3:X18)</f>
        <v>2772.9</v>
      </c>
      <c r="Y19" s="246">
        <f>W19-X19</f>
        <v>-322.30000000000018</v>
      </c>
      <c r="Z19" s="165">
        <f>Y19/X19</f>
        <v>-0.11623210357387578</v>
      </c>
      <c r="AA19" s="118"/>
      <c r="AB19" s="247">
        <f>W19*(0.001425*0.5)+W19*0.003+X19*(0.001425*0.5)</f>
        <v>11.073543750000001</v>
      </c>
      <c r="AC19" s="6">
        <f>Y19-AB19</f>
        <v>-333.37354375000018</v>
      </c>
      <c r="AD19" s="85"/>
      <c r="AE19" s="33"/>
      <c r="AF19" s="46" t="s">
        <v>6246</v>
      </c>
      <c r="AG19" s="170"/>
    </row>
    <row r="20" spans="1:48">
      <c r="A20" s="148"/>
      <c r="B20" s="82"/>
      <c r="C20" s="82"/>
      <c r="D20" s="81"/>
      <c r="E20" s="81"/>
      <c r="F20" s="6"/>
      <c r="G20" s="81"/>
      <c r="H20" s="17"/>
      <c r="I20" s="22"/>
      <c r="J20" s="330"/>
      <c r="K20" s="330"/>
      <c r="L20" s="330"/>
      <c r="M20" s="330"/>
      <c r="N20" s="325"/>
      <c r="T20" s="67"/>
      <c r="U20" s="366"/>
      <c r="V20" s="58"/>
      <c r="W20" s="36"/>
      <c r="X20" s="67"/>
      <c r="Y20" s="15"/>
      <c r="Z20" s="3"/>
      <c r="AA20" s="174"/>
      <c r="AB20" s="22"/>
      <c r="AE20" s="33"/>
      <c r="AF20" s="43"/>
      <c r="AG20" s="128"/>
      <c r="AI20" s="64"/>
      <c r="AJ20" s="313"/>
      <c r="AK20" s="263"/>
      <c r="AM20" s="262"/>
      <c r="AN20" s="269"/>
    </row>
    <row r="21" spans="1:48">
      <c r="A21" s="253"/>
      <c r="B21" s="359"/>
      <c r="C21" s="179"/>
      <c r="D21" s="179"/>
      <c r="E21" s="179"/>
      <c r="F21" s="180"/>
      <c r="G21" s="369"/>
      <c r="H21" s="183"/>
      <c r="I21" s="182"/>
      <c r="J21" s="326"/>
      <c r="K21" s="326"/>
      <c r="L21" s="331"/>
      <c r="M21" s="332"/>
      <c r="N21" s="326">
        <v>130</v>
      </c>
      <c r="S21" s="370"/>
      <c r="T21" s="180"/>
      <c r="U21" s="364"/>
      <c r="V21" s="4" t="s">
        <v>1529</v>
      </c>
      <c r="W21" s="4" t="s">
        <v>1217</v>
      </c>
      <c r="X21" s="10" t="s">
        <v>298</v>
      </c>
      <c r="Y21" s="184"/>
      <c r="AA21" s="269"/>
      <c r="AB21" s="253" t="s">
        <v>6098</v>
      </c>
      <c r="AD21" s="347" t="s">
        <v>6083</v>
      </c>
      <c r="AE21" s="187"/>
      <c r="AF21" s="379" t="s">
        <v>6309</v>
      </c>
      <c r="AG21" s="128"/>
      <c r="AI21" s="253"/>
      <c r="AJ21" s="253"/>
      <c r="AN21" s="255"/>
      <c r="AO21" s="272"/>
      <c r="AP21" s="272"/>
      <c r="AQ21" s="272"/>
      <c r="AS21" s="272"/>
      <c r="AT21" s="272"/>
      <c r="AU21" s="272"/>
      <c r="AV21" s="272"/>
    </row>
    <row r="22" spans="1:48">
      <c r="A22" s="132" t="s">
        <v>1854</v>
      </c>
      <c r="B22" s="93" t="s">
        <v>1657</v>
      </c>
      <c r="C22" s="93" t="s">
        <v>1658</v>
      </c>
      <c r="D22" s="93" t="s">
        <v>1659</v>
      </c>
      <c r="E22" s="93" t="s">
        <v>1660</v>
      </c>
      <c r="F22" s="8" t="s">
        <v>1122</v>
      </c>
      <c r="G22" s="26" t="s">
        <v>4231</v>
      </c>
      <c r="H22" s="55" t="s">
        <v>342</v>
      </c>
      <c r="I22" s="50" t="s">
        <v>6234</v>
      </c>
      <c r="J22" s="324" t="s">
        <v>1529</v>
      </c>
      <c r="K22" s="324" t="s">
        <v>1217</v>
      </c>
      <c r="L22" s="324" t="s">
        <v>298</v>
      </c>
      <c r="M22" s="324" t="s">
        <v>1115</v>
      </c>
      <c r="N22" s="324" t="s">
        <v>6091</v>
      </c>
      <c r="O22" s="27" t="s">
        <v>6253</v>
      </c>
      <c r="P22" s="56" t="s">
        <v>6219</v>
      </c>
      <c r="Q22" s="26" t="s">
        <v>6313</v>
      </c>
      <c r="R22" s="309" t="s">
        <v>6121</v>
      </c>
      <c r="S22" s="335" t="s">
        <v>4398</v>
      </c>
      <c r="T22" s="10" t="s">
        <v>75</v>
      </c>
      <c r="U22" s="364" t="s">
        <v>6152</v>
      </c>
      <c r="V22" s="69" t="s">
        <v>4406</v>
      </c>
      <c r="W22" s="28" t="s">
        <v>4424</v>
      </c>
      <c r="X22" s="17" t="s">
        <v>1465</v>
      </c>
      <c r="Y22" s="14" t="s">
        <v>5</v>
      </c>
      <c r="Z22" s="21" t="s">
        <v>3</v>
      </c>
      <c r="AA22" s="25" t="s">
        <v>117</v>
      </c>
      <c r="AB22" s="50" t="s">
        <v>6234</v>
      </c>
      <c r="AC22" s="73" t="s">
        <v>1466</v>
      </c>
      <c r="AD22" s="74" t="s">
        <v>1223</v>
      </c>
      <c r="AE22" s="32" t="s">
        <v>1224</v>
      </c>
      <c r="AF22" s="252" t="s">
        <v>6235</v>
      </c>
      <c r="AG22" s="128"/>
      <c r="AI22" s="8" t="s">
        <v>4414</v>
      </c>
      <c r="AJ22" s="50" t="s">
        <v>4121</v>
      </c>
      <c r="AK22" s="22" t="s">
        <v>6074</v>
      </c>
      <c r="AM22" s="128"/>
      <c r="AN22" s="254"/>
    </row>
    <row r="23" spans="1:48">
      <c r="B23" s="93"/>
      <c r="C23" s="93"/>
      <c r="D23" s="93"/>
      <c r="E23" s="93"/>
      <c r="F23" s="8"/>
      <c r="G23" s="26"/>
      <c r="H23" s="55"/>
      <c r="I23" s="50"/>
      <c r="J23" s="324"/>
      <c r="K23" s="324"/>
      <c r="L23" s="324"/>
      <c r="M23" s="324"/>
      <c r="N23" s="324"/>
      <c r="R23" s="309"/>
      <c r="S23" s="335"/>
      <c r="T23" s="10"/>
      <c r="U23" s="364"/>
      <c r="V23" s="69"/>
      <c r="W23" s="28"/>
      <c r="X23" s="17"/>
      <c r="Y23" s="14"/>
      <c r="Z23" s="21"/>
      <c r="AA23" s="25"/>
      <c r="AB23" s="50"/>
      <c r="AC23" s="73"/>
      <c r="AD23" s="74"/>
      <c r="AE23" s="32"/>
      <c r="AF23" s="252"/>
      <c r="AG23" s="128"/>
      <c r="AI23" s="8"/>
      <c r="AJ23" s="50"/>
      <c r="AM23" s="128"/>
      <c r="AN23" s="254"/>
    </row>
    <row r="24" spans="1:48">
      <c r="A24" s="132" t="s">
        <v>1838</v>
      </c>
      <c r="B24" s="82">
        <v>-42</v>
      </c>
      <c r="C24" s="82">
        <v>-44</v>
      </c>
      <c r="D24" s="82">
        <v>-8</v>
      </c>
      <c r="E24" s="81">
        <v>64</v>
      </c>
      <c r="F24" s="58">
        <v>14.35</v>
      </c>
      <c r="G24" s="81">
        <v>8155</v>
      </c>
      <c r="H24" s="5" t="s">
        <v>4155</v>
      </c>
      <c r="I24" s="16" t="s">
        <v>95</v>
      </c>
      <c r="J24" s="330">
        <v>42.85</v>
      </c>
      <c r="K24" s="75">
        <v>26.54</v>
      </c>
      <c r="L24" s="330">
        <v>17.829999999999998</v>
      </c>
      <c r="M24" s="330">
        <v>28.34</v>
      </c>
      <c r="N24" s="325">
        <f>J24+K24+L24+M24</f>
        <v>115.56</v>
      </c>
      <c r="R24" s="309" t="s">
        <v>6219</v>
      </c>
      <c r="S24" s="330">
        <v>2.54</v>
      </c>
      <c r="T24" s="67">
        <v>7</v>
      </c>
      <c r="U24" s="366">
        <f>T24/W24</f>
        <v>3.5897435897435895E-2</v>
      </c>
      <c r="V24" s="97">
        <v>6.99</v>
      </c>
      <c r="W24" s="36">
        <v>195</v>
      </c>
      <c r="X24" s="67">
        <v>191.5</v>
      </c>
      <c r="Y24" s="15">
        <f>W24-X24</f>
        <v>3.5</v>
      </c>
      <c r="Z24" s="64">
        <f>Y24/X24</f>
        <v>1.8276762402088774E-2</v>
      </c>
      <c r="AA24" s="174" t="s">
        <v>6507</v>
      </c>
      <c r="AB24" s="16" t="s">
        <v>95</v>
      </c>
      <c r="AC24" s="86">
        <v>44631</v>
      </c>
      <c r="AD24" s="88">
        <v>44631</v>
      </c>
      <c r="AE24" s="33">
        <f>AD24-AC24</f>
        <v>0</v>
      </c>
      <c r="AF24" s="123" t="s">
        <v>1106</v>
      </c>
      <c r="AG24" s="128"/>
      <c r="AI24" s="64">
        <f>AJ24/(A24*10000)</f>
        <v>0.11692771084337347</v>
      </c>
      <c r="AJ24" s="313">
        <f>RTD("money.excel",,$G24,"PredictVolume")</f>
        <v>5823</v>
      </c>
      <c r="AK24" s="348">
        <v>28.8</v>
      </c>
      <c r="AM24" s="269"/>
      <c r="AN24" s="269"/>
    </row>
    <row r="25" spans="1:48">
      <c r="A25" s="148" t="s">
        <v>1960</v>
      </c>
      <c r="B25" s="81">
        <v>170</v>
      </c>
      <c r="C25" s="81">
        <v>170</v>
      </c>
      <c r="D25" s="81">
        <v>1</v>
      </c>
      <c r="E25" s="81">
        <v>41</v>
      </c>
      <c r="F25" s="6">
        <v>7.96</v>
      </c>
      <c r="G25" s="81">
        <v>4739</v>
      </c>
      <c r="H25" s="8" t="s">
        <v>4445</v>
      </c>
      <c r="I25" s="22" t="s">
        <v>4526</v>
      </c>
      <c r="J25" s="75">
        <v>32.81</v>
      </c>
      <c r="K25" s="75">
        <v>7.04</v>
      </c>
      <c r="L25" s="75">
        <v>33.53</v>
      </c>
      <c r="M25" s="330">
        <v>26.67</v>
      </c>
      <c r="N25" s="325">
        <f t="shared" ref="N25" si="50">J25+K25+L25+M25</f>
        <v>100.05</v>
      </c>
      <c r="P25" s="56" t="s">
        <v>6266</v>
      </c>
      <c r="Q25" s="26" t="s">
        <v>6260</v>
      </c>
      <c r="R25" s="309" t="s">
        <v>4374</v>
      </c>
      <c r="S25" s="330">
        <v>3.78</v>
      </c>
      <c r="T25" s="67">
        <v>3</v>
      </c>
      <c r="U25" s="366">
        <f t="shared" ref="U25" si="51">T25/W25</f>
        <v>1.8633540372670808E-2</v>
      </c>
      <c r="V25" s="97">
        <v>4.7</v>
      </c>
      <c r="W25" s="36">
        <v>161</v>
      </c>
      <c r="X25" s="67">
        <v>158</v>
      </c>
      <c r="Y25" s="15">
        <f t="shared" ref="Y25" si="52">W25-X25</f>
        <v>3</v>
      </c>
      <c r="Z25" s="64">
        <f t="shared" ref="Z25" si="53">Y25/X25</f>
        <v>1.8987341772151899E-2</v>
      </c>
      <c r="AA25" s="174" t="s">
        <v>6497</v>
      </c>
      <c r="AB25" s="22" t="s">
        <v>4526</v>
      </c>
      <c r="AC25" s="86">
        <v>44630</v>
      </c>
      <c r="AD25" s="85">
        <v>44631</v>
      </c>
      <c r="AE25" s="33">
        <f t="shared" ref="AE25" si="54">AD25-AC25</f>
        <v>1</v>
      </c>
      <c r="AF25" s="122" t="s">
        <v>2808</v>
      </c>
      <c r="AG25" s="128"/>
      <c r="AI25" s="64">
        <f t="shared" ref="AI25" si="55">AJ25/(A25*10000)</f>
        <v>0.24768224299065419</v>
      </c>
      <c r="AJ25" s="313">
        <f>RTD("money.excel",,$G25,"PredictVolume")</f>
        <v>26502</v>
      </c>
      <c r="AK25" s="348">
        <v>55.56</v>
      </c>
      <c r="AM25" s="269"/>
      <c r="AN25" s="269"/>
    </row>
    <row r="26" spans="1:48">
      <c r="A26" s="132" t="s">
        <v>2377</v>
      </c>
      <c r="B26" s="81">
        <v>249</v>
      </c>
      <c r="C26" s="81">
        <v>154</v>
      </c>
      <c r="D26" s="82">
        <v>-15</v>
      </c>
      <c r="E26" s="81">
        <v>19</v>
      </c>
      <c r="F26" s="58">
        <v>16.510000000000002</v>
      </c>
      <c r="G26" s="81">
        <v>3675</v>
      </c>
      <c r="H26" s="151" t="s">
        <v>3761</v>
      </c>
      <c r="I26" s="16" t="s">
        <v>394</v>
      </c>
      <c r="J26" s="330">
        <v>54.72</v>
      </c>
      <c r="K26" s="75">
        <v>67.400000000000006</v>
      </c>
      <c r="L26" s="330">
        <v>15.21</v>
      </c>
      <c r="M26" s="330">
        <v>54.85</v>
      </c>
      <c r="N26" s="75">
        <f>J26+K26+L26+M26</f>
        <v>192.18</v>
      </c>
      <c r="O26" s="27" t="s">
        <v>6276</v>
      </c>
      <c r="P26" s="56" t="s">
        <v>6231</v>
      </c>
      <c r="Q26" s="26" t="s">
        <v>6258</v>
      </c>
      <c r="R26" s="309" t="s">
        <v>6219</v>
      </c>
      <c r="S26" s="330">
        <v>2.0499999999999998</v>
      </c>
      <c r="T26" s="67">
        <v>5</v>
      </c>
      <c r="U26" s="366">
        <f>T26/W26</f>
        <v>1.7211703958691909E-2</v>
      </c>
      <c r="V26" s="58">
        <v>7.36</v>
      </c>
      <c r="W26" s="13">
        <v>290.5</v>
      </c>
      <c r="X26" s="67">
        <v>284.5</v>
      </c>
      <c r="Y26" s="15">
        <f>W26-X26</f>
        <v>6</v>
      </c>
      <c r="Z26" s="64">
        <f>Y26/X26</f>
        <v>2.10896309314587E-2</v>
      </c>
      <c r="AA26" s="174" t="s">
        <v>6484</v>
      </c>
      <c r="AB26" s="16" t="s">
        <v>394</v>
      </c>
      <c r="AC26" s="86">
        <v>44627</v>
      </c>
      <c r="AD26" s="85">
        <v>44631</v>
      </c>
      <c r="AE26" s="33">
        <f>AD26-AC26</f>
        <v>4</v>
      </c>
      <c r="AF26" s="43" t="s">
        <v>3477</v>
      </c>
      <c r="AG26" s="128"/>
      <c r="AI26" s="64">
        <f>AJ26/(A26*10000)</f>
        <v>3.0990990990990987E-2</v>
      </c>
      <c r="AJ26" s="313">
        <f>RTD("money.excel",,$G26,"PredictVolume")</f>
        <v>1376</v>
      </c>
      <c r="AK26" s="348">
        <v>42.38</v>
      </c>
      <c r="AM26" s="269"/>
      <c r="AN26" s="269"/>
    </row>
    <row r="27" spans="1:48">
      <c r="A27" s="132" t="s">
        <v>1838</v>
      </c>
      <c r="B27" s="82">
        <v>-42</v>
      </c>
      <c r="C27" s="82">
        <v>-44</v>
      </c>
      <c r="D27" s="81">
        <v>13</v>
      </c>
      <c r="E27" s="81">
        <v>36</v>
      </c>
      <c r="F27" s="58">
        <v>14.35</v>
      </c>
      <c r="G27" s="82">
        <v>8155</v>
      </c>
      <c r="H27" s="5" t="s">
        <v>4155</v>
      </c>
      <c r="I27" s="16" t="s">
        <v>95</v>
      </c>
      <c r="J27" s="330">
        <v>42.85</v>
      </c>
      <c r="K27" s="75">
        <v>22.83</v>
      </c>
      <c r="L27" s="75">
        <v>19.059999999999999</v>
      </c>
      <c r="M27" s="330">
        <v>28.34</v>
      </c>
      <c r="N27" s="325">
        <f t="shared" ref="N27" si="56">J27+K27+L27+M27</f>
        <v>113.08000000000001</v>
      </c>
      <c r="O27" s="27" t="s">
        <v>6257</v>
      </c>
      <c r="P27" s="56" t="s">
        <v>6259</v>
      </c>
      <c r="Q27" s="26" t="s">
        <v>6259</v>
      </c>
      <c r="R27" s="309" t="s">
        <v>6219</v>
      </c>
      <c r="S27" s="330">
        <v>1.88</v>
      </c>
      <c r="T27" s="67">
        <v>7</v>
      </c>
      <c r="U27" s="366">
        <f t="shared" ref="U27" si="57">T27/W27</f>
        <v>3.9886039886039885E-2</v>
      </c>
      <c r="V27" s="97">
        <v>6.99</v>
      </c>
      <c r="W27" s="36">
        <v>175.5</v>
      </c>
      <c r="X27" s="67">
        <v>172.5</v>
      </c>
      <c r="Y27" s="15">
        <f t="shared" ref="Y27" si="58">W27-X27</f>
        <v>3</v>
      </c>
      <c r="Z27" s="64">
        <f t="shared" ref="Z27" si="59">Y27/X27</f>
        <v>1.7391304347826087E-2</v>
      </c>
      <c r="AA27" s="174" t="s">
        <v>6496</v>
      </c>
      <c r="AB27" s="16" t="s">
        <v>95</v>
      </c>
      <c r="AC27" s="86">
        <v>44629</v>
      </c>
      <c r="AD27" s="88">
        <v>44629</v>
      </c>
      <c r="AE27" s="33">
        <f t="shared" ref="AE27" si="60">AD27-AC27</f>
        <v>0</v>
      </c>
      <c r="AF27" s="123" t="s">
        <v>1106</v>
      </c>
      <c r="AG27" s="128"/>
      <c r="AI27" s="64"/>
      <c r="AJ27" s="313"/>
      <c r="AK27" s="348"/>
      <c r="AM27" s="269"/>
      <c r="AN27" s="269"/>
    </row>
    <row r="28" spans="1:48">
      <c r="A28" s="132" t="s">
        <v>4177</v>
      </c>
      <c r="B28" s="81">
        <v>364</v>
      </c>
      <c r="C28" s="81">
        <v>408</v>
      </c>
      <c r="D28" s="82">
        <v>-12</v>
      </c>
      <c r="E28" s="81">
        <v>3</v>
      </c>
      <c r="F28" s="58">
        <v>24.64</v>
      </c>
      <c r="G28" s="81">
        <v>3006</v>
      </c>
      <c r="H28" s="5" t="s">
        <v>3761</v>
      </c>
      <c r="I28" s="22" t="s">
        <v>107</v>
      </c>
      <c r="J28" s="330">
        <v>36.35</v>
      </c>
      <c r="K28" s="75">
        <v>20.57</v>
      </c>
      <c r="L28" s="75">
        <v>54</v>
      </c>
      <c r="M28" s="330">
        <v>5.75</v>
      </c>
      <c r="N28" s="325">
        <f>J28+K28+L28+M28</f>
        <v>116.67</v>
      </c>
      <c r="P28" s="56" t="s">
        <v>6266</v>
      </c>
      <c r="Q28" s="26" t="s">
        <v>6274</v>
      </c>
      <c r="R28" s="309" t="s">
        <v>6219</v>
      </c>
      <c r="S28" s="330">
        <v>7.54</v>
      </c>
      <c r="T28" s="67">
        <v>8</v>
      </c>
      <c r="U28" s="366">
        <f>T28/W28</f>
        <v>4.6647230320699708E-2</v>
      </c>
      <c r="V28" s="97">
        <v>17.760000000000002</v>
      </c>
      <c r="W28" s="36">
        <v>171.5</v>
      </c>
      <c r="X28" s="67">
        <v>165</v>
      </c>
      <c r="Y28" s="15">
        <f>W28-X28</f>
        <v>6.5</v>
      </c>
      <c r="Z28" s="64">
        <f>Y28/X28</f>
        <v>3.9393939393939391E-2</v>
      </c>
      <c r="AA28" s="174" t="s">
        <v>6453</v>
      </c>
      <c r="AB28" s="22" t="s">
        <v>107</v>
      </c>
      <c r="AC28" s="86">
        <v>44623</v>
      </c>
      <c r="AD28" s="85">
        <v>44624</v>
      </c>
      <c r="AE28" s="33">
        <f>AD28-AC28</f>
        <v>1</v>
      </c>
      <c r="AF28" s="122" t="s">
        <v>2592</v>
      </c>
      <c r="AG28" s="128"/>
      <c r="AI28" s="64"/>
      <c r="AJ28" s="313"/>
      <c r="AK28" s="348"/>
      <c r="AM28" s="269"/>
      <c r="AN28" s="269"/>
    </row>
    <row r="29" spans="1:48">
      <c r="A29" s="148" t="s">
        <v>1960</v>
      </c>
      <c r="B29" s="81">
        <v>170</v>
      </c>
      <c r="C29" s="81">
        <v>170</v>
      </c>
      <c r="D29" s="81">
        <v>7</v>
      </c>
      <c r="E29" s="81">
        <v>28</v>
      </c>
      <c r="F29" s="6">
        <v>7.96</v>
      </c>
      <c r="G29" s="81">
        <v>4739</v>
      </c>
      <c r="H29" s="8" t="s">
        <v>4445</v>
      </c>
      <c r="I29" s="22" t="s">
        <v>4526</v>
      </c>
      <c r="J29" s="75">
        <v>32.81</v>
      </c>
      <c r="K29" s="75">
        <v>6.01</v>
      </c>
      <c r="L29" s="75">
        <v>37.24</v>
      </c>
      <c r="M29" s="330">
        <v>26.67</v>
      </c>
      <c r="N29" s="325">
        <f t="shared" ref="N29" si="61">J29+K29+L29+M29</f>
        <v>102.73</v>
      </c>
      <c r="P29" s="56" t="s">
        <v>6445</v>
      </c>
      <c r="Q29" s="26" t="s">
        <v>6446</v>
      </c>
      <c r="R29" s="309" t="s">
        <v>6219</v>
      </c>
      <c r="S29" s="330">
        <v>4.32</v>
      </c>
      <c r="T29" s="67">
        <v>3</v>
      </c>
      <c r="U29" s="366">
        <f t="shared" ref="U29:U38" si="62">T29/W29</f>
        <v>1.9292604501607719E-2</v>
      </c>
      <c r="V29" s="97">
        <v>4.7</v>
      </c>
      <c r="W29" s="36">
        <v>155.5</v>
      </c>
      <c r="X29" s="67">
        <v>149.5</v>
      </c>
      <c r="Y29" s="15">
        <f t="shared" ref="Y29" si="63">W29-X29</f>
        <v>6</v>
      </c>
      <c r="Z29" s="64">
        <f t="shared" ref="Z29" si="64">Y29/X29</f>
        <v>4.0133779264214048E-2</v>
      </c>
      <c r="AA29" s="174" t="s">
        <v>6451</v>
      </c>
      <c r="AB29" s="22" t="s">
        <v>4526</v>
      </c>
      <c r="AC29" s="86">
        <v>44622</v>
      </c>
      <c r="AD29" s="85">
        <v>44623</v>
      </c>
      <c r="AE29" s="33">
        <f t="shared" ref="AE29" si="65">AD29-AC29</f>
        <v>1</v>
      </c>
      <c r="AF29" s="122" t="s">
        <v>2808</v>
      </c>
      <c r="AG29" s="128"/>
      <c r="AI29" s="64"/>
      <c r="AJ29" s="313"/>
      <c r="AK29" s="348"/>
      <c r="AM29" s="269"/>
      <c r="AN29" s="269"/>
    </row>
    <row r="30" spans="1:48">
      <c r="A30" s="132" t="s">
        <v>4177</v>
      </c>
      <c r="B30" s="81">
        <v>364</v>
      </c>
      <c r="C30" s="81">
        <v>371</v>
      </c>
      <c r="D30" s="82">
        <v>-12</v>
      </c>
      <c r="E30" s="81">
        <v>3</v>
      </c>
      <c r="F30" s="58">
        <v>24.55</v>
      </c>
      <c r="G30" s="81">
        <v>3006</v>
      </c>
      <c r="H30" s="8" t="s">
        <v>3761</v>
      </c>
      <c r="I30" s="22" t="s">
        <v>107</v>
      </c>
      <c r="J30" s="75">
        <v>38.85</v>
      </c>
      <c r="K30" s="75">
        <v>22.5</v>
      </c>
      <c r="L30" s="75">
        <v>54</v>
      </c>
      <c r="M30" s="330">
        <v>5.75</v>
      </c>
      <c r="N30" s="325">
        <f>J30+K30+L30+M30</f>
        <v>121.1</v>
      </c>
      <c r="P30" s="56" t="s">
        <v>6326</v>
      </c>
      <c r="Q30" s="26" t="s">
        <v>6324</v>
      </c>
      <c r="R30" s="309" t="s">
        <v>6219</v>
      </c>
      <c r="S30" s="330">
        <v>7.77</v>
      </c>
      <c r="T30" s="34">
        <v>2</v>
      </c>
      <c r="U30" s="366">
        <f t="shared" si="62"/>
        <v>1.2121212121212121E-2</v>
      </c>
      <c r="V30" s="97">
        <v>14.61</v>
      </c>
      <c r="W30" s="36">
        <v>165</v>
      </c>
      <c r="X30" s="67">
        <v>162.5</v>
      </c>
      <c r="Y30" s="15">
        <f>W30-X30</f>
        <v>2.5</v>
      </c>
      <c r="Z30" s="64">
        <f>Y30/X30</f>
        <v>1.5384615384615385E-2</v>
      </c>
      <c r="AA30" s="174" t="s">
        <v>6331</v>
      </c>
      <c r="AB30" s="22" t="s">
        <v>107</v>
      </c>
      <c r="AC30" s="86">
        <v>44613</v>
      </c>
      <c r="AD30" s="85">
        <v>44623</v>
      </c>
      <c r="AE30" s="33">
        <f>AD30-AC30</f>
        <v>10</v>
      </c>
      <c r="AF30" s="122" t="s">
        <v>2592</v>
      </c>
      <c r="AG30" s="128"/>
      <c r="AI30" s="64"/>
      <c r="AJ30" s="313"/>
      <c r="AK30" s="348"/>
      <c r="AM30" s="269"/>
      <c r="AN30" s="269"/>
    </row>
    <row r="31" spans="1:48">
      <c r="A31" s="132" t="s">
        <v>4267</v>
      </c>
      <c r="B31" s="81">
        <v>95</v>
      </c>
      <c r="C31" s="81">
        <v>94</v>
      </c>
      <c r="D31" s="81">
        <v>1</v>
      </c>
      <c r="E31" s="81">
        <v>26</v>
      </c>
      <c r="F31" s="58">
        <v>16.350000000000001</v>
      </c>
      <c r="G31" s="81">
        <v>6438</v>
      </c>
      <c r="H31" s="5" t="s">
        <v>334</v>
      </c>
      <c r="I31" s="22" t="s">
        <v>6045</v>
      </c>
      <c r="J31" s="330">
        <v>24.92</v>
      </c>
      <c r="K31" s="75">
        <v>22.21</v>
      </c>
      <c r="L31" s="330">
        <v>40.56</v>
      </c>
      <c r="M31" s="330">
        <v>13.71</v>
      </c>
      <c r="N31" s="325">
        <f>J31+K31+L31+M31</f>
        <v>101.4</v>
      </c>
      <c r="O31" s="27" t="s">
        <v>6316</v>
      </c>
      <c r="P31" s="56" t="s">
        <v>6317</v>
      </c>
      <c r="Q31" s="26" t="s">
        <v>6323</v>
      </c>
      <c r="R31" s="309" t="s">
        <v>6219</v>
      </c>
      <c r="S31" s="330">
        <v>3.7</v>
      </c>
      <c r="T31" s="67">
        <v>4.1399999999999997</v>
      </c>
      <c r="U31" s="366">
        <f t="shared" si="62"/>
        <v>3.3658536585365849E-2</v>
      </c>
      <c r="V31" s="97">
        <v>9.81</v>
      </c>
      <c r="W31" s="36">
        <v>123</v>
      </c>
      <c r="X31" s="67">
        <v>121.5</v>
      </c>
      <c r="Y31" s="15">
        <f>W31-X31</f>
        <v>1.5</v>
      </c>
      <c r="Z31" s="64">
        <f>Y31/X31</f>
        <v>1.2345679012345678E-2</v>
      </c>
      <c r="AA31" s="174" t="s">
        <v>6251</v>
      </c>
      <c r="AB31" s="22" t="s">
        <v>6045</v>
      </c>
      <c r="AC31" s="86">
        <v>44600</v>
      </c>
      <c r="AD31" s="85">
        <v>44623</v>
      </c>
      <c r="AE31" s="33">
        <f>AD31-AC31</f>
        <v>23</v>
      </c>
      <c r="AF31" s="61" t="s">
        <v>2827</v>
      </c>
      <c r="AG31" s="269"/>
      <c r="AI31" s="64"/>
      <c r="AJ31" s="313"/>
      <c r="AK31" s="348"/>
      <c r="AM31" s="269"/>
      <c r="AN31" s="269"/>
    </row>
    <row r="32" spans="1:48">
      <c r="A32" s="132" t="s">
        <v>2804</v>
      </c>
      <c r="B32" s="81">
        <v>159</v>
      </c>
      <c r="C32" s="81">
        <v>141</v>
      </c>
      <c r="D32" s="81">
        <v>3</v>
      </c>
      <c r="E32" s="81">
        <v>59</v>
      </c>
      <c r="F32" s="58">
        <v>32.9</v>
      </c>
      <c r="G32" s="82">
        <v>3169</v>
      </c>
      <c r="H32" s="197" t="s">
        <v>3761</v>
      </c>
      <c r="I32" s="16" t="s">
        <v>388</v>
      </c>
      <c r="J32" s="75">
        <v>28.42</v>
      </c>
      <c r="K32" s="75">
        <v>10.71</v>
      </c>
      <c r="L32" s="75">
        <v>53.72</v>
      </c>
      <c r="M32" s="330">
        <v>24.21</v>
      </c>
      <c r="N32" s="325">
        <f t="shared" ref="N32" si="66">J32+K32+L32+M32</f>
        <v>117.06</v>
      </c>
      <c r="P32" s="56" t="s">
        <v>6314</v>
      </c>
      <c r="Q32" s="26" t="s">
        <v>6315</v>
      </c>
      <c r="R32" s="309" t="s">
        <v>6219</v>
      </c>
      <c r="S32" s="330">
        <v>2.48</v>
      </c>
      <c r="T32" s="34">
        <v>2.5</v>
      </c>
      <c r="U32" s="366">
        <f t="shared" si="62"/>
        <v>1.1160714285714286E-2</v>
      </c>
      <c r="V32" s="97">
        <v>5.5</v>
      </c>
      <c r="W32" s="36">
        <v>224</v>
      </c>
      <c r="X32" s="67">
        <v>219.5</v>
      </c>
      <c r="Y32" s="15">
        <f t="shared" ref="Y32" si="67">W32-X32</f>
        <v>4.5</v>
      </c>
      <c r="Z32" s="64">
        <f t="shared" ref="Z32" si="68">Y32/X32</f>
        <v>2.0501138952164009E-2</v>
      </c>
      <c r="AA32" s="174" t="s">
        <v>6306</v>
      </c>
      <c r="AB32" s="16" t="s">
        <v>388</v>
      </c>
      <c r="AC32" s="86">
        <v>44609</v>
      </c>
      <c r="AD32" s="85">
        <v>44623</v>
      </c>
      <c r="AE32" s="33">
        <f t="shared" ref="AE32" si="69">AD32-AC32</f>
        <v>14</v>
      </c>
      <c r="AF32" s="43" t="s">
        <v>3418</v>
      </c>
      <c r="AG32" s="128"/>
      <c r="AI32" s="64"/>
      <c r="AJ32" s="313"/>
      <c r="AK32" s="348"/>
      <c r="AM32" s="269"/>
      <c r="AN32" s="269"/>
    </row>
    <row r="33" spans="1:40">
      <c r="A33" s="132" t="s">
        <v>2804</v>
      </c>
      <c r="B33" s="81">
        <v>159</v>
      </c>
      <c r="C33" s="81">
        <v>141</v>
      </c>
      <c r="D33" s="81">
        <v>3</v>
      </c>
      <c r="E33" s="81">
        <v>59</v>
      </c>
      <c r="F33" s="58">
        <v>32.9</v>
      </c>
      <c r="G33" s="82">
        <v>3169</v>
      </c>
      <c r="H33" s="151" t="s">
        <v>3761</v>
      </c>
      <c r="I33" s="16" t="s">
        <v>388</v>
      </c>
      <c r="J33" s="330">
        <v>28.32</v>
      </c>
      <c r="K33" s="75">
        <v>10.24</v>
      </c>
      <c r="L33" s="330">
        <v>51.36</v>
      </c>
      <c r="M33" s="330">
        <v>24.22</v>
      </c>
      <c r="N33" s="325">
        <f>J33+K33+L33+M33</f>
        <v>114.14</v>
      </c>
      <c r="P33" s="56" t="s">
        <v>6314</v>
      </c>
      <c r="Q33" s="26" t="s">
        <v>6315</v>
      </c>
      <c r="R33" s="309" t="s">
        <v>6219</v>
      </c>
      <c r="S33" s="330">
        <v>2.13</v>
      </c>
      <c r="T33" s="34">
        <v>2.5</v>
      </c>
      <c r="U33" s="366">
        <f t="shared" si="62"/>
        <v>1.1160714285714286E-2</v>
      </c>
      <c r="V33" s="97">
        <v>5.5</v>
      </c>
      <c r="W33" s="36">
        <v>224</v>
      </c>
      <c r="X33" s="67">
        <v>222</v>
      </c>
      <c r="Y33" s="15">
        <f>W33-X33</f>
        <v>2</v>
      </c>
      <c r="Z33" s="64">
        <f>Y33/X33</f>
        <v>9.0090090090090089E-3</v>
      </c>
      <c r="AA33" s="174" t="s">
        <v>6280</v>
      </c>
      <c r="AB33" s="16" t="s">
        <v>388</v>
      </c>
      <c r="AC33" s="86">
        <v>44602</v>
      </c>
      <c r="AD33" s="85">
        <v>44623</v>
      </c>
      <c r="AE33" s="33">
        <f>AD33-AC33</f>
        <v>21</v>
      </c>
      <c r="AF33" s="43" t="s">
        <v>3418</v>
      </c>
      <c r="AG33" s="128"/>
      <c r="AI33" s="64"/>
      <c r="AJ33" s="313"/>
      <c r="AK33" s="348"/>
      <c r="AM33" s="269"/>
      <c r="AN33" s="269"/>
    </row>
    <row r="34" spans="1:40">
      <c r="A34" s="132" t="s">
        <v>1838</v>
      </c>
      <c r="B34" s="82">
        <v>-42</v>
      </c>
      <c r="C34" s="82">
        <v>-44</v>
      </c>
      <c r="D34" s="81">
        <v>13</v>
      </c>
      <c r="E34" s="81">
        <v>36</v>
      </c>
      <c r="F34" s="58">
        <v>14.35</v>
      </c>
      <c r="G34" s="81">
        <v>8155</v>
      </c>
      <c r="H34" s="5" t="s">
        <v>4155</v>
      </c>
      <c r="I34" s="16" t="s">
        <v>95</v>
      </c>
      <c r="J34" s="330">
        <v>42.85</v>
      </c>
      <c r="K34" s="75">
        <v>21.7</v>
      </c>
      <c r="L34" s="75">
        <v>24.99</v>
      </c>
      <c r="M34" s="330">
        <v>28.34</v>
      </c>
      <c r="N34" s="325">
        <f t="shared" ref="N34" si="70">J34+K34+L34+M34</f>
        <v>117.88</v>
      </c>
      <c r="O34" s="27" t="s">
        <v>6374</v>
      </c>
      <c r="P34" s="56" t="s">
        <v>6375</v>
      </c>
      <c r="Q34" s="26" t="s">
        <v>6375</v>
      </c>
      <c r="R34" s="309" t="s">
        <v>6219</v>
      </c>
      <c r="S34" s="330">
        <v>2.4300000000000002</v>
      </c>
      <c r="T34" s="67">
        <v>7</v>
      </c>
      <c r="U34" s="366">
        <f t="shared" si="62"/>
        <v>3.5087719298245612E-2</v>
      </c>
      <c r="V34" s="97">
        <v>6.99</v>
      </c>
      <c r="W34" s="36">
        <v>199.5</v>
      </c>
      <c r="X34" s="67">
        <v>195</v>
      </c>
      <c r="Y34" s="15">
        <f t="shared" ref="Y34" si="71">W34-X34</f>
        <v>4.5</v>
      </c>
      <c r="Z34" s="64">
        <f t="shared" ref="Z34" si="72">Y34/X34</f>
        <v>2.3076923076923078E-2</v>
      </c>
      <c r="AA34" s="174" t="s">
        <v>6376</v>
      </c>
      <c r="AB34" s="16" t="s">
        <v>95</v>
      </c>
      <c r="AC34" s="86">
        <v>44614</v>
      </c>
      <c r="AD34" s="85">
        <v>44623</v>
      </c>
      <c r="AE34" s="33">
        <f t="shared" ref="AE34" si="73">AD34-AC34</f>
        <v>9</v>
      </c>
      <c r="AF34" s="123" t="s">
        <v>1106</v>
      </c>
      <c r="AG34" s="128"/>
      <c r="AI34" s="64"/>
      <c r="AJ34" s="313"/>
      <c r="AK34" s="348"/>
      <c r="AM34" s="269"/>
      <c r="AN34" s="269"/>
    </row>
    <row r="35" spans="1:40">
      <c r="A35" s="132" t="s">
        <v>1838</v>
      </c>
      <c r="B35" s="82">
        <v>-42</v>
      </c>
      <c r="C35" s="82">
        <v>-44</v>
      </c>
      <c r="D35" s="81">
        <v>4</v>
      </c>
      <c r="E35" s="81">
        <v>38</v>
      </c>
      <c r="F35" s="58">
        <v>14.35</v>
      </c>
      <c r="G35" s="81">
        <v>8155</v>
      </c>
      <c r="H35" s="8" t="s">
        <v>327</v>
      </c>
      <c r="I35" s="16" t="s">
        <v>95</v>
      </c>
      <c r="J35" s="330">
        <v>44.89</v>
      </c>
      <c r="K35" s="330">
        <v>20.91</v>
      </c>
      <c r="L35" s="75">
        <v>25.31</v>
      </c>
      <c r="M35" s="330">
        <v>28.34</v>
      </c>
      <c r="N35" s="325">
        <f>J35+K35+L35+M35</f>
        <v>119.45</v>
      </c>
      <c r="O35" s="27" t="s">
        <v>6327</v>
      </c>
      <c r="P35" s="56" t="s">
        <v>6322</v>
      </c>
      <c r="Q35" s="26" t="s">
        <v>6322</v>
      </c>
      <c r="R35" s="309" t="s">
        <v>6253</v>
      </c>
      <c r="S35" s="330">
        <v>2.4300000000000002</v>
      </c>
      <c r="T35" s="67">
        <v>7</v>
      </c>
      <c r="U35" s="366">
        <f t="shared" si="62"/>
        <v>3.5087719298245612E-2</v>
      </c>
      <c r="V35" s="97">
        <v>6.99</v>
      </c>
      <c r="W35" s="36">
        <v>199.5</v>
      </c>
      <c r="X35" s="67">
        <v>196.5</v>
      </c>
      <c r="Y35" s="15">
        <f>W35-X35</f>
        <v>3</v>
      </c>
      <c r="Z35" s="64">
        <f>Y35/X35</f>
        <v>1.5267175572519083E-2</v>
      </c>
      <c r="AA35" s="174" t="s">
        <v>1581</v>
      </c>
      <c r="AB35" s="16" t="s">
        <v>95</v>
      </c>
      <c r="AC35" s="86">
        <v>44600</v>
      </c>
      <c r="AD35" s="85">
        <v>44623</v>
      </c>
      <c r="AE35" s="33">
        <f>AD35-AC35</f>
        <v>23</v>
      </c>
      <c r="AF35" s="123" t="s">
        <v>1106</v>
      </c>
      <c r="AG35" s="128"/>
      <c r="AI35" s="64"/>
      <c r="AJ35" s="313"/>
      <c r="AK35" s="348"/>
      <c r="AM35" s="269"/>
      <c r="AN35" s="269"/>
    </row>
    <row r="36" spans="1:40">
      <c r="A36" s="132" t="s">
        <v>2677</v>
      </c>
      <c r="B36" s="81">
        <v>23</v>
      </c>
      <c r="C36" s="81">
        <v>31</v>
      </c>
      <c r="D36" s="81">
        <v>13</v>
      </c>
      <c r="E36" s="81">
        <v>123</v>
      </c>
      <c r="F36" s="58">
        <v>18.86</v>
      </c>
      <c r="G36" s="81">
        <v>6104</v>
      </c>
      <c r="H36" s="151" t="s">
        <v>3761</v>
      </c>
      <c r="I36" s="16" t="s">
        <v>401</v>
      </c>
      <c r="J36" s="330">
        <v>21.46</v>
      </c>
      <c r="K36" s="75">
        <v>21.49</v>
      </c>
      <c r="L36" s="75">
        <v>59.17</v>
      </c>
      <c r="M36" s="75">
        <v>8.68</v>
      </c>
      <c r="N36" s="325">
        <f t="shared" ref="N36" si="74">J36+K36+L36+M36</f>
        <v>110.80000000000001</v>
      </c>
      <c r="P36" s="56" t="s">
        <v>6259</v>
      </c>
      <c r="Q36" s="26" t="s">
        <v>6275</v>
      </c>
      <c r="R36" s="309" t="s">
        <v>6219</v>
      </c>
      <c r="S36" s="330">
        <v>6.52</v>
      </c>
      <c r="T36" s="67">
        <v>3</v>
      </c>
      <c r="U36" s="366">
        <f t="shared" si="62"/>
        <v>1.160541586073501E-2</v>
      </c>
      <c r="V36" s="97">
        <v>4.42</v>
      </c>
      <c r="W36" s="36">
        <v>258.5</v>
      </c>
      <c r="X36" s="67">
        <v>236.5</v>
      </c>
      <c r="Y36" s="15">
        <f t="shared" ref="Y36" si="75">W36-X36</f>
        <v>22</v>
      </c>
      <c r="Z36" s="64">
        <f t="shared" ref="Z36" si="76">Y36/X36</f>
        <v>9.3023255813953487E-2</v>
      </c>
      <c r="AA36" s="174" t="s">
        <v>6424</v>
      </c>
      <c r="AB36" s="16" t="s">
        <v>401</v>
      </c>
      <c r="AC36" s="86">
        <v>44616</v>
      </c>
      <c r="AD36" s="85">
        <v>44622</v>
      </c>
      <c r="AE36" s="33">
        <f t="shared" ref="AE36" si="77">AD36-AC36</f>
        <v>6</v>
      </c>
      <c r="AF36" s="43" t="s">
        <v>3768</v>
      </c>
      <c r="AG36" s="128"/>
      <c r="AI36" s="64"/>
      <c r="AJ36" s="313"/>
      <c r="AK36" s="224"/>
      <c r="AM36" s="269"/>
      <c r="AN36" s="269"/>
    </row>
    <row r="37" spans="1:40">
      <c r="A37" s="132" t="s">
        <v>2677</v>
      </c>
      <c r="B37" s="81">
        <v>23</v>
      </c>
      <c r="C37" s="81">
        <v>31</v>
      </c>
      <c r="D37" s="81">
        <v>13</v>
      </c>
      <c r="E37" s="81">
        <v>123</v>
      </c>
      <c r="F37" s="58">
        <v>18.86</v>
      </c>
      <c r="G37" s="81">
        <v>6104</v>
      </c>
      <c r="H37" s="151" t="s">
        <v>3761</v>
      </c>
      <c r="I37" s="16" t="s">
        <v>401</v>
      </c>
      <c r="J37" s="75">
        <v>29.02</v>
      </c>
      <c r="K37" s="75">
        <v>30.79</v>
      </c>
      <c r="L37" s="330">
        <v>59.16</v>
      </c>
      <c r="M37" s="75">
        <v>8.68</v>
      </c>
      <c r="N37" s="325">
        <f t="shared" ref="N37" si="78">J37+K37+L37+M37</f>
        <v>127.65</v>
      </c>
      <c r="P37" s="56" t="s">
        <v>6319</v>
      </c>
      <c r="Q37" s="26" t="s">
        <v>6320</v>
      </c>
      <c r="R37" s="309" t="s">
        <v>6219</v>
      </c>
      <c r="S37" s="330">
        <v>10.97</v>
      </c>
      <c r="T37" s="67">
        <v>3</v>
      </c>
      <c r="U37" s="366">
        <f t="shared" si="62"/>
        <v>1.160541586073501E-2</v>
      </c>
      <c r="V37" s="97">
        <v>4.42</v>
      </c>
      <c r="W37" s="36">
        <v>258.5</v>
      </c>
      <c r="X37" s="67">
        <v>271</v>
      </c>
      <c r="Y37" s="15">
        <f t="shared" ref="Y37" si="79">W37-X37</f>
        <v>-12.5</v>
      </c>
      <c r="Z37" s="78">
        <f t="shared" ref="Z37" si="80">Y37/X37</f>
        <v>-4.6125461254612546E-2</v>
      </c>
      <c r="AA37" s="174" t="s">
        <v>1581</v>
      </c>
      <c r="AB37" s="16" t="s">
        <v>401</v>
      </c>
      <c r="AC37" s="86">
        <v>44606</v>
      </c>
      <c r="AD37" s="85">
        <v>44622</v>
      </c>
      <c r="AE37" s="33">
        <f t="shared" ref="AE37" si="81">AD37-AC37</f>
        <v>16</v>
      </c>
      <c r="AF37" s="43" t="s">
        <v>3768</v>
      </c>
      <c r="AG37" s="128"/>
      <c r="AI37" s="64"/>
      <c r="AJ37" s="313"/>
      <c r="AK37" s="224"/>
      <c r="AM37" s="269"/>
      <c r="AN37" s="269"/>
    </row>
    <row r="38" spans="1:40">
      <c r="A38" s="132" t="s">
        <v>1564</v>
      </c>
      <c r="B38" s="81">
        <v>119</v>
      </c>
      <c r="C38" s="81">
        <v>111</v>
      </c>
      <c r="D38" s="81">
        <v>31</v>
      </c>
      <c r="E38" s="81">
        <v>-5</v>
      </c>
      <c r="F38" s="58">
        <v>24.41</v>
      </c>
      <c r="G38" s="81">
        <v>6187</v>
      </c>
      <c r="H38" s="8" t="s">
        <v>334</v>
      </c>
      <c r="I38" s="16" t="s">
        <v>6044</v>
      </c>
      <c r="J38" s="75">
        <v>38.64</v>
      </c>
      <c r="K38" s="75">
        <v>25.28</v>
      </c>
      <c r="L38" s="75">
        <v>27.79</v>
      </c>
      <c r="M38" s="75">
        <v>20.57</v>
      </c>
      <c r="N38" s="325">
        <f>J38+K38+L38+M38</f>
        <v>112.28</v>
      </c>
      <c r="O38" s="27" t="s">
        <v>6258</v>
      </c>
      <c r="P38" s="56" t="s">
        <v>6415</v>
      </c>
      <c r="Q38" s="26" t="s">
        <v>6416</v>
      </c>
      <c r="R38" s="309" t="s">
        <v>6420</v>
      </c>
      <c r="S38" s="330">
        <v>3.34</v>
      </c>
      <c r="T38" s="67">
        <v>4.5</v>
      </c>
      <c r="U38" s="366">
        <f t="shared" si="62"/>
        <v>3.214285714285714E-2</v>
      </c>
      <c r="V38" s="97">
        <v>6.37</v>
      </c>
      <c r="W38" s="36">
        <v>140</v>
      </c>
      <c r="X38" s="67">
        <v>137.5</v>
      </c>
      <c r="Y38" s="15">
        <f>W38-X38</f>
        <v>2.5</v>
      </c>
      <c r="Z38" s="64">
        <f>Y38/X38</f>
        <v>1.8181818181818181E-2</v>
      </c>
      <c r="AA38" s="174" t="s">
        <v>6421</v>
      </c>
      <c r="AB38" s="16" t="s">
        <v>6044</v>
      </c>
      <c r="AC38" s="86">
        <v>44616</v>
      </c>
      <c r="AD38" s="85">
        <v>44621</v>
      </c>
      <c r="AE38" s="33">
        <f>AD38-AC38</f>
        <v>5</v>
      </c>
      <c r="AF38" s="43" t="s">
        <v>2827</v>
      </c>
      <c r="AG38" s="128"/>
      <c r="AI38" s="64"/>
      <c r="AJ38" s="313"/>
      <c r="AK38" s="348"/>
      <c r="AM38" s="269"/>
      <c r="AN38" s="269"/>
    </row>
    <row r="39" spans="1:40" s="273" customFormat="1">
      <c r="A39" s="147"/>
      <c r="B39" s="81"/>
      <c r="C39" s="81"/>
      <c r="D39" s="81"/>
      <c r="E39" s="81"/>
      <c r="F39" s="6"/>
      <c r="G39" s="41"/>
      <c r="H39" s="8"/>
      <c r="I39" s="160"/>
      <c r="J39" s="330"/>
      <c r="K39" s="330"/>
      <c r="L39" s="330"/>
      <c r="M39" s="325"/>
      <c r="N39" s="325"/>
      <c r="O39" s="329"/>
      <c r="P39" s="354"/>
      <c r="Q39" s="312"/>
      <c r="R39" s="308"/>
      <c r="S39" s="330"/>
      <c r="T39" s="199"/>
      <c r="U39" s="364"/>
      <c r="V39" s="97"/>
      <c r="W39" s="361">
        <f>SUM(W27:W38)</f>
        <v>2294.5</v>
      </c>
      <c r="X39" s="339">
        <f>SUM(X27:X38)</f>
        <v>2249</v>
      </c>
      <c r="Y39" s="169">
        <f>W39-X39</f>
        <v>45.5</v>
      </c>
      <c r="Z39" s="165">
        <f>Y39/X39</f>
        <v>2.023121387283237E-2</v>
      </c>
      <c r="AA39" s="118"/>
      <c r="AB39" s="247">
        <f>W39*(0.001425*0.5)+W39*0.003+X39*(0.001425*0.5)</f>
        <v>10.120743749999999</v>
      </c>
      <c r="AC39" s="6">
        <f>Y39-AB39</f>
        <v>35.379256249999997</v>
      </c>
      <c r="AD39" s="85"/>
      <c r="AE39" s="33"/>
      <c r="AF39" s="46" t="s">
        <v>6443</v>
      </c>
      <c r="AG39" s="170"/>
    </row>
    <row r="40" spans="1:40">
      <c r="B40" s="81"/>
      <c r="C40" s="81"/>
      <c r="D40" s="81"/>
      <c r="E40" s="81"/>
      <c r="F40" s="58"/>
      <c r="G40" s="81"/>
      <c r="H40" s="8"/>
      <c r="I40" s="16"/>
      <c r="J40" s="75"/>
      <c r="K40" s="75"/>
      <c r="M40" s="75"/>
      <c r="N40" s="325"/>
      <c r="R40" s="309"/>
      <c r="T40" s="67"/>
      <c r="U40" s="366"/>
      <c r="V40" s="97"/>
      <c r="W40" s="36"/>
      <c r="X40" s="67"/>
      <c r="Y40" s="15"/>
      <c r="Z40" s="64"/>
      <c r="AA40" s="174"/>
      <c r="AB40" s="16"/>
      <c r="AE40" s="33"/>
      <c r="AF40" s="43"/>
      <c r="AG40" s="128"/>
      <c r="AI40" s="64"/>
      <c r="AJ40" s="313"/>
      <c r="AK40" s="348"/>
      <c r="AM40" s="269"/>
      <c r="AN40" s="269"/>
    </row>
    <row r="41" spans="1:40">
      <c r="A41" s="132" t="s">
        <v>1796</v>
      </c>
      <c r="B41" s="81">
        <v>403</v>
      </c>
      <c r="C41" s="81">
        <v>840</v>
      </c>
      <c r="D41" s="81">
        <v>12</v>
      </c>
      <c r="E41" s="81">
        <v>117</v>
      </c>
      <c r="F41" s="58">
        <v>17.34</v>
      </c>
      <c r="G41" s="81">
        <v>3035</v>
      </c>
      <c r="H41" s="8" t="s">
        <v>3761</v>
      </c>
      <c r="I41" s="22" t="s">
        <v>2097</v>
      </c>
      <c r="J41" s="330">
        <v>47.09</v>
      </c>
      <c r="K41" s="75">
        <v>46.88</v>
      </c>
      <c r="L41" s="330">
        <v>19.53</v>
      </c>
      <c r="M41" s="330">
        <v>14.36</v>
      </c>
      <c r="N41" s="325">
        <f>J41+K41+L41+M41</f>
        <v>127.86</v>
      </c>
      <c r="P41" s="56" t="s">
        <v>6415</v>
      </c>
      <c r="Q41" s="26" t="s">
        <v>6419</v>
      </c>
      <c r="R41" s="309" t="s">
        <v>6253</v>
      </c>
      <c r="S41" s="330">
        <v>7.19</v>
      </c>
      <c r="T41" s="67">
        <v>3.3</v>
      </c>
      <c r="U41" s="366">
        <f t="shared" ref="U41:U68" si="82">T41/W41</f>
        <v>1.2890624999999999E-2</v>
      </c>
      <c r="V41" s="97">
        <v>2.82</v>
      </c>
      <c r="W41" s="13">
        <v>256</v>
      </c>
      <c r="X41" s="67">
        <v>242.5</v>
      </c>
      <c r="Y41" s="15">
        <f>W41-X41</f>
        <v>13.5</v>
      </c>
      <c r="Z41" s="64">
        <f>Y41/X41</f>
        <v>5.5670103092783509E-2</v>
      </c>
      <c r="AA41" s="174" t="s">
        <v>6423</v>
      </c>
      <c r="AB41" s="22" t="s">
        <v>2097</v>
      </c>
      <c r="AC41" s="86">
        <v>44616</v>
      </c>
      <c r="AD41" s="85">
        <v>44617</v>
      </c>
      <c r="AE41" s="33">
        <f>AD41-AC41</f>
        <v>1</v>
      </c>
      <c r="AF41" s="122" t="s">
        <v>2833</v>
      </c>
      <c r="AG41" s="128"/>
      <c r="AI41" s="64"/>
      <c r="AJ41" s="313"/>
      <c r="AK41" s="348"/>
      <c r="AM41" s="269"/>
      <c r="AN41" s="269"/>
    </row>
    <row r="42" spans="1:40">
      <c r="A42" s="132" t="s">
        <v>1808</v>
      </c>
      <c r="B42" s="81">
        <v>181</v>
      </c>
      <c r="C42" s="81">
        <v>158</v>
      </c>
      <c r="D42" s="82">
        <v>-7</v>
      </c>
      <c r="E42" s="81">
        <v>27</v>
      </c>
      <c r="F42" s="58">
        <v>21.4</v>
      </c>
      <c r="G42" s="81">
        <v>8358</v>
      </c>
      <c r="H42" s="8" t="s">
        <v>327</v>
      </c>
      <c r="I42" s="16" t="s">
        <v>236</v>
      </c>
      <c r="J42" s="75">
        <v>37.840000000000003</v>
      </c>
      <c r="K42" s="75">
        <v>15.7</v>
      </c>
      <c r="L42" s="75">
        <v>20.5</v>
      </c>
      <c r="M42" s="75">
        <v>17.29</v>
      </c>
      <c r="N42" s="325">
        <f>J42+K42+L42+M42</f>
        <v>91.330000000000013</v>
      </c>
      <c r="P42" s="56" t="s">
        <v>6417</v>
      </c>
      <c r="Q42" s="26" t="s">
        <v>6418</v>
      </c>
      <c r="R42" s="309" t="s">
        <v>6219</v>
      </c>
      <c r="S42" s="330">
        <v>3.5</v>
      </c>
      <c r="T42" s="67">
        <v>4.2</v>
      </c>
      <c r="U42" s="366">
        <f t="shared" si="82"/>
        <v>5.5702917771883284E-2</v>
      </c>
      <c r="V42" s="97">
        <v>2.14</v>
      </c>
      <c r="W42" s="36">
        <v>75.400000000000006</v>
      </c>
      <c r="X42" s="67">
        <v>74.099999999999994</v>
      </c>
      <c r="Y42" s="15">
        <f>W42-X42</f>
        <v>1.3000000000000114</v>
      </c>
      <c r="Z42" s="64">
        <f>Y42/X42</f>
        <v>1.7543859649122962E-2</v>
      </c>
      <c r="AA42" s="174" t="s">
        <v>6422</v>
      </c>
      <c r="AB42" s="16" t="s">
        <v>236</v>
      </c>
      <c r="AC42" s="86">
        <v>44616</v>
      </c>
      <c r="AD42" s="85">
        <v>44617</v>
      </c>
      <c r="AE42" s="33">
        <f>AD42-AC42</f>
        <v>1</v>
      </c>
      <c r="AF42" s="122" t="s">
        <v>2952</v>
      </c>
      <c r="AG42" s="128"/>
      <c r="AI42" s="64"/>
      <c r="AJ42" s="313"/>
      <c r="AK42" s="348"/>
      <c r="AM42" s="269"/>
      <c r="AN42" s="269"/>
    </row>
    <row r="43" spans="1:40">
      <c r="A43" s="132" t="s">
        <v>1840</v>
      </c>
      <c r="B43" s="81">
        <v>28</v>
      </c>
      <c r="C43" s="81">
        <v>80</v>
      </c>
      <c r="D43" s="81">
        <v>8</v>
      </c>
      <c r="E43" s="81">
        <v>33</v>
      </c>
      <c r="F43" s="58">
        <v>15.8</v>
      </c>
      <c r="G43" s="81">
        <v>8299</v>
      </c>
      <c r="H43" s="206" t="s">
        <v>3761</v>
      </c>
      <c r="I43" s="16" t="s">
        <v>5198</v>
      </c>
      <c r="J43" s="75">
        <v>37.409999999999997</v>
      </c>
      <c r="K43" s="75">
        <v>46.17</v>
      </c>
      <c r="L43" s="330">
        <v>14.11</v>
      </c>
      <c r="M43" s="75">
        <v>18.95</v>
      </c>
      <c r="N43" s="325">
        <f>J43+K43+L43+M43</f>
        <v>116.64</v>
      </c>
      <c r="P43" s="56" t="s">
        <v>6377</v>
      </c>
      <c r="Q43" s="26" t="s">
        <v>6375</v>
      </c>
      <c r="R43" s="309" t="s">
        <v>6219</v>
      </c>
      <c r="S43" s="330">
        <v>3.32</v>
      </c>
      <c r="T43" s="67">
        <v>10</v>
      </c>
      <c r="U43" s="366">
        <f t="shared" si="82"/>
        <v>1.8975332068311195E-2</v>
      </c>
      <c r="V43" s="97">
        <v>51.35</v>
      </c>
      <c r="W43" s="13">
        <v>527</v>
      </c>
      <c r="X43" s="67">
        <v>517</v>
      </c>
      <c r="Y43" s="15">
        <f>W43-X43</f>
        <v>10</v>
      </c>
      <c r="Z43" s="64">
        <f>Y43/X43</f>
        <v>1.9342359767891684E-2</v>
      </c>
      <c r="AA43" s="174" t="s">
        <v>6311</v>
      </c>
      <c r="AB43" s="16" t="s">
        <v>5198</v>
      </c>
      <c r="AC43" s="86">
        <v>44610</v>
      </c>
      <c r="AD43" s="88">
        <v>44610</v>
      </c>
      <c r="AE43" s="33">
        <f>AD43-AC43</f>
        <v>0</v>
      </c>
      <c r="AF43" s="122" t="s">
        <v>2592</v>
      </c>
      <c r="AG43" s="128"/>
      <c r="AI43" s="64"/>
      <c r="AJ43" s="313"/>
      <c r="AK43" s="348"/>
      <c r="AM43" s="269"/>
      <c r="AN43" s="269"/>
    </row>
    <row r="44" spans="1:40">
      <c r="A44" s="132" t="s">
        <v>2377</v>
      </c>
      <c r="B44" s="95">
        <v>1166</v>
      </c>
      <c r="C44" s="237">
        <v>25679</v>
      </c>
      <c r="D44" s="81">
        <v>5</v>
      </c>
      <c r="E44" s="81">
        <v>26</v>
      </c>
      <c r="F44" s="58">
        <v>18.239999999999998</v>
      </c>
      <c r="G44" s="81">
        <v>3527</v>
      </c>
      <c r="H44" s="8" t="s">
        <v>3761</v>
      </c>
      <c r="I44" s="16" t="s">
        <v>348</v>
      </c>
      <c r="J44" s="75">
        <v>23.18</v>
      </c>
      <c r="K44" s="75">
        <v>13.16</v>
      </c>
      <c r="L44" s="75">
        <v>30.96</v>
      </c>
      <c r="M44" s="75">
        <v>16.39</v>
      </c>
      <c r="N44" s="325">
        <f>J44+K44+L44+M44</f>
        <v>83.690000000000012</v>
      </c>
      <c r="O44" s="27" t="s">
        <v>6385</v>
      </c>
      <c r="P44" s="56" t="s">
        <v>6381</v>
      </c>
      <c r="Q44" s="26" t="s">
        <v>6386</v>
      </c>
      <c r="R44" s="309" t="s">
        <v>6219</v>
      </c>
      <c r="S44" s="330">
        <v>2.42</v>
      </c>
      <c r="T44" s="34">
        <v>2</v>
      </c>
      <c r="U44" s="366">
        <f t="shared" si="82"/>
        <v>1.0362694300518135E-2</v>
      </c>
      <c r="V44" s="97">
        <v>10.47</v>
      </c>
      <c r="W44" s="36">
        <v>193</v>
      </c>
      <c r="X44" s="67">
        <v>189.5</v>
      </c>
      <c r="Y44" s="15">
        <f>W44-X44</f>
        <v>3.5</v>
      </c>
      <c r="Z44" s="64">
        <f>Y44/X44</f>
        <v>1.8469656992084433E-2</v>
      </c>
      <c r="AA44" s="174" t="s">
        <v>6307</v>
      </c>
      <c r="AB44" s="16" t="s">
        <v>348</v>
      </c>
      <c r="AC44" s="86">
        <v>44609</v>
      </c>
      <c r="AD44" s="85">
        <v>44610</v>
      </c>
      <c r="AE44" s="33">
        <f>AD44-AC44</f>
        <v>1</v>
      </c>
      <c r="AF44" s="43" t="s">
        <v>2876</v>
      </c>
      <c r="AG44" s="128"/>
      <c r="AI44" s="64"/>
      <c r="AJ44" s="313"/>
      <c r="AK44" s="348"/>
      <c r="AM44" s="269"/>
      <c r="AN44" s="269"/>
    </row>
    <row r="45" spans="1:40">
      <c r="A45" s="132" t="s">
        <v>1878</v>
      </c>
      <c r="B45" s="82">
        <v>-8</v>
      </c>
      <c r="C45" s="82">
        <v>-16</v>
      </c>
      <c r="D45" s="82">
        <v>-1</v>
      </c>
      <c r="E45" s="81">
        <v>10</v>
      </c>
      <c r="F45" s="58">
        <v>10.72</v>
      </c>
      <c r="G45" s="81">
        <v>3324</v>
      </c>
      <c r="H45" s="8" t="s">
        <v>334</v>
      </c>
      <c r="I45" s="16" t="s">
        <v>242</v>
      </c>
      <c r="J45" s="75">
        <v>30.47</v>
      </c>
      <c r="K45" s="75">
        <v>24.85</v>
      </c>
      <c r="L45" s="330">
        <v>40.69</v>
      </c>
      <c r="M45" s="330">
        <v>19.97</v>
      </c>
      <c r="N45" s="325">
        <f t="shared" ref="N45:N46" si="83">J45+K45+L45+M45</f>
        <v>115.97999999999999</v>
      </c>
      <c r="O45" s="27" t="s">
        <v>6374</v>
      </c>
      <c r="P45" s="56" t="s">
        <v>6378</v>
      </c>
      <c r="Q45" s="26" t="s">
        <v>6374</v>
      </c>
      <c r="R45" s="309" t="s">
        <v>6219</v>
      </c>
      <c r="S45" s="330">
        <v>4.1100000000000003</v>
      </c>
      <c r="T45" s="67">
        <v>5.6</v>
      </c>
      <c r="U45" s="366">
        <f t="shared" si="82"/>
        <v>2.2444889779559118E-2</v>
      </c>
      <c r="V45" s="97">
        <v>12.05</v>
      </c>
      <c r="W45" s="36">
        <v>249.5</v>
      </c>
      <c r="X45" s="67">
        <v>245</v>
      </c>
      <c r="Y45" s="15">
        <f t="shared" ref="Y45:Y46" si="84">W45-X45</f>
        <v>4.5</v>
      </c>
      <c r="Z45" s="64">
        <f t="shared" ref="Z45:Z46" si="85">Y45/X45</f>
        <v>1.8367346938775512E-2</v>
      </c>
      <c r="AA45" s="174" t="s">
        <v>6297</v>
      </c>
      <c r="AB45" s="16" t="s">
        <v>242</v>
      </c>
      <c r="AC45" s="86">
        <v>44608</v>
      </c>
      <c r="AD45" s="85">
        <v>44609</v>
      </c>
      <c r="AE45" s="33">
        <f t="shared" ref="AE45:AE46" si="86">AD45-AC45</f>
        <v>1</v>
      </c>
      <c r="AF45" s="43" t="s">
        <v>3459</v>
      </c>
      <c r="AG45" s="128"/>
      <c r="AI45" s="64"/>
      <c r="AJ45" s="313"/>
      <c r="AK45" s="348"/>
      <c r="AM45" s="269"/>
      <c r="AN45" s="269"/>
    </row>
    <row r="46" spans="1:40">
      <c r="A46" s="132" t="s">
        <v>2377</v>
      </c>
      <c r="B46" s="81">
        <v>193</v>
      </c>
      <c r="C46" s="81">
        <v>122</v>
      </c>
      <c r="D46" s="81">
        <v>0</v>
      </c>
      <c r="E46" s="81">
        <v>18</v>
      </c>
      <c r="F46" s="58">
        <v>15.78</v>
      </c>
      <c r="G46" s="81">
        <v>3675</v>
      </c>
      <c r="H46" s="151" t="s">
        <v>3761</v>
      </c>
      <c r="I46" s="16" t="s">
        <v>394</v>
      </c>
      <c r="J46" s="330">
        <v>54.72</v>
      </c>
      <c r="K46" s="75">
        <v>65.19</v>
      </c>
      <c r="L46" s="330">
        <v>17.010000000000002</v>
      </c>
      <c r="M46" s="330">
        <v>54.85</v>
      </c>
      <c r="N46" s="75">
        <f t="shared" si="83"/>
        <v>191.76999999999998</v>
      </c>
      <c r="O46" s="27" t="s">
        <v>6386</v>
      </c>
      <c r="P46" s="56" t="s">
        <v>6390</v>
      </c>
      <c r="Q46" s="26" t="s">
        <v>6396</v>
      </c>
      <c r="R46" s="309" t="s">
        <v>6219</v>
      </c>
      <c r="S46" s="330">
        <v>2.6</v>
      </c>
      <c r="T46" s="34">
        <v>2</v>
      </c>
      <c r="U46" s="366">
        <f t="shared" si="82"/>
        <v>7.0298769771528994E-3</v>
      </c>
      <c r="V46" s="58">
        <v>5.49</v>
      </c>
      <c r="W46" s="13">
        <v>284.5</v>
      </c>
      <c r="X46" s="67">
        <v>279</v>
      </c>
      <c r="Y46" s="15">
        <f t="shared" si="84"/>
        <v>5.5</v>
      </c>
      <c r="Z46" s="64">
        <f t="shared" si="85"/>
        <v>1.9713261648745518E-2</v>
      </c>
      <c r="AA46" s="174" t="s">
        <v>6298</v>
      </c>
      <c r="AB46" s="16" t="s">
        <v>394</v>
      </c>
      <c r="AC46" s="86">
        <v>44608</v>
      </c>
      <c r="AD46" s="85">
        <v>44609</v>
      </c>
      <c r="AE46" s="33">
        <f t="shared" si="86"/>
        <v>1</v>
      </c>
      <c r="AF46" s="43" t="s">
        <v>3477</v>
      </c>
      <c r="AG46" s="128"/>
      <c r="AI46" s="64"/>
      <c r="AJ46" s="313"/>
      <c r="AK46" s="348"/>
      <c r="AM46" s="269"/>
      <c r="AN46" s="269"/>
    </row>
    <row r="47" spans="1:40">
      <c r="A47" s="132" t="s">
        <v>1840</v>
      </c>
      <c r="B47" s="81">
        <v>28</v>
      </c>
      <c r="C47" s="81">
        <v>80</v>
      </c>
      <c r="D47" s="81">
        <v>8</v>
      </c>
      <c r="E47" s="81">
        <v>33</v>
      </c>
      <c r="F47" s="58">
        <v>15.8</v>
      </c>
      <c r="G47" s="81">
        <v>8299</v>
      </c>
      <c r="H47" s="206" t="s">
        <v>3761</v>
      </c>
      <c r="I47" s="16" t="s">
        <v>5198</v>
      </c>
      <c r="J47" s="75">
        <v>37.409999999999997</v>
      </c>
      <c r="K47" s="75">
        <v>44.15</v>
      </c>
      <c r="L47" s="330">
        <v>16.62</v>
      </c>
      <c r="M47" s="75">
        <v>18.95</v>
      </c>
      <c r="N47" s="325">
        <f>J47+K47+L47+M47</f>
        <v>117.13000000000001</v>
      </c>
      <c r="P47" s="56" t="s">
        <v>6377</v>
      </c>
      <c r="Q47" s="26" t="s">
        <v>6375</v>
      </c>
      <c r="R47" s="309" t="s">
        <v>6219</v>
      </c>
      <c r="S47" s="330">
        <v>3.4</v>
      </c>
      <c r="T47" s="67">
        <v>10</v>
      </c>
      <c r="U47" s="366">
        <f t="shared" si="82"/>
        <v>1.9607843137254902E-2</v>
      </c>
      <c r="V47" s="97">
        <v>51.35</v>
      </c>
      <c r="W47" s="13">
        <v>510</v>
      </c>
      <c r="X47" s="67">
        <v>487</v>
      </c>
      <c r="Y47" s="15">
        <f>W47-X47</f>
        <v>23</v>
      </c>
      <c r="Z47" s="64">
        <f>Y47/X47</f>
        <v>4.7227926078028747E-2</v>
      </c>
      <c r="AA47" s="174" t="s">
        <v>6291</v>
      </c>
      <c r="AB47" s="16" t="s">
        <v>5198</v>
      </c>
      <c r="AC47" s="86">
        <v>44606</v>
      </c>
      <c r="AD47" s="85">
        <v>44608</v>
      </c>
      <c r="AE47" s="33">
        <f>AD47-AC47</f>
        <v>2</v>
      </c>
      <c r="AF47" s="122" t="s">
        <v>2592</v>
      </c>
      <c r="AG47" s="128"/>
      <c r="AI47" s="64"/>
      <c r="AJ47" s="313"/>
      <c r="AK47" s="348"/>
      <c r="AM47" s="269"/>
      <c r="AN47" s="269"/>
    </row>
    <row r="48" spans="1:40">
      <c r="A48" s="132" t="s">
        <v>1840</v>
      </c>
      <c r="B48" s="81">
        <v>28</v>
      </c>
      <c r="C48" s="81">
        <v>80</v>
      </c>
      <c r="D48" s="81">
        <v>8</v>
      </c>
      <c r="E48" s="81">
        <v>33</v>
      </c>
      <c r="F48" s="58">
        <v>15.8</v>
      </c>
      <c r="G48" s="81">
        <v>8299</v>
      </c>
      <c r="H48" s="206" t="s">
        <v>3761</v>
      </c>
      <c r="I48" s="16" t="s">
        <v>5198</v>
      </c>
      <c r="J48" s="75">
        <v>36.25</v>
      </c>
      <c r="K48" s="75">
        <v>42.68</v>
      </c>
      <c r="L48" s="75">
        <v>17.75</v>
      </c>
      <c r="M48" s="75">
        <v>18.95</v>
      </c>
      <c r="N48" s="325">
        <f>J48+K48+L48+M48</f>
        <v>115.63000000000001</v>
      </c>
      <c r="P48" s="56" t="s">
        <v>6377</v>
      </c>
      <c r="Q48" s="26" t="s">
        <v>6375</v>
      </c>
      <c r="R48" s="309" t="s">
        <v>6219</v>
      </c>
      <c r="S48" s="330">
        <v>3.4</v>
      </c>
      <c r="T48" s="67">
        <v>10</v>
      </c>
      <c r="U48" s="366">
        <f t="shared" si="82"/>
        <v>1.9607843137254902E-2</v>
      </c>
      <c r="V48" s="97">
        <v>51.35</v>
      </c>
      <c r="W48" s="13">
        <v>510</v>
      </c>
      <c r="X48" s="67">
        <v>499.5</v>
      </c>
      <c r="Y48" s="15">
        <f>W48-X48</f>
        <v>10.5</v>
      </c>
      <c r="Z48" s="64">
        <f>Y48/X48</f>
        <v>2.1021021021021023E-2</v>
      </c>
      <c r="AA48" s="174" t="s">
        <v>6287</v>
      </c>
      <c r="AB48" s="16" t="s">
        <v>5198</v>
      </c>
      <c r="AC48" s="86">
        <v>44603</v>
      </c>
      <c r="AD48" s="85">
        <v>44608</v>
      </c>
      <c r="AE48" s="33">
        <f>AD48-AC48</f>
        <v>5</v>
      </c>
      <c r="AF48" s="122" t="s">
        <v>2592</v>
      </c>
      <c r="AG48" s="128"/>
      <c r="AI48" s="64"/>
      <c r="AJ48" s="313"/>
      <c r="AK48" s="348"/>
      <c r="AM48" s="269"/>
      <c r="AN48" s="269"/>
    </row>
    <row r="49" spans="1:40">
      <c r="A49" s="148" t="s">
        <v>1784</v>
      </c>
      <c r="B49" s="81">
        <v>116</v>
      </c>
      <c r="C49" s="81">
        <v>35</v>
      </c>
      <c r="D49" s="81">
        <v>1</v>
      </c>
      <c r="E49" s="81">
        <v>13</v>
      </c>
      <c r="F49" s="6">
        <v>7.23</v>
      </c>
      <c r="G49" s="81">
        <v>3260</v>
      </c>
      <c r="H49" s="151" t="s">
        <v>3761</v>
      </c>
      <c r="I49" s="16" t="s">
        <v>229</v>
      </c>
      <c r="J49" s="75">
        <v>14.82</v>
      </c>
      <c r="K49" s="75">
        <v>5.14</v>
      </c>
      <c r="L49" s="75">
        <v>27.73</v>
      </c>
      <c r="M49" s="75">
        <v>5.58</v>
      </c>
      <c r="N49" s="325">
        <f t="shared" ref="N49" si="87">J49+K49+L49+M49</f>
        <v>53.269999999999996</v>
      </c>
      <c r="P49" s="56" t="s">
        <v>6385</v>
      </c>
      <c r="Q49" s="26" t="s">
        <v>6390</v>
      </c>
      <c r="R49" s="309" t="s">
        <v>6219</v>
      </c>
      <c r="S49" s="330">
        <v>8.6</v>
      </c>
      <c r="T49" s="67">
        <v>3.18</v>
      </c>
      <c r="U49" s="366">
        <f t="shared" si="82"/>
        <v>3.4678298800436207E-2</v>
      </c>
      <c r="V49" s="97">
        <v>10.55</v>
      </c>
      <c r="W49" s="36">
        <v>91.7</v>
      </c>
      <c r="X49" s="67">
        <v>90</v>
      </c>
      <c r="Y49" s="15">
        <f t="shared" ref="Y49" si="88">W49-X49</f>
        <v>1.7000000000000028</v>
      </c>
      <c r="Z49" s="64">
        <f t="shared" ref="Z49" si="89">Y49/X49</f>
        <v>1.888888888888892E-2</v>
      </c>
      <c r="AA49" s="174" t="s">
        <v>6288</v>
      </c>
      <c r="AB49" s="16" t="s">
        <v>229</v>
      </c>
      <c r="AC49" s="86">
        <v>44603</v>
      </c>
      <c r="AD49" s="85">
        <v>44608</v>
      </c>
      <c r="AE49" s="33">
        <f t="shared" ref="AE49" si="90">AD49-AC49</f>
        <v>5</v>
      </c>
      <c r="AF49" s="122" t="s">
        <v>1482</v>
      </c>
      <c r="AG49" s="128"/>
      <c r="AI49" s="64"/>
      <c r="AJ49" s="313"/>
      <c r="AK49" s="348"/>
      <c r="AM49" s="269"/>
      <c r="AN49" s="269"/>
    </row>
    <row r="50" spans="1:40">
      <c r="A50" s="132" t="s">
        <v>2377</v>
      </c>
      <c r="B50" s="95">
        <v>1166</v>
      </c>
      <c r="C50" s="237">
        <v>25679</v>
      </c>
      <c r="D50" s="82">
        <v>-1</v>
      </c>
      <c r="E50" s="81">
        <v>11</v>
      </c>
      <c r="F50" s="58">
        <v>18.239999999999998</v>
      </c>
      <c r="G50" s="82">
        <v>3527</v>
      </c>
      <c r="H50" s="8" t="s">
        <v>3761</v>
      </c>
      <c r="I50" s="16" t="s">
        <v>348</v>
      </c>
      <c r="J50" s="75">
        <v>23.03</v>
      </c>
      <c r="K50" s="75">
        <v>11.51</v>
      </c>
      <c r="L50" s="330">
        <v>31.44</v>
      </c>
      <c r="M50" s="75">
        <v>16.39</v>
      </c>
      <c r="N50" s="325">
        <f>J50+K50+L50+M50</f>
        <v>82.37</v>
      </c>
      <c r="P50" s="56" t="s">
        <v>6381</v>
      </c>
      <c r="Q50" s="26" t="s">
        <v>6386</v>
      </c>
      <c r="R50" s="309" t="s">
        <v>6219</v>
      </c>
      <c r="S50" s="330">
        <v>2.64</v>
      </c>
      <c r="T50" s="34">
        <v>2</v>
      </c>
      <c r="U50" s="366">
        <f t="shared" si="82"/>
        <v>1.06951871657754E-2</v>
      </c>
      <c r="V50" s="97">
        <v>10.47</v>
      </c>
      <c r="W50" s="36">
        <v>187</v>
      </c>
      <c r="X50" s="67">
        <v>183.5</v>
      </c>
      <c r="Y50" s="15">
        <f>W50-X50</f>
        <v>3.5</v>
      </c>
      <c r="Z50" s="64">
        <f>Y50/X50</f>
        <v>1.9073569482288829E-2</v>
      </c>
      <c r="AA50" s="174" t="s">
        <v>6282</v>
      </c>
      <c r="AB50" s="16" t="s">
        <v>348</v>
      </c>
      <c r="AC50" s="86">
        <v>44602</v>
      </c>
      <c r="AD50" s="85">
        <v>44608</v>
      </c>
      <c r="AE50" s="33">
        <f>AD50-AC50</f>
        <v>6</v>
      </c>
      <c r="AF50" s="43" t="s">
        <v>2876</v>
      </c>
      <c r="AG50" s="128"/>
      <c r="AI50" s="64"/>
      <c r="AJ50" s="313"/>
      <c r="AK50" s="348"/>
      <c r="AM50" s="269"/>
      <c r="AN50" s="269"/>
    </row>
    <row r="51" spans="1:40">
      <c r="A51" s="132" t="s">
        <v>1864</v>
      </c>
      <c r="B51" s="81">
        <v>101</v>
      </c>
      <c r="C51" s="81">
        <v>100</v>
      </c>
      <c r="D51" s="81">
        <v>8</v>
      </c>
      <c r="E51" s="81">
        <v>12</v>
      </c>
      <c r="F51" s="58">
        <v>29.73</v>
      </c>
      <c r="G51" s="81">
        <v>3014</v>
      </c>
      <c r="H51" s="8" t="s">
        <v>3761</v>
      </c>
      <c r="I51" s="22" t="s">
        <v>109</v>
      </c>
      <c r="J51" s="75">
        <v>19.690000000000001</v>
      </c>
      <c r="K51" s="75">
        <v>14.17</v>
      </c>
      <c r="L51" s="75">
        <v>15.89</v>
      </c>
      <c r="M51" s="330">
        <v>12.51</v>
      </c>
      <c r="N51" s="325">
        <f>J51+K51+L51+M51</f>
        <v>62.26</v>
      </c>
      <c r="P51" s="56" t="s">
        <v>6390</v>
      </c>
      <c r="Q51" s="26" t="s">
        <v>6375</v>
      </c>
      <c r="R51" s="309" t="s">
        <v>6253</v>
      </c>
      <c r="S51" s="330">
        <v>3.75</v>
      </c>
      <c r="T51" s="67">
        <v>6</v>
      </c>
      <c r="U51" s="366">
        <f t="shared" si="82"/>
        <v>5.2863436123348019E-2</v>
      </c>
      <c r="V51" s="97">
        <v>10.19</v>
      </c>
      <c r="W51" s="36">
        <v>113.5</v>
      </c>
      <c r="X51" s="67">
        <v>111.5</v>
      </c>
      <c r="Y51" s="15">
        <f>W51-X51</f>
        <v>2</v>
      </c>
      <c r="Z51" s="64">
        <f>Y51/X51</f>
        <v>1.7937219730941704E-2</v>
      </c>
      <c r="AA51" s="174" t="s">
        <v>6292</v>
      </c>
      <c r="AB51" s="22" t="s">
        <v>109</v>
      </c>
      <c r="AC51" s="86">
        <v>44606</v>
      </c>
      <c r="AD51" s="88">
        <v>44606</v>
      </c>
      <c r="AE51" s="33">
        <f>AD51-AC51</f>
        <v>0</v>
      </c>
      <c r="AF51" s="122" t="s">
        <v>1506</v>
      </c>
      <c r="AG51" s="128"/>
      <c r="AI51" s="64"/>
      <c r="AJ51" s="313"/>
      <c r="AK51" s="348"/>
      <c r="AM51" s="269"/>
      <c r="AN51" s="269"/>
    </row>
    <row r="52" spans="1:40">
      <c r="A52" s="132" t="s">
        <v>1870</v>
      </c>
      <c r="B52" s="81">
        <v>56</v>
      </c>
      <c r="C52" s="81">
        <v>58</v>
      </c>
      <c r="D52" s="81">
        <v>25</v>
      </c>
      <c r="E52" s="81">
        <v>47</v>
      </c>
      <c r="F52" s="58">
        <v>28.75</v>
      </c>
      <c r="G52" s="81">
        <v>3556</v>
      </c>
      <c r="H52" s="151" t="s">
        <v>3761</v>
      </c>
      <c r="I52" s="16" t="s">
        <v>392</v>
      </c>
      <c r="J52" s="75">
        <v>15.79</v>
      </c>
      <c r="K52" s="75">
        <v>9.41</v>
      </c>
      <c r="L52" s="75">
        <v>26.94</v>
      </c>
      <c r="M52" s="330">
        <v>11.21</v>
      </c>
      <c r="N52" s="325">
        <f>J52+K52+L52+M52</f>
        <v>63.35</v>
      </c>
      <c r="O52" s="27" t="s">
        <v>6374</v>
      </c>
      <c r="P52" s="56" t="s">
        <v>6386</v>
      </c>
      <c r="Q52" s="26" t="s">
        <v>6375</v>
      </c>
      <c r="R52" s="309" t="s">
        <v>6219</v>
      </c>
      <c r="S52" s="330">
        <v>1.44</v>
      </c>
      <c r="T52" s="67">
        <v>3.45</v>
      </c>
      <c r="U52" s="366">
        <f t="shared" si="82"/>
        <v>3.8851351351351357E-2</v>
      </c>
      <c r="V52" s="97">
        <v>5.72</v>
      </c>
      <c r="W52" s="36">
        <v>88.8</v>
      </c>
      <c r="X52" s="67">
        <v>86.7</v>
      </c>
      <c r="Y52" s="15">
        <f>W52-X52</f>
        <v>2.0999999999999943</v>
      </c>
      <c r="Z52" s="64">
        <f>Y52/X52</f>
        <v>2.4221453287197166E-2</v>
      </c>
      <c r="AA52" s="174" t="s">
        <v>6293</v>
      </c>
      <c r="AB52" s="16" t="s">
        <v>392</v>
      </c>
      <c r="AC52" s="86">
        <v>44606</v>
      </c>
      <c r="AD52" s="88">
        <v>44606</v>
      </c>
      <c r="AE52" s="33">
        <f>AD52-AC52</f>
        <v>0</v>
      </c>
      <c r="AF52" s="43" t="s">
        <v>2877</v>
      </c>
      <c r="AG52" s="128"/>
      <c r="AI52" s="64"/>
      <c r="AJ52" s="313"/>
      <c r="AK52" s="348"/>
      <c r="AM52" s="269"/>
      <c r="AN52" s="269"/>
    </row>
    <row r="53" spans="1:40">
      <c r="A53" s="132" t="s">
        <v>2677</v>
      </c>
      <c r="B53" s="81">
        <v>23</v>
      </c>
      <c r="C53" s="81">
        <v>31</v>
      </c>
      <c r="D53" s="81">
        <v>13</v>
      </c>
      <c r="E53" s="81">
        <v>123</v>
      </c>
      <c r="F53" s="58">
        <v>18.86</v>
      </c>
      <c r="G53" s="81">
        <v>6104</v>
      </c>
      <c r="H53" s="151" t="s">
        <v>3761</v>
      </c>
      <c r="I53" s="16" t="s">
        <v>401</v>
      </c>
      <c r="J53" s="75">
        <v>26.89</v>
      </c>
      <c r="K53" s="75">
        <v>28.29</v>
      </c>
      <c r="L53" s="75">
        <v>62.64</v>
      </c>
      <c r="M53" s="330">
        <v>8.57</v>
      </c>
      <c r="N53" s="325">
        <f>J53+K53+L53+M53</f>
        <v>126.38999999999999</v>
      </c>
      <c r="P53" s="56" t="s">
        <v>6375</v>
      </c>
      <c r="Q53" s="26" t="s">
        <v>6389</v>
      </c>
      <c r="R53" s="309" t="s">
        <v>6219</v>
      </c>
      <c r="S53" s="330">
        <v>9.83</v>
      </c>
      <c r="T53" s="67">
        <v>3</v>
      </c>
      <c r="U53" s="366">
        <f t="shared" si="82"/>
        <v>1.1952191235059761E-2</v>
      </c>
      <c r="V53" s="97">
        <v>4.42</v>
      </c>
      <c r="W53" s="36">
        <v>251</v>
      </c>
      <c r="X53" s="67">
        <v>245</v>
      </c>
      <c r="Y53" s="15">
        <f>W53-X53</f>
        <v>6</v>
      </c>
      <c r="Z53" s="64">
        <f>Y53/X53</f>
        <v>2.4489795918367346E-2</v>
      </c>
      <c r="AA53" s="174" t="s">
        <v>6289</v>
      </c>
      <c r="AB53" s="16" t="s">
        <v>401</v>
      </c>
      <c r="AC53" s="86">
        <v>44603</v>
      </c>
      <c r="AD53" s="88">
        <v>44603</v>
      </c>
      <c r="AE53" s="33">
        <f>AD53-AC53</f>
        <v>0</v>
      </c>
      <c r="AF53" s="43" t="s">
        <v>3768</v>
      </c>
      <c r="AG53" s="128"/>
      <c r="AI53" s="64"/>
      <c r="AJ53" s="313"/>
      <c r="AK53" s="224"/>
      <c r="AM53" s="269"/>
      <c r="AN53" s="269"/>
    </row>
    <row r="54" spans="1:40">
      <c r="A54" s="132" t="s">
        <v>2677</v>
      </c>
      <c r="B54" s="81">
        <v>23</v>
      </c>
      <c r="C54" s="81">
        <v>31</v>
      </c>
      <c r="D54" s="81">
        <v>13</v>
      </c>
      <c r="E54" s="81">
        <v>123</v>
      </c>
      <c r="F54" s="58">
        <v>18.86</v>
      </c>
      <c r="G54" s="81">
        <v>6104</v>
      </c>
      <c r="H54" s="151" t="s">
        <v>3761</v>
      </c>
      <c r="I54" s="16" t="s">
        <v>401</v>
      </c>
      <c r="J54" s="75">
        <v>26.89</v>
      </c>
      <c r="K54" s="75">
        <v>27.12</v>
      </c>
      <c r="L54" s="75">
        <v>59.54</v>
      </c>
      <c r="M54" s="330">
        <v>8.57</v>
      </c>
      <c r="N54" s="325">
        <f>J54+K54+L54+M54</f>
        <v>122.12</v>
      </c>
      <c r="P54" s="56" t="s">
        <v>6375</v>
      </c>
      <c r="Q54" s="26" t="s">
        <v>6389</v>
      </c>
      <c r="R54" s="309" t="s">
        <v>6219</v>
      </c>
      <c r="S54" s="330">
        <v>11.24</v>
      </c>
      <c r="T54" s="67">
        <v>3</v>
      </c>
      <c r="U54" s="366">
        <f t="shared" si="82"/>
        <v>1.1952191235059761E-2</v>
      </c>
      <c r="V54" s="97">
        <v>4.42</v>
      </c>
      <c r="W54" s="36">
        <v>251</v>
      </c>
      <c r="X54" s="67">
        <v>258</v>
      </c>
      <c r="Y54" s="15">
        <f>W54-X54</f>
        <v>-7</v>
      </c>
      <c r="Z54" s="78">
        <f>Y54/X54</f>
        <v>-2.7131782945736434E-2</v>
      </c>
      <c r="AA54" s="174" t="s">
        <v>1581</v>
      </c>
      <c r="AB54" s="16" t="s">
        <v>401</v>
      </c>
      <c r="AC54" s="86">
        <v>44602</v>
      </c>
      <c r="AD54" s="85">
        <v>44603</v>
      </c>
      <c r="AE54" s="33">
        <f>AD54-AC54</f>
        <v>1</v>
      </c>
      <c r="AF54" s="43" t="s">
        <v>3768</v>
      </c>
      <c r="AG54" s="128"/>
      <c r="AI54" s="64"/>
      <c r="AJ54" s="313"/>
      <c r="AK54" s="224"/>
      <c r="AM54" s="269"/>
      <c r="AN54" s="269"/>
    </row>
    <row r="55" spans="1:40">
      <c r="A55" s="148" t="s">
        <v>5621</v>
      </c>
      <c r="B55" s="81">
        <v>16</v>
      </c>
      <c r="C55" s="81">
        <v>0</v>
      </c>
      <c r="D55" s="81">
        <v>25</v>
      </c>
      <c r="E55" s="81">
        <v>10</v>
      </c>
      <c r="F55" s="6">
        <v>5.41</v>
      </c>
      <c r="G55" s="81">
        <v>3558</v>
      </c>
      <c r="H55" s="8" t="s">
        <v>331</v>
      </c>
      <c r="I55" s="16" t="s">
        <v>5622</v>
      </c>
      <c r="J55" s="75">
        <v>45.85</v>
      </c>
      <c r="K55" s="75">
        <v>6.87</v>
      </c>
      <c r="L55" s="75">
        <v>10.85</v>
      </c>
      <c r="M55" s="330">
        <v>40.380000000000003</v>
      </c>
      <c r="N55" s="325">
        <f t="shared" ref="N55" si="91">J55+K55+L55+M55</f>
        <v>103.95</v>
      </c>
      <c r="O55" s="27" t="s">
        <v>6382</v>
      </c>
      <c r="P55" s="56" t="s">
        <v>6382</v>
      </c>
      <c r="Q55" s="26" t="s">
        <v>6382</v>
      </c>
      <c r="R55" s="309" t="s">
        <v>6219</v>
      </c>
      <c r="T55" s="67">
        <v>4</v>
      </c>
      <c r="U55" s="366">
        <f t="shared" si="82"/>
        <v>3.3057851239669422E-2</v>
      </c>
      <c r="V55" s="97">
        <v>8.49</v>
      </c>
      <c r="W55" s="36">
        <v>121</v>
      </c>
      <c r="X55" s="67">
        <v>119</v>
      </c>
      <c r="Y55" s="15">
        <f t="shared" ref="Y55" si="92">W55-X55</f>
        <v>2</v>
      </c>
      <c r="Z55" s="64">
        <f t="shared" ref="Z55" si="93">Y55/X55</f>
        <v>1.680672268907563E-2</v>
      </c>
      <c r="AA55" s="174" t="s">
        <v>6272</v>
      </c>
      <c r="AB55" s="16" t="s">
        <v>5622</v>
      </c>
      <c r="AC55" s="86">
        <v>44601</v>
      </c>
      <c r="AD55" s="85">
        <v>44603</v>
      </c>
      <c r="AE55" s="33">
        <f t="shared" ref="AE55" si="94">AD55-AC55</f>
        <v>2</v>
      </c>
      <c r="AF55" s="122" t="s">
        <v>5623</v>
      </c>
      <c r="AG55" s="128"/>
      <c r="AI55" s="64"/>
      <c r="AJ55" s="313"/>
      <c r="AK55" s="348"/>
      <c r="AM55" s="269"/>
      <c r="AN55" s="269"/>
    </row>
    <row r="56" spans="1:40">
      <c r="A56" s="132" t="s">
        <v>4267</v>
      </c>
      <c r="B56" s="81">
        <v>254</v>
      </c>
      <c r="C56" s="81">
        <v>240</v>
      </c>
      <c r="D56" s="81">
        <v>4</v>
      </c>
      <c r="E56" s="81">
        <v>69</v>
      </c>
      <c r="F56" s="58">
        <v>20.85</v>
      </c>
      <c r="G56" s="81">
        <v>6706</v>
      </c>
      <c r="H56" s="5" t="s">
        <v>325</v>
      </c>
      <c r="I56" s="22" t="s">
        <v>1981</v>
      </c>
      <c r="J56" s="330">
        <v>23.99</v>
      </c>
      <c r="K56" s="75">
        <v>24.21</v>
      </c>
      <c r="L56" s="330">
        <v>31.18</v>
      </c>
      <c r="M56" s="330">
        <v>11.36</v>
      </c>
      <c r="N56" s="325">
        <f>J56+K56+L56+M56</f>
        <v>90.74</v>
      </c>
      <c r="O56" s="27" t="s">
        <v>6404</v>
      </c>
      <c r="P56" s="56" t="s">
        <v>6396</v>
      </c>
      <c r="Q56" s="26" t="s">
        <v>6402</v>
      </c>
      <c r="R56" s="309" t="s">
        <v>6219</v>
      </c>
      <c r="S56" s="330">
        <v>4.88</v>
      </c>
      <c r="T56" s="67">
        <v>4</v>
      </c>
      <c r="U56" s="366">
        <f t="shared" si="82"/>
        <v>1.5810276679841896E-2</v>
      </c>
      <c r="V56" s="97">
        <v>11.85</v>
      </c>
      <c r="W56" s="36">
        <v>253</v>
      </c>
      <c r="X56" s="67">
        <v>247.5</v>
      </c>
      <c r="Y56" s="15">
        <f>W56-X56</f>
        <v>5.5</v>
      </c>
      <c r="Z56" s="64">
        <f>Y56/X56</f>
        <v>2.2222222222222223E-2</v>
      </c>
      <c r="AA56" s="174" t="s">
        <v>6263</v>
      </c>
      <c r="AB56" s="22" t="s">
        <v>1981</v>
      </c>
      <c r="AC56" s="86">
        <v>44601</v>
      </c>
      <c r="AD56" s="88">
        <v>44601</v>
      </c>
      <c r="AE56" s="33">
        <f>AD56-AC56</f>
        <v>0</v>
      </c>
      <c r="AF56" s="124" t="s">
        <v>2146</v>
      </c>
      <c r="AG56" s="128"/>
      <c r="AI56" s="64"/>
      <c r="AJ56" s="313"/>
      <c r="AK56" s="348"/>
      <c r="AM56" s="269"/>
      <c r="AN56" s="269"/>
    </row>
    <row r="57" spans="1:40">
      <c r="A57" s="132" t="s">
        <v>4439</v>
      </c>
      <c r="B57" s="81">
        <v>135</v>
      </c>
      <c r="C57" s="81">
        <v>168</v>
      </c>
      <c r="D57" s="81">
        <v>0</v>
      </c>
      <c r="E57" s="81">
        <v>29</v>
      </c>
      <c r="F57" s="58">
        <v>18.399999999999999</v>
      </c>
      <c r="G57" s="81">
        <v>3455</v>
      </c>
      <c r="H57" s="5" t="s">
        <v>325</v>
      </c>
      <c r="I57" s="16" t="s">
        <v>5359</v>
      </c>
      <c r="J57" s="330">
        <v>13.94</v>
      </c>
      <c r="K57" s="75">
        <v>9.6300000000000008</v>
      </c>
      <c r="L57" s="75">
        <v>56.59</v>
      </c>
      <c r="M57" s="330">
        <v>9.02</v>
      </c>
      <c r="N57" s="325">
        <f>J57+K57+L57+M57</f>
        <v>89.179999999999993</v>
      </c>
      <c r="O57" s="27" t="s">
        <v>6382</v>
      </c>
      <c r="P57" s="56" t="s">
        <v>6374</v>
      </c>
      <c r="Q57" s="26" t="s">
        <v>6393</v>
      </c>
      <c r="R57" s="309" t="s">
        <v>6253</v>
      </c>
      <c r="S57" s="330">
        <v>4.68</v>
      </c>
      <c r="T57" s="67">
        <v>4</v>
      </c>
      <c r="U57" s="366">
        <f t="shared" si="82"/>
        <v>3.5555555555555556E-2</v>
      </c>
      <c r="V57" s="97">
        <v>6.76</v>
      </c>
      <c r="W57" s="36">
        <v>112.5</v>
      </c>
      <c r="X57" s="67">
        <v>110.5</v>
      </c>
      <c r="Y57" s="15">
        <f>W57-X57</f>
        <v>2</v>
      </c>
      <c r="Z57" s="64">
        <f>Y57/X57</f>
        <v>1.8099547511312219E-2</v>
      </c>
      <c r="AA57" s="174" t="s">
        <v>6262</v>
      </c>
      <c r="AB57" s="16" t="s">
        <v>5359</v>
      </c>
      <c r="AC57" s="86">
        <v>44601</v>
      </c>
      <c r="AD57" s="88">
        <v>44601</v>
      </c>
      <c r="AE57" s="33">
        <f>AD57-AC57</f>
        <v>0</v>
      </c>
      <c r="AF57" s="61" t="s">
        <v>2955</v>
      </c>
      <c r="AG57" s="128"/>
      <c r="AI57" s="64"/>
      <c r="AJ57" s="313"/>
      <c r="AM57" s="269"/>
      <c r="AN57" s="269"/>
    </row>
    <row r="58" spans="1:40">
      <c r="A58" s="148" t="s">
        <v>1673</v>
      </c>
      <c r="B58" s="82">
        <v>-60</v>
      </c>
      <c r="C58" s="82">
        <v>-58</v>
      </c>
      <c r="D58" s="81">
        <v>15</v>
      </c>
      <c r="E58" s="81">
        <v>70</v>
      </c>
      <c r="F58" s="6">
        <v>1.66</v>
      </c>
      <c r="G58" s="81">
        <v>3548</v>
      </c>
      <c r="H58" s="8" t="s">
        <v>327</v>
      </c>
      <c r="I58" s="16" t="s">
        <v>153</v>
      </c>
      <c r="J58" s="75">
        <v>29.11</v>
      </c>
      <c r="K58" s="75">
        <v>5.31</v>
      </c>
      <c r="L58" s="330">
        <v>43.8</v>
      </c>
      <c r="M58" s="75">
        <v>21.73</v>
      </c>
      <c r="N58" s="325">
        <f>J58+K58+L58+M58</f>
        <v>99.95</v>
      </c>
      <c r="O58" s="27" t="s">
        <v>6377</v>
      </c>
      <c r="P58" s="56" t="s">
        <v>6394</v>
      </c>
      <c r="Q58" s="26" t="s">
        <v>6395</v>
      </c>
      <c r="R58" s="309" t="s">
        <v>6219</v>
      </c>
      <c r="S58" s="330">
        <v>2.2599999999999998</v>
      </c>
      <c r="T58" s="34">
        <v>2.5</v>
      </c>
      <c r="U58" s="366">
        <f t="shared" si="82"/>
        <v>3.2216494845360828E-2</v>
      </c>
      <c r="V58" s="97">
        <v>2.6</v>
      </c>
      <c r="W58" s="36">
        <v>77.599999999999994</v>
      </c>
      <c r="X58" s="67">
        <v>75.8</v>
      </c>
      <c r="Y58" s="15">
        <f>W58-X58</f>
        <v>1.7999999999999972</v>
      </c>
      <c r="Z58" s="64">
        <f>Y58/X58</f>
        <v>2.3746701846965663E-2</v>
      </c>
      <c r="AA58" s="174" t="s">
        <v>6264</v>
      </c>
      <c r="AB58" s="16" t="s">
        <v>153</v>
      </c>
      <c r="AC58" s="86">
        <v>44601</v>
      </c>
      <c r="AD58" s="88">
        <v>44601</v>
      </c>
      <c r="AE58" s="33">
        <f>AD58-AC58</f>
        <v>0</v>
      </c>
      <c r="AF58" s="122" t="s">
        <v>3415</v>
      </c>
      <c r="AG58" s="128"/>
      <c r="AI58" s="64"/>
      <c r="AJ58" s="313"/>
      <c r="AK58" s="348"/>
      <c r="AM58" s="269"/>
      <c r="AN58" s="269"/>
    </row>
    <row r="59" spans="1:40">
      <c r="A59" s="132" t="s">
        <v>1845</v>
      </c>
      <c r="B59" s="81">
        <v>144</v>
      </c>
      <c r="C59" s="81">
        <v>119</v>
      </c>
      <c r="D59" s="81">
        <v>0</v>
      </c>
      <c r="E59" s="81">
        <v>13</v>
      </c>
      <c r="F59" s="58">
        <v>11.15</v>
      </c>
      <c r="G59" s="81">
        <v>8938</v>
      </c>
      <c r="H59" s="8" t="s">
        <v>2303</v>
      </c>
      <c r="I59" s="16" t="s">
        <v>97</v>
      </c>
      <c r="J59" s="75">
        <v>52.06</v>
      </c>
      <c r="K59" s="75">
        <v>11.41</v>
      </c>
      <c r="L59" s="75">
        <v>5.09</v>
      </c>
      <c r="M59" s="75">
        <v>15.15</v>
      </c>
      <c r="N59" s="325">
        <f t="shared" ref="N59" si="95">J59+K59+L59+M59</f>
        <v>83.710000000000008</v>
      </c>
      <c r="O59" s="27" t="s">
        <v>6377</v>
      </c>
      <c r="P59" s="56" t="s">
        <v>6377</v>
      </c>
      <c r="Q59" s="26" t="s">
        <v>6405</v>
      </c>
      <c r="R59" s="309" t="s">
        <v>6236</v>
      </c>
      <c r="S59" s="330">
        <v>1.21</v>
      </c>
      <c r="T59" s="34">
        <v>2.7</v>
      </c>
      <c r="U59" s="366">
        <f t="shared" si="82"/>
        <v>3.2258064516129031E-2</v>
      </c>
      <c r="V59" s="58">
        <v>9</v>
      </c>
      <c r="W59" s="36">
        <v>83.7</v>
      </c>
      <c r="X59" s="67">
        <v>82</v>
      </c>
      <c r="Y59" s="15">
        <f t="shared" ref="Y59" si="96">W59-X59</f>
        <v>1.7000000000000028</v>
      </c>
      <c r="Z59" s="64">
        <f t="shared" ref="Z59" si="97">Y59/X59</f>
        <v>2.0731707317073206E-2</v>
      </c>
      <c r="AA59" s="174" t="s">
        <v>6240</v>
      </c>
      <c r="AB59" s="16" t="s">
        <v>97</v>
      </c>
      <c r="AC59" s="86">
        <v>44599</v>
      </c>
      <c r="AD59" s="85">
        <v>44601</v>
      </c>
      <c r="AE59" s="33">
        <f t="shared" ref="AE59" si="98">AD59-AC59</f>
        <v>2</v>
      </c>
      <c r="AF59" s="43" t="s">
        <v>3784</v>
      </c>
      <c r="AG59" s="128"/>
      <c r="AI59" s="64"/>
      <c r="AJ59" s="313"/>
      <c r="AK59" s="348"/>
      <c r="AM59" s="269"/>
      <c r="AN59" s="269"/>
    </row>
    <row r="60" spans="1:40">
      <c r="A60" s="132" t="s">
        <v>2571</v>
      </c>
      <c r="B60" s="81">
        <v>18</v>
      </c>
      <c r="C60" s="81">
        <v>10</v>
      </c>
      <c r="D60" s="82">
        <v>-3</v>
      </c>
      <c r="E60" s="81">
        <v>10</v>
      </c>
      <c r="F60" s="58">
        <v>26.73</v>
      </c>
      <c r="G60" s="81">
        <v>3526</v>
      </c>
      <c r="H60" s="8" t="s">
        <v>327</v>
      </c>
      <c r="I60" s="16" t="s">
        <v>168</v>
      </c>
      <c r="J60" s="75">
        <v>35.17</v>
      </c>
      <c r="K60" s="330">
        <v>13.79</v>
      </c>
      <c r="L60" s="75">
        <v>19.98</v>
      </c>
      <c r="M60" s="330">
        <v>28.98</v>
      </c>
      <c r="N60" s="325">
        <f>J60+K60+L60+M60</f>
        <v>97.92</v>
      </c>
      <c r="O60" s="27" t="s">
        <v>6377</v>
      </c>
      <c r="P60" s="56" t="s">
        <v>6377</v>
      </c>
      <c r="Q60" s="26" t="s">
        <v>6396</v>
      </c>
      <c r="R60" s="309" t="s">
        <v>6253</v>
      </c>
      <c r="S60" s="330">
        <v>2.91</v>
      </c>
      <c r="T60" s="67">
        <v>9.1300000000000008</v>
      </c>
      <c r="U60" s="366">
        <f t="shared" si="82"/>
        <v>4.3270142180094791E-2</v>
      </c>
      <c r="V60" s="97">
        <v>9.74</v>
      </c>
      <c r="W60" s="36">
        <v>211</v>
      </c>
      <c r="X60" s="67">
        <v>207</v>
      </c>
      <c r="Y60" s="15">
        <f>W60-X60</f>
        <v>4</v>
      </c>
      <c r="Z60" s="64">
        <f>Y60/X60</f>
        <v>1.932367149758454E-2</v>
      </c>
      <c r="AA60" s="174" t="s">
        <v>6249</v>
      </c>
      <c r="AB60" s="16" t="s">
        <v>168</v>
      </c>
      <c r="AC60" s="86">
        <v>44600</v>
      </c>
      <c r="AD60" s="85">
        <v>44601</v>
      </c>
      <c r="AE60" s="33">
        <f>AD60-AC60</f>
        <v>1</v>
      </c>
      <c r="AF60" s="122" t="s">
        <v>2214</v>
      </c>
      <c r="AI60" s="64"/>
      <c r="AJ60" s="313"/>
      <c r="AK60" s="353"/>
      <c r="AM60" s="269"/>
      <c r="AN60" s="269"/>
    </row>
    <row r="61" spans="1:40">
      <c r="A61" s="132" t="s">
        <v>4267</v>
      </c>
      <c r="B61" s="81">
        <v>254</v>
      </c>
      <c r="C61" s="81">
        <v>240</v>
      </c>
      <c r="D61" s="81">
        <v>4</v>
      </c>
      <c r="E61" s="81">
        <v>69</v>
      </c>
      <c r="F61" s="58">
        <v>20.85</v>
      </c>
      <c r="G61" s="81">
        <v>6706</v>
      </c>
      <c r="H61" s="5" t="s">
        <v>325</v>
      </c>
      <c r="I61" s="22" t="s">
        <v>1981</v>
      </c>
      <c r="J61" s="330">
        <v>23.99</v>
      </c>
      <c r="K61" s="75">
        <v>23.23</v>
      </c>
      <c r="L61" s="75">
        <v>31.78</v>
      </c>
      <c r="M61" s="330">
        <v>11.36</v>
      </c>
      <c r="N61" s="325">
        <f>J61+K61+L61+M61</f>
        <v>90.36</v>
      </c>
      <c r="O61" s="27" t="s">
        <v>6404</v>
      </c>
      <c r="P61" s="56" t="s">
        <v>6396</v>
      </c>
      <c r="Q61" s="26" t="s">
        <v>6402</v>
      </c>
      <c r="R61" s="309" t="s">
        <v>6219</v>
      </c>
      <c r="S61" s="330">
        <v>4.45</v>
      </c>
      <c r="T61" s="67">
        <v>4</v>
      </c>
      <c r="U61" s="366">
        <f t="shared" si="82"/>
        <v>1.680672268907563E-2</v>
      </c>
      <c r="V61" s="97">
        <v>11.85</v>
      </c>
      <c r="W61" s="36">
        <v>238</v>
      </c>
      <c r="X61" s="67">
        <v>232.5</v>
      </c>
      <c r="Y61" s="15">
        <f>W61-X61</f>
        <v>5.5</v>
      </c>
      <c r="Z61" s="64">
        <f>Y61/X61</f>
        <v>2.3655913978494623E-2</v>
      </c>
      <c r="AA61" s="174" t="s">
        <v>6252</v>
      </c>
      <c r="AB61" s="22" t="s">
        <v>1981</v>
      </c>
      <c r="AC61" s="86">
        <v>44600</v>
      </c>
      <c r="AD61" s="88">
        <v>44600</v>
      </c>
      <c r="AE61" s="33">
        <f>AD61-AC61</f>
        <v>0</v>
      </c>
      <c r="AF61" s="124" t="s">
        <v>2146</v>
      </c>
      <c r="AG61" s="128"/>
      <c r="AI61" s="64"/>
      <c r="AJ61" s="313"/>
      <c r="AK61" s="348"/>
      <c r="AM61" s="269"/>
      <c r="AN61" s="269"/>
    </row>
    <row r="62" spans="1:40">
      <c r="A62" s="132" t="s">
        <v>2677</v>
      </c>
      <c r="B62" s="81">
        <v>23</v>
      </c>
      <c r="C62" s="81">
        <v>31</v>
      </c>
      <c r="D62" s="81">
        <v>12</v>
      </c>
      <c r="E62" s="81">
        <v>90</v>
      </c>
      <c r="F62" s="58">
        <v>18.86</v>
      </c>
      <c r="G62" s="81">
        <v>6104</v>
      </c>
      <c r="H62" s="151" t="s">
        <v>3761</v>
      </c>
      <c r="I62" s="16" t="s">
        <v>401</v>
      </c>
      <c r="J62" s="75">
        <v>26.89</v>
      </c>
      <c r="K62" s="75">
        <v>23.02</v>
      </c>
      <c r="L62" s="75">
        <v>51.99</v>
      </c>
      <c r="M62" s="330">
        <v>8.57</v>
      </c>
      <c r="N62" s="325">
        <f t="shared" ref="N62:N63" si="99">J62+K62+L62+M62</f>
        <v>110.47</v>
      </c>
      <c r="P62" s="56" t="s">
        <v>6375</v>
      </c>
      <c r="Q62" s="26" t="s">
        <v>6389</v>
      </c>
      <c r="R62" s="309" t="s">
        <v>6253</v>
      </c>
      <c r="S62" s="330">
        <v>8.73</v>
      </c>
      <c r="T62" s="67">
        <v>3</v>
      </c>
      <c r="U62" s="366">
        <f t="shared" si="82"/>
        <v>1.3698630136986301E-2</v>
      </c>
      <c r="V62" s="97">
        <v>4.42</v>
      </c>
      <c r="W62" s="36">
        <v>219</v>
      </c>
      <c r="X62" s="67">
        <v>214</v>
      </c>
      <c r="Y62" s="15">
        <f t="shared" ref="Y62:Y63" si="100">W62-X62</f>
        <v>5</v>
      </c>
      <c r="Z62" s="64">
        <f t="shared" ref="Z62:Z63" si="101">Y62/X62</f>
        <v>2.336448598130841E-2</v>
      </c>
      <c r="AA62" s="174" t="s">
        <v>6233</v>
      </c>
      <c r="AB62" s="16" t="s">
        <v>401</v>
      </c>
      <c r="AC62" s="86">
        <v>44600</v>
      </c>
      <c r="AD62" s="88">
        <v>44600</v>
      </c>
      <c r="AE62" s="33">
        <f t="shared" ref="AE62:AE63" si="102">AD62-AC62</f>
        <v>0</v>
      </c>
      <c r="AF62" s="43" t="s">
        <v>3768</v>
      </c>
      <c r="AG62" s="128"/>
      <c r="AI62" s="64"/>
      <c r="AJ62" s="313"/>
      <c r="AK62" s="224"/>
      <c r="AM62" s="269"/>
      <c r="AN62" s="269"/>
    </row>
    <row r="63" spans="1:40">
      <c r="A63" s="148" t="s">
        <v>1673</v>
      </c>
      <c r="B63" s="82">
        <v>-60</v>
      </c>
      <c r="C63" s="82">
        <v>-58</v>
      </c>
      <c r="D63" s="81">
        <v>15</v>
      </c>
      <c r="E63" s="81">
        <v>70</v>
      </c>
      <c r="F63" s="6">
        <v>1.66</v>
      </c>
      <c r="G63" s="81">
        <v>3548</v>
      </c>
      <c r="H63" s="5" t="s">
        <v>4155</v>
      </c>
      <c r="I63" s="16" t="s">
        <v>153</v>
      </c>
      <c r="J63" s="75">
        <v>29.11</v>
      </c>
      <c r="K63" s="75">
        <v>4.4000000000000004</v>
      </c>
      <c r="L63" s="75">
        <v>47.7</v>
      </c>
      <c r="M63" s="75">
        <v>21.73</v>
      </c>
      <c r="N63" s="325">
        <f t="shared" si="99"/>
        <v>102.94000000000001</v>
      </c>
      <c r="O63" s="27" t="s">
        <v>6377</v>
      </c>
      <c r="P63" s="56" t="s">
        <v>6394</v>
      </c>
      <c r="Q63" s="26" t="s">
        <v>6395</v>
      </c>
      <c r="R63" s="309" t="s">
        <v>6219</v>
      </c>
      <c r="S63" s="330">
        <v>2.0099999999999998</v>
      </c>
      <c r="T63" s="34">
        <v>2.5</v>
      </c>
      <c r="U63" s="366">
        <f t="shared" si="82"/>
        <v>3.3921302578018994E-2</v>
      </c>
      <c r="V63" s="97">
        <v>2.6</v>
      </c>
      <c r="W63" s="36">
        <v>73.7</v>
      </c>
      <c r="X63" s="67">
        <v>72.2</v>
      </c>
      <c r="Y63" s="15">
        <f t="shared" si="100"/>
        <v>1.5</v>
      </c>
      <c r="Z63" s="64">
        <f t="shared" si="101"/>
        <v>2.077562326869806E-2</v>
      </c>
      <c r="AA63" s="174" t="s">
        <v>2199</v>
      </c>
      <c r="AB63" s="16" t="s">
        <v>153</v>
      </c>
      <c r="AC63" s="86">
        <v>44600</v>
      </c>
      <c r="AD63" s="88">
        <v>44600</v>
      </c>
      <c r="AE63" s="33">
        <f t="shared" si="102"/>
        <v>0</v>
      </c>
      <c r="AF63" s="122" t="s">
        <v>3415</v>
      </c>
      <c r="AG63" s="128"/>
      <c r="AI63" s="64"/>
      <c r="AJ63" s="313"/>
      <c r="AK63" s="348"/>
      <c r="AM63" s="269"/>
      <c r="AN63" s="269"/>
    </row>
    <row r="64" spans="1:40">
      <c r="A64" s="132" t="s">
        <v>3972</v>
      </c>
      <c r="B64" s="81">
        <v>84</v>
      </c>
      <c r="C64" s="81">
        <v>120</v>
      </c>
      <c r="D64" s="81">
        <v>2</v>
      </c>
      <c r="E64" s="81">
        <v>32</v>
      </c>
      <c r="F64" s="58">
        <v>15.8</v>
      </c>
      <c r="G64" s="82">
        <v>6548</v>
      </c>
      <c r="H64" s="206" t="s">
        <v>3761</v>
      </c>
      <c r="I64" s="16" t="s">
        <v>1464</v>
      </c>
      <c r="J64" s="330">
        <v>84.12</v>
      </c>
      <c r="K64" s="75">
        <v>6.06</v>
      </c>
      <c r="L64" s="330">
        <v>7.37</v>
      </c>
      <c r="M64" s="330">
        <v>63.22</v>
      </c>
      <c r="N64" s="75">
        <f t="shared" ref="N64" si="103">J64+K64+L64+M64</f>
        <v>160.77000000000001</v>
      </c>
      <c r="O64" s="27" t="s">
        <v>6398</v>
      </c>
      <c r="P64" s="56" t="s">
        <v>6380</v>
      </c>
      <c r="Q64" s="26" t="s">
        <v>6381</v>
      </c>
      <c r="R64" s="309" t="s">
        <v>6219</v>
      </c>
      <c r="S64" s="330">
        <v>5.66</v>
      </c>
      <c r="T64" s="67">
        <v>0.68</v>
      </c>
      <c r="U64" s="366">
        <f t="shared" si="82"/>
        <v>6.4761904761904765E-3</v>
      </c>
      <c r="V64" s="58">
        <v>3.64</v>
      </c>
      <c r="W64" s="36">
        <v>105</v>
      </c>
      <c r="X64" s="67">
        <v>99.4</v>
      </c>
      <c r="Y64" s="15">
        <f t="shared" ref="Y64" si="104">W64-X64</f>
        <v>5.5999999999999943</v>
      </c>
      <c r="Z64" s="64">
        <f t="shared" ref="Z64" si="105">Y64/X64</f>
        <v>5.6338028169014023E-2</v>
      </c>
      <c r="AA64" s="174" t="s">
        <v>6229</v>
      </c>
      <c r="AB64" s="16" t="s">
        <v>1464</v>
      </c>
      <c r="AC64" s="86">
        <v>44587</v>
      </c>
      <c r="AD64" s="85">
        <v>44600</v>
      </c>
      <c r="AE64" s="33">
        <f t="shared" ref="AE64" si="106">AD64-AC64</f>
        <v>13</v>
      </c>
      <c r="AF64" s="122" t="s">
        <v>3329</v>
      </c>
      <c r="AG64" s="128"/>
      <c r="AI64" s="64"/>
      <c r="AJ64" s="313"/>
      <c r="AK64" s="348"/>
      <c r="AM64" s="269"/>
      <c r="AN64" s="269"/>
    </row>
    <row r="65" spans="1:40">
      <c r="A65" s="132" t="s">
        <v>2571</v>
      </c>
      <c r="B65" s="81">
        <v>18</v>
      </c>
      <c r="C65" s="81">
        <v>10</v>
      </c>
      <c r="D65" s="82">
        <v>-3</v>
      </c>
      <c r="E65" s="81">
        <v>10</v>
      </c>
      <c r="F65" s="58">
        <v>26.73</v>
      </c>
      <c r="G65" s="81">
        <v>3526</v>
      </c>
      <c r="H65" s="8" t="s">
        <v>327</v>
      </c>
      <c r="I65" s="16" t="s">
        <v>168</v>
      </c>
      <c r="J65" s="75">
        <v>35.17</v>
      </c>
      <c r="K65" s="75">
        <v>13.78</v>
      </c>
      <c r="L65" s="330">
        <v>14.45</v>
      </c>
      <c r="M65" s="330">
        <v>28.98</v>
      </c>
      <c r="N65" s="325">
        <f>J65+K65+L65+M65</f>
        <v>92.38000000000001</v>
      </c>
      <c r="O65" s="27" t="s">
        <v>6377</v>
      </c>
      <c r="P65" s="56" t="s">
        <v>6377</v>
      </c>
      <c r="Q65" s="26" t="s">
        <v>6396</v>
      </c>
      <c r="R65" s="309" t="s">
        <v>6236</v>
      </c>
      <c r="S65" s="330">
        <v>2.5099999999999998</v>
      </c>
      <c r="T65" s="67">
        <v>9.1300000000000008</v>
      </c>
      <c r="U65" s="366">
        <f t="shared" si="82"/>
        <v>4.5310173697270473E-2</v>
      </c>
      <c r="V65" s="97">
        <v>9.74</v>
      </c>
      <c r="W65" s="36">
        <v>201.5</v>
      </c>
      <c r="X65" s="67">
        <v>197</v>
      </c>
      <c r="Y65" s="15">
        <f>W65-X65</f>
        <v>4.5</v>
      </c>
      <c r="Z65" s="64">
        <f>Y65/X65</f>
        <v>2.2842639593908629E-2</v>
      </c>
      <c r="AA65" s="174" t="s">
        <v>6207</v>
      </c>
      <c r="AB65" s="16" t="s">
        <v>168</v>
      </c>
      <c r="AC65" s="86">
        <v>44599</v>
      </c>
      <c r="AD65" s="88">
        <v>44599</v>
      </c>
      <c r="AE65" s="33">
        <f>AD65-AC65</f>
        <v>0</v>
      </c>
      <c r="AF65" s="122" t="s">
        <v>2214</v>
      </c>
      <c r="AI65" s="64"/>
      <c r="AJ65" s="313"/>
      <c r="AK65" s="353"/>
      <c r="AM65" s="269"/>
      <c r="AN65" s="269"/>
    </row>
    <row r="66" spans="1:40">
      <c r="A66" s="132" t="s">
        <v>1838</v>
      </c>
      <c r="B66" s="82">
        <v>-42</v>
      </c>
      <c r="C66" s="82">
        <v>-44</v>
      </c>
      <c r="D66" s="81">
        <v>4</v>
      </c>
      <c r="E66" s="81">
        <v>38</v>
      </c>
      <c r="F66" s="58">
        <v>14.35</v>
      </c>
      <c r="G66" s="81">
        <v>8155</v>
      </c>
      <c r="H66" s="8" t="s">
        <v>327</v>
      </c>
      <c r="I66" s="16" t="s">
        <v>95</v>
      </c>
      <c r="J66" s="330">
        <v>44.89</v>
      </c>
      <c r="K66" s="75">
        <v>21.03</v>
      </c>
      <c r="L66" s="330">
        <v>22.97</v>
      </c>
      <c r="M66" s="330">
        <v>28.34</v>
      </c>
      <c r="N66" s="325">
        <f>J66+K66+L66+M66</f>
        <v>117.23</v>
      </c>
      <c r="O66" s="27" t="s">
        <v>6374</v>
      </c>
      <c r="P66" s="56" t="s">
        <v>6375</v>
      </c>
      <c r="Q66" s="26" t="s">
        <v>6375</v>
      </c>
      <c r="R66" s="309" t="s">
        <v>6236</v>
      </c>
      <c r="S66" s="330">
        <v>2.37</v>
      </c>
      <c r="T66" s="67">
        <v>7</v>
      </c>
      <c r="U66" s="366">
        <f t="shared" si="82"/>
        <v>3.6363636363636362E-2</v>
      </c>
      <c r="V66" s="97">
        <v>6.99</v>
      </c>
      <c r="W66" s="36">
        <v>192.5</v>
      </c>
      <c r="X66" s="67">
        <v>188</v>
      </c>
      <c r="Y66" s="15">
        <f>W66-X66</f>
        <v>4.5</v>
      </c>
      <c r="Z66" s="64">
        <f>Y66/X66</f>
        <v>2.3936170212765957E-2</v>
      </c>
      <c r="AA66" s="174" t="s">
        <v>6238</v>
      </c>
      <c r="AB66" s="16" t="s">
        <v>95</v>
      </c>
      <c r="AC66" s="86">
        <v>44599</v>
      </c>
      <c r="AD66" s="88">
        <v>44599</v>
      </c>
      <c r="AE66" s="33">
        <f>AD66-AC66</f>
        <v>0</v>
      </c>
      <c r="AF66" s="123" t="s">
        <v>1106</v>
      </c>
      <c r="AG66" s="128"/>
      <c r="AI66" s="64"/>
      <c r="AJ66" s="313"/>
      <c r="AK66" s="348"/>
      <c r="AM66" s="269"/>
      <c r="AN66" s="269"/>
    </row>
    <row r="67" spans="1:40">
      <c r="A67" s="148" t="s">
        <v>1878</v>
      </c>
      <c r="B67" s="82">
        <v>-8</v>
      </c>
      <c r="C67" s="82">
        <v>-16</v>
      </c>
      <c r="D67" s="81">
        <v>1</v>
      </c>
      <c r="E67" s="81">
        <v>19</v>
      </c>
      <c r="F67" s="6">
        <v>9.17</v>
      </c>
      <c r="G67" s="81">
        <v>3324</v>
      </c>
      <c r="H67" s="5" t="s">
        <v>334</v>
      </c>
      <c r="I67" s="16" t="s">
        <v>242</v>
      </c>
      <c r="J67" s="75">
        <v>30.19</v>
      </c>
      <c r="K67" s="75">
        <v>22.26</v>
      </c>
      <c r="L67" s="330">
        <v>40.090000000000003</v>
      </c>
      <c r="M67" s="75">
        <v>19.989999999999998</v>
      </c>
      <c r="N67" s="325">
        <f>J67+K67+L67+M67</f>
        <v>112.53</v>
      </c>
      <c r="O67" s="27" t="s">
        <v>6374</v>
      </c>
      <c r="P67" s="56" t="s">
        <v>6378</v>
      </c>
      <c r="Q67" s="26" t="s">
        <v>6374</v>
      </c>
      <c r="R67" s="309" t="s">
        <v>6236</v>
      </c>
      <c r="S67" s="330">
        <v>3.43</v>
      </c>
      <c r="T67" s="67">
        <v>5.6</v>
      </c>
      <c r="U67" s="366">
        <f t="shared" si="82"/>
        <v>2.4190064794816415E-2</v>
      </c>
      <c r="V67" s="97">
        <v>12.05</v>
      </c>
      <c r="W67" s="36">
        <v>231.5</v>
      </c>
      <c r="X67" s="67">
        <v>226</v>
      </c>
      <c r="Y67" s="15">
        <f>W67-X67</f>
        <v>5.5</v>
      </c>
      <c r="Z67" s="64">
        <f>Y67/X67</f>
        <v>2.4336283185840708E-2</v>
      </c>
      <c r="AA67" s="174" t="s">
        <v>6239</v>
      </c>
      <c r="AB67" s="16" t="s">
        <v>242</v>
      </c>
      <c r="AC67" s="86">
        <v>44599</v>
      </c>
      <c r="AD67" s="88">
        <v>44599</v>
      </c>
      <c r="AE67" s="33">
        <f>AD67-AC67</f>
        <v>0</v>
      </c>
      <c r="AF67" s="43" t="s">
        <v>3459</v>
      </c>
      <c r="AG67" s="128"/>
      <c r="AI67" s="64"/>
      <c r="AJ67" s="313"/>
      <c r="AK67" s="348"/>
      <c r="AM67" s="269"/>
      <c r="AN67" s="269"/>
    </row>
    <row r="68" spans="1:40">
      <c r="A68" s="148" t="s">
        <v>6220</v>
      </c>
      <c r="B68" s="81">
        <v>18</v>
      </c>
      <c r="C68" s="81">
        <v>9</v>
      </c>
      <c r="D68" s="81">
        <v>6</v>
      </c>
      <c r="E68" s="81">
        <v>44</v>
      </c>
      <c r="F68" s="6">
        <v>9.18</v>
      </c>
      <c r="G68" s="81">
        <v>3665</v>
      </c>
      <c r="H68" s="206" t="s">
        <v>334</v>
      </c>
      <c r="I68" s="22" t="s">
        <v>283</v>
      </c>
      <c r="J68" s="330">
        <v>57.22</v>
      </c>
      <c r="K68" s="75">
        <v>46.92</v>
      </c>
      <c r="L68" s="330">
        <v>8.9700000000000006</v>
      </c>
      <c r="M68" s="330">
        <v>4</v>
      </c>
      <c r="N68" s="325">
        <f>J68+K68+L68+M68</f>
        <v>117.11</v>
      </c>
      <c r="P68" s="56" t="s">
        <v>6377</v>
      </c>
      <c r="Q68" s="26" t="s">
        <v>6377</v>
      </c>
      <c r="R68" s="309" t="s">
        <v>6219</v>
      </c>
      <c r="S68" s="330">
        <v>8.1999999999999993</v>
      </c>
      <c r="T68" s="67">
        <v>8.1</v>
      </c>
      <c r="U68" s="366">
        <f t="shared" si="82"/>
        <v>2.6470588235294117E-2</v>
      </c>
      <c r="V68" s="58">
        <v>15.51</v>
      </c>
      <c r="W68" s="13">
        <v>306</v>
      </c>
      <c r="X68" s="67">
        <v>291</v>
      </c>
      <c r="Y68" s="15">
        <f>W68-X68</f>
        <v>15</v>
      </c>
      <c r="Z68" s="64">
        <f>Y68/X68</f>
        <v>5.1546391752577317E-2</v>
      </c>
      <c r="AA68" s="174" t="s">
        <v>1581</v>
      </c>
      <c r="AB68" s="22" t="s">
        <v>283</v>
      </c>
      <c r="AC68" s="86">
        <v>44587</v>
      </c>
      <c r="AD68" s="85">
        <v>44599</v>
      </c>
      <c r="AE68" s="33">
        <f>AD68-AC68</f>
        <v>12</v>
      </c>
      <c r="AF68" s="122" t="s">
        <v>2829</v>
      </c>
      <c r="AG68" s="128"/>
      <c r="AI68" s="64"/>
      <c r="AJ68" s="313"/>
      <c r="AK68" s="348"/>
      <c r="AM68" s="269"/>
      <c r="AN68" s="269"/>
    </row>
    <row r="69" spans="1:40" s="273" customFormat="1">
      <c r="A69" s="147"/>
      <c r="B69" s="81"/>
      <c r="C69" s="81"/>
      <c r="D69" s="81"/>
      <c r="E69" s="81"/>
      <c r="F69" s="6"/>
      <c r="G69" s="41"/>
      <c r="H69" s="8"/>
      <c r="I69" s="160"/>
      <c r="J69" s="330"/>
      <c r="K69" s="330"/>
      <c r="L69" s="330"/>
      <c r="M69" s="325"/>
      <c r="N69" s="325"/>
      <c r="O69" s="329"/>
      <c r="P69" s="354"/>
      <c r="Q69" s="312"/>
      <c r="R69" s="308"/>
      <c r="S69" s="330"/>
      <c r="T69" s="199"/>
      <c r="U69" s="366"/>
      <c r="V69" s="97"/>
      <c r="W69" s="361">
        <f>SUM(W43:W68)</f>
        <v>5682.9999999999991</v>
      </c>
      <c r="X69" s="339">
        <f>SUM(X43:X68)</f>
        <v>5553.5999999999995</v>
      </c>
      <c r="Y69" s="169">
        <f>W69-X69</f>
        <v>129.39999999999964</v>
      </c>
      <c r="Z69" s="165">
        <f>Y69/X69</f>
        <v>2.3300201670988126E-2</v>
      </c>
      <c r="AA69" s="118"/>
      <c r="AB69" s="247">
        <f>W69*(0.001425*0.5)+W69*0.003+X69*(0.001425*0.5)</f>
        <v>25.055077499999996</v>
      </c>
      <c r="AC69" s="6">
        <f>Y69-AB69</f>
        <v>104.34492249999964</v>
      </c>
      <c r="AD69" s="85"/>
      <c r="AE69" s="33"/>
      <c r="AF69" s="46" t="s">
        <v>6246</v>
      </c>
      <c r="AG69" s="170"/>
    </row>
    <row r="70" spans="1:40">
      <c r="B70" s="93"/>
      <c r="C70" s="93"/>
      <c r="D70" s="93"/>
      <c r="E70" s="93"/>
      <c r="F70" s="8"/>
      <c r="G70" s="26"/>
      <c r="H70" s="55"/>
      <c r="I70" s="50"/>
      <c r="J70" s="324"/>
      <c r="K70" s="324"/>
      <c r="L70" s="324"/>
      <c r="M70" s="324"/>
      <c r="N70" s="324"/>
      <c r="R70" s="309"/>
      <c r="S70" s="335"/>
      <c r="T70" s="10"/>
      <c r="U70" s="364"/>
      <c r="V70" s="69"/>
      <c r="W70" s="28"/>
      <c r="X70" s="17"/>
      <c r="Y70" s="14"/>
      <c r="Z70" s="21"/>
      <c r="AA70" s="25"/>
      <c r="AB70" s="50"/>
      <c r="AC70" s="73"/>
      <c r="AD70" s="74"/>
      <c r="AE70" s="32"/>
      <c r="AF70" s="252"/>
      <c r="AG70" s="128"/>
      <c r="AI70" s="8"/>
      <c r="AJ70" s="50"/>
      <c r="AM70" s="128"/>
      <c r="AN70" s="254"/>
    </row>
    <row r="71" spans="1:40">
      <c r="A71" s="148" t="s">
        <v>6220</v>
      </c>
      <c r="B71" s="81">
        <v>18</v>
      </c>
      <c r="C71" s="81">
        <v>9</v>
      </c>
      <c r="D71" s="81">
        <v>6</v>
      </c>
      <c r="E71" s="81">
        <v>44</v>
      </c>
      <c r="F71" s="6">
        <v>9.18</v>
      </c>
      <c r="G71" s="81">
        <v>3665</v>
      </c>
      <c r="H71" s="206" t="s">
        <v>334</v>
      </c>
      <c r="I71" s="22" t="s">
        <v>283</v>
      </c>
      <c r="J71" s="330">
        <v>57.22</v>
      </c>
      <c r="K71" s="75">
        <v>45.1</v>
      </c>
      <c r="L71" s="330">
        <v>9.9</v>
      </c>
      <c r="M71" s="330">
        <v>4</v>
      </c>
      <c r="N71" s="325">
        <f>J71+K71+L71+M71</f>
        <v>116.22</v>
      </c>
      <c r="P71" s="56" t="s">
        <v>6377</v>
      </c>
      <c r="Q71" s="26" t="s">
        <v>6377</v>
      </c>
      <c r="R71" s="309" t="s">
        <v>6219</v>
      </c>
      <c r="S71" s="330">
        <v>8.1999999999999993</v>
      </c>
      <c r="T71" s="67">
        <v>8.1</v>
      </c>
      <c r="U71" s="366">
        <f>T71/W71</f>
        <v>2.8723404255319149E-2</v>
      </c>
      <c r="V71" s="58">
        <v>15.51</v>
      </c>
      <c r="W71" s="13">
        <v>282</v>
      </c>
      <c r="X71" s="67">
        <v>276</v>
      </c>
      <c r="Y71" s="15">
        <f>W71-X71</f>
        <v>6</v>
      </c>
      <c r="Z71" s="64">
        <f>Y71/X71</f>
        <v>2.1739130434782608E-2</v>
      </c>
      <c r="AA71" s="174" t="s">
        <v>6223</v>
      </c>
      <c r="AB71" s="22" t="s">
        <v>283</v>
      </c>
      <c r="AC71" s="86">
        <v>44586</v>
      </c>
      <c r="AD71" s="88">
        <v>44586</v>
      </c>
      <c r="AE71" s="33">
        <f>AD71-AC71</f>
        <v>0</v>
      </c>
      <c r="AF71" s="122" t="s">
        <v>2829</v>
      </c>
      <c r="AG71" s="128"/>
      <c r="AI71" s="64"/>
      <c r="AJ71" s="313"/>
      <c r="AK71" s="348"/>
      <c r="AM71" s="269"/>
      <c r="AN71" s="269"/>
    </row>
    <row r="72" spans="1:40">
      <c r="A72" s="132" t="s">
        <v>4269</v>
      </c>
      <c r="B72" s="81">
        <v>73</v>
      </c>
      <c r="C72" s="81">
        <v>135</v>
      </c>
      <c r="D72" s="81">
        <v>0</v>
      </c>
      <c r="E72" s="81">
        <v>52</v>
      </c>
      <c r="F72" s="58">
        <v>18.690000000000001</v>
      </c>
      <c r="G72" s="82">
        <v>6182</v>
      </c>
      <c r="H72" s="258" t="s">
        <v>3761</v>
      </c>
      <c r="I72" s="16" t="s">
        <v>178</v>
      </c>
      <c r="J72" s="330">
        <v>36.03</v>
      </c>
      <c r="K72" s="75">
        <v>25.53</v>
      </c>
      <c r="L72" s="330">
        <v>28.48</v>
      </c>
      <c r="M72" s="330">
        <v>4.22</v>
      </c>
      <c r="N72" s="325">
        <f>J72+K72+L72+M72</f>
        <v>94.26</v>
      </c>
      <c r="P72" s="56" t="s">
        <v>6398</v>
      </c>
      <c r="Q72" s="26" t="s">
        <v>6381</v>
      </c>
      <c r="R72" s="309" t="s">
        <v>6219</v>
      </c>
      <c r="S72" s="330">
        <v>5.77</v>
      </c>
      <c r="T72" s="34">
        <v>1.1000000000000001</v>
      </c>
      <c r="U72" s="366">
        <f>T72/W72</f>
        <v>1.4416775884665795E-2</v>
      </c>
      <c r="V72" s="97">
        <v>1.54</v>
      </c>
      <c r="W72" s="36">
        <v>76.3</v>
      </c>
      <c r="X72" s="67">
        <v>74.5</v>
      </c>
      <c r="Y72" s="15">
        <f>W72-X72</f>
        <v>1.7999999999999972</v>
      </c>
      <c r="Z72" s="64">
        <f>Y72/X72</f>
        <v>2.4161073825503317E-2</v>
      </c>
      <c r="AA72" s="174" t="s">
        <v>6224</v>
      </c>
      <c r="AB72" s="16" t="s">
        <v>178</v>
      </c>
      <c r="AC72" s="86">
        <v>44586</v>
      </c>
      <c r="AD72" s="88">
        <v>44586</v>
      </c>
      <c r="AE72" s="33">
        <f>AD72-AC72</f>
        <v>0</v>
      </c>
      <c r="AF72" s="123" t="s">
        <v>2645</v>
      </c>
      <c r="AG72" s="269"/>
      <c r="AI72" s="64"/>
      <c r="AJ72" s="313"/>
      <c r="AK72" s="348"/>
      <c r="AM72" s="269"/>
      <c r="AN72" s="269"/>
    </row>
    <row r="73" spans="1:40" s="273" customFormat="1">
      <c r="A73" s="147"/>
      <c r="B73" s="81"/>
      <c r="C73" s="81"/>
      <c r="D73" s="81"/>
      <c r="E73" s="81"/>
      <c r="F73" s="6"/>
      <c r="G73" s="41"/>
      <c r="H73" s="8"/>
      <c r="I73" s="160"/>
      <c r="J73" s="330"/>
      <c r="K73" s="330"/>
      <c r="L73" s="330"/>
      <c r="M73" s="325"/>
      <c r="N73" s="325"/>
      <c r="O73" s="329"/>
      <c r="P73" s="354"/>
      <c r="Q73" s="312"/>
      <c r="R73" s="308"/>
      <c r="S73" s="330"/>
      <c r="T73" s="199"/>
      <c r="U73" s="366"/>
      <c r="V73" s="97"/>
      <c r="W73" s="361">
        <f>SUM(W71:W72)</f>
        <v>358.3</v>
      </c>
      <c r="X73" s="339">
        <f>SUM(X71:X72)</f>
        <v>350.5</v>
      </c>
      <c r="Y73" s="169">
        <f>W73-X73</f>
        <v>7.8000000000000114</v>
      </c>
      <c r="Z73" s="165">
        <f>Y73/X73</f>
        <v>2.2253922967189761E-2</v>
      </c>
      <c r="AA73" s="118"/>
      <c r="AB73" s="247">
        <f>W73*(0.001425*0.5)+W73*0.003+X73*(0.001425*0.5)</f>
        <v>1.57992</v>
      </c>
      <c r="AC73" s="6">
        <f>Y73-AB73</f>
        <v>6.2200800000000118</v>
      </c>
      <c r="AD73" s="85"/>
      <c r="AE73" s="33"/>
      <c r="AF73" s="46" t="s">
        <v>6245</v>
      </c>
      <c r="AG73" s="170"/>
    </row>
    <row r="74" spans="1:40" s="273" customFormat="1">
      <c r="A74" s="147"/>
      <c r="B74" s="81"/>
      <c r="C74" s="81"/>
      <c r="D74" s="81"/>
      <c r="E74" s="81"/>
      <c r="F74" s="6"/>
      <c r="G74" s="41"/>
      <c r="H74" s="8"/>
      <c r="I74" s="160"/>
      <c r="J74" s="330"/>
      <c r="K74" s="330"/>
      <c r="L74" s="330"/>
      <c r="M74" s="325"/>
      <c r="N74" s="325"/>
      <c r="O74" s="329"/>
      <c r="P74" s="354"/>
      <c r="Q74" s="312"/>
      <c r="R74" s="308"/>
      <c r="S74" s="330"/>
      <c r="T74" s="199"/>
      <c r="U74" s="366"/>
      <c r="V74" s="97"/>
      <c r="W74" s="361"/>
      <c r="X74" s="339"/>
      <c r="Y74" s="169"/>
      <c r="Z74" s="165"/>
      <c r="AA74" s="118"/>
      <c r="AB74" s="247"/>
      <c r="AC74" s="6"/>
      <c r="AD74" s="85"/>
      <c r="AE74" s="33"/>
      <c r="AF74" s="215"/>
      <c r="AG74" s="170"/>
    </row>
    <row r="75" spans="1:40">
      <c r="U75" s="368"/>
      <c r="AG75" s="128"/>
    </row>
    <row r="76" spans="1:40">
      <c r="U76" s="364"/>
      <c r="AG76" s="269"/>
    </row>
    <row r="77" spans="1:40">
      <c r="U77" s="364"/>
      <c r="AG77" s="128"/>
    </row>
    <row r="78" spans="1:40">
      <c r="U78" s="364"/>
      <c r="AG78" s="128"/>
    </row>
    <row r="79" spans="1:40">
      <c r="U79" s="364"/>
      <c r="AG79" s="128"/>
    </row>
    <row r="80" spans="1:40">
      <c r="U80" s="366"/>
      <c r="AG80" s="128"/>
    </row>
    <row r="81" spans="21:38">
      <c r="U81" s="366"/>
      <c r="AG81" s="269"/>
    </row>
    <row r="82" spans="21:38">
      <c r="U82" s="366"/>
      <c r="AG82" s="128"/>
    </row>
    <row r="83" spans="21:38">
      <c r="U83" s="366"/>
      <c r="AG83" s="128"/>
    </row>
    <row r="84" spans="21:38">
      <c r="U84" s="366"/>
      <c r="AG84" s="128"/>
    </row>
    <row r="85" spans="21:38">
      <c r="U85" s="366"/>
      <c r="AG85" s="269"/>
    </row>
    <row r="86" spans="21:38">
      <c r="U86" s="366"/>
      <c r="AG86" s="128"/>
    </row>
    <row r="87" spans="21:38">
      <c r="U87" s="366"/>
      <c r="AG87" s="128"/>
      <c r="AL87" s="309"/>
    </row>
    <row r="88" spans="21:38">
      <c r="U88" s="366"/>
      <c r="AG88" s="128"/>
      <c r="AL88" s="269"/>
    </row>
    <row r="89" spans="21:38">
      <c r="U89" s="366"/>
      <c r="AG89" s="128"/>
      <c r="AL89" s="269"/>
    </row>
    <row r="90" spans="21:38">
      <c r="U90" s="366"/>
      <c r="AG90" s="128"/>
      <c r="AL90" s="269"/>
    </row>
    <row r="91" spans="21:38">
      <c r="U91" s="366"/>
      <c r="AG91" s="269"/>
      <c r="AL91" s="269"/>
    </row>
    <row r="92" spans="21:38">
      <c r="U92" s="366"/>
      <c r="AG92" s="269"/>
      <c r="AK92" s="182"/>
      <c r="AL92" s="269"/>
    </row>
    <row r="93" spans="21:38">
      <c r="U93" s="366"/>
      <c r="AG93" s="128"/>
      <c r="AL93" s="269"/>
    </row>
    <row r="94" spans="21:38">
      <c r="U94" s="366"/>
      <c r="AG94" s="128"/>
      <c r="AL94" s="269"/>
    </row>
    <row r="95" spans="21:38">
      <c r="AG95" s="128"/>
      <c r="AL95" s="269"/>
    </row>
    <row r="96" spans="21:38">
      <c r="AG96" s="128"/>
      <c r="AL96" s="269"/>
    </row>
    <row r="97" spans="21:38">
      <c r="AG97" s="128"/>
      <c r="AL97" s="269"/>
    </row>
    <row r="98" spans="21:38">
      <c r="AG98" s="128"/>
      <c r="AL98" s="269"/>
    </row>
    <row r="99" spans="21:38">
      <c r="AG99" s="128"/>
      <c r="AL99" s="269"/>
    </row>
    <row r="100" spans="21:38">
      <c r="AG100" s="128"/>
      <c r="AL100" s="269"/>
    </row>
    <row r="101" spans="21:38">
      <c r="AG101" s="128"/>
      <c r="AL101" s="269"/>
    </row>
    <row r="102" spans="21:38">
      <c r="AL102" s="269"/>
    </row>
    <row r="103" spans="21:38">
      <c r="U103" s="364"/>
      <c r="AG103" s="128"/>
      <c r="AL103" s="269"/>
    </row>
    <row r="104" spans="21:38">
      <c r="U104" s="366"/>
      <c r="AG104" s="128"/>
      <c r="AL104" s="269"/>
    </row>
    <row r="105" spans="21:38">
      <c r="U105" s="366"/>
      <c r="AG105" s="128"/>
    </row>
    <row r="106" spans="21:38">
      <c r="U106" s="366"/>
      <c r="AG106" s="269"/>
    </row>
    <row r="107" spans="21:38">
      <c r="U107" s="366"/>
      <c r="AG107" s="128"/>
    </row>
    <row r="108" spans="21:38">
      <c r="U108" s="366"/>
      <c r="AG108" s="269"/>
    </row>
    <row r="109" spans="21:38">
      <c r="U109" s="366"/>
      <c r="AG109" s="128"/>
    </row>
    <row r="110" spans="21:38">
      <c r="U110" s="366"/>
      <c r="AG110" s="269"/>
    </row>
    <row r="111" spans="21:38">
      <c r="U111" s="366"/>
      <c r="AG111" s="128"/>
    </row>
    <row r="112" spans="21:38">
      <c r="U112" s="366"/>
      <c r="AG112" s="128"/>
    </row>
    <row r="113" spans="21:38">
      <c r="AG113" s="128"/>
      <c r="AL113" s="309"/>
    </row>
    <row r="114" spans="21:38">
      <c r="AG114" s="128"/>
      <c r="AL114" s="269"/>
    </row>
    <row r="115" spans="21:38">
      <c r="U115" s="364"/>
      <c r="AG115" s="128"/>
      <c r="AL115" s="269"/>
    </row>
    <row r="116" spans="21:38">
      <c r="U116" s="366"/>
      <c r="AG116" s="128"/>
      <c r="AL116" s="269"/>
    </row>
    <row r="117" spans="21:38">
      <c r="U117" s="366"/>
      <c r="AG117" s="128"/>
      <c r="AL117" s="269"/>
    </row>
    <row r="118" spans="21:38">
      <c r="U118" s="366"/>
      <c r="AG118" s="128"/>
      <c r="AL118" s="269"/>
    </row>
    <row r="119" spans="21:38">
      <c r="U119" s="366"/>
      <c r="AG119" s="128"/>
      <c r="AL119" s="269"/>
    </row>
    <row r="120" spans="21:38">
      <c r="U120" s="366"/>
      <c r="AG120" s="269"/>
    </row>
    <row r="121" spans="21:38">
      <c r="U121" s="366"/>
      <c r="AG121" s="128"/>
    </row>
    <row r="122" spans="21:38">
      <c r="AG122" s="128"/>
    </row>
    <row r="123" spans="21:38">
      <c r="AG123" s="128"/>
      <c r="AL123" s="309"/>
    </row>
    <row r="124" spans="21:38">
      <c r="AG124" s="128"/>
    </row>
    <row r="125" spans="21:38">
      <c r="AG125" s="128"/>
    </row>
    <row r="126" spans="21:38">
      <c r="AG126" s="269"/>
    </row>
    <row r="127" spans="21:38">
      <c r="AG127" s="128"/>
    </row>
    <row r="128" spans="21:38">
      <c r="AG128" s="128"/>
    </row>
    <row r="129" spans="33:38">
      <c r="AG129" s="269"/>
      <c r="AL129" s="309"/>
    </row>
    <row r="130" spans="33:38">
      <c r="AG130" s="128"/>
    </row>
    <row r="131" spans="33:38">
      <c r="AG131" s="128"/>
    </row>
    <row r="132" spans="33:38">
      <c r="AG132" s="128"/>
    </row>
    <row r="133" spans="33:38">
      <c r="AG133" s="128"/>
      <c r="AK133" s="48"/>
    </row>
    <row r="134" spans="33:38">
      <c r="AG134" s="128"/>
    </row>
    <row r="135" spans="33:38">
      <c r="AG135" s="128"/>
    </row>
    <row r="136" spans="33:38">
      <c r="AG136" s="128"/>
    </row>
    <row r="137" spans="33:38">
      <c r="AG137" s="128"/>
    </row>
    <row r="138" spans="33:38">
      <c r="AG138" s="128"/>
    </row>
    <row r="139" spans="33:38">
      <c r="AG139" s="128"/>
    </row>
    <row r="140" spans="33:38">
      <c r="AG140" s="128"/>
    </row>
    <row r="141" spans="33:38">
      <c r="AG141" s="128"/>
    </row>
    <row r="142" spans="33:38">
      <c r="AG142" s="128"/>
    </row>
    <row r="143" spans="33:38">
      <c r="AG143" s="128"/>
    </row>
    <row r="144" spans="33:38">
      <c r="AG144" s="128"/>
    </row>
    <row r="145" spans="33:33">
      <c r="AG145" s="128"/>
    </row>
    <row r="146" spans="33:33">
      <c r="AG146" s="128"/>
    </row>
    <row r="147" spans="33:33">
      <c r="AG147" s="128"/>
    </row>
    <row r="148" spans="33:33">
      <c r="AG148" s="128"/>
    </row>
    <row r="149" spans="33:33">
      <c r="AG149" s="128"/>
    </row>
    <row r="150" spans="33:33">
      <c r="AG150" s="128"/>
    </row>
    <row r="151" spans="33:33">
      <c r="AG151" s="128"/>
    </row>
    <row r="152" spans="33:33">
      <c r="AG152" s="128"/>
    </row>
    <row r="153" spans="33:33">
      <c r="AG153" s="128"/>
    </row>
    <row r="154" spans="33:33">
      <c r="AG154" s="128"/>
    </row>
    <row r="155" spans="33:33">
      <c r="AG155" s="128"/>
    </row>
    <row r="156" spans="33:33">
      <c r="AG156" s="128"/>
    </row>
    <row r="157" spans="33:33">
      <c r="AG157" s="128"/>
    </row>
    <row r="158" spans="33:33">
      <c r="AG158" s="128"/>
    </row>
    <row r="159" spans="33:33">
      <c r="AG159" s="128"/>
    </row>
    <row r="160" spans="33:33">
      <c r="AG160" s="128"/>
    </row>
    <row r="161" spans="33:33">
      <c r="AG161" s="128"/>
    </row>
    <row r="162" spans="33:33">
      <c r="AG162" s="128"/>
    </row>
    <row r="163" spans="33:33">
      <c r="AG163" s="128"/>
    </row>
    <row r="164" spans="33:33">
      <c r="AG164" s="128"/>
    </row>
    <row r="165" spans="33:33">
      <c r="AG165" s="128"/>
    </row>
    <row r="166" spans="33:33">
      <c r="AG166" s="269"/>
    </row>
    <row r="167" spans="33:33">
      <c r="AG167" s="128"/>
    </row>
    <row r="168" spans="33:33">
      <c r="AG168" s="128"/>
    </row>
    <row r="169" spans="33:33">
      <c r="AG169" s="128"/>
    </row>
    <row r="170" spans="33:33">
      <c r="AG170" s="128"/>
    </row>
    <row r="171" spans="33:33">
      <c r="AG171" s="128"/>
    </row>
    <row r="172" spans="33:33">
      <c r="AG172" s="128"/>
    </row>
    <row r="173" spans="33:33">
      <c r="AG173" s="128"/>
    </row>
    <row r="174" spans="33:33">
      <c r="AG174" s="128"/>
    </row>
    <row r="175" spans="33:33">
      <c r="AG175" s="128"/>
    </row>
    <row r="176" spans="33:33">
      <c r="AG176" s="128"/>
    </row>
    <row r="177" spans="33:33">
      <c r="AG177" s="128"/>
    </row>
    <row r="178" spans="33:33">
      <c r="AG178" s="128"/>
    </row>
    <row r="179" spans="33:33">
      <c r="AG179" s="128"/>
    </row>
    <row r="180" spans="33:33">
      <c r="AG180" s="128"/>
    </row>
    <row r="181" spans="33:33">
      <c r="AG181" s="128"/>
    </row>
    <row r="182" spans="33:33">
      <c r="AG182" s="128"/>
    </row>
    <row r="183" spans="33:33">
      <c r="AG183" s="128"/>
    </row>
    <row r="184" spans="33:33">
      <c r="AG184" s="128"/>
    </row>
    <row r="185" spans="33:33">
      <c r="AG185" s="128"/>
    </row>
    <row r="186" spans="33:33">
      <c r="AG186" s="128"/>
    </row>
    <row r="187" spans="33:33">
      <c r="AG187" s="128"/>
    </row>
    <row r="188" spans="33:33">
      <c r="AG188" s="128"/>
    </row>
    <row r="189" spans="33:33">
      <c r="AG189" s="128"/>
    </row>
    <row r="190" spans="33:33">
      <c r="AG190" s="128"/>
    </row>
    <row r="191" spans="33:33">
      <c r="AG191" s="128"/>
    </row>
    <row r="192" spans="33:33">
      <c r="AG192" s="128"/>
    </row>
    <row r="193" spans="33:33">
      <c r="AG193" s="128"/>
    </row>
    <row r="194" spans="33:33">
      <c r="AG194" s="128"/>
    </row>
    <row r="196" spans="33:33">
      <c r="AG196" s="128"/>
    </row>
    <row r="197" spans="33:33">
      <c r="AG197" s="128"/>
    </row>
    <row r="198" spans="33:33">
      <c r="AG198" s="128"/>
    </row>
    <row r="199" spans="33:33">
      <c r="AG199" s="128"/>
    </row>
    <row r="200" spans="33:33">
      <c r="AG200" s="128"/>
    </row>
    <row r="202" spans="33:33">
      <c r="AG202" s="128"/>
    </row>
    <row r="203" spans="33:33">
      <c r="AG203" s="128"/>
    </row>
    <row r="204" spans="33:33">
      <c r="AG204" s="128"/>
    </row>
    <row r="205" spans="33:33">
      <c r="AG205" s="128"/>
    </row>
    <row r="206" spans="33:33">
      <c r="AG206" s="128"/>
    </row>
    <row r="207" spans="33:33">
      <c r="AG207" s="128"/>
    </row>
    <row r="208" spans="33:33">
      <c r="AG208" s="128"/>
    </row>
    <row r="209" spans="33:33">
      <c r="AG209" s="128"/>
    </row>
    <row r="210" spans="33:33">
      <c r="AG210" s="128"/>
    </row>
    <row r="211" spans="33:33">
      <c r="AG211" s="128"/>
    </row>
    <row r="212" spans="33:33">
      <c r="AG212" s="128"/>
    </row>
    <row r="213" spans="33:33">
      <c r="AG213" s="269"/>
    </row>
    <row r="214" spans="33:33">
      <c r="AG214" s="128"/>
    </row>
    <row r="216" spans="33:33">
      <c r="AG216" s="128"/>
    </row>
    <row r="217" spans="33:33">
      <c r="AG217" s="128"/>
    </row>
    <row r="218" spans="33:33">
      <c r="AG218" s="128"/>
    </row>
    <row r="219" spans="33:33">
      <c r="AG219" s="128"/>
    </row>
    <row r="220" spans="33:33">
      <c r="AG220" s="128"/>
    </row>
    <row r="221" spans="33:33">
      <c r="AG221" s="128"/>
    </row>
    <row r="222" spans="33:33">
      <c r="AG222" s="128"/>
    </row>
    <row r="223" spans="33:33">
      <c r="AG223" s="128"/>
    </row>
    <row r="224" spans="33:33">
      <c r="AG224" s="128"/>
    </row>
    <row r="225" spans="33:33">
      <c r="AG225" s="128"/>
    </row>
    <row r="226" spans="33:33">
      <c r="AG226" s="128"/>
    </row>
    <row r="228" spans="33:33">
      <c r="AG228" s="128"/>
    </row>
    <row r="229" spans="33:33">
      <c r="AG229" s="128"/>
    </row>
    <row r="230" spans="33:33">
      <c r="AG230" s="128"/>
    </row>
    <row r="231" spans="33:33">
      <c r="AG231" s="128"/>
    </row>
    <row r="232" spans="33:33">
      <c r="AG232" s="128"/>
    </row>
    <row r="233" spans="33:33">
      <c r="AG233" s="128"/>
    </row>
    <row r="234" spans="33:33">
      <c r="AG234" s="128"/>
    </row>
    <row r="235" spans="33:33">
      <c r="AG235" s="128"/>
    </row>
    <row r="236" spans="33:33">
      <c r="AG236" s="128"/>
    </row>
    <row r="237" spans="33:33">
      <c r="AG237" s="128"/>
    </row>
    <row r="238" spans="33:33">
      <c r="AG238" s="128"/>
    </row>
    <row r="239" spans="33:33">
      <c r="AG239" s="128"/>
    </row>
    <row r="240" spans="33:33">
      <c r="AG240" s="128"/>
    </row>
    <row r="241" spans="33:37">
      <c r="AG241" s="128"/>
    </row>
    <row r="242" spans="33:37">
      <c r="AG242" s="128"/>
    </row>
    <row r="243" spans="33:37">
      <c r="AG243" s="128"/>
      <c r="AK243" s="48"/>
    </row>
    <row r="244" spans="33:37">
      <c r="AG244" s="128"/>
      <c r="AK244" s="48"/>
    </row>
    <row r="245" spans="33:37">
      <c r="AG245" s="128"/>
    </row>
    <row r="246" spans="33:37">
      <c r="AG246" s="128"/>
    </row>
    <row r="247" spans="33:37">
      <c r="AG247" s="128"/>
    </row>
    <row r="248" spans="33:37">
      <c r="AG248" s="128"/>
    </row>
    <row r="249" spans="33:37">
      <c r="AG249" s="128"/>
    </row>
    <row r="250" spans="33:37">
      <c r="AG250" s="128"/>
      <c r="AK250" s="48"/>
    </row>
    <row r="251" spans="33:37">
      <c r="AG251" s="128"/>
    </row>
    <row r="252" spans="33:37">
      <c r="AG252" s="128"/>
    </row>
    <row r="253" spans="33:37">
      <c r="AG253" s="128"/>
    </row>
    <row r="254" spans="33:37">
      <c r="AG254" s="128"/>
      <c r="AK254" s="23"/>
    </row>
    <row r="255" spans="33:37">
      <c r="AG255" s="128"/>
      <c r="AK255" s="23"/>
    </row>
    <row r="256" spans="33:37">
      <c r="AG256" s="128"/>
    </row>
    <row r="257" spans="33:33">
      <c r="AG257" s="128"/>
    </row>
    <row r="258" spans="33:33">
      <c r="AG258" s="128"/>
    </row>
    <row r="259" spans="33:33">
      <c r="AG259" s="128"/>
    </row>
    <row r="260" spans="33:33">
      <c r="AG260" s="128"/>
    </row>
    <row r="261" spans="33:33">
      <c r="AG261" s="128"/>
    </row>
    <row r="262" spans="33:33">
      <c r="AG262" s="128"/>
    </row>
    <row r="263" spans="33:33">
      <c r="AG263" s="128"/>
    </row>
    <row r="264" spans="33:33">
      <c r="AG264" s="128"/>
    </row>
    <row r="265" spans="33:33">
      <c r="AG265" s="128"/>
    </row>
    <row r="266" spans="33:33">
      <c r="AG266" s="128"/>
    </row>
    <row r="267" spans="33:33">
      <c r="AG267" s="128"/>
    </row>
    <row r="268" spans="33:33">
      <c r="AG268" s="128"/>
    </row>
    <row r="269" spans="33:33">
      <c r="AG269" s="128"/>
    </row>
    <row r="270" spans="33:33">
      <c r="AG270" s="128"/>
    </row>
    <row r="271" spans="33:33">
      <c r="AG271" s="128"/>
    </row>
    <row r="272" spans="33:33">
      <c r="AG272" s="128"/>
    </row>
    <row r="273" spans="33:33">
      <c r="AG273" s="128"/>
    </row>
    <row r="274" spans="33:33">
      <c r="AG274" s="128"/>
    </row>
    <row r="275" spans="33:33">
      <c r="AG275" s="128"/>
    </row>
    <row r="276" spans="33:33">
      <c r="AG276" s="128"/>
    </row>
    <row r="277" spans="33:33">
      <c r="AG277" s="128"/>
    </row>
    <row r="278" spans="33:33">
      <c r="AG278" s="128"/>
    </row>
    <row r="279" spans="33:33">
      <c r="AG279" s="128"/>
    </row>
    <row r="280" spans="33:33">
      <c r="AG280" s="128"/>
    </row>
    <row r="281" spans="33:33">
      <c r="AG281" s="128"/>
    </row>
    <row r="282" spans="33:33">
      <c r="AG282" s="128"/>
    </row>
    <row r="283" spans="33:33">
      <c r="AG283" s="128"/>
    </row>
    <row r="284" spans="33:33">
      <c r="AG284" s="128"/>
    </row>
    <row r="285" spans="33:33">
      <c r="AG285" s="128"/>
    </row>
    <row r="286" spans="33:33">
      <c r="AG286" s="128"/>
    </row>
    <row r="287" spans="33:33">
      <c r="AG287" s="128"/>
    </row>
    <row r="288" spans="33:33">
      <c r="AG288" s="128"/>
    </row>
    <row r="289" spans="33:37">
      <c r="AG289" s="269"/>
    </row>
    <row r="290" spans="33:37">
      <c r="AG290" s="128"/>
    </row>
    <row r="291" spans="33:37">
      <c r="AG291" s="128"/>
      <c r="AK291" s="48"/>
    </row>
    <row r="292" spans="33:37">
      <c r="AG292" s="128"/>
      <c r="AK292" s="48"/>
    </row>
    <row r="293" spans="33:37">
      <c r="AG293" s="128"/>
    </row>
    <row r="294" spans="33:37">
      <c r="AG294" s="128"/>
    </row>
    <row r="295" spans="33:37">
      <c r="AG295" s="128"/>
    </row>
    <row r="296" spans="33:37">
      <c r="AG296" s="128"/>
    </row>
    <row r="297" spans="33:37">
      <c r="AG297" s="51"/>
    </row>
    <row r="298" spans="33:37">
      <c r="AG298" s="128"/>
    </row>
    <row r="299" spans="33:37">
      <c r="AG299" s="128"/>
    </row>
    <row r="300" spans="33:37">
      <c r="AG300" s="128"/>
    </row>
    <row r="301" spans="33:37">
      <c r="AG301" s="128"/>
    </row>
    <row r="302" spans="33:37">
      <c r="AG302" s="128"/>
    </row>
    <row r="303" spans="33:37">
      <c r="AG303" s="128"/>
    </row>
    <row r="304" spans="33:37">
      <c r="AG304" s="128"/>
    </row>
    <row r="305" spans="33:33">
      <c r="AG305" s="128"/>
    </row>
    <row r="306" spans="33:33">
      <c r="AG306" s="128"/>
    </row>
    <row r="307" spans="33:33">
      <c r="AG307" s="128"/>
    </row>
    <row r="308" spans="33:33">
      <c r="AG308" s="128"/>
    </row>
    <row r="309" spans="33:33">
      <c r="AG309" s="128"/>
    </row>
    <row r="310" spans="33:33">
      <c r="AG310" s="128"/>
    </row>
    <row r="311" spans="33:33">
      <c r="AG311" s="128"/>
    </row>
    <row r="312" spans="33:33">
      <c r="AG312" s="128"/>
    </row>
    <row r="313" spans="33:33">
      <c r="AG313" s="128"/>
    </row>
    <row r="314" spans="33:33">
      <c r="AG314" s="128"/>
    </row>
    <row r="315" spans="33:33">
      <c r="AG315" s="128"/>
    </row>
    <row r="316" spans="33:33">
      <c r="AG316" s="128"/>
    </row>
    <row r="317" spans="33:33">
      <c r="AG317" s="128"/>
    </row>
    <row r="318" spans="33:33">
      <c r="AG318" s="128"/>
    </row>
    <row r="319" spans="33:33">
      <c r="AG319" s="128"/>
    </row>
    <row r="320" spans="33:33">
      <c r="AG320" s="128"/>
    </row>
    <row r="321" spans="33:33">
      <c r="AG321" s="128"/>
    </row>
    <row r="322" spans="33:33">
      <c r="AG322" s="128"/>
    </row>
    <row r="323" spans="33:33">
      <c r="AG323" s="128"/>
    </row>
    <row r="324" spans="33:33">
      <c r="AG324" s="128"/>
    </row>
    <row r="325" spans="33:33">
      <c r="AG325" s="128"/>
    </row>
    <row r="326" spans="33:33">
      <c r="AG326" s="128"/>
    </row>
    <row r="327" spans="33:33">
      <c r="AG327" s="269"/>
    </row>
    <row r="328" spans="33:33">
      <c r="AG328" s="128"/>
    </row>
    <row r="330" spans="33:33">
      <c r="AG330" s="128"/>
    </row>
    <row r="331" spans="33:33">
      <c r="AG331" s="128"/>
    </row>
    <row r="332" spans="33:33">
      <c r="AG332" s="128"/>
    </row>
    <row r="333" spans="33:33">
      <c r="AG333" s="128"/>
    </row>
    <row r="334" spans="33:33">
      <c r="AG334" s="128"/>
    </row>
    <row r="335" spans="33:33">
      <c r="AG335" s="128"/>
    </row>
    <row r="336" spans="33:33">
      <c r="AG336" s="128"/>
    </row>
    <row r="337" spans="33:33">
      <c r="AG337" s="128"/>
    </row>
    <row r="338" spans="33:33">
      <c r="AG338" s="128"/>
    </row>
    <row r="339" spans="33:33">
      <c r="AG339" s="128"/>
    </row>
    <row r="340" spans="33:33">
      <c r="AG340" s="128"/>
    </row>
    <row r="341" spans="33:33">
      <c r="AG341" s="128"/>
    </row>
    <row r="342" spans="33:33">
      <c r="AG342" s="128"/>
    </row>
    <row r="343" spans="33:33">
      <c r="AG343" s="128"/>
    </row>
    <row r="344" spans="33:33">
      <c r="AG344" s="128"/>
    </row>
    <row r="345" spans="33:33">
      <c r="AG345" s="269"/>
    </row>
    <row r="346" spans="33:33">
      <c r="AG346" s="128"/>
    </row>
    <row r="347" spans="33:33">
      <c r="AG347" s="128"/>
    </row>
    <row r="348" spans="33:33">
      <c r="AG348" s="128"/>
    </row>
    <row r="349" spans="33:33">
      <c r="AG349" s="128"/>
    </row>
    <row r="350" spans="33:33">
      <c r="AG350" s="128"/>
    </row>
    <row r="351" spans="33:33">
      <c r="AG351" s="128"/>
    </row>
    <row r="352" spans="33:33">
      <c r="AG352" s="128"/>
    </row>
    <row r="353" spans="33:33">
      <c r="AG353" s="128"/>
    </row>
    <row r="354" spans="33:33">
      <c r="AG354" s="128"/>
    </row>
    <row r="355" spans="33:33">
      <c r="AG355" s="128"/>
    </row>
    <row r="356" spans="33:33">
      <c r="AG356" s="128"/>
    </row>
    <row r="357" spans="33:33">
      <c r="AG357" s="128"/>
    </row>
    <row r="358" spans="33:33">
      <c r="AG358" s="128"/>
    </row>
    <row r="359" spans="33:33">
      <c r="AG359" s="128"/>
    </row>
    <row r="360" spans="33:33">
      <c r="AG360" s="128"/>
    </row>
    <row r="361" spans="33:33">
      <c r="AG361" s="128"/>
    </row>
    <row r="362" spans="33:33">
      <c r="AG362" s="128"/>
    </row>
    <row r="363" spans="33:33">
      <c r="AG363" s="128"/>
    </row>
    <row r="364" spans="33:33">
      <c r="AG364" s="128"/>
    </row>
    <row r="365" spans="33:33">
      <c r="AG365" s="128"/>
    </row>
    <row r="366" spans="33:33">
      <c r="AG366" s="128"/>
    </row>
    <row r="367" spans="33:33">
      <c r="AG367" s="128"/>
    </row>
    <row r="368" spans="33:33">
      <c r="AG368" s="128"/>
    </row>
    <row r="369" spans="33:33">
      <c r="AG369" s="128"/>
    </row>
    <row r="370" spans="33:33">
      <c r="AG370" s="128"/>
    </row>
    <row r="371" spans="33:33">
      <c r="AG371" s="128"/>
    </row>
    <row r="372" spans="33:33">
      <c r="AG372" s="128"/>
    </row>
    <row r="373" spans="33:33">
      <c r="AG373" s="269"/>
    </row>
    <row r="374" spans="33:33">
      <c r="AG374" s="128"/>
    </row>
    <row r="375" spans="33:33">
      <c r="AG375" s="128"/>
    </row>
    <row r="376" spans="33:33">
      <c r="AG376" s="128"/>
    </row>
    <row r="377" spans="33:33">
      <c r="AG377" s="128"/>
    </row>
    <row r="378" spans="33:33">
      <c r="AG378" s="128"/>
    </row>
    <row r="379" spans="33:33">
      <c r="AG379" s="128"/>
    </row>
    <row r="380" spans="33:33">
      <c r="AG380" s="128"/>
    </row>
    <row r="381" spans="33:33">
      <c r="AG381" s="128"/>
    </row>
    <row r="382" spans="33:33">
      <c r="AG382" s="128"/>
    </row>
    <row r="383" spans="33:33">
      <c r="AG383" s="128"/>
    </row>
    <row r="384" spans="33:33">
      <c r="AG384" s="128"/>
    </row>
    <row r="385" spans="33:33">
      <c r="AG385" s="128"/>
    </row>
    <row r="386" spans="33:33">
      <c r="AG386" s="128"/>
    </row>
    <row r="387" spans="33:33">
      <c r="AG387" s="128"/>
    </row>
    <row r="388" spans="33:33">
      <c r="AG388" s="128"/>
    </row>
    <row r="389" spans="33:33">
      <c r="AG389" s="128"/>
    </row>
    <row r="390" spans="33:33">
      <c r="AG390" s="128"/>
    </row>
    <row r="391" spans="33:33">
      <c r="AG391" s="269"/>
    </row>
    <row r="392" spans="33:33">
      <c r="AG392" s="128"/>
    </row>
    <row r="393" spans="33:33">
      <c r="AG393" s="269"/>
    </row>
    <row r="394" spans="33:33">
      <c r="AG394" s="128"/>
    </row>
    <row r="395" spans="33:33">
      <c r="AG395" s="128"/>
    </row>
    <row r="396" spans="33:33">
      <c r="AG396" s="128"/>
    </row>
    <row r="397" spans="33:33">
      <c r="AG397" s="128"/>
    </row>
    <row r="398" spans="33:33">
      <c r="AG398" s="128"/>
    </row>
    <row r="399" spans="33:33">
      <c r="AG399" s="128"/>
    </row>
    <row r="400" spans="33:33">
      <c r="AG400" s="128"/>
    </row>
    <row r="401" spans="33:33">
      <c r="AG401" s="128"/>
    </row>
    <row r="402" spans="33:33">
      <c r="AG402" s="128"/>
    </row>
    <row r="403" spans="33:33">
      <c r="AG403" s="128"/>
    </row>
    <row r="404" spans="33:33">
      <c r="AG404" s="128"/>
    </row>
    <row r="405" spans="33:33">
      <c r="AG405" s="128"/>
    </row>
    <row r="406" spans="33:33">
      <c r="AG406" s="128"/>
    </row>
    <row r="407" spans="33:33">
      <c r="AG407" s="128"/>
    </row>
    <row r="408" spans="33:33">
      <c r="AG408" s="128"/>
    </row>
    <row r="409" spans="33:33">
      <c r="AG409" s="128"/>
    </row>
    <row r="410" spans="33:33">
      <c r="AG410" s="128"/>
    </row>
    <row r="411" spans="33:33">
      <c r="AG411" s="128"/>
    </row>
    <row r="412" spans="33:33">
      <c r="AG412" s="128"/>
    </row>
    <row r="413" spans="33:33">
      <c r="AG413" s="128"/>
    </row>
    <row r="414" spans="33:33">
      <c r="AG414" s="128"/>
    </row>
    <row r="415" spans="33:33">
      <c r="AG415" s="128"/>
    </row>
    <row r="416" spans="33:33">
      <c r="AG416" s="128"/>
    </row>
    <row r="417" spans="33:33">
      <c r="AG417" s="128"/>
    </row>
    <row r="418" spans="33:33">
      <c r="AG418" s="128"/>
    </row>
    <row r="419" spans="33:33">
      <c r="AG419" s="128"/>
    </row>
    <row r="420" spans="33:33">
      <c r="AG420" s="128"/>
    </row>
    <row r="421" spans="33:33">
      <c r="AG421" s="128"/>
    </row>
    <row r="422" spans="33:33">
      <c r="AG422" s="128"/>
    </row>
    <row r="423" spans="33:33">
      <c r="AG423" s="128"/>
    </row>
    <row r="424" spans="33:33">
      <c r="AG424" s="128"/>
    </row>
    <row r="425" spans="33:33">
      <c r="AG425" s="128"/>
    </row>
    <row r="426" spans="33:33">
      <c r="AG426" s="128"/>
    </row>
    <row r="427" spans="33:33">
      <c r="AG427" s="128"/>
    </row>
    <row r="428" spans="33:33">
      <c r="AG428" s="269"/>
    </row>
    <row r="429" spans="33:33">
      <c r="AG429" s="128"/>
    </row>
    <row r="430" spans="33:33">
      <c r="AG430" s="128"/>
    </row>
    <row r="431" spans="33:33">
      <c r="AG431" s="128"/>
    </row>
    <row r="432" spans="33:33">
      <c r="AG432" s="128"/>
    </row>
    <row r="433" spans="33:33">
      <c r="AG433" s="128"/>
    </row>
    <row r="434" spans="33:33">
      <c r="AG434" s="128"/>
    </row>
    <row r="435" spans="33:33">
      <c r="AG435" s="128"/>
    </row>
    <row r="436" spans="33:33">
      <c r="AG436" s="128"/>
    </row>
    <row r="437" spans="33:33">
      <c r="AG437" s="128"/>
    </row>
    <row r="438" spans="33:33">
      <c r="AG438" s="128"/>
    </row>
    <row r="439" spans="33:33">
      <c r="AG439" s="128"/>
    </row>
    <row r="440" spans="33:33">
      <c r="AG440" s="128"/>
    </row>
    <row r="441" spans="33:33">
      <c r="AG441" s="128"/>
    </row>
    <row r="442" spans="33:33">
      <c r="AG442" s="128"/>
    </row>
    <row r="443" spans="33:33">
      <c r="AG443" s="128"/>
    </row>
    <row r="444" spans="33:33">
      <c r="AG444" s="128"/>
    </row>
    <row r="445" spans="33:33">
      <c r="AG445" s="128"/>
    </row>
    <row r="446" spans="33:33">
      <c r="AG446" s="128"/>
    </row>
    <row r="447" spans="33:33">
      <c r="AG447" s="128"/>
    </row>
    <row r="448" spans="33:33">
      <c r="AG448" s="128"/>
    </row>
    <row r="449" spans="33:33">
      <c r="AG449" s="128"/>
    </row>
    <row r="450" spans="33:33">
      <c r="AG450" s="128"/>
    </row>
    <row r="451" spans="33:33">
      <c r="AG451" s="128"/>
    </row>
    <row r="452" spans="33:33">
      <c r="AG452" s="128"/>
    </row>
    <row r="453" spans="33:33">
      <c r="AG453" s="128"/>
    </row>
    <row r="454" spans="33:33">
      <c r="AG454" s="128"/>
    </row>
    <row r="455" spans="33:33">
      <c r="AG455" s="128"/>
    </row>
    <row r="456" spans="33:33">
      <c r="AG456" s="128"/>
    </row>
    <row r="457" spans="33:33">
      <c r="AG457" s="128"/>
    </row>
    <row r="458" spans="33:33">
      <c r="AG458" s="128"/>
    </row>
    <row r="459" spans="33:33">
      <c r="AG459" s="128"/>
    </row>
    <row r="460" spans="33:33">
      <c r="AG460" s="128"/>
    </row>
    <row r="461" spans="33:33">
      <c r="AG461" s="128"/>
    </row>
    <row r="462" spans="33:33">
      <c r="AG462" s="128"/>
    </row>
    <row r="463" spans="33:33">
      <c r="AG463" s="128"/>
    </row>
    <row r="464" spans="33:33">
      <c r="AG464" s="128"/>
    </row>
    <row r="465" spans="33:33">
      <c r="AG465" s="128"/>
    </row>
    <row r="466" spans="33:33">
      <c r="AG466" s="128"/>
    </row>
    <row r="467" spans="33:33">
      <c r="AG467" s="128"/>
    </row>
    <row r="468" spans="33:33">
      <c r="AG468" s="128"/>
    </row>
    <row r="469" spans="33:33">
      <c r="AG469" s="128"/>
    </row>
    <row r="470" spans="33:33">
      <c r="AG470" s="128"/>
    </row>
    <row r="471" spans="33:33">
      <c r="AG471" s="128"/>
    </row>
    <row r="472" spans="33:33">
      <c r="AG472" s="128"/>
    </row>
    <row r="473" spans="33:33">
      <c r="AG473" s="271"/>
    </row>
    <row r="474" spans="33:33">
      <c r="AG474" s="128"/>
    </row>
    <row r="475" spans="33:33">
      <c r="AG475" s="128"/>
    </row>
    <row r="476" spans="33:33">
      <c r="AG476" s="128"/>
    </row>
    <row r="477" spans="33:33">
      <c r="AG477" s="128"/>
    </row>
    <row r="478" spans="33:33">
      <c r="AG478" s="128"/>
    </row>
    <row r="479" spans="33:33">
      <c r="AG479" s="128"/>
    </row>
    <row r="480" spans="33:33">
      <c r="AG480" s="128"/>
    </row>
    <row r="481" spans="33:33">
      <c r="AG481" s="128"/>
    </row>
    <row r="482" spans="33:33">
      <c r="AG482" s="128"/>
    </row>
    <row r="483" spans="33:33">
      <c r="AG483" s="128"/>
    </row>
    <row r="484" spans="33:33">
      <c r="AG484" s="128"/>
    </row>
    <row r="485" spans="33:33">
      <c r="AG485" s="128"/>
    </row>
    <row r="486" spans="33:33">
      <c r="AG486" s="128"/>
    </row>
    <row r="487" spans="33:33">
      <c r="AG487" s="128"/>
    </row>
    <row r="488" spans="33:33">
      <c r="AG488" s="128"/>
    </row>
    <row r="489" spans="33:33">
      <c r="AG489" s="128"/>
    </row>
    <row r="490" spans="33:33">
      <c r="AG490" s="128"/>
    </row>
    <row r="491" spans="33:33">
      <c r="AG491" s="128"/>
    </row>
    <row r="492" spans="33:33">
      <c r="AG492" s="128"/>
    </row>
    <row r="493" spans="33:33">
      <c r="AG493" s="128"/>
    </row>
    <row r="494" spans="33:33">
      <c r="AG494" s="128"/>
    </row>
    <row r="495" spans="33:33">
      <c r="AG495" s="128"/>
    </row>
    <row r="496" spans="33:33">
      <c r="AG496" s="128"/>
    </row>
    <row r="497" spans="33:33">
      <c r="AG497" s="128"/>
    </row>
    <row r="498" spans="33:33">
      <c r="AG498" s="128"/>
    </row>
    <row r="499" spans="33:33">
      <c r="AG499" s="128"/>
    </row>
    <row r="500" spans="33:33">
      <c r="AG500" s="128"/>
    </row>
    <row r="501" spans="33:33">
      <c r="AG501" s="128"/>
    </row>
    <row r="502" spans="33:33">
      <c r="AG502" s="128"/>
    </row>
    <row r="503" spans="33:33">
      <c r="AG503" s="128"/>
    </row>
    <row r="504" spans="33:33">
      <c r="AG504" s="128"/>
    </row>
    <row r="505" spans="33:33">
      <c r="AG505" s="128"/>
    </row>
    <row r="506" spans="33:33">
      <c r="AG506" s="128"/>
    </row>
    <row r="507" spans="33:33">
      <c r="AG507" s="128"/>
    </row>
    <row r="508" spans="33:33">
      <c r="AG508" s="128"/>
    </row>
    <row r="509" spans="33:33">
      <c r="AG509" s="128"/>
    </row>
    <row r="510" spans="33:33">
      <c r="AG510" s="128"/>
    </row>
    <row r="511" spans="33:33">
      <c r="AG511" s="128"/>
    </row>
    <row r="512" spans="33:33">
      <c r="AG512" s="128"/>
    </row>
    <row r="513" spans="33:33">
      <c r="AG513" s="128"/>
    </row>
    <row r="514" spans="33:33">
      <c r="AG514" s="33"/>
    </row>
    <row r="515" spans="33:33">
      <c r="AG515" s="128"/>
    </row>
    <row r="516" spans="33:33">
      <c r="AG516" s="128"/>
    </row>
    <row r="517" spans="33:33">
      <c r="AG517" s="269"/>
    </row>
    <row r="518" spans="33:33">
      <c r="AG518" s="128"/>
    </row>
    <row r="519" spans="33:33">
      <c r="AG519" s="128"/>
    </row>
    <row r="520" spans="33:33">
      <c r="AG520" s="128"/>
    </row>
    <row r="521" spans="33:33">
      <c r="AG521" s="128"/>
    </row>
    <row r="522" spans="33:33">
      <c r="AG522" s="128"/>
    </row>
    <row r="523" spans="33:33">
      <c r="AG523" s="269"/>
    </row>
    <row r="524" spans="33:33">
      <c r="AG524" s="128"/>
    </row>
    <row r="525" spans="33:33">
      <c r="AG525" s="128"/>
    </row>
    <row r="526" spans="33:33">
      <c r="AG526" s="128"/>
    </row>
    <row r="527" spans="33:33">
      <c r="AG527" s="128"/>
    </row>
    <row r="528" spans="33:33">
      <c r="AG528" s="128"/>
    </row>
    <row r="529" spans="33:33">
      <c r="AG529" s="128"/>
    </row>
    <row r="530" spans="33:33">
      <c r="AG530" s="128"/>
    </row>
    <row r="531" spans="33:33">
      <c r="AG531" s="128"/>
    </row>
    <row r="532" spans="33:33">
      <c r="AG532" s="128"/>
    </row>
    <row r="533" spans="33:33">
      <c r="AG533" s="128"/>
    </row>
    <row r="534" spans="33:33">
      <c r="AG534" s="269"/>
    </row>
    <row r="535" spans="33:33">
      <c r="AG535" s="128"/>
    </row>
    <row r="536" spans="33:33">
      <c r="AG536" s="128"/>
    </row>
    <row r="537" spans="33:33">
      <c r="AG537" s="128"/>
    </row>
    <row r="538" spans="33:33">
      <c r="AG538" s="128"/>
    </row>
    <row r="539" spans="33:33">
      <c r="AG539" s="128"/>
    </row>
    <row r="540" spans="33:33">
      <c r="AG540" s="128"/>
    </row>
    <row r="541" spans="33:33">
      <c r="AG541" s="128"/>
    </row>
    <row r="542" spans="33:33">
      <c r="AG542" s="128"/>
    </row>
    <row r="543" spans="33:33">
      <c r="AG543" s="128"/>
    </row>
    <row r="544" spans="33:33">
      <c r="AG544" s="269"/>
    </row>
    <row r="545" spans="33:33">
      <c r="AG545" s="128"/>
    </row>
    <row r="546" spans="33:33">
      <c r="AG546" s="128"/>
    </row>
    <row r="547" spans="33:33">
      <c r="AG547" s="128"/>
    </row>
    <row r="548" spans="33:33">
      <c r="AG548" s="128"/>
    </row>
    <row r="549" spans="33:33">
      <c r="AG549" s="128"/>
    </row>
    <row r="550" spans="33:33">
      <c r="AG550" s="128"/>
    </row>
    <row r="551" spans="33:33">
      <c r="AG551" s="128"/>
    </row>
    <row r="552" spans="33:33">
      <c r="AG552" s="269"/>
    </row>
    <row r="553" spans="33:33">
      <c r="AG553" s="128"/>
    </row>
    <row r="554" spans="33:33">
      <c r="AG554" s="128"/>
    </row>
    <row r="555" spans="33:33">
      <c r="AG555" s="128"/>
    </row>
    <row r="556" spans="33:33">
      <c r="AG556" s="128"/>
    </row>
    <row r="557" spans="33:33">
      <c r="AG557" s="128"/>
    </row>
    <row r="558" spans="33:33">
      <c r="AG558" s="128"/>
    </row>
    <row r="559" spans="33:33">
      <c r="AG559" s="128"/>
    </row>
    <row r="560" spans="33:33">
      <c r="AG560" s="128"/>
    </row>
    <row r="561" spans="33:33">
      <c r="AG561" s="128"/>
    </row>
    <row r="562" spans="33:33">
      <c r="AG562" s="269"/>
    </row>
    <row r="563" spans="33:33">
      <c r="AG563" s="128"/>
    </row>
    <row r="564" spans="33:33">
      <c r="AG564" s="128"/>
    </row>
    <row r="565" spans="33:33">
      <c r="AG565" s="128"/>
    </row>
    <row r="566" spans="33:33">
      <c r="AG566" s="128"/>
    </row>
    <row r="567" spans="33:33">
      <c r="AG567" s="128"/>
    </row>
    <row r="568" spans="33:33">
      <c r="AG568" s="128"/>
    </row>
    <row r="569" spans="33:33">
      <c r="AG569" s="128"/>
    </row>
    <row r="570" spans="33:33">
      <c r="AG570" s="128"/>
    </row>
    <row r="571" spans="33:33">
      <c r="AG571" s="128"/>
    </row>
    <row r="572" spans="33:33">
      <c r="AG572" s="128"/>
    </row>
    <row r="573" spans="33:33">
      <c r="AG573" s="128"/>
    </row>
    <row r="574" spans="33:33">
      <c r="AG574" s="128"/>
    </row>
    <row r="575" spans="33:33">
      <c r="AG575" s="128"/>
    </row>
    <row r="576" spans="33:33">
      <c r="AG576" s="128"/>
    </row>
    <row r="577" spans="33:33">
      <c r="AG577" s="128"/>
    </row>
    <row r="578" spans="33:33">
      <c r="AG578" s="128"/>
    </row>
    <row r="579" spans="33:33">
      <c r="AG579" s="128"/>
    </row>
    <row r="580" spans="33:33">
      <c r="AG580" s="128"/>
    </row>
    <row r="581" spans="33:33">
      <c r="AG581" s="128"/>
    </row>
    <row r="582" spans="33:33">
      <c r="AG582" s="128"/>
    </row>
    <row r="583" spans="33:33">
      <c r="AG583" s="269"/>
    </row>
    <row r="584" spans="33:33">
      <c r="AG584" s="128"/>
    </row>
    <row r="585" spans="33:33">
      <c r="AG585" s="128"/>
    </row>
    <row r="586" spans="33:33">
      <c r="AG586" s="128"/>
    </row>
    <row r="588" spans="33:33">
      <c r="AG588" s="128"/>
    </row>
    <row r="589" spans="33:33">
      <c r="AG589" s="128"/>
    </row>
    <row r="590" spans="33:33">
      <c r="AG590" s="128"/>
    </row>
    <row r="591" spans="33:33">
      <c r="AG591" s="128"/>
    </row>
    <row r="592" spans="33:33">
      <c r="AG592" s="128"/>
    </row>
    <row r="593" spans="33:33">
      <c r="AG593" s="128"/>
    </row>
    <row r="594" spans="33:33">
      <c r="AG594" s="128"/>
    </row>
    <row r="595" spans="33:33">
      <c r="AG595" s="128"/>
    </row>
    <row r="596" spans="33:33">
      <c r="AG596" s="269"/>
    </row>
    <row r="597" spans="33:33">
      <c r="AG597" s="128"/>
    </row>
    <row r="598" spans="33:33">
      <c r="AG598" s="128"/>
    </row>
    <row r="599" spans="33:33">
      <c r="AG599" s="128"/>
    </row>
    <row r="600" spans="33:33">
      <c r="AG600" s="269"/>
    </row>
    <row r="601" spans="33:33">
      <c r="AG601" s="128"/>
    </row>
    <row r="602" spans="33:33">
      <c r="AG602" s="128"/>
    </row>
    <row r="603" spans="33:33">
      <c r="AG603" s="128"/>
    </row>
    <row r="604" spans="33:33">
      <c r="AG604" s="128"/>
    </row>
    <row r="605" spans="33:33">
      <c r="AG605" s="128"/>
    </row>
    <row r="606" spans="33:33">
      <c r="AG606" s="128"/>
    </row>
    <row r="607" spans="33:33">
      <c r="AG607" s="128"/>
    </row>
    <row r="608" spans="33:33">
      <c r="AG608" s="128"/>
    </row>
    <row r="609" spans="33:33">
      <c r="AG609" s="128"/>
    </row>
    <row r="610" spans="33:33">
      <c r="AG610" s="128"/>
    </row>
    <row r="611" spans="33:33">
      <c r="AG611" s="128"/>
    </row>
    <row r="612" spans="33:33">
      <c r="AG612" s="128"/>
    </row>
    <row r="613" spans="33:33">
      <c r="AG613" s="128"/>
    </row>
    <row r="614" spans="33:33">
      <c r="AG614" s="128"/>
    </row>
    <row r="615" spans="33:33">
      <c r="AG615" s="128"/>
    </row>
    <row r="616" spans="33:33">
      <c r="AG616" s="128"/>
    </row>
    <row r="617" spans="33:33">
      <c r="AG617" s="128"/>
    </row>
    <row r="618" spans="33:33">
      <c r="AG618" s="128"/>
    </row>
    <row r="619" spans="33:33">
      <c r="AG619" s="128"/>
    </row>
    <row r="620" spans="33:33">
      <c r="AG620" s="128"/>
    </row>
    <row r="621" spans="33:33">
      <c r="AG621" s="128"/>
    </row>
    <row r="622" spans="33:33">
      <c r="AG622" s="128"/>
    </row>
    <row r="623" spans="33:33">
      <c r="AG623" s="128"/>
    </row>
    <row r="624" spans="33:33">
      <c r="AG624" s="128"/>
    </row>
    <row r="625" spans="33:33">
      <c r="AG625" s="128"/>
    </row>
    <row r="626" spans="33:33">
      <c r="AG626" s="128"/>
    </row>
    <row r="627" spans="33:33">
      <c r="AG627" s="128"/>
    </row>
    <row r="628" spans="33:33">
      <c r="AG628" s="128"/>
    </row>
    <row r="629" spans="33:33">
      <c r="AG629" s="128"/>
    </row>
    <row r="630" spans="33:33">
      <c r="AG630" s="128"/>
    </row>
    <row r="631" spans="33:33">
      <c r="AG631" s="128"/>
    </row>
    <row r="632" spans="33:33">
      <c r="AG632" s="128"/>
    </row>
    <row r="633" spans="33:33">
      <c r="AG633" s="128"/>
    </row>
    <row r="634" spans="33:33">
      <c r="AG634" s="128"/>
    </row>
    <row r="635" spans="33:33">
      <c r="AG635" s="128"/>
    </row>
    <row r="636" spans="33:33">
      <c r="AG636" s="128"/>
    </row>
    <row r="637" spans="33:33">
      <c r="AG637" s="128"/>
    </row>
    <row r="638" spans="33:33">
      <c r="AG638" s="128"/>
    </row>
    <row r="639" spans="33:33">
      <c r="AG639" s="128"/>
    </row>
    <row r="640" spans="33:33">
      <c r="AG640" s="128"/>
    </row>
    <row r="641" spans="33:33">
      <c r="AG641" s="128"/>
    </row>
    <row r="642" spans="33:33">
      <c r="AG642" s="128"/>
    </row>
    <row r="643" spans="33:33">
      <c r="AG643" s="128"/>
    </row>
    <row r="644" spans="33:33">
      <c r="AG644" s="128"/>
    </row>
    <row r="645" spans="33:33">
      <c r="AG645" s="27"/>
    </row>
    <row r="646" spans="33:33">
      <c r="AG646" s="128"/>
    </row>
    <row r="647" spans="33:33">
      <c r="AG647" s="128"/>
    </row>
    <row r="648" spans="33:33">
      <c r="AG648" s="128"/>
    </row>
    <row r="649" spans="33:33">
      <c r="AG649" s="128"/>
    </row>
    <row r="650" spans="33:33">
      <c r="AG650" s="128"/>
    </row>
    <row r="651" spans="33:33">
      <c r="AG651" s="128"/>
    </row>
    <row r="652" spans="33:33">
      <c r="AG652" s="128"/>
    </row>
    <row r="653" spans="33:33">
      <c r="AG653" s="128"/>
    </row>
    <row r="654" spans="33:33">
      <c r="AG654" s="128"/>
    </row>
    <row r="655" spans="33:33">
      <c r="AG655" s="128"/>
    </row>
    <row r="656" spans="33:33">
      <c r="AG656" s="128"/>
    </row>
    <row r="657" spans="33:33">
      <c r="AG657" s="128"/>
    </row>
    <row r="658" spans="33:33">
      <c r="AG658" s="128"/>
    </row>
    <row r="659" spans="33:33">
      <c r="AG659" s="128"/>
    </row>
    <row r="660" spans="33:33">
      <c r="AG660" s="128"/>
    </row>
    <row r="661" spans="33:33">
      <c r="AG661" s="128"/>
    </row>
    <row r="662" spans="33:33">
      <c r="AG662" s="128"/>
    </row>
    <row r="663" spans="33:33">
      <c r="AG663" s="128"/>
    </row>
    <row r="664" spans="33:33">
      <c r="AG664" s="128"/>
    </row>
    <row r="665" spans="33:33">
      <c r="AG665" s="128"/>
    </row>
    <row r="666" spans="33:33">
      <c r="AG666" s="128"/>
    </row>
    <row r="667" spans="33:33">
      <c r="AG667" s="128"/>
    </row>
    <row r="668" spans="33:33">
      <c r="AG668" s="128"/>
    </row>
    <row r="669" spans="33:33">
      <c r="AG669" s="128"/>
    </row>
    <row r="670" spans="33:33">
      <c r="AG670" s="128"/>
    </row>
    <row r="671" spans="33:33">
      <c r="AG671" s="128"/>
    </row>
    <row r="672" spans="33:33">
      <c r="AG672" s="128"/>
    </row>
    <row r="673" spans="33:33">
      <c r="AG673" s="128"/>
    </row>
    <row r="674" spans="33:33">
      <c r="AG674" s="128"/>
    </row>
    <row r="675" spans="33:33">
      <c r="AG675" s="128"/>
    </row>
    <row r="676" spans="33:33">
      <c r="AG676" s="128"/>
    </row>
    <row r="677" spans="33:33">
      <c r="AG677" s="128"/>
    </row>
    <row r="678" spans="33:33">
      <c r="AG678" s="269"/>
    </row>
    <row r="679" spans="33:33">
      <c r="AG679" s="269"/>
    </row>
    <row r="680" spans="33:33">
      <c r="AG680" s="128"/>
    </row>
    <row r="681" spans="33:33">
      <c r="AG681" s="128"/>
    </row>
    <row r="682" spans="33:33">
      <c r="AG682" s="128"/>
    </row>
    <row r="683" spans="33:33">
      <c r="AG683" s="128"/>
    </row>
    <row r="684" spans="33:33">
      <c r="AG684" s="128"/>
    </row>
    <row r="685" spans="33:33">
      <c r="AG685" s="128"/>
    </row>
    <row r="686" spans="33:33">
      <c r="AG686" s="128"/>
    </row>
    <row r="687" spans="33:33">
      <c r="AG687" s="128"/>
    </row>
    <row r="688" spans="33:33">
      <c r="AG688" s="128"/>
    </row>
    <row r="689" spans="33:33">
      <c r="AG689" s="128"/>
    </row>
    <row r="690" spans="33:33">
      <c r="AG690" s="128"/>
    </row>
    <row r="691" spans="33:33">
      <c r="AG691" s="128"/>
    </row>
    <row r="692" spans="33:33">
      <c r="AG692" s="128"/>
    </row>
    <row r="693" spans="33:33">
      <c r="AG693" s="128"/>
    </row>
    <row r="694" spans="33:33">
      <c r="AG694" s="128"/>
    </row>
    <row r="695" spans="33:33">
      <c r="AG695" s="128"/>
    </row>
    <row r="696" spans="33:33">
      <c r="AG696" s="128"/>
    </row>
    <row r="697" spans="33:33">
      <c r="AG697" s="128"/>
    </row>
    <row r="698" spans="33:33">
      <c r="AG698" s="128"/>
    </row>
    <row r="699" spans="33:33">
      <c r="AG699" s="128"/>
    </row>
    <row r="700" spans="33:33">
      <c r="AG700" s="128"/>
    </row>
    <row r="701" spans="33:33">
      <c r="AG701" s="128"/>
    </row>
    <row r="702" spans="33:33">
      <c r="AG702" s="128"/>
    </row>
    <row r="703" spans="33:33">
      <c r="AG703" s="128"/>
    </row>
    <row r="704" spans="33:33">
      <c r="AG704" s="128"/>
    </row>
    <row r="705" spans="33:33">
      <c r="AG705" s="128"/>
    </row>
    <row r="706" spans="33:33">
      <c r="AG706" s="128"/>
    </row>
    <row r="707" spans="33:33">
      <c r="AG707" s="128"/>
    </row>
    <row r="708" spans="33:33">
      <c r="AG708" s="128"/>
    </row>
    <row r="709" spans="33:33">
      <c r="AG709" s="128"/>
    </row>
    <row r="710" spans="33:33">
      <c r="AG710" s="128"/>
    </row>
    <row r="711" spans="33:33">
      <c r="AG711" s="128"/>
    </row>
    <row r="712" spans="33:33">
      <c r="AG712" s="128"/>
    </row>
    <row r="713" spans="33:33">
      <c r="AG713" s="128"/>
    </row>
    <row r="714" spans="33:33">
      <c r="AG714" s="128"/>
    </row>
    <row r="715" spans="33:33">
      <c r="AG715" s="128"/>
    </row>
    <row r="716" spans="33:33">
      <c r="AG716" s="128"/>
    </row>
    <row r="717" spans="33:33">
      <c r="AG717" s="128"/>
    </row>
    <row r="718" spans="33:33">
      <c r="AG718" s="269"/>
    </row>
    <row r="719" spans="33:33">
      <c r="AG719" s="128"/>
    </row>
    <row r="720" spans="33:33">
      <c r="AG720" s="128"/>
    </row>
    <row r="721" spans="33:33">
      <c r="AG721" s="128"/>
    </row>
    <row r="722" spans="33:33">
      <c r="AG722" s="128"/>
    </row>
    <row r="723" spans="33:33">
      <c r="AG723" s="128"/>
    </row>
    <row r="724" spans="33:33">
      <c r="AG724" s="128"/>
    </row>
    <row r="725" spans="33:33">
      <c r="AG725" s="128"/>
    </row>
    <row r="726" spans="33:33">
      <c r="AG726" s="128"/>
    </row>
    <row r="727" spans="33:33">
      <c r="AG727" s="128"/>
    </row>
    <row r="728" spans="33:33">
      <c r="AG728" s="128"/>
    </row>
    <row r="729" spans="33:33">
      <c r="AG729" s="128"/>
    </row>
    <row r="730" spans="33:33">
      <c r="AG730" s="128"/>
    </row>
    <row r="731" spans="33:33">
      <c r="AG731" s="128"/>
    </row>
    <row r="732" spans="33:33">
      <c r="AG732" s="128"/>
    </row>
    <row r="733" spans="33:33">
      <c r="AG733" s="128"/>
    </row>
    <row r="734" spans="33:33">
      <c r="AG734" s="128"/>
    </row>
    <row r="735" spans="33:33">
      <c r="AG735" s="128"/>
    </row>
    <row r="736" spans="33:33">
      <c r="AG736" s="128"/>
    </row>
    <row r="737" spans="33:33">
      <c r="AG737" s="128"/>
    </row>
    <row r="738" spans="33:33">
      <c r="AG738" s="128"/>
    </row>
    <row r="739" spans="33:33">
      <c r="AG739" s="128"/>
    </row>
    <row r="740" spans="33:33">
      <c r="AG740" s="128"/>
    </row>
    <row r="741" spans="33:33">
      <c r="AG741" s="128"/>
    </row>
    <row r="742" spans="33:33">
      <c r="AG742" s="128"/>
    </row>
    <row r="743" spans="33:33">
      <c r="AG743" s="128"/>
    </row>
    <row r="744" spans="33:33">
      <c r="AG744" s="128"/>
    </row>
    <row r="745" spans="33:33">
      <c r="AG745" s="128"/>
    </row>
    <row r="746" spans="33:33">
      <c r="AG746" s="128"/>
    </row>
    <row r="747" spans="33:33">
      <c r="AG747" s="128"/>
    </row>
    <row r="748" spans="33:33">
      <c r="AG748" s="128"/>
    </row>
    <row r="749" spans="33:33">
      <c r="AG749" s="128"/>
    </row>
    <row r="750" spans="33:33">
      <c r="AG750" s="128"/>
    </row>
    <row r="751" spans="33:33">
      <c r="AG751" s="128"/>
    </row>
    <row r="752" spans="33:33">
      <c r="AG752" s="128"/>
    </row>
    <row r="753" spans="33:33">
      <c r="AG753" s="128"/>
    </row>
    <row r="754" spans="33:33">
      <c r="AG754" s="128"/>
    </row>
    <row r="755" spans="33:33">
      <c r="AG755" s="128"/>
    </row>
    <row r="756" spans="33:33">
      <c r="AG756" s="128"/>
    </row>
    <row r="757" spans="33:33">
      <c r="AG757" s="128"/>
    </row>
    <row r="758" spans="33:33">
      <c r="AG758" s="128"/>
    </row>
    <row r="759" spans="33:33">
      <c r="AG759" s="128"/>
    </row>
    <row r="760" spans="33:33">
      <c r="AG760" s="128"/>
    </row>
    <row r="761" spans="33:33">
      <c r="AG761" s="128"/>
    </row>
    <row r="762" spans="33:33">
      <c r="AG762" s="128"/>
    </row>
    <row r="763" spans="33:33">
      <c r="AG763" s="128"/>
    </row>
    <row r="764" spans="33:33">
      <c r="AG764" s="128"/>
    </row>
    <row r="765" spans="33:33">
      <c r="AG765" s="128"/>
    </row>
    <row r="766" spans="33:33">
      <c r="AG766" s="128"/>
    </row>
    <row r="767" spans="33:33">
      <c r="AG767" s="128"/>
    </row>
    <row r="768" spans="33:33">
      <c r="AG768" s="128"/>
    </row>
    <row r="769" spans="33:33">
      <c r="AG769" s="128"/>
    </row>
    <row r="770" spans="33:33">
      <c r="AG770" s="128"/>
    </row>
    <row r="771" spans="33:33">
      <c r="AG771" s="128"/>
    </row>
    <row r="772" spans="33:33">
      <c r="AG772" s="128"/>
    </row>
    <row r="773" spans="33:33">
      <c r="AG773" s="128"/>
    </row>
    <row r="774" spans="33:33">
      <c r="AG774" s="128"/>
    </row>
    <row r="775" spans="33:33">
      <c r="AG775" s="128"/>
    </row>
    <row r="776" spans="33:33">
      <c r="AG776" s="269"/>
    </row>
    <row r="777" spans="33:33">
      <c r="AG777" s="128"/>
    </row>
    <row r="778" spans="33:33">
      <c r="AG778" s="128"/>
    </row>
    <row r="779" spans="33:33">
      <c r="AG779" s="128"/>
    </row>
    <row r="780" spans="33:33">
      <c r="AG780" s="128"/>
    </row>
    <row r="781" spans="33:33">
      <c r="AG781" s="128"/>
    </row>
    <row r="782" spans="33:33">
      <c r="AG782" s="128"/>
    </row>
    <row r="783" spans="33:33">
      <c r="AG783" s="128"/>
    </row>
    <row r="784" spans="33:33">
      <c r="AG784" s="128"/>
    </row>
    <row r="785" spans="33:33">
      <c r="AG785" s="128"/>
    </row>
    <row r="786" spans="33:33">
      <c r="AG786" s="128"/>
    </row>
    <row r="787" spans="33:33">
      <c r="AG787" s="128"/>
    </row>
    <row r="788" spans="33:33">
      <c r="AG788" s="128"/>
    </row>
    <row r="789" spans="33:33">
      <c r="AG789" s="128"/>
    </row>
    <row r="790" spans="33:33">
      <c r="AG790" s="128"/>
    </row>
    <row r="791" spans="33:33">
      <c r="AG791" s="128"/>
    </row>
    <row r="792" spans="33:33">
      <c r="AG792" s="128"/>
    </row>
    <row r="793" spans="33:33">
      <c r="AG793" s="128"/>
    </row>
    <row r="794" spans="33:33">
      <c r="AG794" s="128"/>
    </row>
    <row r="795" spans="33:33">
      <c r="AG795" s="128"/>
    </row>
    <row r="796" spans="33:33">
      <c r="AG796" s="128"/>
    </row>
    <row r="797" spans="33:33">
      <c r="AG797" s="128"/>
    </row>
    <row r="798" spans="33:33">
      <c r="AG798" s="128"/>
    </row>
    <row r="799" spans="33:33">
      <c r="AG799" s="128"/>
    </row>
    <row r="800" spans="33:33">
      <c r="AG800" s="128"/>
    </row>
    <row r="801" spans="33:33">
      <c r="AG801" s="128"/>
    </row>
    <row r="802" spans="33:33">
      <c r="AG802" s="128"/>
    </row>
    <row r="803" spans="33:33">
      <c r="AG803" s="128"/>
    </row>
    <row r="804" spans="33:33">
      <c r="AG804" s="128"/>
    </row>
    <row r="805" spans="33:33">
      <c r="AG805" s="128"/>
    </row>
    <row r="806" spans="33:33">
      <c r="AG806" s="128"/>
    </row>
    <row r="807" spans="33:33">
      <c r="AG807" s="128"/>
    </row>
    <row r="808" spans="33:33">
      <c r="AG808" s="128"/>
    </row>
    <row r="809" spans="33:33">
      <c r="AG809" s="128"/>
    </row>
    <row r="810" spans="33:33">
      <c r="AG810" s="128"/>
    </row>
    <row r="811" spans="33:33">
      <c r="AG811" s="128"/>
    </row>
    <row r="812" spans="33:33">
      <c r="AG812" s="128"/>
    </row>
    <row r="813" spans="33:33">
      <c r="AG813" s="128"/>
    </row>
    <row r="814" spans="33:33">
      <c r="AG814" s="128"/>
    </row>
    <row r="815" spans="33:33">
      <c r="AG815" s="128"/>
    </row>
    <row r="816" spans="33:33">
      <c r="AG816" s="128"/>
    </row>
    <row r="817" spans="33:33">
      <c r="AG817" s="128"/>
    </row>
    <row r="818" spans="33:33">
      <c r="AG818" s="128"/>
    </row>
    <row r="819" spans="33:33">
      <c r="AG819" s="128"/>
    </row>
    <row r="820" spans="33:33">
      <c r="AG820" s="128"/>
    </row>
    <row r="821" spans="33:33">
      <c r="AG821" s="128"/>
    </row>
    <row r="822" spans="33:33">
      <c r="AG822" s="128"/>
    </row>
    <row r="823" spans="33:33">
      <c r="AG823" s="128"/>
    </row>
    <row r="824" spans="33:33">
      <c r="AG824" s="128"/>
    </row>
    <row r="825" spans="33:33">
      <c r="AG825" s="128"/>
    </row>
    <row r="826" spans="33:33">
      <c r="AG826" s="128"/>
    </row>
    <row r="827" spans="33:33">
      <c r="AG827" s="128"/>
    </row>
    <row r="828" spans="33:33">
      <c r="AG828" s="128"/>
    </row>
    <row r="829" spans="33:33">
      <c r="AG829" s="128"/>
    </row>
    <row r="830" spans="33:33">
      <c r="AG830" s="128"/>
    </row>
    <row r="831" spans="33:33">
      <c r="AG831" s="128"/>
    </row>
    <row r="832" spans="33:33">
      <c r="AG832" s="128"/>
    </row>
    <row r="833" spans="33:33">
      <c r="AG833" s="269"/>
    </row>
    <row r="834" spans="33:33">
      <c r="AG834" s="128"/>
    </row>
    <row r="835" spans="33:33">
      <c r="AG835" s="128"/>
    </row>
    <row r="836" spans="33:33">
      <c r="AG836" s="128"/>
    </row>
    <row r="837" spans="33:33">
      <c r="AG837" s="128"/>
    </row>
    <row r="838" spans="33:33">
      <c r="AG838" s="128"/>
    </row>
    <row r="839" spans="33:33">
      <c r="AG839" s="128"/>
    </row>
    <row r="840" spans="33:33">
      <c r="AG840" s="128"/>
    </row>
    <row r="841" spans="33:33">
      <c r="AG841" s="128"/>
    </row>
    <row r="842" spans="33:33">
      <c r="AG842" s="128"/>
    </row>
    <row r="843" spans="33:33">
      <c r="AG843" s="128"/>
    </row>
    <row r="844" spans="33:33">
      <c r="AG844" s="128"/>
    </row>
    <row r="845" spans="33:33">
      <c r="AG845" s="128"/>
    </row>
    <row r="846" spans="33:33">
      <c r="AG846" s="128"/>
    </row>
    <row r="847" spans="33:33">
      <c r="AG847" s="128"/>
    </row>
    <row r="848" spans="33:33">
      <c r="AG848" s="128"/>
    </row>
    <row r="849" spans="33:33">
      <c r="AG849" s="128"/>
    </row>
    <row r="850" spans="33:33">
      <c r="AG850" s="128"/>
    </row>
    <row r="851" spans="33:33">
      <c r="AG851" s="128"/>
    </row>
    <row r="852" spans="33:33">
      <c r="AG852" s="128"/>
    </row>
    <row r="853" spans="33:33">
      <c r="AG853" s="128"/>
    </row>
    <row r="854" spans="33:33">
      <c r="AG854" s="128"/>
    </row>
    <row r="855" spans="33:33">
      <c r="AG855" s="128"/>
    </row>
    <row r="856" spans="33:33">
      <c r="AG856" s="128"/>
    </row>
    <row r="857" spans="33:33">
      <c r="AG857" s="128"/>
    </row>
    <row r="858" spans="33:33">
      <c r="AG858" s="128"/>
    </row>
    <row r="859" spans="33:33">
      <c r="AG859" s="128"/>
    </row>
    <row r="860" spans="33:33">
      <c r="AG860" s="128"/>
    </row>
    <row r="861" spans="33:33">
      <c r="AG861" s="244"/>
    </row>
    <row r="862" spans="33:33">
      <c r="AG862" s="128"/>
    </row>
    <row r="863" spans="33:33">
      <c r="AG863" s="128"/>
    </row>
    <row r="864" spans="33:33">
      <c r="AG864" s="128"/>
    </row>
    <row r="865" spans="33:33">
      <c r="AG865" s="128"/>
    </row>
    <row r="866" spans="33:33">
      <c r="AG866" s="128"/>
    </row>
    <row r="867" spans="33:33">
      <c r="AG867" s="128"/>
    </row>
    <row r="868" spans="33:33">
      <c r="AG868" s="128"/>
    </row>
    <row r="869" spans="33:33">
      <c r="AG869" s="128"/>
    </row>
    <row r="870" spans="33:33">
      <c r="AG870" s="128"/>
    </row>
    <row r="871" spans="33:33">
      <c r="AG871" s="128"/>
    </row>
    <row r="872" spans="33:33">
      <c r="AG872" s="128"/>
    </row>
    <row r="873" spans="33:33">
      <c r="AG873" s="128"/>
    </row>
    <row r="874" spans="33:33">
      <c r="AG874" s="128"/>
    </row>
    <row r="875" spans="33:33">
      <c r="AG875" s="269"/>
    </row>
    <row r="876" spans="33:33">
      <c r="AG876" s="128"/>
    </row>
    <row r="877" spans="33:33">
      <c r="AG877" s="128"/>
    </row>
    <row r="878" spans="33:33">
      <c r="AG878" s="128"/>
    </row>
    <row r="879" spans="33:33">
      <c r="AG879" s="128"/>
    </row>
    <row r="880" spans="33:33">
      <c r="AG880" s="128"/>
    </row>
    <row r="881" spans="33:33">
      <c r="AG881" s="128"/>
    </row>
    <row r="882" spans="33:33">
      <c r="AG882" s="128"/>
    </row>
    <row r="883" spans="33:33">
      <c r="AG883" s="128"/>
    </row>
    <row r="885" spans="33:33">
      <c r="AG885" s="128"/>
    </row>
    <row r="886" spans="33:33">
      <c r="AG886" s="128"/>
    </row>
    <row r="887" spans="33:33">
      <c r="AG887" s="269"/>
    </row>
    <row r="888" spans="33:33">
      <c r="AG888" s="128"/>
    </row>
    <row r="889" spans="33:33">
      <c r="AG889" s="269"/>
    </row>
    <row r="890" spans="33:33">
      <c r="AG890" s="128"/>
    </row>
    <row r="891" spans="33:33">
      <c r="AG891" s="128"/>
    </row>
    <row r="892" spans="33:33">
      <c r="AG892" s="128"/>
    </row>
    <row r="893" spans="33:33">
      <c r="AG893" s="269"/>
    </row>
    <row r="894" spans="33:33">
      <c r="AG894" s="125"/>
    </row>
    <row r="896" spans="33:33">
      <c r="AG896" s="128"/>
    </row>
    <row r="897" spans="33:33">
      <c r="AG897" s="269"/>
    </row>
    <row r="898" spans="33:33">
      <c r="AG898" s="128"/>
    </row>
    <row r="899" spans="33:33">
      <c r="AG899" s="128"/>
    </row>
    <row r="900" spans="33:33">
      <c r="AG900" s="269"/>
    </row>
    <row r="901" spans="33:33">
      <c r="AG901" s="128"/>
    </row>
    <row r="902" spans="33:33">
      <c r="AG902" s="128"/>
    </row>
    <row r="903" spans="33:33">
      <c r="AG903" s="128"/>
    </row>
    <row r="904" spans="33:33">
      <c r="AG904" s="128"/>
    </row>
    <row r="905" spans="33:33">
      <c r="AG905" s="128"/>
    </row>
    <row r="906" spans="33:33">
      <c r="AG906" s="269"/>
    </row>
    <row r="907" spans="33:33">
      <c r="AG907" s="128"/>
    </row>
    <row r="908" spans="33:33">
      <c r="AG908" s="128"/>
    </row>
    <row r="909" spans="33:33">
      <c r="AG909" s="128"/>
    </row>
    <row r="910" spans="33:33">
      <c r="AG910" s="128"/>
    </row>
    <row r="912" spans="33:33">
      <c r="AG912" s="269"/>
    </row>
    <row r="913" spans="33:33">
      <c r="AG913" s="128"/>
    </row>
    <row r="914" spans="33:33">
      <c r="AG914" s="128"/>
    </row>
    <row r="915" spans="33:33">
      <c r="AG915" s="128"/>
    </row>
    <row r="916" spans="33:33">
      <c r="AG916" s="128"/>
    </row>
    <row r="917" spans="33:33">
      <c r="AG917" s="128"/>
    </row>
    <row r="918" spans="33:33">
      <c r="AG918" s="128"/>
    </row>
    <row r="919" spans="33:33">
      <c r="AG919" s="128"/>
    </row>
    <row r="920" spans="33:33">
      <c r="AG920" s="128"/>
    </row>
    <row r="921" spans="33:33">
      <c r="AG921" s="26"/>
    </row>
    <row r="922" spans="33:33">
      <c r="AG922" s="128"/>
    </row>
    <row r="923" spans="33:33">
      <c r="AG923" s="128"/>
    </row>
    <row r="924" spans="33:33">
      <c r="AG924" s="128"/>
    </row>
    <row r="925" spans="33:33">
      <c r="AG925" s="128"/>
    </row>
    <row r="926" spans="33:33">
      <c r="AG926" s="128"/>
    </row>
    <row r="927" spans="33:33">
      <c r="AG927" s="128"/>
    </row>
    <row r="928" spans="33:33">
      <c r="AG928" s="128"/>
    </row>
    <row r="929" spans="33:33">
      <c r="AG929" s="269"/>
    </row>
    <row r="930" spans="33:33">
      <c r="AG930" s="128"/>
    </row>
    <row r="931" spans="33:33">
      <c r="AG931" s="128"/>
    </row>
    <row r="932" spans="33:33">
      <c r="AG932" s="128"/>
    </row>
    <row r="933" spans="33:33">
      <c r="AG933" s="128"/>
    </row>
    <row r="934" spans="33:33">
      <c r="AG934" s="128"/>
    </row>
    <row r="935" spans="33:33">
      <c r="AG935" s="128"/>
    </row>
    <row r="936" spans="33:33">
      <c r="AG936" s="269"/>
    </row>
    <row r="937" spans="33:33">
      <c r="AG937" s="128"/>
    </row>
    <row r="938" spans="33:33">
      <c r="AG938" s="128"/>
    </row>
    <row r="939" spans="33:33">
      <c r="AG939" s="128"/>
    </row>
    <row r="940" spans="33:33">
      <c r="AG940" s="128"/>
    </row>
    <row r="941" spans="33:33">
      <c r="AG941" s="128"/>
    </row>
    <row r="942" spans="33:33">
      <c r="AG942" s="128"/>
    </row>
    <row r="943" spans="33:33">
      <c r="AG943" s="128"/>
    </row>
    <row r="944" spans="33:33">
      <c r="AG944" s="269"/>
    </row>
    <row r="945" spans="33:33">
      <c r="AG945" s="128"/>
    </row>
    <row r="946" spans="33:33">
      <c r="AG946" s="128"/>
    </row>
    <row r="947" spans="33:33">
      <c r="AG947" s="128"/>
    </row>
    <row r="948" spans="33:33">
      <c r="AG948" s="128"/>
    </row>
    <row r="949" spans="33:33">
      <c r="AG949" s="128"/>
    </row>
    <row r="950" spans="33:33">
      <c r="AG950" s="128"/>
    </row>
    <row r="951" spans="33:33">
      <c r="AG951" s="128"/>
    </row>
    <row r="952" spans="33:33">
      <c r="AG952" s="128"/>
    </row>
    <row r="953" spans="33:33">
      <c r="AG953" s="128"/>
    </row>
    <row r="954" spans="33:33">
      <c r="AG954" s="125"/>
    </row>
    <row r="955" spans="33:33">
      <c r="AG955" s="125"/>
    </row>
    <row r="956" spans="33:33">
      <c r="AG956" s="128"/>
    </row>
    <row r="957" spans="33:33">
      <c r="AG957" s="128"/>
    </row>
    <row r="958" spans="33:33">
      <c r="AG958" s="128"/>
    </row>
    <row r="959" spans="33:33">
      <c r="AG959" s="128"/>
    </row>
    <row r="960" spans="33:33">
      <c r="AG960" s="128"/>
    </row>
    <row r="961" spans="33:33">
      <c r="AG961" s="128"/>
    </row>
    <row r="962" spans="33:33">
      <c r="AG962" s="128"/>
    </row>
    <row r="963" spans="33:33">
      <c r="AG963" s="128"/>
    </row>
    <row r="964" spans="33:33">
      <c r="AG964" s="128"/>
    </row>
    <row r="965" spans="33:33">
      <c r="AG965" s="128"/>
    </row>
    <row r="966" spans="33:33">
      <c r="AG966" s="128"/>
    </row>
    <row r="967" spans="33:33">
      <c r="AG967" s="269"/>
    </row>
    <row r="968" spans="33:33">
      <c r="AG968" s="128"/>
    </row>
    <row r="969" spans="33:33">
      <c r="AG969" s="128"/>
    </row>
    <row r="970" spans="33:33">
      <c r="AG970" s="269"/>
    </row>
    <row r="971" spans="33:33">
      <c r="AG971" s="128"/>
    </row>
    <row r="972" spans="33:33">
      <c r="AG972" s="128"/>
    </row>
    <row r="973" spans="33:33">
      <c r="AG973" s="128"/>
    </row>
    <row r="974" spans="33:33">
      <c r="AG974" s="43"/>
    </row>
    <row r="976" spans="33:33">
      <c r="AG976" s="128"/>
    </row>
    <row r="977" spans="33:33">
      <c r="AG977" s="128"/>
    </row>
    <row r="978" spans="33:33">
      <c r="AG978" s="128"/>
    </row>
    <row r="979" spans="33:33">
      <c r="AG979" s="128"/>
    </row>
    <row r="980" spans="33:33">
      <c r="AG980" s="128"/>
    </row>
    <row r="981" spans="33:33">
      <c r="AG981" s="128"/>
    </row>
    <row r="982" spans="33:33">
      <c r="AG982" s="128"/>
    </row>
    <row r="983" spans="33:33">
      <c r="AG983" s="128"/>
    </row>
    <row r="984" spans="33:33">
      <c r="AG984" s="125"/>
    </row>
    <row r="985" spans="33:33">
      <c r="AG985" s="128"/>
    </row>
    <row r="986" spans="33:33">
      <c r="AG986" s="128"/>
    </row>
    <row r="987" spans="33:33">
      <c r="AG987" s="128"/>
    </row>
    <row r="988" spans="33:33">
      <c r="AG988" s="128"/>
    </row>
    <row r="989" spans="33:33">
      <c r="AG989" s="128"/>
    </row>
    <row r="990" spans="33:33">
      <c r="AG990" s="128"/>
    </row>
    <row r="991" spans="33:33">
      <c r="AG991" s="128"/>
    </row>
    <row r="992" spans="33:33">
      <c r="AG992" s="128"/>
    </row>
    <row r="994" spans="33:33">
      <c r="AG994" s="128"/>
    </row>
    <row r="995" spans="33:33">
      <c r="AG995" s="128"/>
    </row>
    <row r="996" spans="33:33">
      <c r="AG996" s="128"/>
    </row>
    <row r="997" spans="33:33">
      <c r="AG997" s="128"/>
    </row>
    <row r="998" spans="33:33">
      <c r="AG998" s="269"/>
    </row>
    <row r="999" spans="33:33">
      <c r="AG999" s="128"/>
    </row>
    <row r="1000" spans="33:33">
      <c r="AG1000" s="128"/>
    </row>
    <row r="1001" spans="33:33">
      <c r="AG1001" s="128"/>
    </row>
    <row r="1002" spans="33:33">
      <c r="AG1002" s="128"/>
    </row>
    <row r="1003" spans="33:33">
      <c r="AG1003" s="128"/>
    </row>
    <row r="1004" spans="33:33">
      <c r="AG1004" s="128"/>
    </row>
    <row r="1005" spans="33:33">
      <c r="AG1005" s="125"/>
    </row>
    <row r="1006" spans="33:33">
      <c r="AG1006" s="128"/>
    </row>
    <row r="1007" spans="33:33">
      <c r="AG1007" s="269"/>
    </row>
    <row r="1008" spans="33:33">
      <c r="AG1008" s="128"/>
    </row>
    <row r="1009" spans="33:33">
      <c r="AG1009" s="128"/>
    </row>
    <row r="1010" spans="33:33">
      <c r="AG1010" s="128"/>
    </row>
    <row r="1011" spans="33:33">
      <c r="AG1011" s="128"/>
    </row>
    <row r="1012" spans="33:33">
      <c r="AG1012" s="128"/>
    </row>
    <row r="1013" spans="33:33">
      <c r="AG1013" s="128"/>
    </row>
    <row r="1014" spans="33:33">
      <c r="AG1014" s="128"/>
    </row>
    <row r="1015" spans="33:33">
      <c r="AG1015" s="128"/>
    </row>
    <row r="1016" spans="33:33">
      <c r="AG1016" s="128"/>
    </row>
    <row r="1017" spans="33:33">
      <c r="AG1017" s="128"/>
    </row>
    <row r="1018" spans="33:33">
      <c r="AG1018" s="128"/>
    </row>
    <row r="1019" spans="33:33">
      <c r="AG1019" s="128"/>
    </row>
    <row r="1020" spans="33:33">
      <c r="AG1020" s="128"/>
    </row>
    <row r="1021" spans="33:33">
      <c r="AG1021" s="128"/>
    </row>
    <row r="1022" spans="33:33">
      <c r="AG1022" s="128"/>
    </row>
    <row r="1023" spans="33:33">
      <c r="AG1023" s="128"/>
    </row>
    <row r="1024" spans="33:33">
      <c r="AG1024" s="128"/>
    </row>
    <row r="1025" spans="33:33">
      <c r="AG1025" s="128"/>
    </row>
    <row r="1026" spans="33:33">
      <c r="AG1026" s="125"/>
    </row>
    <row r="1027" spans="33:33">
      <c r="AG1027" s="128"/>
    </row>
    <row r="1028" spans="33:33">
      <c r="AG1028" s="128"/>
    </row>
    <row r="1029" spans="33:33">
      <c r="AG1029" s="128"/>
    </row>
    <row r="1030" spans="33:33">
      <c r="AG1030" s="128"/>
    </row>
    <row r="1031" spans="33:33">
      <c r="AG1031" s="128"/>
    </row>
    <row r="1032" spans="33:33">
      <c r="AG1032" s="27"/>
    </row>
    <row r="1033" spans="33:33">
      <c r="AG1033" s="125"/>
    </row>
    <row r="1034" spans="33:33">
      <c r="AG1034" s="269"/>
    </row>
    <row r="1035" spans="33:33">
      <c r="AG1035" s="269"/>
    </row>
    <row r="1036" spans="33:33">
      <c r="AG1036" s="128"/>
    </row>
    <row r="1037" spans="33:33">
      <c r="AG1037" s="125"/>
    </row>
    <row r="1038" spans="33:33">
      <c r="AG1038" s="128"/>
    </row>
    <row r="1039" spans="33:33">
      <c r="AG1039" s="128"/>
    </row>
    <row r="1040" spans="33:33">
      <c r="AG1040" s="128"/>
    </row>
    <row r="1041" spans="33:33">
      <c r="AG1041" s="43"/>
    </row>
    <row r="1042" spans="33:33">
      <c r="AG1042" s="128"/>
    </row>
    <row r="1044" spans="33:33">
      <c r="AG1044" s="128"/>
    </row>
    <row r="1045" spans="33:33">
      <c r="AG1045" s="125"/>
    </row>
    <row r="1046" spans="33:33">
      <c r="AG1046" s="128"/>
    </row>
    <row r="1047" spans="33:33">
      <c r="AG1047" s="128"/>
    </row>
    <row r="1048" spans="33:33">
      <c r="AG1048" s="125"/>
    </row>
    <row r="1049" spans="33:33">
      <c r="AG1049" s="128"/>
    </row>
    <row r="1050" spans="33:33">
      <c r="AG1050" s="128"/>
    </row>
    <row r="1051" spans="33:33">
      <c r="AG1051" s="128"/>
    </row>
    <row r="1052" spans="33:33">
      <c r="AG1052" s="128"/>
    </row>
    <row r="1053" spans="33:33">
      <c r="AG1053" s="128"/>
    </row>
    <row r="1054" spans="33:33">
      <c r="AG1054" s="128"/>
    </row>
    <row r="1055" spans="33:33">
      <c r="AG1055" s="128"/>
    </row>
    <row r="1056" spans="33:33">
      <c r="AG1056" s="128"/>
    </row>
    <row r="1057" spans="33:34">
      <c r="AG1057" s="128"/>
    </row>
    <row r="1058" spans="33:34">
      <c r="AG1058" s="128"/>
    </row>
    <row r="1059" spans="33:34">
      <c r="AG1059" s="269"/>
    </row>
    <row r="1060" spans="33:34">
      <c r="AG1060" s="128"/>
    </row>
    <row r="1061" spans="33:34">
      <c r="AG1061" s="128"/>
    </row>
    <row r="1062" spans="33:34">
      <c r="AG1062" s="128"/>
    </row>
    <row r="1063" spans="33:34">
      <c r="AG1063" s="128"/>
    </row>
    <row r="1064" spans="33:34">
      <c r="AG1064" s="128"/>
      <c r="AH1064" s="254" t="s">
        <v>4077</v>
      </c>
    </row>
    <row r="1065" spans="33:34">
      <c r="AG1065" s="128"/>
    </row>
    <row r="1066" spans="33:34">
      <c r="AG1066" s="125"/>
    </row>
    <row r="1067" spans="33:34">
      <c r="AG1067" s="128"/>
    </row>
    <row r="1068" spans="33:34">
      <c r="AG1068" s="128"/>
    </row>
    <row r="1069" spans="33:34">
      <c r="AG1069" s="128"/>
    </row>
    <row r="1070" spans="33:34">
      <c r="AG1070" s="128"/>
    </row>
    <row r="1071" spans="33:34">
      <c r="AG1071" s="269"/>
    </row>
    <row r="1073" spans="33:33">
      <c r="AG1073" s="128"/>
    </row>
    <row r="1074" spans="33:33">
      <c r="AG1074" s="128"/>
    </row>
    <row r="1075" spans="33:33">
      <c r="AG1075" s="128"/>
    </row>
    <row r="1076" spans="33:33">
      <c r="AG1076" s="27"/>
    </row>
    <row r="1077" spans="33:33">
      <c r="AG1077" s="128"/>
    </row>
    <row r="1078" spans="33:33">
      <c r="AG1078" s="269"/>
    </row>
    <row r="1079" spans="33:33">
      <c r="AG1079" s="125"/>
    </row>
    <row r="1080" spans="33:33">
      <c r="AG1080" s="128"/>
    </row>
    <row r="1081" spans="33:33">
      <c r="AG1081" s="128"/>
    </row>
    <row r="1082" spans="33:33">
      <c r="AG1082" s="128"/>
    </row>
    <row r="1083" spans="33:33">
      <c r="AG1083" s="128"/>
    </row>
    <row r="1084" spans="33:33">
      <c r="AG1084" s="128"/>
    </row>
    <row r="1085" spans="33:33">
      <c r="AG1085" s="128"/>
    </row>
    <row r="1086" spans="33:33">
      <c r="AG1086" s="128"/>
    </row>
    <row r="1087" spans="33:33">
      <c r="AG1087" s="128"/>
    </row>
    <row r="1088" spans="33:33">
      <c r="AG1088" s="128"/>
    </row>
    <row r="1089" spans="33:33">
      <c r="AG1089" s="128"/>
    </row>
    <row r="1090" spans="33:33">
      <c r="AG1090" s="128"/>
    </row>
    <row r="1091" spans="33:33">
      <c r="AG1091" s="128"/>
    </row>
    <row r="1092" spans="33:33">
      <c r="AG1092" s="128"/>
    </row>
    <row r="1093" spans="33:33">
      <c r="AG1093" s="269"/>
    </row>
    <row r="1095" spans="33:33">
      <c r="AG1095" s="128"/>
    </row>
    <row r="1096" spans="33:33">
      <c r="AG1096" s="128"/>
    </row>
    <row r="1097" spans="33:33">
      <c r="AG1097" s="128"/>
    </row>
    <row r="1098" spans="33:33">
      <c r="AG1098" s="128"/>
    </row>
    <row r="1099" spans="33:33">
      <c r="AG1099" s="128"/>
    </row>
    <row r="1100" spans="33:33">
      <c r="AG1100" s="128"/>
    </row>
    <row r="1101" spans="33:33">
      <c r="AG1101" s="128"/>
    </row>
    <row r="1102" spans="33:33">
      <c r="AG1102" s="128"/>
    </row>
    <row r="1103" spans="33:33">
      <c r="AG1103" s="128"/>
    </row>
    <row r="1104" spans="33:33">
      <c r="AG1104" s="128"/>
    </row>
    <row r="1105" spans="33:33">
      <c r="AG1105" s="128"/>
    </row>
    <row r="1106" spans="33:33">
      <c r="AG1106" s="128"/>
    </row>
    <row r="1107" spans="33:33">
      <c r="AG1107" s="128"/>
    </row>
    <row r="1108" spans="33:33">
      <c r="AG1108" s="128"/>
    </row>
    <row r="1110" spans="33:33">
      <c r="AG1110" s="128"/>
    </row>
    <row r="1111" spans="33:33">
      <c r="AG1111" s="125"/>
    </row>
    <row r="1112" spans="33:33">
      <c r="AG1112" s="128"/>
    </row>
    <row r="1113" spans="33:33">
      <c r="AG1113" s="128"/>
    </row>
    <row r="1114" spans="33:33">
      <c r="AG1114" s="128"/>
    </row>
    <row r="1115" spans="33:33">
      <c r="AG1115" s="128"/>
    </row>
    <row r="1116" spans="33:33">
      <c r="AG1116" s="128"/>
    </row>
    <row r="1117" spans="33:33">
      <c r="AG1117" s="128"/>
    </row>
    <row r="1119" spans="33:33">
      <c r="AG1119" s="128"/>
    </row>
    <row r="1120" spans="33:33">
      <c r="AG1120" s="128"/>
    </row>
    <row r="1121" spans="33:33">
      <c r="AG1121" s="128"/>
    </row>
    <row r="1122" spans="33:33">
      <c r="AG1122" s="128"/>
    </row>
    <row r="1123" spans="33:33">
      <c r="AG1123" s="128"/>
    </row>
    <row r="1124" spans="33:33">
      <c r="AG1124" s="128"/>
    </row>
    <row r="1125" spans="33:33">
      <c r="AG1125" s="128"/>
    </row>
    <row r="1126" spans="33:33">
      <c r="AG1126" s="128"/>
    </row>
    <row r="1127" spans="33:33">
      <c r="AG1127" s="128"/>
    </row>
    <row r="1128" spans="33:33">
      <c r="AG1128" s="125"/>
    </row>
    <row r="1129" spans="33:33">
      <c r="AG1129" s="128"/>
    </row>
    <row r="1130" spans="33:33">
      <c r="AG1130" s="128"/>
    </row>
    <row r="1131" spans="33:33">
      <c r="AG1131" s="128"/>
    </row>
    <row r="1133" spans="33:33">
      <c r="AG1133" s="128"/>
    </row>
    <row r="1134" spans="33:33">
      <c r="AG1134" s="128"/>
    </row>
    <row r="1135" spans="33:33">
      <c r="AG1135" s="269"/>
    </row>
    <row r="1136" spans="33:33">
      <c r="AG1136" s="128"/>
    </row>
    <row r="1137" spans="33:33">
      <c r="AG1137" s="269"/>
    </row>
    <row r="1138" spans="33:33">
      <c r="AG1138" s="128"/>
    </row>
    <row r="1139" spans="33:33">
      <c r="AG1139" s="128"/>
    </row>
    <row r="1140" spans="33:33">
      <c r="AG1140" s="128"/>
    </row>
    <row r="1141" spans="33:33">
      <c r="AG1141" s="269"/>
    </row>
    <row r="1142" spans="33:33">
      <c r="AG1142" s="269"/>
    </row>
    <row r="1143" spans="33:33">
      <c r="AG1143" s="128"/>
    </row>
    <row r="1144" spans="33:33">
      <c r="AG1144" s="128"/>
    </row>
    <row r="1145" spans="33:33">
      <c r="AG1145" s="128"/>
    </row>
    <row r="1146" spans="33:33">
      <c r="AG1146" s="128"/>
    </row>
    <row r="1147" spans="33:33">
      <c r="AG1147" s="269"/>
    </row>
    <row r="1148" spans="33:33">
      <c r="AG1148" s="128"/>
    </row>
    <row r="1149" spans="33:33">
      <c r="AG1149" s="269"/>
    </row>
    <row r="1150" spans="33:33">
      <c r="AG1150" s="128"/>
    </row>
    <row r="1151" spans="33:33">
      <c r="AG1151" s="269"/>
    </row>
    <row r="1152" spans="33:33">
      <c r="AG1152" s="128"/>
    </row>
    <row r="1153" spans="33:33">
      <c r="AG1153" s="128"/>
    </row>
    <row r="1154" spans="33:33">
      <c r="AG1154" s="128"/>
    </row>
    <row r="1155" spans="33:33">
      <c r="AG1155" s="128"/>
    </row>
    <row r="1156" spans="33:33">
      <c r="AG1156" s="128"/>
    </row>
    <row r="1157" spans="33:33">
      <c r="AG1157" s="128"/>
    </row>
    <row r="1158" spans="33:33">
      <c r="AG1158" s="128"/>
    </row>
    <row r="1159" spans="33:33">
      <c r="AG1159" s="128"/>
    </row>
    <row r="1160" spans="33:33">
      <c r="AG1160" s="128"/>
    </row>
    <row r="1161" spans="33:33">
      <c r="AG1161" s="128"/>
    </row>
    <row r="1162" spans="33:33">
      <c r="AG1162" s="128"/>
    </row>
    <row r="1163" spans="33:33">
      <c r="AG1163" s="128"/>
    </row>
    <row r="1164" spans="33:33">
      <c r="AG1164" s="128"/>
    </row>
    <row r="1165" spans="33:33">
      <c r="AG1165" s="128"/>
    </row>
    <row r="1166" spans="33:33">
      <c r="AG1166" s="128"/>
    </row>
    <row r="1167" spans="33:33">
      <c r="AG1167" s="128"/>
    </row>
    <row r="1168" spans="33:33">
      <c r="AG1168" s="269"/>
    </row>
    <row r="1169" spans="33:33">
      <c r="AG1169" s="128"/>
    </row>
    <row r="1170" spans="33:33">
      <c r="AG1170" s="128"/>
    </row>
    <row r="1171" spans="33:33">
      <c r="AG1171" s="128"/>
    </row>
    <row r="1172" spans="33:33">
      <c r="AG1172" s="128"/>
    </row>
    <row r="1173" spans="33:33">
      <c r="AG1173" s="128"/>
    </row>
    <row r="1174" spans="33:33">
      <c r="AG1174" s="128"/>
    </row>
    <row r="1175" spans="33:33">
      <c r="AG1175" s="128"/>
    </row>
    <row r="1176" spans="33:33">
      <c r="AG1176" s="269"/>
    </row>
    <row r="1177" spans="33:33">
      <c r="AG1177" s="128"/>
    </row>
    <row r="1178" spans="33:33">
      <c r="AG1178" s="128"/>
    </row>
    <row r="1179" spans="33:33">
      <c r="AG1179" s="128"/>
    </row>
    <row r="1180" spans="33:33">
      <c r="AG1180" s="128"/>
    </row>
    <row r="1181" spans="33:33">
      <c r="AG1181" s="128"/>
    </row>
    <row r="1182" spans="33:33">
      <c r="AG1182" s="128"/>
    </row>
    <row r="1183" spans="33:33">
      <c r="AG1183" s="128"/>
    </row>
    <row r="1184" spans="33:33">
      <c r="AG1184" s="128"/>
    </row>
    <row r="1185" spans="33:33">
      <c r="AG1185" s="128"/>
    </row>
    <row r="1186" spans="33:33">
      <c r="AG1186" s="128"/>
    </row>
    <row r="1187" spans="33:33">
      <c r="AG1187" s="125"/>
    </row>
    <row r="1188" spans="33:33">
      <c r="AG1188" s="128"/>
    </row>
    <row r="1189" spans="33:33">
      <c r="AG1189" s="128"/>
    </row>
    <row r="1190" spans="33:33">
      <c r="AG1190" s="269"/>
    </row>
    <row r="1191" spans="33:33">
      <c r="AG1191" s="128"/>
    </row>
    <row r="1192" spans="33:33">
      <c r="AG1192" s="128"/>
    </row>
    <row r="1193" spans="33:33">
      <c r="AG1193" s="128"/>
    </row>
    <row r="1194" spans="33:33">
      <c r="AG1194" s="128"/>
    </row>
    <row r="1195" spans="33:33">
      <c r="AG1195" s="128"/>
    </row>
    <row r="1196" spans="33:33">
      <c r="AG1196" s="128"/>
    </row>
    <row r="1197" spans="33:33">
      <c r="AG1197" s="128"/>
    </row>
    <row r="1198" spans="33:33">
      <c r="AG1198" s="269"/>
    </row>
    <row r="1199" spans="33:33">
      <c r="AG1199" s="269"/>
    </row>
    <row r="1200" spans="33:33">
      <c r="AG1200" s="128"/>
    </row>
    <row r="1201" spans="33:33">
      <c r="AG1201" s="269"/>
    </row>
    <row r="1202" spans="33:33">
      <c r="AG1202" s="128"/>
    </row>
    <row r="1203" spans="33:33">
      <c r="AG1203" s="128"/>
    </row>
    <row r="1204" spans="33:33">
      <c r="AG1204" s="128"/>
    </row>
    <row r="1205" spans="33:33">
      <c r="AG1205" s="128"/>
    </row>
    <row r="1206" spans="33:33">
      <c r="AG1206" s="128"/>
    </row>
    <row r="1207" spans="33:33">
      <c r="AG1207" s="128"/>
    </row>
    <row r="1208" spans="33:33">
      <c r="AG1208" s="128"/>
    </row>
    <row r="1209" spans="33:33">
      <c r="AG1209" s="269"/>
    </row>
    <row r="1210" spans="33:33">
      <c r="AG1210" s="128"/>
    </row>
    <row r="1211" spans="33:33">
      <c r="AG1211" s="128"/>
    </row>
    <row r="1212" spans="33:33">
      <c r="AG1212" s="128"/>
    </row>
    <row r="1213" spans="33:33">
      <c r="AG1213" s="128"/>
    </row>
    <row r="1214" spans="33:33">
      <c r="AG1214" s="128"/>
    </row>
    <row r="1215" spans="33:33">
      <c r="AG1215" s="128"/>
    </row>
    <row r="1216" spans="33:33">
      <c r="AG1216" s="128"/>
    </row>
    <row r="1217" spans="33:33">
      <c r="AG1217" s="128"/>
    </row>
    <row r="1218" spans="33:33">
      <c r="AG1218" s="128"/>
    </row>
    <row r="1219" spans="33:33">
      <c r="AG1219" s="128"/>
    </row>
    <row r="1220" spans="33:33">
      <c r="AG1220" s="128"/>
    </row>
    <row r="1221" spans="33:33">
      <c r="AG1221" s="129"/>
    </row>
    <row r="1222" spans="33:33">
      <c r="AG1222" s="128"/>
    </row>
    <row r="1223" spans="33:33">
      <c r="AG1223" s="128"/>
    </row>
    <row r="1224" spans="33:33">
      <c r="AG1224" s="128"/>
    </row>
    <row r="1225" spans="33:33">
      <c r="AG1225" s="128"/>
    </row>
    <row r="1226" spans="33:33">
      <c r="AG1226" s="128"/>
    </row>
    <row r="1227" spans="33:33">
      <c r="AG1227" s="128"/>
    </row>
    <row r="1228" spans="33:33">
      <c r="AG1228" s="128"/>
    </row>
    <row r="1229" spans="33:33">
      <c r="AG1229" s="269"/>
    </row>
    <row r="1230" spans="33:33">
      <c r="AG1230" s="128"/>
    </row>
    <row r="1231" spans="33:33">
      <c r="AG1231" s="128"/>
    </row>
    <row r="1232" spans="33:33">
      <c r="AG1232" s="128"/>
    </row>
    <row r="1233" spans="33:33">
      <c r="AG1233" s="128"/>
    </row>
    <row r="1234" spans="33:33">
      <c r="AG1234" s="128"/>
    </row>
    <row r="1235" spans="33:33">
      <c r="AG1235" s="128"/>
    </row>
    <row r="1236" spans="33:33">
      <c r="AG1236" s="128"/>
    </row>
    <row r="1237" spans="33:33">
      <c r="AG1237" s="128"/>
    </row>
    <row r="1238" spans="33:33">
      <c r="AG1238" s="128"/>
    </row>
    <row r="1239" spans="33:33">
      <c r="AG1239" s="128"/>
    </row>
    <row r="1240" spans="33:33">
      <c r="AG1240" s="128"/>
    </row>
    <row r="1241" spans="33:33">
      <c r="AG1241" s="128"/>
    </row>
    <row r="1242" spans="33:33">
      <c r="AG1242" s="128"/>
    </row>
    <row r="1243" spans="33:33">
      <c r="AG1243" s="128"/>
    </row>
    <row r="1244" spans="33:33">
      <c r="AG1244" s="269"/>
    </row>
    <row r="1245" spans="33:33">
      <c r="AG1245" s="269"/>
    </row>
    <row r="1246" spans="33:33">
      <c r="AG1246" s="128"/>
    </row>
    <row r="1247" spans="33:33">
      <c r="AG1247" s="128"/>
    </row>
    <row r="1248" spans="33:33">
      <c r="AG1248" s="128"/>
    </row>
    <row r="1249" spans="33:33">
      <c r="AG1249" s="128"/>
    </row>
    <row r="1250" spans="33:33">
      <c r="AG1250" s="128"/>
    </row>
    <row r="1251" spans="33:33">
      <c r="AG1251" s="128"/>
    </row>
    <row r="1252" spans="33:33">
      <c r="AG1252" s="128"/>
    </row>
    <row r="1253" spans="33:33">
      <c r="AG1253" s="128"/>
    </row>
    <row r="1254" spans="33:33">
      <c r="AG1254" s="128"/>
    </row>
    <row r="1255" spans="33:33">
      <c r="AG1255" s="269"/>
    </row>
    <row r="1256" spans="33:33">
      <c r="AG1256" s="128"/>
    </row>
    <row r="1257" spans="33:33">
      <c r="AG1257" s="128"/>
    </row>
    <row r="1258" spans="33:33">
      <c r="AG1258" s="128"/>
    </row>
    <row r="1259" spans="33:33">
      <c r="AG1259" s="128"/>
    </row>
    <row r="1260" spans="33:33">
      <c r="AG1260" s="128"/>
    </row>
    <row r="1261" spans="33:33">
      <c r="AG1261" s="128"/>
    </row>
    <row r="1262" spans="33:33">
      <c r="AG1262" s="125"/>
    </row>
    <row r="1263" spans="33:33">
      <c r="AG1263" s="128"/>
    </row>
    <row r="1265" spans="33:33">
      <c r="AG1265" s="128"/>
    </row>
    <row r="1266" spans="33:33">
      <c r="AG1266" s="269"/>
    </row>
    <row r="1267" spans="33:33">
      <c r="AG1267" s="128"/>
    </row>
    <row r="1268" spans="33:33">
      <c r="AG1268" s="128"/>
    </row>
    <row r="1269" spans="33:33">
      <c r="AG1269" s="128"/>
    </row>
    <row r="1270" spans="33:33">
      <c r="AG1270" s="128"/>
    </row>
    <row r="1271" spans="33:33">
      <c r="AG1271" s="128"/>
    </row>
    <row r="1272" spans="33:33">
      <c r="AG1272" s="128"/>
    </row>
    <row r="1273" spans="33:33">
      <c r="AG1273" s="128"/>
    </row>
    <row r="1274" spans="33:33">
      <c r="AG1274" s="128"/>
    </row>
    <row r="1275" spans="33:33">
      <c r="AG1275" s="128"/>
    </row>
    <row r="1276" spans="33:33">
      <c r="AG1276" s="128"/>
    </row>
    <row r="1277" spans="33:33">
      <c r="AG1277" s="128"/>
    </row>
    <row r="1278" spans="33:33">
      <c r="AG1278" s="128"/>
    </row>
    <row r="1279" spans="33:33">
      <c r="AG1279" s="128"/>
    </row>
    <row r="1280" spans="33:33">
      <c r="AG1280" s="128"/>
    </row>
    <row r="1281" spans="33:33">
      <c r="AG1281" s="128"/>
    </row>
    <row r="1282" spans="33:33">
      <c r="AG1282" s="128"/>
    </row>
    <row r="1283" spans="33:33">
      <c r="AG1283" s="128"/>
    </row>
    <row r="1284" spans="33:33">
      <c r="AG1284" s="128"/>
    </row>
    <row r="1285" spans="33:33">
      <c r="AG1285" s="128"/>
    </row>
    <row r="1286" spans="33:33">
      <c r="AG1286" s="128"/>
    </row>
    <row r="1287" spans="33:33">
      <c r="AG1287" s="128"/>
    </row>
    <row r="1288" spans="33:33">
      <c r="AG1288" s="128"/>
    </row>
    <row r="1289" spans="33:33">
      <c r="AG1289" s="128"/>
    </row>
    <row r="1291" spans="33:33">
      <c r="AG1291" s="128"/>
    </row>
    <row r="1292" spans="33:33">
      <c r="AG1292" s="128"/>
    </row>
    <row r="1293" spans="33:33">
      <c r="AG1293" s="128"/>
    </row>
    <row r="1294" spans="33:33">
      <c r="AG1294" s="128"/>
    </row>
    <row r="1295" spans="33:33">
      <c r="AG1295" s="128"/>
    </row>
    <row r="1296" spans="33:33">
      <c r="AG1296" s="128"/>
    </row>
    <row r="1297" spans="1:33">
      <c r="AG1297" s="128"/>
    </row>
    <row r="1298" spans="1:33">
      <c r="AG1298" s="128"/>
    </row>
    <row r="1299" spans="1:33">
      <c r="AG1299" s="51"/>
    </row>
    <row r="1300" spans="1:33">
      <c r="AG1300" s="128"/>
    </row>
    <row r="1301" spans="1:33">
      <c r="AG1301" s="128"/>
    </row>
    <row r="1302" spans="1:33">
      <c r="AG1302" s="128"/>
    </row>
    <row r="1303" spans="1:33">
      <c r="AG1303" s="128"/>
    </row>
    <row r="1304" spans="1:33">
      <c r="AG1304" s="128"/>
    </row>
    <row r="1305" spans="1:33">
      <c r="AG1305" s="128"/>
    </row>
    <row r="1306" spans="1:33">
      <c r="AG1306" s="128"/>
    </row>
    <row r="1307" spans="1:33">
      <c r="AG1307" s="128"/>
    </row>
    <row r="1308" spans="1:33">
      <c r="AG1308" s="128"/>
    </row>
    <row r="1309" spans="1:33" ht="26.25">
      <c r="A1309" s="269"/>
      <c r="B1309" s="269"/>
      <c r="C1309" s="269"/>
      <c r="D1309" s="269"/>
      <c r="E1309" s="269"/>
      <c r="F1309" s="269"/>
      <c r="H1309" s="269"/>
      <c r="I1309" s="269"/>
      <c r="J1309" s="334"/>
      <c r="K1309" s="334"/>
      <c r="L1309" s="334"/>
      <c r="M1309" s="328"/>
      <c r="N1309" s="328"/>
      <c r="S1309" s="336"/>
      <c r="T1309" s="62" ph="1"/>
      <c r="V1309" s="232"/>
      <c r="Y1309" s="269"/>
      <c r="Z1309" s="269"/>
      <c r="AA1309" s="269"/>
      <c r="AB1309" s="269"/>
      <c r="AC1309" s="269"/>
      <c r="AD1309" s="269"/>
      <c r="AE1309" s="7"/>
      <c r="AG1309" s="128"/>
    </row>
    <row r="1310" spans="1:33">
      <c r="A1310" s="269"/>
      <c r="W1310" s="269"/>
      <c r="X1310" s="201"/>
      <c r="AG1310" s="269"/>
    </row>
    <row r="1311" spans="1:33">
      <c r="AG1311" s="26"/>
    </row>
    <row r="1312" spans="1:33">
      <c r="AG1312" s="269"/>
    </row>
    <row r="1313" spans="1:33">
      <c r="AG1313" s="128"/>
    </row>
    <row r="1314" spans="1:33">
      <c r="AG1314" s="128"/>
    </row>
    <row r="1315" spans="1:33">
      <c r="AG1315" s="128"/>
    </row>
    <row r="1316" spans="1:33">
      <c r="A1316" s="269"/>
      <c r="G1316" s="269"/>
      <c r="AG1316" s="128"/>
    </row>
    <row r="1317" spans="1:33">
      <c r="AG1317" s="128"/>
    </row>
    <row r="1318" spans="1:33">
      <c r="AG1318" s="128"/>
    </row>
    <row r="1319" spans="1:33" ht="26.25">
      <c r="A1319" s="269"/>
      <c r="B1319" s="269"/>
      <c r="C1319" s="269"/>
      <c r="D1319" s="269"/>
      <c r="E1319" s="269"/>
      <c r="F1319" s="269"/>
      <c r="H1319" s="269"/>
      <c r="I1319" s="269"/>
      <c r="J1319" s="334"/>
      <c r="K1319" s="334"/>
      <c r="L1319" s="334"/>
      <c r="M1319" s="328"/>
      <c r="N1319" s="328"/>
      <c r="S1319" s="336"/>
      <c r="T1319" s="62" ph="1"/>
      <c r="V1319" s="232"/>
      <c r="Y1319" s="269"/>
      <c r="Z1319" s="269"/>
      <c r="AA1319" s="269"/>
      <c r="AB1319" s="269"/>
      <c r="AC1319" s="269"/>
      <c r="AD1319" s="269"/>
      <c r="AE1319" s="7"/>
      <c r="AG1319" s="128"/>
    </row>
    <row r="1320" spans="1:33">
      <c r="A1320" s="269"/>
      <c r="W1320" s="269"/>
      <c r="X1320" s="201"/>
      <c r="AG1320" s="128"/>
    </row>
    <row r="1321" spans="1:33">
      <c r="O1321" s="386"/>
      <c r="P1321" s="356"/>
      <c r="Q1321" s="380"/>
      <c r="AG1321" s="128"/>
    </row>
    <row r="1322" spans="1:33">
      <c r="AG1322" s="128"/>
    </row>
    <row r="1323" spans="1:33" ht="26.25">
      <c r="A1323" s="269"/>
      <c r="B1323" s="269"/>
      <c r="C1323" s="269"/>
      <c r="D1323" s="269"/>
      <c r="E1323" s="269"/>
      <c r="F1323" s="269"/>
      <c r="H1323" s="269"/>
      <c r="I1323" s="269"/>
      <c r="J1323" s="334"/>
      <c r="K1323" s="334"/>
      <c r="L1323" s="334"/>
      <c r="M1323" s="328"/>
      <c r="N1323" s="328"/>
      <c r="S1323" s="336"/>
      <c r="T1323" s="62" ph="1"/>
      <c r="V1323" s="232"/>
      <c r="Y1323" s="269"/>
      <c r="Z1323" s="269"/>
      <c r="AA1323" s="269"/>
      <c r="AB1323" s="269"/>
      <c r="AC1323" s="269"/>
      <c r="AD1323" s="269"/>
      <c r="AE1323" s="7"/>
      <c r="AG1323" s="128"/>
    </row>
    <row r="1324" spans="1:33">
      <c r="A1324" s="269"/>
      <c r="W1324" s="269"/>
      <c r="X1324" s="201"/>
      <c r="AG1324" s="128"/>
    </row>
    <row r="1325" spans="1:33">
      <c r="AG1325" s="128"/>
    </row>
    <row r="1326" spans="1:33">
      <c r="A1326" s="269"/>
      <c r="G1326" s="269"/>
      <c r="AG1326" s="128"/>
    </row>
    <row r="1327" spans="1:33">
      <c r="AG1327" s="128"/>
    </row>
    <row r="1328" spans="1:33" ht="26.25">
      <c r="A1328" s="269"/>
      <c r="B1328" s="269"/>
      <c r="C1328" s="269"/>
      <c r="D1328" s="269"/>
      <c r="E1328" s="269"/>
      <c r="F1328" s="269"/>
      <c r="H1328" s="269"/>
      <c r="I1328" s="269"/>
      <c r="J1328" s="334"/>
      <c r="K1328" s="334"/>
      <c r="L1328" s="334"/>
      <c r="M1328" s="328"/>
      <c r="N1328" s="328"/>
      <c r="S1328" s="336"/>
      <c r="T1328" s="62" ph="1"/>
      <c r="V1328" s="232"/>
      <c r="Y1328" s="269"/>
      <c r="Z1328" s="269"/>
      <c r="AA1328" s="269"/>
      <c r="AB1328" s="269"/>
      <c r="AC1328" s="269"/>
      <c r="AD1328" s="269"/>
      <c r="AE1328" s="7"/>
      <c r="AG1328" s="128"/>
    </row>
    <row r="1329" spans="1:33" ht="26.25">
      <c r="A1329" s="269"/>
      <c r="B1329" s="269"/>
      <c r="C1329" s="269"/>
      <c r="D1329" s="269"/>
      <c r="E1329" s="269"/>
      <c r="F1329" s="269"/>
      <c r="H1329" s="269"/>
      <c r="I1329" s="269"/>
      <c r="J1329" s="334"/>
      <c r="K1329" s="334"/>
      <c r="L1329" s="334"/>
      <c r="M1329" s="328"/>
      <c r="N1329" s="328"/>
      <c r="S1329" s="336"/>
      <c r="T1329" s="62" ph="1"/>
      <c r="V1329" s="232"/>
      <c r="W1329" s="269"/>
      <c r="X1329" s="201"/>
      <c r="Y1329" s="269"/>
      <c r="Z1329" s="269"/>
      <c r="AA1329" s="269"/>
      <c r="AB1329" s="269"/>
      <c r="AC1329" s="269"/>
      <c r="AD1329" s="269"/>
      <c r="AE1329" s="7"/>
      <c r="AG1329" s="128"/>
    </row>
    <row r="1330" spans="1:33" ht="26.25">
      <c r="A1330" s="269"/>
      <c r="B1330" s="269"/>
      <c r="C1330" s="269"/>
      <c r="D1330" s="269"/>
      <c r="E1330" s="269"/>
      <c r="F1330" s="269"/>
      <c r="G1330" s="269"/>
      <c r="H1330" s="269"/>
      <c r="I1330" s="269"/>
      <c r="J1330" s="334"/>
      <c r="K1330" s="334"/>
      <c r="L1330" s="334"/>
      <c r="M1330" s="328"/>
      <c r="N1330" s="328"/>
      <c r="S1330" s="336"/>
      <c r="T1330" s="62" ph="1"/>
      <c r="V1330" s="232"/>
      <c r="W1330" s="269"/>
      <c r="X1330" s="201"/>
      <c r="Y1330" s="269"/>
      <c r="Z1330" s="269"/>
      <c r="AA1330" s="269"/>
      <c r="AB1330" s="269"/>
      <c r="AC1330" s="269"/>
      <c r="AD1330" s="269"/>
      <c r="AE1330" s="7"/>
      <c r="AG1330" s="128"/>
    </row>
    <row r="1331" spans="1:33">
      <c r="A1331" s="269"/>
      <c r="O1331" s="386"/>
      <c r="P1331" s="356"/>
      <c r="Q1331" s="380"/>
      <c r="W1331" s="269"/>
      <c r="X1331" s="201"/>
      <c r="AG1331" s="128"/>
    </row>
    <row r="1332" spans="1:33" ht="26.25">
      <c r="A1332" s="269"/>
      <c r="B1332" s="269"/>
      <c r="C1332" s="269"/>
      <c r="D1332" s="269"/>
      <c r="E1332" s="269"/>
      <c r="F1332" s="269"/>
      <c r="H1332" s="269"/>
      <c r="I1332" s="269"/>
      <c r="J1332" s="334"/>
      <c r="K1332" s="334"/>
      <c r="L1332" s="334"/>
      <c r="M1332" s="328"/>
      <c r="N1332" s="328"/>
      <c r="S1332" s="336"/>
      <c r="T1332" s="62" ph="1"/>
      <c r="V1332" s="232"/>
      <c r="Y1332" s="269"/>
      <c r="Z1332" s="269"/>
      <c r="AA1332" s="269"/>
      <c r="AB1332" s="269"/>
      <c r="AC1332" s="269"/>
      <c r="AD1332" s="269"/>
      <c r="AE1332" s="7"/>
      <c r="AG1332" s="128"/>
    </row>
    <row r="1333" spans="1:33" ht="26.25">
      <c r="A1333" s="269"/>
      <c r="B1333" s="269"/>
      <c r="C1333" s="269"/>
      <c r="D1333" s="269"/>
      <c r="E1333" s="269"/>
      <c r="F1333" s="269"/>
      <c r="H1333" s="269"/>
      <c r="I1333" s="269"/>
      <c r="J1333" s="334"/>
      <c r="K1333" s="334"/>
      <c r="L1333" s="334"/>
      <c r="M1333" s="328"/>
      <c r="N1333" s="328"/>
      <c r="S1333" s="336"/>
      <c r="T1333" s="62" ph="1"/>
      <c r="V1333" s="232"/>
      <c r="W1333" s="269"/>
      <c r="X1333" s="201"/>
      <c r="Y1333" s="269"/>
      <c r="Z1333" s="269"/>
      <c r="AA1333" s="269"/>
      <c r="AB1333" s="269"/>
      <c r="AC1333" s="269"/>
      <c r="AD1333" s="269"/>
      <c r="AE1333" s="7"/>
      <c r="AG1333" s="128"/>
    </row>
    <row r="1334" spans="1:33">
      <c r="A1334" s="269"/>
      <c r="W1334" s="269"/>
      <c r="X1334" s="201"/>
      <c r="AG1334" s="269"/>
    </row>
    <row r="1335" spans="1:33" ht="26.25">
      <c r="A1335" s="269"/>
      <c r="B1335" s="269"/>
      <c r="C1335" s="269"/>
      <c r="D1335" s="269"/>
      <c r="E1335" s="269"/>
      <c r="F1335" s="269"/>
      <c r="G1335" s="269"/>
      <c r="H1335" s="269"/>
      <c r="I1335" s="269"/>
      <c r="J1335" s="334"/>
      <c r="K1335" s="334"/>
      <c r="L1335" s="334"/>
      <c r="M1335" s="328"/>
      <c r="N1335" s="328"/>
      <c r="O1335" s="386"/>
      <c r="P1335" s="356"/>
      <c r="Q1335" s="380"/>
      <c r="S1335" s="336"/>
      <c r="T1335" s="62" ph="1"/>
      <c r="V1335" s="232"/>
      <c r="Y1335" s="269"/>
      <c r="Z1335" s="269"/>
      <c r="AA1335" s="269"/>
      <c r="AB1335" s="269"/>
      <c r="AC1335" s="269"/>
      <c r="AD1335" s="269"/>
      <c r="AE1335" s="7"/>
      <c r="AG1335" s="269"/>
    </row>
    <row r="1336" spans="1:33">
      <c r="A1336" s="269"/>
      <c r="G1336" s="269"/>
      <c r="W1336" s="269"/>
      <c r="X1336" s="201"/>
      <c r="AG1336" s="27"/>
    </row>
    <row r="1337" spans="1:33" ht="26.25">
      <c r="A1337" s="269"/>
      <c r="B1337" s="269"/>
      <c r="C1337" s="269"/>
      <c r="D1337" s="269"/>
      <c r="E1337" s="269"/>
      <c r="F1337" s="269"/>
      <c r="G1337" s="269"/>
      <c r="H1337" s="269"/>
      <c r="I1337" s="269"/>
      <c r="J1337" s="334"/>
      <c r="K1337" s="334"/>
      <c r="L1337" s="334"/>
      <c r="M1337" s="328"/>
      <c r="N1337" s="328"/>
      <c r="S1337" s="336"/>
      <c r="T1337" s="62" ph="1"/>
      <c r="V1337" s="232"/>
      <c r="Y1337" s="269"/>
      <c r="Z1337" s="269"/>
      <c r="AA1337" s="269"/>
      <c r="AB1337" s="269"/>
      <c r="AC1337" s="269"/>
      <c r="AD1337" s="269"/>
      <c r="AE1337" s="7"/>
      <c r="AG1337" s="128"/>
    </row>
    <row r="1338" spans="1:33" ht="26.25">
      <c r="A1338" s="269"/>
      <c r="B1338" s="269"/>
      <c r="C1338" s="269"/>
      <c r="D1338" s="269"/>
      <c r="E1338" s="269"/>
      <c r="F1338" s="269"/>
      <c r="H1338" s="269"/>
      <c r="I1338" s="269"/>
      <c r="J1338" s="334"/>
      <c r="K1338" s="334"/>
      <c r="L1338" s="334"/>
      <c r="M1338" s="328"/>
      <c r="N1338" s="328"/>
      <c r="S1338" s="336"/>
      <c r="T1338" s="62" ph="1"/>
      <c r="V1338" s="232"/>
      <c r="W1338" s="269"/>
      <c r="X1338" s="201"/>
      <c r="Y1338" s="269"/>
      <c r="Z1338" s="269"/>
      <c r="AA1338" s="269"/>
      <c r="AB1338" s="269"/>
      <c r="AC1338" s="269"/>
      <c r="AD1338" s="269"/>
      <c r="AE1338" s="7"/>
      <c r="AG1338" s="128"/>
    </row>
    <row r="1339" spans="1:33" ht="26.25">
      <c r="A1339" s="269"/>
      <c r="B1339" s="269"/>
      <c r="C1339" s="269"/>
      <c r="D1339" s="269"/>
      <c r="E1339" s="269"/>
      <c r="F1339" s="269"/>
      <c r="G1339" s="269"/>
      <c r="H1339" s="269"/>
      <c r="I1339" s="269"/>
      <c r="J1339" s="334"/>
      <c r="K1339" s="334"/>
      <c r="L1339" s="334"/>
      <c r="M1339" s="328"/>
      <c r="N1339" s="328"/>
      <c r="S1339" s="336"/>
      <c r="T1339" s="62" ph="1"/>
      <c r="V1339" s="232"/>
      <c r="W1339" s="269"/>
      <c r="X1339" s="201"/>
      <c r="Y1339" s="269"/>
      <c r="Z1339" s="269"/>
      <c r="AA1339" s="269"/>
      <c r="AB1339" s="269"/>
      <c r="AC1339" s="269"/>
      <c r="AD1339" s="269"/>
      <c r="AE1339" s="7"/>
      <c r="AG1339" s="128"/>
    </row>
    <row r="1340" spans="1:33" ht="26.25">
      <c r="A1340" s="269"/>
      <c r="B1340" s="269"/>
      <c r="C1340" s="269"/>
      <c r="D1340" s="269"/>
      <c r="E1340" s="269"/>
      <c r="F1340" s="269"/>
      <c r="G1340" s="269"/>
      <c r="H1340" s="269"/>
      <c r="I1340" s="269"/>
      <c r="J1340" s="334"/>
      <c r="K1340" s="334"/>
      <c r="L1340" s="334"/>
      <c r="M1340" s="328"/>
      <c r="N1340" s="328"/>
      <c r="O1340" s="386"/>
      <c r="P1340" s="356"/>
      <c r="Q1340" s="380"/>
      <c r="S1340" s="336"/>
      <c r="T1340" s="62" ph="1"/>
      <c r="V1340" s="232"/>
      <c r="W1340" s="269"/>
      <c r="X1340" s="201"/>
      <c r="Y1340" s="269"/>
      <c r="Z1340" s="269"/>
      <c r="AA1340" s="269"/>
      <c r="AB1340" s="269"/>
      <c r="AC1340" s="269"/>
      <c r="AD1340" s="269"/>
      <c r="AE1340" s="7"/>
      <c r="AG1340" s="128"/>
    </row>
    <row r="1341" spans="1:33" ht="26.25">
      <c r="A1341" s="269"/>
      <c r="B1341" s="269"/>
      <c r="C1341" s="269"/>
      <c r="D1341" s="269"/>
      <c r="E1341" s="269"/>
      <c r="F1341" s="269"/>
      <c r="H1341" s="269"/>
      <c r="I1341" s="269"/>
      <c r="J1341" s="334"/>
      <c r="K1341" s="334"/>
      <c r="L1341" s="334"/>
      <c r="M1341" s="328"/>
      <c r="N1341" s="328"/>
      <c r="O1341" s="386"/>
      <c r="P1341" s="356"/>
      <c r="Q1341" s="380"/>
      <c r="S1341" s="336"/>
      <c r="T1341" s="62" ph="1"/>
      <c r="V1341" s="232"/>
      <c r="W1341" s="269"/>
      <c r="X1341" s="201"/>
      <c r="Y1341" s="269"/>
      <c r="Z1341" s="269"/>
      <c r="AA1341" s="269"/>
      <c r="AB1341" s="269"/>
      <c r="AC1341" s="269"/>
      <c r="AD1341" s="269"/>
      <c r="AE1341" s="7"/>
      <c r="AG1341" s="128"/>
    </row>
    <row r="1342" spans="1:33" ht="26.25">
      <c r="A1342" s="269"/>
      <c r="B1342" s="269"/>
      <c r="C1342" s="269"/>
      <c r="D1342" s="269"/>
      <c r="E1342" s="269"/>
      <c r="F1342" s="269"/>
      <c r="G1342" s="269"/>
      <c r="H1342" s="269"/>
      <c r="I1342" s="269"/>
      <c r="J1342" s="334"/>
      <c r="K1342" s="334"/>
      <c r="L1342" s="334"/>
      <c r="M1342" s="328"/>
      <c r="N1342" s="328"/>
      <c r="O1342" s="386"/>
      <c r="P1342" s="356"/>
      <c r="Q1342" s="380"/>
      <c r="S1342" s="336"/>
      <c r="T1342" s="62" ph="1"/>
      <c r="V1342" s="232"/>
      <c r="W1342" s="269"/>
      <c r="X1342" s="201"/>
      <c r="Y1342" s="269"/>
      <c r="Z1342" s="269"/>
      <c r="AA1342" s="269"/>
      <c r="AB1342" s="269"/>
      <c r="AC1342" s="269"/>
      <c r="AD1342" s="269"/>
      <c r="AE1342" s="7"/>
      <c r="AG1342" s="128"/>
    </row>
    <row r="1343" spans="1:33" ht="26.25">
      <c r="A1343" s="269"/>
      <c r="B1343" s="269"/>
      <c r="C1343" s="269"/>
      <c r="D1343" s="269"/>
      <c r="E1343" s="269"/>
      <c r="F1343" s="269"/>
      <c r="H1343" s="269"/>
      <c r="I1343" s="269"/>
      <c r="J1343" s="334"/>
      <c r="K1343" s="334"/>
      <c r="L1343" s="334"/>
      <c r="M1343" s="328"/>
      <c r="N1343" s="328"/>
      <c r="S1343" s="336"/>
      <c r="T1343" s="62" ph="1"/>
      <c r="V1343" s="232"/>
      <c r="W1343" s="269"/>
      <c r="X1343" s="201"/>
      <c r="Y1343" s="269"/>
      <c r="Z1343" s="269"/>
      <c r="AA1343" s="269"/>
      <c r="AB1343" s="269"/>
      <c r="AC1343" s="269"/>
      <c r="AD1343" s="269"/>
      <c r="AE1343" s="7"/>
      <c r="AG1343" s="128"/>
    </row>
    <row r="1344" spans="1:33" ht="26.25">
      <c r="A1344" s="269"/>
      <c r="B1344" s="269"/>
      <c r="C1344" s="269"/>
      <c r="D1344" s="269"/>
      <c r="E1344" s="269"/>
      <c r="F1344" s="269"/>
      <c r="G1344" s="269"/>
      <c r="H1344" s="269"/>
      <c r="I1344" s="269"/>
      <c r="J1344" s="334"/>
      <c r="K1344" s="334"/>
      <c r="L1344" s="334"/>
      <c r="M1344" s="328"/>
      <c r="N1344" s="328"/>
      <c r="O1344" s="386"/>
      <c r="P1344" s="356"/>
      <c r="Q1344" s="380"/>
      <c r="S1344" s="336"/>
      <c r="T1344" s="62" ph="1"/>
      <c r="V1344" s="232"/>
      <c r="W1344" s="269"/>
      <c r="X1344" s="201"/>
      <c r="Y1344" s="269"/>
      <c r="Z1344" s="269"/>
      <c r="AA1344" s="269"/>
      <c r="AB1344" s="269"/>
      <c r="AC1344" s="269"/>
      <c r="AD1344" s="269"/>
      <c r="AE1344" s="7"/>
      <c r="AG1344" s="128"/>
    </row>
    <row r="1345" spans="1:33" ht="26.25">
      <c r="A1345" s="269"/>
      <c r="G1345" s="269"/>
      <c r="O1345" s="386"/>
      <c r="P1345" s="356"/>
      <c r="Q1345" s="380"/>
      <c r="T1345" s="62" ph="1"/>
      <c r="W1345" s="269"/>
      <c r="X1345" s="201"/>
      <c r="AG1345" s="128"/>
    </row>
    <row r="1346" spans="1:33" ht="26.25">
      <c r="A1346" s="269"/>
      <c r="G1346" s="269"/>
      <c r="T1346" s="62" ph="1"/>
      <c r="AG1346" s="128"/>
    </row>
    <row r="1347" spans="1:33">
      <c r="A1347" s="269"/>
      <c r="G1347" s="269"/>
      <c r="O1347" s="386"/>
      <c r="P1347" s="356"/>
      <c r="Q1347" s="380"/>
      <c r="AG1347" s="128"/>
    </row>
    <row r="1348" spans="1:33" ht="26.25">
      <c r="A1348" s="269"/>
      <c r="G1348" s="269"/>
      <c r="T1348" s="62" ph="1"/>
      <c r="AG1348" s="128"/>
    </row>
    <row r="1349" spans="1:33" ht="26.25">
      <c r="A1349" s="269"/>
      <c r="G1349" s="269"/>
      <c r="O1349" s="386"/>
      <c r="P1349" s="356"/>
      <c r="Q1349" s="380"/>
      <c r="T1349" s="62" ph="1"/>
      <c r="AG1349" s="128"/>
    </row>
    <row r="1350" spans="1:33" ht="26.25">
      <c r="A1350" s="269"/>
      <c r="G1350" s="269"/>
      <c r="O1350" s="386"/>
      <c r="P1350" s="356"/>
      <c r="Q1350" s="380"/>
      <c r="T1350" s="62" ph="1"/>
      <c r="AG1350" s="269"/>
    </row>
    <row r="1351" spans="1:33" ht="26.25">
      <c r="A1351" s="269"/>
      <c r="G1351" s="269"/>
      <c r="O1351" s="386"/>
      <c r="P1351" s="356"/>
      <c r="Q1351" s="380"/>
      <c r="T1351" s="62" ph="1"/>
      <c r="AG1351" s="128"/>
    </row>
    <row r="1352" spans="1:33" ht="26.25">
      <c r="A1352" s="269"/>
      <c r="O1352" s="386"/>
      <c r="P1352" s="356"/>
      <c r="Q1352" s="380"/>
      <c r="T1352" s="62" ph="1"/>
      <c r="AG1352" s="128"/>
    </row>
    <row r="1353" spans="1:33" ht="26.25">
      <c r="A1353" s="269"/>
      <c r="B1353" s="269"/>
      <c r="C1353" s="269"/>
      <c r="D1353" s="269"/>
      <c r="E1353" s="269"/>
      <c r="F1353" s="269"/>
      <c r="G1353" s="269"/>
      <c r="H1353" s="269"/>
      <c r="I1353" s="269"/>
      <c r="J1353" s="334"/>
      <c r="K1353" s="334"/>
      <c r="L1353" s="334"/>
      <c r="M1353" s="328"/>
      <c r="N1353" s="328"/>
      <c r="O1353" s="386"/>
      <c r="P1353" s="356"/>
      <c r="Q1353" s="380"/>
      <c r="S1353" s="336"/>
      <c r="T1353" s="62" ph="1"/>
      <c r="V1353" s="232"/>
      <c r="W1353" s="269"/>
      <c r="X1353" s="201"/>
      <c r="Y1353" s="269"/>
      <c r="Z1353" s="269"/>
      <c r="AA1353" s="269"/>
      <c r="AB1353" s="269"/>
      <c r="AC1353" s="269"/>
      <c r="AD1353" s="269"/>
      <c r="AE1353" s="269"/>
      <c r="AG1353" s="128"/>
    </row>
    <row r="1354" spans="1:33" ht="26.25">
      <c r="A1354" s="269"/>
      <c r="B1354" s="269"/>
      <c r="C1354" s="269"/>
      <c r="D1354" s="269"/>
      <c r="E1354" s="269"/>
      <c r="F1354" s="269"/>
      <c r="G1354" s="269"/>
      <c r="H1354" s="269"/>
      <c r="I1354" s="269"/>
      <c r="J1354" s="334"/>
      <c r="K1354" s="334"/>
      <c r="L1354" s="334"/>
      <c r="M1354" s="328"/>
      <c r="N1354" s="328"/>
      <c r="O1354" s="386"/>
      <c r="P1354" s="356"/>
      <c r="Q1354" s="380"/>
      <c r="S1354" s="336"/>
      <c r="T1354" s="62" ph="1"/>
      <c r="V1354" s="232"/>
      <c r="W1354" s="269"/>
      <c r="X1354" s="201"/>
      <c r="Y1354" s="269"/>
      <c r="Z1354" s="269"/>
      <c r="AA1354" s="269"/>
      <c r="AB1354" s="269"/>
      <c r="AC1354" s="269"/>
      <c r="AD1354" s="269"/>
      <c r="AE1354" s="269"/>
      <c r="AG1354" s="128"/>
    </row>
    <row r="1355" spans="1:33" ht="26.25">
      <c r="A1355" s="269"/>
      <c r="B1355" s="269"/>
      <c r="C1355" s="269"/>
      <c r="D1355" s="269"/>
      <c r="E1355" s="269"/>
      <c r="F1355" s="269"/>
      <c r="G1355" s="269"/>
      <c r="H1355" s="269"/>
      <c r="I1355" s="269"/>
      <c r="J1355" s="334"/>
      <c r="K1355" s="334"/>
      <c r="L1355" s="334"/>
      <c r="M1355" s="328"/>
      <c r="N1355" s="328"/>
      <c r="O1355" s="386"/>
      <c r="P1355" s="356"/>
      <c r="Q1355" s="380"/>
      <c r="S1355" s="336"/>
      <c r="T1355" s="62" ph="1"/>
      <c r="V1355" s="232"/>
      <c r="W1355" s="269"/>
      <c r="X1355" s="201"/>
      <c r="Y1355" s="269"/>
      <c r="Z1355" s="269"/>
      <c r="AA1355" s="269"/>
      <c r="AB1355" s="269"/>
      <c r="AC1355" s="269"/>
      <c r="AD1355" s="269"/>
      <c r="AE1355" s="269"/>
      <c r="AG1355" s="128"/>
    </row>
    <row r="1356" spans="1:33">
      <c r="O1356" s="386"/>
      <c r="P1356" s="356"/>
      <c r="Q1356" s="380"/>
      <c r="AG1356" s="128"/>
    </row>
    <row r="1357" spans="1:33" ht="26.25">
      <c r="A1357" s="269"/>
      <c r="B1357" s="269"/>
      <c r="C1357" s="269"/>
      <c r="D1357" s="269"/>
      <c r="E1357" s="269"/>
      <c r="F1357" s="269"/>
      <c r="G1357" s="269"/>
      <c r="H1357" s="269"/>
      <c r="I1357" s="269"/>
      <c r="J1357" s="334"/>
      <c r="K1357" s="334"/>
      <c r="L1357" s="334"/>
      <c r="M1357" s="328"/>
      <c r="N1357" s="328"/>
      <c r="S1357" s="336"/>
      <c r="T1357" s="62" ph="1"/>
      <c r="V1357" s="232"/>
      <c r="W1357" s="269"/>
      <c r="X1357" s="201"/>
      <c r="Y1357" s="269"/>
      <c r="Z1357" s="269"/>
      <c r="AA1357" s="269"/>
      <c r="AB1357" s="269"/>
      <c r="AC1357" s="269"/>
      <c r="AD1357" s="269"/>
      <c r="AE1357" s="269"/>
      <c r="AG1357" s="128"/>
    </row>
    <row r="1358" spans="1:33" ht="26.25">
      <c r="A1358" s="269"/>
      <c r="B1358" s="269"/>
      <c r="C1358" s="269"/>
      <c r="D1358" s="269"/>
      <c r="E1358" s="269"/>
      <c r="F1358" s="269"/>
      <c r="G1358" s="269"/>
      <c r="H1358" s="269"/>
      <c r="I1358" s="269"/>
      <c r="J1358" s="334"/>
      <c r="K1358" s="334"/>
      <c r="L1358" s="334"/>
      <c r="M1358" s="328"/>
      <c r="N1358" s="328"/>
      <c r="S1358" s="336"/>
      <c r="T1358" s="62" ph="1"/>
      <c r="V1358" s="232"/>
      <c r="W1358" s="269"/>
      <c r="X1358" s="201"/>
      <c r="Y1358" s="269"/>
      <c r="Z1358" s="269"/>
      <c r="AA1358" s="269"/>
      <c r="AB1358" s="269"/>
      <c r="AC1358" s="269"/>
      <c r="AD1358" s="269"/>
      <c r="AE1358" s="269"/>
      <c r="AG1358" s="128"/>
    </row>
    <row r="1359" spans="1:33" ht="26.25">
      <c r="A1359" s="269"/>
      <c r="B1359" s="269"/>
      <c r="C1359" s="269"/>
      <c r="D1359" s="269"/>
      <c r="E1359" s="269"/>
      <c r="F1359" s="269"/>
      <c r="G1359" s="269"/>
      <c r="H1359" s="269"/>
      <c r="I1359" s="269"/>
      <c r="J1359" s="334"/>
      <c r="K1359" s="334"/>
      <c r="L1359" s="334"/>
      <c r="M1359" s="328"/>
      <c r="N1359" s="328"/>
      <c r="S1359" s="336"/>
      <c r="T1359" s="62" ph="1"/>
      <c r="V1359" s="232"/>
      <c r="W1359" s="269"/>
      <c r="X1359" s="201"/>
      <c r="Y1359" s="269"/>
      <c r="Z1359" s="269"/>
      <c r="AA1359" s="269"/>
      <c r="AB1359" s="269"/>
      <c r="AC1359" s="269"/>
      <c r="AD1359" s="269"/>
      <c r="AE1359" s="269"/>
      <c r="AG1359" s="128"/>
    </row>
    <row r="1360" spans="1:33" ht="26.25">
      <c r="A1360" s="269"/>
      <c r="B1360" s="269"/>
      <c r="C1360" s="269"/>
      <c r="D1360" s="269"/>
      <c r="E1360" s="269"/>
      <c r="F1360" s="269"/>
      <c r="G1360" s="269"/>
      <c r="H1360" s="269"/>
      <c r="I1360" s="269"/>
      <c r="J1360" s="334"/>
      <c r="K1360" s="334"/>
      <c r="L1360" s="334"/>
      <c r="M1360" s="328"/>
      <c r="N1360" s="328"/>
      <c r="S1360" s="336"/>
      <c r="T1360" s="62" ph="1"/>
      <c r="V1360" s="232"/>
      <c r="W1360" s="269"/>
      <c r="X1360" s="201"/>
      <c r="Y1360" s="269"/>
      <c r="Z1360" s="269"/>
      <c r="AA1360" s="269"/>
      <c r="AB1360" s="269"/>
      <c r="AC1360" s="269"/>
      <c r="AD1360" s="269"/>
      <c r="AE1360" s="269"/>
      <c r="AG1360" s="128"/>
    </row>
    <row r="1361" spans="15:33">
      <c r="AG1361" s="128"/>
    </row>
    <row r="1362" spans="15:33">
      <c r="AG1362" s="27"/>
    </row>
    <row r="1363" spans="15:33">
      <c r="AG1363" s="128"/>
    </row>
    <row r="1364" spans="15:33">
      <c r="AG1364" s="128"/>
    </row>
    <row r="1365" spans="15:33">
      <c r="O1365" s="386"/>
      <c r="P1365" s="356"/>
      <c r="Q1365" s="380"/>
      <c r="AG1365" s="128"/>
    </row>
    <row r="1366" spans="15:33">
      <c r="O1366" s="386"/>
      <c r="P1366" s="356"/>
      <c r="Q1366" s="380"/>
      <c r="AG1366" s="128"/>
    </row>
    <row r="1367" spans="15:33">
      <c r="O1367" s="386"/>
      <c r="P1367" s="356"/>
      <c r="Q1367" s="380"/>
      <c r="AG1367" s="128"/>
    </row>
    <row r="1368" spans="15:33">
      <c r="AG1368" s="128"/>
    </row>
    <row r="1369" spans="15:33">
      <c r="O1369" s="386"/>
      <c r="P1369" s="356"/>
      <c r="Q1369" s="380"/>
      <c r="AG1369" s="125"/>
    </row>
    <row r="1370" spans="15:33">
      <c r="O1370" s="386"/>
      <c r="P1370" s="356"/>
      <c r="Q1370" s="380"/>
      <c r="AG1370" s="128"/>
    </row>
    <row r="1371" spans="15:33">
      <c r="O1371" s="386"/>
      <c r="P1371" s="356"/>
      <c r="Q1371" s="380"/>
      <c r="AG1371" s="128"/>
    </row>
    <row r="1372" spans="15:33">
      <c r="O1372" s="386"/>
      <c r="P1372" s="356"/>
      <c r="Q1372" s="380"/>
      <c r="AG1372" s="128"/>
    </row>
    <row r="1373" spans="15:33">
      <c r="AG1373" s="128"/>
    </row>
    <row r="1374" spans="15:33">
      <c r="AG1374" s="128"/>
    </row>
    <row r="1375" spans="15:33">
      <c r="AG1375" s="128"/>
    </row>
    <row r="1376" spans="15:33">
      <c r="AG1376" s="128"/>
    </row>
    <row r="1377" spans="33:33">
      <c r="AG1377" s="128"/>
    </row>
    <row r="1378" spans="33:33">
      <c r="AG1378" s="128"/>
    </row>
    <row r="1379" spans="33:33">
      <c r="AG1379" s="128"/>
    </row>
    <row r="1380" spans="33:33">
      <c r="AG1380" s="128"/>
    </row>
    <row r="1381" spans="33:33">
      <c r="AG1381" s="128"/>
    </row>
    <row r="1382" spans="33:33">
      <c r="AG1382" s="128"/>
    </row>
    <row r="1383" spans="33:33">
      <c r="AG1383" s="128"/>
    </row>
    <row r="1384" spans="33:33">
      <c r="AG1384" s="128"/>
    </row>
    <row r="1385" spans="33:33">
      <c r="AG1385" s="128"/>
    </row>
    <row r="1386" spans="33:33">
      <c r="AG1386" s="128"/>
    </row>
    <row r="1387" spans="33:33">
      <c r="AG1387" s="128"/>
    </row>
    <row r="1388" spans="33:33">
      <c r="AG1388" s="128"/>
    </row>
    <row r="1389" spans="33:33">
      <c r="AG1389" s="128"/>
    </row>
    <row r="1390" spans="33:33">
      <c r="AG1390" s="128"/>
    </row>
    <row r="1391" spans="33:33">
      <c r="AG1391" s="128"/>
    </row>
    <row r="1392" spans="33:33">
      <c r="AG1392" s="128"/>
    </row>
    <row r="1393" spans="33:33">
      <c r="AG1393" s="128"/>
    </row>
    <row r="1394" spans="33:33">
      <c r="AG1394" s="128"/>
    </row>
    <row r="1395" spans="33:33">
      <c r="AG1395" s="128"/>
    </row>
    <row r="1396" spans="33:33">
      <c r="AG1396" s="128"/>
    </row>
    <row r="1397" spans="33:33">
      <c r="AG1397" s="128"/>
    </row>
    <row r="1398" spans="33:33">
      <c r="AG1398" s="128"/>
    </row>
    <row r="1399" spans="33:33">
      <c r="AG1399" s="128"/>
    </row>
    <row r="1400" spans="33:33">
      <c r="AG1400" s="128"/>
    </row>
    <row r="1401" spans="33:33">
      <c r="AG1401" s="128"/>
    </row>
    <row r="1402" spans="33:33">
      <c r="AG1402" s="128"/>
    </row>
    <row r="1403" spans="33:33">
      <c r="AG1403" s="128"/>
    </row>
    <row r="1404" spans="33:33">
      <c r="AG1404" s="128"/>
    </row>
    <row r="1405" spans="33:33">
      <c r="AG1405" s="128"/>
    </row>
    <row r="1406" spans="33:33">
      <c r="AG1406" s="128"/>
    </row>
    <row r="1407" spans="33:33">
      <c r="AG1407" s="128"/>
    </row>
    <row r="1408" spans="33:33">
      <c r="AG1408" s="128"/>
    </row>
    <row r="1409" spans="33:33">
      <c r="AG1409" s="269"/>
    </row>
    <row r="1410" spans="33:33">
      <c r="AG1410" s="128"/>
    </row>
    <row r="1411" spans="33:33">
      <c r="AG1411" s="128"/>
    </row>
    <row r="1412" spans="33:33">
      <c r="AG1412" s="128"/>
    </row>
    <row r="1413" spans="33:33">
      <c r="AG1413" s="128"/>
    </row>
    <row r="1414" spans="33:33">
      <c r="AG1414" s="271"/>
    </row>
    <row r="1415" spans="33:33">
      <c r="AG1415" s="128"/>
    </row>
    <row r="1416" spans="33:33">
      <c r="AG1416" s="128"/>
    </row>
    <row r="1417" spans="33:33">
      <c r="AG1417" s="128"/>
    </row>
    <row r="1418" spans="33:33">
      <c r="AG1418" s="128"/>
    </row>
    <row r="1419" spans="33:33">
      <c r="AG1419" s="128"/>
    </row>
    <row r="1420" spans="33:33">
      <c r="AG1420" s="128"/>
    </row>
    <row r="1421" spans="33:33">
      <c r="AG1421" s="227"/>
    </row>
    <row r="1422" spans="33:33">
      <c r="AG1422" s="128"/>
    </row>
    <row r="1423" spans="33:33">
      <c r="AG1423" s="128"/>
    </row>
    <row r="1424" spans="33:33">
      <c r="AG1424" s="128"/>
    </row>
    <row r="1425" spans="33:33">
      <c r="AG1425" s="128"/>
    </row>
    <row r="1426" spans="33:33">
      <c r="AG1426" s="128"/>
    </row>
    <row r="1427" spans="33:33">
      <c r="AG1427" s="128"/>
    </row>
    <row r="1428" spans="33:33">
      <c r="AG1428" s="128"/>
    </row>
    <row r="1429" spans="33:33">
      <c r="AG1429" s="128"/>
    </row>
    <row r="1430" spans="33:33">
      <c r="AG1430" s="128"/>
    </row>
    <row r="1431" spans="33:33">
      <c r="AG1431" s="128"/>
    </row>
    <row r="1432" spans="33:33">
      <c r="AG1432" s="269"/>
    </row>
    <row r="1433" spans="33:33">
      <c r="AG1433" s="128"/>
    </row>
    <row r="1434" spans="33:33">
      <c r="AG1434" s="128"/>
    </row>
    <row r="1435" spans="33:33">
      <c r="AG1435" s="128"/>
    </row>
    <row r="1436" spans="33:33">
      <c r="AG1436" s="128"/>
    </row>
    <row r="1437" spans="33:33">
      <c r="AG1437" s="128"/>
    </row>
    <row r="1438" spans="33:33">
      <c r="AG1438" s="128"/>
    </row>
    <row r="1439" spans="33:33">
      <c r="AG1439" s="128"/>
    </row>
    <row r="1440" spans="33:33">
      <c r="AG1440" s="128"/>
    </row>
    <row r="1441" spans="33:33">
      <c r="AG1441" s="128"/>
    </row>
    <row r="1442" spans="33:33">
      <c r="AG1442" s="128"/>
    </row>
    <row r="1443" spans="33:33">
      <c r="AG1443" s="128"/>
    </row>
    <row r="1444" spans="33:33">
      <c r="AG1444" s="269"/>
    </row>
    <row r="1445" spans="33:33">
      <c r="AG1445" s="128"/>
    </row>
    <row r="1446" spans="33:33">
      <c r="AG1446" s="27"/>
    </row>
    <row r="1447" spans="33:33">
      <c r="AG1447" s="269"/>
    </row>
    <row r="1448" spans="33:33">
      <c r="AG1448" s="128"/>
    </row>
    <row r="1449" spans="33:33">
      <c r="AG1449" s="128"/>
    </row>
    <row r="1450" spans="33:33">
      <c r="AG1450" s="128"/>
    </row>
    <row r="1451" spans="33:33">
      <c r="AG1451" s="128"/>
    </row>
    <row r="1452" spans="33:33">
      <c r="AG1452" s="269"/>
    </row>
    <row r="1453" spans="33:33">
      <c r="AG1453" s="128"/>
    </row>
    <row r="1454" spans="33:33">
      <c r="AG1454" s="128"/>
    </row>
    <row r="1455" spans="33:33">
      <c r="AG1455" s="128"/>
    </row>
    <row r="1456" spans="33:33">
      <c r="AG1456" s="128"/>
    </row>
    <row r="1457" spans="33:33">
      <c r="AG1457" s="128"/>
    </row>
    <row r="1458" spans="33:33">
      <c r="AG1458" s="128"/>
    </row>
    <row r="1459" spans="33:33">
      <c r="AG1459" s="128"/>
    </row>
    <row r="1460" spans="33:33">
      <c r="AG1460" s="128"/>
    </row>
    <row r="1461" spans="33:33">
      <c r="AG1461" s="128"/>
    </row>
    <row r="1462" spans="33:33">
      <c r="AG1462" s="128"/>
    </row>
    <row r="1463" spans="33:33">
      <c r="AG1463" s="128"/>
    </row>
    <row r="1464" spans="33:33">
      <c r="AG1464" s="128"/>
    </row>
    <row r="1465" spans="33:33">
      <c r="AG1465" s="128"/>
    </row>
    <row r="1466" spans="33:33">
      <c r="AG1466" s="128"/>
    </row>
    <row r="1467" spans="33:33">
      <c r="AG1467" s="128"/>
    </row>
    <row r="1468" spans="33:33">
      <c r="AG1468" s="128"/>
    </row>
    <row r="1469" spans="33:33">
      <c r="AG1469" s="128"/>
    </row>
    <row r="1470" spans="33:33">
      <c r="AG1470" s="128"/>
    </row>
    <row r="1471" spans="33:33">
      <c r="AG1471" s="128"/>
    </row>
    <row r="1472" spans="33:33">
      <c r="AG1472" s="269"/>
    </row>
    <row r="1473" spans="1:33">
      <c r="AG1473" s="128"/>
    </row>
    <row r="1474" spans="1:33">
      <c r="AG1474" s="128"/>
    </row>
    <row r="1475" spans="1:33">
      <c r="AG1475" s="128"/>
    </row>
    <row r="1476" spans="1:33">
      <c r="AG1476" s="128"/>
    </row>
    <row r="1477" spans="1:33">
      <c r="AG1477" s="128"/>
    </row>
    <row r="1478" spans="1:33">
      <c r="AG1478" s="128"/>
    </row>
    <row r="1479" spans="1:33">
      <c r="AG1479" s="128"/>
    </row>
    <row r="1480" spans="1:33">
      <c r="AG1480" s="128"/>
    </row>
    <row r="1481" spans="1:33">
      <c r="AG1481" s="128"/>
    </row>
    <row r="1482" spans="1:33">
      <c r="AG1482" s="128"/>
    </row>
    <row r="1483" spans="1:33">
      <c r="AG1483" s="128"/>
    </row>
    <row r="1484" spans="1:33">
      <c r="AG1484" s="128"/>
    </row>
    <row r="1485" spans="1:33">
      <c r="AG1485" s="128"/>
    </row>
    <row r="1486" spans="1:33" ht="26.25">
      <c r="A1486" s="269"/>
      <c r="B1486" s="269"/>
      <c r="C1486" s="269"/>
      <c r="D1486" s="269"/>
      <c r="E1486" s="269"/>
      <c r="F1486" s="269"/>
      <c r="G1486" s="269"/>
      <c r="H1486" s="269"/>
      <c r="I1486" s="269"/>
      <c r="J1486" s="334"/>
      <c r="K1486" s="334"/>
      <c r="L1486" s="334"/>
      <c r="M1486" s="328"/>
      <c r="N1486" s="328"/>
      <c r="S1486" s="336"/>
      <c r="T1486" s="62" ph="1"/>
      <c r="V1486" s="232"/>
      <c r="W1486" s="269"/>
      <c r="X1486" s="201"/>
      <c r="Y1486" s="269"/>
      <c r="Z1486" s="269"/>
      <c r="AA1486" s="269"/>
      <c r="AB1486" s="269"/>
      <c r="AC1486" s="269"/>
      <c r="AD1486" s="269"/>
      <c r="AE1486" s="269"/>
      <c r="AG1486" s="128"/>
    </row>
    <row r="1487" spans="1:33">
      <c r="AG1487" s="128"/>
    </row>
    <row r="1488" spans="1:33">
      <c r="AG1488" s="128"/>
    </row>
    <row r="1489" spans="1:33">
      <c r="AG1489" s="128"/>
    </row>
    <row r="1490" spans="1:33">
      <c r="AG1490" s="128"/>
    </row>
    <row r="1491" spans="1:33">
      <c r="AG1491" s="128"/>
    </row>
    <row r="1492" spans="1:33">
      <c r="AG1492" s="128"/>
    </row>
    <row r="1493" spans="1:33">
      <c r="AG1493" s="128"/>
    </row>
    <row r="1494" spans="1:33">
      <c r="AG1494" s="128"/>
    </row>
    <row r="1495" spans="1:33">
      <c r="AG1495" s="128"/>
    </row>
    <row r="1496" spans="1:33" ht="26.25">
      <c r="A1496" s="269"/>
      <c r="B1496" s="269"/>
      <c r="C1496" s="269"/>
      <c r="D1496" s="269"/>
      <c r="E1496" s="269"/>
      <c r="F1496" s="269"/>
      <c r="G1496" s="269"/>
      <c r="H1496" s="269"/>
      <c r="I1496" s="269"/>
      <c r="J1496" s="334"/>
      <c r="K1496" s="334"/>
      <c r="L1496" s="334"/>
      <c r="M1496" s="328"/>
      <c r="N1496" s="328"/>
      <c r="S1496" s="336"/>
      <c r="T1496" s="62" ph="1"/>
      <c r="V1496" s="232"/>
      <c r="W1496" s="269"/>
      <c r="X1496" s="201"/>
      <c r="Y1496" s="269"/>
      <c r="Z1496" s="269"/>
      <c r="AA1496" s="269"/>
      <c r="AB1496" s="269"/>
      <c r="AC1496" s="269"/>
      <c r="AD1496" s="269"/>
      <c r="AE1496" s="269"/>
      <c r="AG1496" s="128"/>
    </row>
    <row r="1497" spans="1:33">
      <c r="AG1497" s="128"/>
    </row>
    <row r="1498" spans="1:33">
      <c r="O1498" s="386"/>
      <c r="P1498" s="356"/>
      <c r="Q1498" s="380"/>
      <c r="AG1498" s="128"/>
    </row>
    <row r="1499" spans="1:33">
      <c r="AG1499" s="128"/>
    </row>
    <row r="1500" spans="1:33" ht="26.25">
      <c r="A1500" s="269"/>
      <c r="B1500" s="269"/>
      <c r="C1500" s="269"/>
      <c r="D1500" s="269"/>
      <c r="E1500" s="269"/>
      <c r="F1500" s="269"/>
      <c r="G1500" s="269"/>
      <c r="H1500" s="269"/>
      <c r="I1500" s="269"/>
      <c r="J1500" s="334"/>
      <c r="K1500" s="334"/>
      <c r="L1500" s="334"/>
      <c r="M1500" s="328"/>
      <c r="N1500" s="328"/>
      <c r="S1500" s="336"/>
      <c r="T1500" s="62" ph="1"/>
      <c r="V1500" s="232"/>
      <c r="W1500" s="269"/>
      <c r="X1500" s="201"/>
      <c r="Y1500" s="269"/>
      <c r="Z1500" s="269"/>
      <c r="AA1500" s="269"/>
      <c r="AB1500" s="269"/>
      <c r="AC1500" s="269"/>
      <c r="AD1500" s="269"/>
      <c r="AE1500" s="269"/>
      <c r="AG1500" s="128"/>
    </row>
    <row r="1501" spans="1:33">
      <c r="AG1501" s="128"/>
    </row>
    <row r="1502" spans="1:33">
      <c r="AG1502" s="128"/>
    </row>
    <row r="1503" spans="1:33">
      <c r="AG1503" s="128"/>
    </row>
    <row r="1504" spans="1:33">
      <c r="AG1504" s="128"/>
    </row>
    <row r="1505" spans="1:33" ht="26.25">
      <c r="A1505" s="269"/>
      <c r="B1505" s="269"/>
      <c r="C1505" s="269"/>
      <c r="D1505" s="269"/>
      <c r="E1505" s="269"/>
      <c r="F1505" s="269"/>
      <c r="G1505" s="269"/>
      <c r="H1505" s="269"/>
      <c r="I1505" s="269"/>
      <c r="J1505" s="334"/>
      <c r="K1505" s="334"/>
      <c r="L1505" s="334"/>
      <c r="M1505" s="328"/>
      <c r="N1505" s="328"/>
      <c r="S1505" s="336"/>
      <c r="T1505" s="62" ph="1"/>
      <c r="V1505" s="232"/>
      <c r="W1505" s="269"/>
      <c r="X1505" s="201"/>
      <c r="Y1505" s="269"/>
      <c r="Z1505" s="269"/>
      <c r="AA1505" s="269"/>
      <c r="AB1505" s="269"/>
      <c r="AC1505" s="269"/>
      <c r="AD1505" s="269"/>
      <c r="AE1505" s="269"/>
      <c r="AG1505" s="128"/>
    </row>
    <row r="1506" spans="1:33" ht="26.25">
      <c r="A1506" s="269"/>
      <c r="B1506" s="269"/>
      <c r="C1506" s="269"/>
      <c r="D1506" s="269"/>
      <c r="E1506" s="269"/>
      <c r="F1506" s="269"/>
      <c r="G1506" s="269"/>
      <c r="H1506" s="269"/>
      <c r="I1506" s="269"/>
      <c r="J1506" s="334"/>
      <c r="K1506" s="334"/>
      <c r="L1506" s="334"/>
      <c r="M1506" s="328"/>
      <c r="N1506" s="328"/>
      <c r="S1506" s="336"/>
      <c r="T1506" s="62" ph="1"/>
      <c r="V1506" s="232"/>
      <c r="W1506" s="269"/>
      <c r="X1506" s="201"/>
      <c r="Y1506" s="269"/>
      <c r="Z1506" s="269"/>
      <c r="AA1506" s="269"/>
      <c r="AB1506" s="269"/>
      <c r="AC1506" s="269"/>
      <c r="AD1506" s="269"/>
      <c r="AE1506" s="269"/>
      <c r="AG1506" s="128"/>
    </row>
    <row r="1507" spans="1:33" ht="26.25">
      <c r="A1507" s="269"/>
      <c r="B1507" s="269"/>
      <c r="C1507" s="269"/>
      <c r="D1507" s="269"/>
      <c r="E1507" s="269"/>
      <c r="F1507" s="269"/>
      <c r="G1507" s="269"/>
      <c r="H1507" s="269"/>
      <c r="I1507" s="269"/>
      <c r="J1507" s="334"/>
      <c r="K1507" s="334"/>
      <c r="L1507" s="334"/>
      <c r="M1507" s="328"/>
      <c r="N1507" s="328"/>
      <c r="S1507" s="336"/>
      <c r="T1507" s="62" ph="1"/>
      <c r="V1507" s="232"/>
      <c r="W1507" s="269"/>
      <c r="X1507" s="201"/>
      <c r="Y1507" s="269"/>
      <c r="Z1507" s="269"/>
      <c r="AA1507" s="269"/>
      <c r="AB1507" s="269"/>
      <c r="AC1507" s="269"/>
      <c r="AD1507" s="269"/>
      <c r="AE1507" s="269"/>
      <c r="AG1507" s="128"/>
    </row>
    <row r="1508" spans="1:33">
      <c r="O1508" s="386"/>
      <c r="P1508" s="356"/>
      <c r="Q1508" s="380"/>
      <c r="AG1508" s="128"/>
    </row>
    <row r="1509" spans="1:33" ht="26.25">
      <c r="A1509" s="269"/>
      <c r="B1509" s="269"/>
      <c r="C1509" s="269"/>
      <c r="D1509" s="269"/>
      <c r="E1509" s="269"/>
      <c r="F1509" s="269"/>
      <c r="G1509" s="269"/>
      <c r="H1509" s="269"/>
      <c r="I1509" s="269"/>
      <c r="J1509" s="334"/>
      <c r="K1509" s="334"/>
      <c r="L1509" s="334"/>
      <c r="M1509" s="328"/>
      <c r="N1509" s="328"/>
      <c r="S1509" s="336"/>
      <c r="T1509" s="62" ph="1"/>
      <c r="V1509" s="232"/>
      <c r="W1509" s="269"/>
      <c r="X1509" s="201"/>
      <c r="Y1509" s="269"/>
      <c r="Z1509" s="269"/>
      <c r="AA1509" s="269"/>
      <c r="AB1509" s="269"/>
      <c r="AC1509" s="269"/>
      <c r="AD1509" s="269"/>
      <c r="AE1509" s="269"/>
      <c r="AG1509" s="128"/>
    </row>
    <row r="1510" spans="1:33" ht="26.25">
      <c r="A1510" s="269"/>
      <c r="B1510" s="269"/>
      <c r="C1510" s="269"/>
      <c r="D1510" s="269"/>
      <c r="E1510" s="269"/>
      <c r="F1510" s="269"/>
      <c r="G1510" s="269"/>
      <c r="H1510" s="269"/>
      <c r="I1510" s="269"/>
      <c r="J1510" s="334"/>
      <c r="K1510" s="334"/>
      <c r="L1510" s="334"/>
      <c r="M1510" s="328"/>
      <c r="N1510" s="328"/>
      <c r="S1510" s="336"/>
      <c r="T1510" s="62" ph="1"/>
      <c r="V1510" s="232"/>
      <c r="W1510" s="269"/>
      <c r="X1510" s="201"/>
      <c r="Y1510" s="269"/>
      <c r="Z1510" s="269"/>
      <c r="AA1510" s="269"/>
      <c r="AB1510" s="269"/>
      <c r="AC1510" s="269"/>
      <c r="AD1510" s="269"/>
      <c r="AE1510" s="269"/>
      <c r="AG1510" s="128"/>
    </row>
    <row r="1511" spans="1:33">
      <c r="AG1511" s="269"/>
    </row>
    <row r="1512" spans="1:33" ht="26.25">
      <c r="A1512" s="269"/>
      <c r="B1512" s="269"/>
      <c r="C1512" s="269"/>
      <c r="D1512" s="269"/>
      <c r="E1512" s="269"/>
      <c r="F1512" s="269"/>
      <c r="G1512" s="269"/>
      <c r="H1512" s="269"/>
      <c r="I1512" s="269"/>
      <c r="J1512" s="334"/>
      <c r="K1512" s="334"/>
      <c r="L1512" s="334"/>
      <c r="M1512" s="328"/>
      <c r="N1512" s="328"/>
      <c r="O1512" s="386"/>
      <c r="P1512" s="356"/>
      <c r="Q1512" s="380"/>
      <c r="S1512" s="336"/>
      <c r="T1512" s="62" ph="1"/>
      <c r="V1512" s="232"/>
      <c r="W1512" s="269"/>
      <c r="X1512" s="201"/>
      <c r="Y1512" s="269"/>
      <c r="Z1512" s="269"/>
      <c r="AA1512" s="269"/>
      <c r="AB1512" s="269"/>
      <c r="AC1512" s="269"/>
      <c r="AD1512" s="269"/>
      <c r="AE1512" s="269"/>
      <c r="AG1512" s="128"/>
    </row>
    <row r="1513" spans="1:33">
      <c r="AG1513" s="128"/>
    </row>
    <row r="1514" spans="1:33" ht="26.25">
      <c r="A1514" s="269"/>
      <c r="B1514" s="269"/>
      <c r="C1514" s="269"/>
      <c r="D1514" s="269"/>
      <c r="E1514" s="269"/>
      <c r="F1514" s="269"/>
      <c r="G1514" s="269"/>
      <c r="H1514" s="269"/>
      <c r="I1514" s="269"/>
      <c r="J1514" s="334"/>
      <c r="K1514" s="334"/>
      <c r="L1514" s="334"/>
      <c r="M1514" s="328"/>
      <c r="N1514" s="328"/>
      <c r="S1514" s="336"/>
      <c r="T1514" s="62" ph="1"/>
      <c r="V1514" s="232"/>
      <c r="W1514" s="269"/>
      <c r="X1514" s="201"/>
      <c r="Y1514" s="269"/>
      <c r="Z1514" s="269"/>
      <c r="AA1514" s="269"/>
      <c r="AB1514" s="269"/>
      <c r="AC1514" s="269"/>
      <c r="AD1514" s="269"/>
      <c r="AE1514" s="269"/>
      <c r="AG1514" s="128"/>
    </row>
    <row r="1515" spans="1:33" ht="26.25">
      <c r="A1515" s="269"/>
      <c r="B1515" s="269"/>
      <c r="C1515" s="269"/>
      <c r="D1515" s="269"/>
      <c r="E1515" s="269"/>
      <c r="F1515" s="269"/>
      <c r="G1515" s="269"/>
      <c r="H1515" s="269"/>
      <c r="I1515" s="269"/>
      <c r="J1515" s="334"/>
      <c r="K1515" s="334"/>
      <c r="L1515" s="334"/>
      <c r="M1515" s="328"/>
      <c r="N1515" s="328"/>
      <c r="S1515" s="336"/>
      <c r="T1515" s="62" ph="1"/>
      <c r="V1515" s="232"/>
      <c r="W1515" s="269"/>
      <c r="X1515" s="201"/>
      <c r="Y1515" s="269"/>
      <c r="Z1515" s="269"/>
      <c r="AA1515" s="269"/>
      <c r="AB1515" s="269"/>
      <c r="AC1515" s="269"/>
      <c r="AD1515" s="269"/>
      <c r="AE1515" s="269"/>
      <c r="AG1515" s="128"/>
    </row>
    <row r="1516" spans="1:33" ht="26.25">
      <c r="A1516" s="269"/>
      <c r="B1516" s="269"/>
      <c r="C1516" s="269"/>
      <c r="D1516" s="269"/>
      <c r="E1516" s="269"/>
      <c r="F1516" s="269"/>
      <c r="G1516" s="269"/>
      <c r="H1516" s="269"/>
      <c r="I1516" s="269"/>
      <c r="J1516" s="334"/>
      <c r="K1516" s="334"/>
      <c r="L1516" s="334"/>
      <c r="M1516" s="328"/>
      <c r="N1516" s="328"/>
      <c r="S1516" s="336"/>
      <c r="T1516" s="62" ph="1"/>
      <c r="V1516" s="232"/>
      <c r="W1516" s="269"/>
      <c r="X1516" s="201"/>
      <c r="Y1516" s="269"/>
      <c r="Z1516" s="269"/>
      <c r="AA1516" s="269"/>
      <c r="AB1516" s="269"/>
      <c r="AC1516" s="269"/>
      <c r="AD1516" s="269"/>
      <c r="AE1516" s="269"/>
      <c r="AG1516" s="128"/>
    </row>
    <row r="1517" spans="1:33" ht="26.25">
      <c r="A1517" s="269"/>
      <c r="B1517" s="269"/>
      <c r="C1517" s="269"/>
      <c r="D1517" s="269"/>
      <c r="E1517" s="269"/>
      <c r="F1517" s="269"/>
      <c r="G1517" s="269"/>
      <c r="H1517" s="269"/>
      <c r="I1517" s="269"/>
      <c r="J1517" s="334"/>
      <c r="K1517" s="334"/>
      <c r="L1517" s="334"/>
      <c r="M1517" s="328"/>
      <c r="N1517" s="328"/>
      <c r="O1517" s="386"/>
      <c r="P1517" s="356"/>
      <c r="Q1517" s="380"/>
      <c r="S1517" s="336"/>
      <c r="T1517" s="62" ph="1"/>
      <c r="V1517" s="232"/>
      <c r="W1517" s="269"/>
      <c r="X1517" s="201"/>
      <c r="Y1517" s="269"/>
      <c r="Z1517" s="269"/>
      <c r="AA1517" s="269"/>
      <c r="AB1517" s="269"/>
      <c r="AC1517" s="269"/>
      <c r="AD1517" s="269"/>
      <c r="AE1517" s="269"/>
      <c r="AG1517" s="128"/>
    </row>
    <row r="1518" spans="1:33" ht="26.25">
      <c r="A1518" s="269"/>
      <c r="B1518" s="269"/>
      <c r="C1518" s="269"/>
      <c r="D1518" s="269"/>
      <c r="E1518" s="269"/>
      <c r="F1518" s="269"/>
      <c r="G1518" s="269"/>
      <c r="H1518" s="269"/>
      <c r="I1518" s="269"/>
      <c r="J1518" s="334"/>
      <c r="K1518" s="334"/>
      <c r="L1518" s="334"/>
      <c r="M1518" s="328"/>
      <c r="N1518" s="328"/>
      <c r="O1518" s="386"/>
      <c r="P1518" s="356"/>
      <c r="Q1518" s="380"/>
      <c r="S1518" s="336"/>
      <c r="T1518" s="62" ph="1"/>
      <c r="V1518" s="232"/>
      <c r="W1518" s="269"/>
      <c r="X1518" s="201"/>
      <c r="Y1518" s="269"/>
      <c r="Z1518" s="269"/>
      <c r="AA1518" s="269"/>
      <c r="AB1518" s="269"/>
      <c r="AC1518" s="269"/>
      <c r="AD1518" s="269"/>
      <c r="AE1518" s="269"/>
      <c r="AG1518" s="128"/>
    </row>
    <row r="1519" spans="1:33" ht="26.25">
      <c r="A1519" s="269"/>
      <c r="B1519" s="269"/>
      <c r="C1519" s="269"/>
      <c r="D1519" s="269"/>
      <c r="E1519" s="269"/>
      <c r="F1519" s="269"/>
      <c r="G1519" s="269"/>
      <c r="H1519" s="269"/>
      <c r="I1519" s="269"/>
      <c r="J1519" s="334"/>
      <c r="K1519" s="334"/>
      <c r="L1519" s="334"/>
      <c r="M1519" s="328"/>
      <c r="N1519" s="328"/>
      <c r="O1519" s="386"/>
      <c r="P1519" s="356"/>
      <c r="Q1519" s="380"/>
      <c r="S1519" s="336"/>
      <c r="T1519" s="62" ph="1"/>
      <c r="V1519" s="232"/>
      <c r="W1519" s="269"/>
      <c r="X1519" s="201"/>
      <c r="Y1519" s="269"/>
      <c r="Z1519" s="269"/>
      <c r="AA1519" s="269"/>
      <c r="AB1519" s="269"/>
      <c r="AC1519" s="269"/>
      <c r="AD1519" s="269"/>
      <c r="AE1519" s="269"/>
      <c r="AG1519" s="128"/>
    </row>
    <row r="1520" spans="1:33" ht="26.25">
      <c r="A1520" s="269"/>
      <c r="B1520" s="269"/>
      <c r="C1520" s="269"/>
      <c r="D1520" s="269"/>
      <c r="E1520" s="269"/>
      <c r="F1520" s="269"/>
      <c r="G1520" s="269"/>
      <c r="H1520" s="269"/>
      <c r="I1520" s="269"/>
      <c r="J1520" s="334"/>
      <c r="K1520" s="334"/>
      <c r="L1520" s="334"/>
      <c r="M1520" s="328"/>
      <c r="N1520" s="328"/>
      <c r="S1520" s="336"/>
      <c r="T1520" s="62" ph="1"/>
      <c r="V1520" s="232"/>
      <c r="W1520" s="269"/>
      <c r="X1520" s="201"/>
      <c r="Y1520" s="269"/>
      <c r="Z1520" s="269"/>
      <c r="AA1520" s="269"/>
      <c r="AB1520" s="269"/>
      <c r="AC1520" s="269"/>
      <c r="AD1520" s="269"/>
      <c r="AE1520" s="269"/>
      <c r="AG1520" s="128"/>
    </row>
    <row r="1521" spans="1:33" ht="26.25">
      <c r="A1521" s="269"/>
      <c r="B1521" s="269"/>
      <c r="C1521" s="269"/>
      <c r="D1521" s="269"/>
      <c r="E1521" s="269"/>
      <c r="F1521" s="269"/>
      <c r="G1521" s="269"/>
      <c r="H1521" s="269"/>
      <c r="I1521" s="269"/>
      <c r="J1521" s="334"/>
      <c r="K1521" s="334"/>
      <c r="L1521" s="334"/>
      <c r="M1521" s="328"/>
      <c r="N1521" s="328"/>
      <c r="O1521" s="386"/>
      <c r="P1521" s="356"/>
      <c r="Q1521" s="380"/>
      <c r="S1521" s="336"/>
      <c r="T1521" s="62" ph="1"/>
      <c r="V1521" s="232"/>
      <c r="W1521" s="269"/>
      <c r="X1521" s="201"/>
      <c r="Y1521" s="269"/>
      <c r="Z1521" s="269"/>
      <c r="AA1521" s="269"/>
      <c r="AB1521" s="269"/>
      <c r="AC1521" s="269"/>
      <c r="AD1521" s="269"/>
      <c r="AE1521" s="269"/>
      <c r="AG1521" s="128"/>
    </row>
    <row r="1522" spans="1:33" ht="26.25">
      <c r="A1522" s="269"/>
      <c r="B1522" s="269"/>
      <c r="C1522" s="269"/>
      <c r="D1522" s="269"/>
      <c r="E1522" s="269"/>
      <c r="F1522" s="269"/>
      <c r="G1522" s="269"/>
      <c r="H1522" s="269"/>
      <c r="I1522" s="269"/>
      <c r="J1522" s="334"/>
      <c r="K1522" s="334"/>
      <c r="L1522" s="334"/>
      <c r="M1522" s="328"/>
      <c r="N1522" s="328"/>
      <c r="O1522" s="386"/>
      <c r="P1522" s="356"/>
      <c r="Q1522" s="380"/>
      <c r="S1522" s="336"/>
      <c r="T1522" s="62" ph="1"/>
      <c r="V1522" s="232"/>
      <c r="W1522" s="269"/>
      <c r="X1522" s="201"/>
      <c r="Y1522" s="269"/>
      <c r="Z1522" s="269"/>
      <c r="AA1522" s="269"/>
      <c r="AB1522" s="269"/>
      <c r="AC1522" s="269"/>
      <c r="AD1522" s="269"/>
      <c r="AE1522" s="269"/>
      <c r="AG1522" s="128"/>
    </row>
    <row r="1523" spans="1:33" ht="26.25">
      <c r="A1523" s="269"/>
      <c r="B1523" s="269"/>
      <c r="C1523" s="269"/>
      <c r="D1523" s="269"/>
      <c r="E1523" s="269"/>
      <c r="F1523" s="269"/>
      <c r="G1523" s="269"/>
      <c r="H1523" s="269"/>
      <c r="I1523" s="269"/>
      <c r="J1523" s="334"/>
      <c r="K1523" s="334"/>
      <c r="L1523" s="334"/>
      <c r="M1523" s="328"/>
      <c r="N1523" s="328"/>
      <c r="S1523" s="336"/>
      <c r="T1523" s="62" ph="1"/>
      <c r="V1523" s="232"/>
      <c r="W1523" s="269"/>
      <c r="X1523" s="201"/>
      <c r="Y1523" s="269"/>
      <c r="Z1523" s="269"/>
      <c r="AA1523" s="269"/>
      <c r="AB1523" s="269"/>
      <c r="AC1523" s="269"/>
      <c r="AD1523" s="269"/>
      <c r="AE1523" s="269"/>
      <c r="AG1523" s="128"/>
    </row>
    <row r="1524" spans="1:33">
      <c r="O1524" s="386"/>
      <c r="P1524" s="356"/>
      <c r="Q1524" s="380"/>
      <c r="AG1524" s="128"/>
    </row>
    <row r="1525" spans="1:33" ht="26.25">
      <c r="A1525" s="269"/>
      <c r="B1525" s="269"/>
      <c r="C1525" s="269"/>
      <c r="D1525" s="269"/>
      <c r="E1525" s="269"/>
      <c r="F1525" s="269"/>
      <c r="G1525" s="269"/>
      <c r="H1525" s="269"/>
      <c r="I1525" s="269"/>
      <c r="J1525" s="334"/>
      <c r="K1525" s="334"/>
      <c r="L1525" s="334"/>
      <c r="M1525" s="328"/>
      <c r="N1525" s="328"/>
      <c r="S1525" s="336"/>
      <c r="T1525" s="62" ph="1"/>
      <c r="V1525" s="232"/>
      <c r="W1525" s="269"/>
      <c r="X1525" s="201"/>
      <c r="Y1525" s="269"/>
      <c r="Z1525" s="269"/>
      <c r="AA1525" s="269"/>
      <c r="AB1525" s="269"/>
      <c r="AC1525" s="269"/>
      <c r="AD1525" s="269"/>
      <c r="AE1525" s="269"/>
      <c r="AG1525" s="128"/>
    </row>
    <row r="1526" spans="1:33" ht="26.25">
      <c r="A1526" s="269"/>
      <c r="B1526" s="269"/>
      <c r="C1526" s="269"/>
      <c r="D1526" s="269"/>
      <c r="E1526" s="269"/>
      <c r="F1526" s="269"/>
      <c r="G1526" s="269"/>
      <c r="H1526" s="269"/>
      <c r="I1526" s="269"/>
      <c r="J1526" s="334"/>
      <c r="K1526" s="334"/>
      <c r="L1526" s="334"/>
      <c r="M1526" s="328"/>
      <c r="N1526" s="328"/>
      <c r="O1526" s="386"/>
      <c r="P1526" s="356"/>
      <c r="Q1526" s="380"/>
      <c r="S1526" s="336"/>
      <c r="T1526" s="62" ph="1"/>
      <c r="V1526" s="232"/>
      <c r="W1526" s="269"/>
      <c r="X1526" s="201"/>
      <c r="Y1526" s="269"/>
      <c r="Z1526" s="269"/>
      <c r="AA1526" s="269"/>
      <c r="AB1526" s="269"/>
      <c r="AC1526" s="269"/>
      <c r="AD1526" s="269"/>
      <c r="AE1526" s="269"/>
      <c r="AG1526" s="128"/>
    </row>
    <row r="1527" spans="1:33" ht="26.25">
      <c r="A1527" s="269"/>
      <c r="B1527" s="269"/>
      <c r="C1527" s="269"/>
      <c r="D1527" s="269"/>
      <c r="E1527" s="269"/>
      <c r="F1527" s="269"/>
      <c r="G1527" s="269"/>
      <c r="H1527" s="269"/>
      <c r="I1527" s="269"/>
      <c r="J1527" s="334"/>
      <c r="K1527" s="334"/>
      <c r="L1527" s="334"/>
      <c r="M1527" s="328"/>
      <c r="N1527" s="328"/>
      <c r="O1527" s="386"/>
      <c r="P1527" s="356"/>
      <c r="Q1527" s="380"/>
      <c r="S1527" s="336"/>
      <c r="T1527" s="62" ph="1"/>
      <c r="V1527" s="232"/>
      <c r="W1527" s="269"/>
      <c r="X1527" s="201"/>
      <c r="Y1527" s="269"/>
      <c r="Z1527" s="269"/>
      <c r="AA1527" s="269"/>
      <c r="AB1527" s="269"/>
      <c r="AC1527" s="269"/>
      <c r="AD1527" s="269"/>
      <c r="AE1527" s="269"/>
      <c r="AG1527" s="128"/>
    </row>
    <row r="1528" spans="1:33" ht="26.25">
      <c r="A1528" s="269"/>
      <c r="B1528" s="269"/>
      <c r="C1528" s="269"/>
      <c r="D1528" s="269"/>
      <c r="E1528" s="269"/>
      <c r="F1528" s="269"/>
      <c r="G1528" s="269"/>
      <c r="H1528" s="269"/>
      <c r="I1528" s="269"/>
      <c r="J1528" s="334"/>
      <c r="K1528" s="334"/>
      <c r="L1528" s="334"/>
      <c r="M1528" s="328"/>
      <c r="N1528" s="328"/>
      <c r="O1528" s="386"/>
      <c r="P1528" s="356"/>
      <c r="Q1528" s="380"/>
      <c r="S1528" s="336"/>
      <c r="T1528" s="62" ph="1"/>
      <c r="V1528" s="232"/>
      <c r="W1528" s="269"/>
      <c r="X1528" s="201"/>
      <c r="Y1528" s="269"/>
      <c r="Z1528" s="269"/>
      <c r="AA1528" s="269"/>
      <c r="AB1528" s="269"/>
      <c r="AC1528" s="269"/>
      <c r="AD1528" s="269"/>
      <c r="AE1528" s="269"/>
      <c r="AG1528" s="128"/>
    </row>
    <row r="1529" spans="1:33" ht="26.25">
      <c r="A1529" s="269"/>
      <c r="B1529" s="269"/>
      <c r="C1529" s="269"/>
      <c r="D1529" s="269"/>
      <c r="E1529" s="269"/>
      <c r="F1529" s="269"/>
      <c r="G1529" s="269"/>
      <c r="H1529" s="269"/>
      <c r="I1529" s="269"/>
      <c r="J1529" s="334"/>
      <c r="K1529" s="334"/>
      <c r="L1529" s="334"/>
      <c r="M1529" s="328"/>
      <c r="N1529" s="328"/>
      <c r="O1529" s="386"/>
      <c r="P1529" s="356"/>
      <c r="Q1529" s="380"/>
      <c r="S1529" s="336"/>
      <c r="T1529" s="62" ph="1"/>
      <c r="V1529" s="232"/>
      <c r="W1529" s="269"/>
      <c r="X1529" s="201"/>
      <c r="Y1529" s="269"/>
      <c r="Z1529" s="269"/>
      <c r="AA1529" s="269"/>
      <c r="AB1529" s="269"/>
      <c r="AC1529" s="269"/>
      <c r="AD1529" s="269"/>
      <c r="AE1529" s="269"/>
      <c r="AG1529" s="128"/>
    </row>
    <row r="1530" spans="1:33" ht="26.25">
      <c r="A1530" s="269"/>
      <c r="B1530" s="269"/>
      <c r="C1530" s="269"/>
      <c r="D1530" s="269"/>
      <c r="E1530" s="269"/>
      <c r="F1530" s="269"/>
      <c r="G1530" s="269"/>
      <c r="H1530" s="269"/>
      <c r="I1530" s="269"/>
      <c r="J1530" s="334"/>
      <c r="K1530" s="334"/>
      <c r="L1530" s="334"/>
      <c r="M1530" s="328"/>
      <c r="N1530" s="328"/>
      <c r="O1530" s="386"/>
      <c r="P1530" s="356"/>
      <c r="Q1530" s="380"/>
      <c r="S1530" s="336"/>
      <c r="T1530" s="62" ph="1"/>
      <c r="V1530" s="232"/>
      <c r="W1530" s="269"/>
      <c r="X1530" s="201"/>
      <c r="Y1530" s="269"/>
      <c r="Z1530" s="269"/>
      <c r="AA1530" s="269"/>
      <c r="AB1530" s="269"/>
      <c r="AC1530" s="269"/>
      <c r="AD1530" s="269"/>
      <c r="AE1530" s="269"/>
      <c r="AG1530" s="128"/>
    </row>
    <row r="1531" spans="1:33" ht="26.25">
      <c r="A1531" s="269"/>
      <c r="B1531" s="269"/>
      <c r="C1531" s="269"/>
      <c r="D1531" s="269"/>
      <c r="E1531" s="269"/>
      <c r="F1531" s="269"/>
      <c r="G1531" s="269"/>
      <c r="H1531" s="269"/>
      <c r="I1531" s="269"/>
      <c r="J1531" s="334"/>
      <c r="K1531" s="334"/>
      <c r="L1531" s="334"/>
      <c r="M1531" s="328"/>
      <c r="N1531" s="328"/>
      <c r="O1531" s="386"/>
      <c r="P1531" s="356"/>
      <c r="Q1531" s="380"/>
      <c r="S1531" s="336"/>
      <c r="T1531" s="62" ph="1"/>
      <c r="V1531" s="232"/>
      <c r="W1531" s="269"/>
      <c r="X1531" s="201"/>
      <c r="Y1531" s="269"/>
      <c r="Z1531" s="269"/>
      <c r="AA1531" s="269"/>
      <c r="AB1531" s="269"/>
      <c r="AC1531" s="269"/>
      <c r="AD1531" s="269"/>
      <c r="AE1531" s="269"/>
      <c r="AG1531" s="128"/>
    </row>
    <row r="1532" spans="1:33" ht="26.25">
      <c r="A1532" s="269"/>
      <c r="B1532" s="269"/>
      <c r="C1532" s="269"/>
      <c r="D1532" s="269"/>
      <c r="E1532" s="269"/>
      <c r="F1532" s="269"/>
      <c r="G1532" s="269"/>
      <c r="H1532" s="269"/>
      <c r="I1532" s="269"/>
      <c r="J1532" s="334"/>
      <c r="K1532" s="334"/>
      <c r="L1532" s="334"/>
      <c r="M1532" s="328"/>
      <c r="N1532" s="328"/>
      <c r="O1532" s="386"/>
      <c r="P1532" s="356"/>
      <c r="Q1532" s="380"/>
      <c r="S1532" s="336"/>
      <c r="T1532" s="62" ph="1"/>
      <c r="V1532" s="232"/>
      <c r="W1532" s="269"/>
      <c r="X1532" s="201"/>
      <c r="Y1532" s="269"/>
      <c r="Z1532" s="269"/>
      <c r="AA1532" s="269"/>
      <c r="AB1532" s="269"/>
      <c r="AC1532" s="269"/>
      <c r="AD1532" s="269"/>
      <c r="AE1532" s="269"/>
      <c r="AG1532" s="128"/>
    </row>
    <row r="1533" spans="1:33">
      <c r="O1533" s="386"/>
      <c r="P1533" s="356"/>
      <c r="Q1533" s="380"/>
      <c r="AG1533" s="128"/>
    </row>
    <row r="1534" spans="1:33" ht="26.25">
      <c r="A1534" s="269"/>
      <c r="B1534" s="269"/>
      <c r="C1534" s="269"/>
      <c r="D1534" s="269"/>
      <c r="E1534" s="269"/>
      <c r="F1534" s="269"/>
      <c r="G1534" s="269"/>
      <c r="H1534" s="269"/>
      <c r="I1534" s="269"/>
      <c r="J1534" s="334"/>
      <c r="K1534" s="334"/>
      <c r="L1534" s="334"/>
      <c r="M1534" s="328"/>
      <c r="N1534" s="328"/>
      <c r="O1534" s="386"/>
      <c r="P1534" s="356"/>
      <c r="Q1534" s="380"/>
      <c r="S1534" s="336"/>
      <c r="T1534" s="62" ph="1"/>
      <c r="V1534" s="232"/>
      <c r="W1534" s="269"/>
      <c r="X1534" s="201"/>
      <c r="Y1534" s="269"/>
      <c r="Z1534" s="269"/>
      <c r="AA1534" s="269"/>
      <c r="AB1534" s="269"/>
      <c r="AC1534" s="269"/>
      <c r="AD1534" s="269"/>
      <c r="AE1534" s="269"/>
      <c r="AG1534" s="128"/>
    </row>
    <row r="1535" spans="1:33" ht="26.25">
      <c r="A1535" s="269"/>
      <c r="B1535" s="269"/>
      <c r="C1535" s="269"/>
      <c r="D1535" s="269"/>
      <c r="E1535" s="269"/>
      <c r="F1535" s="269"/>
      <c r="G1535" s="269"/>
      <c r="H1535" s="269"/>
      <c r="I1535" s="269"/>
      <c r="J1535" s="334"/>
      <c r="K1535" s="334"/>
      <c r="L1535" s="334"/>
      <c r="M1535" s="328"/>
      <c r="N1535" s="328"/>
      <c r="O1535" s="386"/>
      <c r="P1535" s="356"/>
      <c r="Q1535" s="380"/>
      <c r="S1535" s="336"/>
      <c r="T1535" s="62" ph="1"/>
      <c r="V1535" s="232"/>
      <c r="W1535" s="269"/>
      <c r="X1535" s="201"/>
      <c r="Y1535" s="269"/>
      <c r="Z1535" s="269"/>
      <c r="AA1535" s="269"/>
      <c r="AB1535" s="269"/>
      <c r="AC1535" s="269"/>
      <c r="AD1535" s="269"/>
      <c r="AE1535" s="269"/>
      <c r="AG1535" s="128"/>
    </row>
    <row r="1536" spans="1:33" ht="26.25">
      <c r="A1536" s="269"/>
      <c r="B1536" s="269"/>
      <c r="C1536" s="269"/>
      <c r="D1536" s="269"/>
      <c r="E1536" s="269"/>
      <c r="F1536" s="269"/>
      <c r="G1536" s="269"/>
      <c r="H1536" s="269"/>
      <c r="I1536" s="269"/>
      <c r="J1536" s="334"/>
      <c r="K1536" s="334"/>
      <c r="L1536" s="334"/>
      <c r="M1536" s="328"/>
      <c r="N1536" s="328"/>
      <c r="S1536" s="336"/>
      <c r="T1536" s="62" ph="1"/>
      <c r="V1536" s="232"/>
      <c r="W1536" s="269"/>
      <c r="X1536" s="201"/>
      <c r="Y1536" s="269"/>
      <c r="Z1536" s="269"/>
      <c r="AA1536" s="269"/>
      <c r="AB1536" s="269"/>
      <c r="AC1536" s="269"/>
      <c r="AD1536" s="269"/>
      <c r="AE1536" s="269"/>
      <c r="AG1536" s="128"/>
    </row>
    <row r="1537" spans="1:33" ht="26.25">
      <c r="A1537" s="269"/>
      <c r="B1537" s="269"/>
      <c r="C1537" s="269"/>
      <c r="D1537" s="269"/>
      <c r="E1537" s="269"/>
      <c r="F1537" s="269"/>
      <c r="G1537" s="269"/>
      <c r="H1537" s="269"/>
      <c r="I1537" s="269"/>
      <c r="J1537" s="334"/>
      <c r="K1537" s="334"/>
      <c r="L1537" s="334"/>
      <c r="M1537" s="328"/>
      <c r="N1537" s="328"/>
      <c r="O1537" s="386"/>
      <c r="P1537" s="356"/>
      <c r="Q1537" s="380"/>
      <c r="S1537" s="336"/>
      <c r="T1537" s="62" ph="1"/>
      <c r="V1537" s="232"/>
      <c r="W1537" s="269"/>
      <c r="X1537" s="201"/>
      <c r="Y1537" s="269"/>
      <c r="Z1537" s="269"/>
      <c r="AA1537" s="269"/>
      <c r="AB1537" s="269"/>
      <c r="AC1537" s="269"/>
      <c r="AD1537" s="269"/>
      <c r="AE1537" s="269"/>
      <c r="AG1537" s="128"/>
    </row>
    <row r="1538" spans="1:33" ht="26.25">
      <c r="A1538" s="269"/>
      <c r="B1538" s="269"/>
      <c r="C1538" s="269"/>
      <c r="D1538" s="269"/>
      <c r="E1538" s="269"/>
      <c r="F1538" s="269"/>
      <c r="G1538" s="269"/>
      <c r="H1538" s="269"/>
      <c r="I1538" s="269"/>
      <c r="J1538" s="334"/>
      <c r="K1538" s="334"/>
      <c r="L1538" s="334"/>
      <c r="M1538" s="328"/>
      <c r="N1538" s="328"/>
      <c r="O1538" s="386"/>
      <c r="P1538" s="356"/>
      <c r="Q1538" s="380"/>
      <c r="S1538" s="336"/>
      <c r="T1538" s="62" ph="1"/>
      <c r="V1538" s="232"/>
      <c r="W1538" s="269"/>
      <c r="X1538" s="201"/>
      <c r="Y1538" s="269"/>
      <c r="Z1538" s="269"/>
      <c r="AA1538" s="269"/>
      <c r="AB1538" s="269"/>
      <c r="AC1538" s="269"/>
      <c r="AD1538" s="269"/>
      <c r="AE1538" s="269"/>
      <c r="AG1538" s="128"/>
    </row>
    <row r="1539" spans="1:33" ht="26.25">
      <c r="A1539" s="269"/>
      <c r="B1539" s="269"/>
      <c r="C1539" s="269"/>
      <c r="D1539" s="269"/>
      <c r="E1539" s="269"/>
      <c r="F1539" s="269"/>
      <c r="G1539" s="269"/>
      <c r="H1539" s="269"/>
      <c r="I1539" s="269"/>
      <c r="J1539" s="334"/>
      <c r="K1539" s="334"/>
      <c r="L1539" s="334"/>
      <c r="M1539" s="328"/>
      <c r="N1539" s="328"/>
      <c r="O1539" s="386"/>
      <c r="P1539" s="356"/>
      <c r="Q1539" s="380"/>
      <c r="S1539" s="336"/>
      <c r="T1539" s="62" ph="1"/>
      <c r="V1539" s="232"/>
      <c r="W1539" s="269"/>
      <c r="X1539" s="201"/>
      <c r="Y1539" s="269"/>
      <c r="Z1539" s="269"/>
      <c r="AA1539" s="269"/>
      <c r="AB1539" s="269"/>
      <c r="AC1539" s="269"/>
      <c r="AD1539" s="269"/>
      <c r="AE1539" s="269"/>
      <c r="AG1539" s="128"/>
    </row>
    <row r="1540" spans="1:33" ht="26.25">
      <c r="A1540" s="269"/>
      <c r="B1540" s="269"/>
      <c r="C1540" s="269"/>
      <c r="D1540" s="269"/>
      <c r="E1540" s="269"/>
      <c r="F1540" s="269"/>
      <c r="G1540" s="269"/>
      <c r="H1540" s="269"/>
      <c r="I1540" s="269"/>
      <c r="J1540" s="334"/>
      <c r="K1540" s="334"/>
      <c r="L1540" s="334"/>
      <c r="M1540" s="328"/>
      <c r="N1540" s="328"/>
      <c r="O1540" s="386"/>
      <c r="P1540" s="356"/>
      <c r="Q1540" s="380"/>
      <c r="S1540" s="336"/>
      <c r="T1540" s="62" ph="1"/>
      <c r="V1540" s="232"/>
      <c r="W1540" s="269"/>
      <c r="X1540" s="201"/>
      <c r="Y1540" s="269"/>
      <c r="Z1540" s="269"/>
      <c r="AA1540" s="269"/>
      <c r="AB1540" s="269"/>
      <c r="AC1540" s="269"/>
      <c r="AD1540" s="269"/>
      <c r="AE1540" s="269"/>
      <c r="AG1540" s="128"/>
    </row>
    <row r="1541" spans="1:33" ht="26.25">
      <c r="A1541" s="269"/>
      <c r="B1541" s="269"/>
      <c r="C1541" s="269"/>
      <c r="D1541" s="269"/>
      <c r="E1541" s="269"/>
      <c r="F1541" s="269"/>
      <c r="G1541" s="269"/>
      <c r="H1541" s="269"/>
      <c r="I1541" s="269"/>
      <c r="J1541" s="334"/>
      <c r="K1541" s="334"/>
      <c r="L1541" s="334"/>
      <c r="M1541" s="328"/>
      <c r="N1541" s="328"/>
      <c r="O1541" s="386"/>
      <c r="P1541" s="356"/>
      <c r="Q1541" s="380"/>
      <c r="S1541" s="336"/>
      <c r="T1541" s="62" ph="1"/>
      <c r="V1541" s="232"/>
      <c r="W1541" s="269"/>
      <c r="X1541" s="201"/>
      <c r="Y1541" s="269"/>
      <c r="Z1541" s="269"/>
      <c r="AA1541" s="269"/>
      <c r="AB1541" s="269"/>
      <c r="AC1541" s="269"/>
      <c r="AD1541" s="269"/>
      <c r="AE1541" s="269"/>
      <c r="AG1541" s="128"/>
    </row>
    <row r="1542" spans="1:33" ht="26.25">
      <c r="A1542" s="269"/>
      <c r="B1542" s="269"/>
      <c r="C1542" s="269"/>
      <c r="D1542" s="269"/>
      <c r="E1542" s="269"/>
      <c r="F1542" s="269"/>
      <c r="G1542" s="269"/>
      <c r="H1542" s="269"/>
      <c r="I1542" s="269"/>
      <c r="J1542" s="334"/>
      <c r="K1542" s="334"/>
      <c r="L1542" s="334"/>
      <c r="M1542" s="328"/>
      <c r="N1542" s="328"/>
      <c r="O1542" s="386"/>
      <c r="P1542" s="356"/>
      <c r="Q1542" s="380"/>
      <c r="S1542" s="336"/>
      <c r="T1542" s="62" ph="1"/>
      <c r="V1542" s="232"/>
      <c r="W1542" s="269"/>
      <c r="X1542" s="201"/>
      <c r="Y1542" s="269"/>
      <c r="Z1542" s="269"/>
      <c r="AA1542" s="269"/>
      <c r="AB1542" s="269"/>
      <c r="AC1542" s="269"/>
      <c r="AD1542" s="269"/>
      <c r="AE1542" s="269"/>
      <c r="AG1542" s="128"/>
    </row>
    <row r="1543" spans="1:33" ht="26.25">
      <c r="A1543" s="269"/>
      <c r="B1543" s="269"/>
      <c r="C1543" s="269"/>
      <c r="D1543" s="269"/>
      <c r="E1543" s="269"/>
      <c r="F1543" s="269"/>
      <c r="G1543" s="269"/>
      <c r="H1543" s="269"/>
      <c r="I1543" s="269"/>
      <c r="J1543" s="334"/>
      <c r="K1543" s="334"/>
      <c r="L1543" s="334"/>
      <c r="M1543" s="328"/>
      <c r="N1543" s="328"/>
      <c r="O1543" s="386"/>
      <c r="P1543" s="356"/>
      <c r="Q1543" s="380"/>
      <c r="S1543" s="336"/>
      <c r="T1543" s="62" ph="1"/>
      <c r="V1543" s="232"/>
      <c r="W1543" s="269"/>
      <c r="X1543" s="201"/>
      <c r="Y1543" s="269"/>
      <c r="Z1543" s="269"/>
      <c r="AA1543" s="269"/>
      <c r="AB1543" s="269"/>
      <c r="AC1543" s="269"/>
      <c r="AD1543" s="269"/>
      <c r="AE1543" s="269"/>
      <c r="AG1543" s="128"/>
    </row>
    <row r="1544" spans="1:33" ht="26.25">
      <c r="A1544" s="269"/>
      <c r="B1544" s="269"/>
      <c r="C1544" s="269"/>
      <c r="D1544" s="269"/>
      <c r="E1544" s="269"/>
      <c r="F1544" s="269"/>
      <c r="G1544" s="269"/>
      <c r="H1544" s="269"/>
      <c r="I1544" s="269"/>
      <c r="J1544" s="334"/>
      <c r="K1544" s="334"/>
      <c r="L1544" s="334"/>
      <c r="M1544" s="328"/>
      <c r="N1544" s="328"/>
      <c r="O1544" s="386"/>
      <c r="P1544" s="356"/>
      <c r="Q1544" s="380"/>
      <c r="S1544" s="336"/>
      <c r="T1544" s="62" ph="1"/>
      <c r="V1544" s="232"/>
      <c r="W1544" s="269"/>
      <c r="X1544" s="201"/>
      <c r="Y1544" s="269"/>
      <c r="Z1544" s="269"/>
      <c r="AA1544" s="269"/>
      <c r="AB1544" s="269"/>
      <c r="AC1544" s="269"/>
      <c r="AD1544" s="269"/>
      <c r="AE1544" s="269"/>
      <c r="AG1544" s="125"/>
    </row>
    <row r="1545" spans="1:33">
      <c r="AG1545" s="128"/>
    </row>
    <row r="1546" spans="1:33" ht="26.25">
      <c r="A1546" s="269"/>
      <c r="B1546" s="269"/>
      <c r="C1546" s="269"/>
      <c r="D1546" s="269"/>
      <c r="E1546" s="269"/>
      <c r="F1546" s="269"/>
      <c r="G1546" s="269"/>
      <c r="H1546" s="269"/>
      <c r="I1546" s="269"/>
      <c r="J1546" s="334"/>
      <c r="K1546" s="334"/>
      <c r="L1546" s="334"/>
      <c r="M1546" s="328"/>
      <c r="N1546" s="328"/>
      <c r="O1546" s="386"/>
      <c r="P1546" s="356"/>
      <c r="Q1546" s="380"/>
      <c r="S1546" s="336"/>
      <c r="T1546" s="62" ph="1"/>
      <c r="V1546" s="232"/>
      <c r="W1546" s="269"/>
      <c r="X1546" s="201"/>
      <c r="Y1546" s="269"/>
      <c r="Z1546" s="269"/>
      <c r="AA1546" s="269"/>
      <c r="AB1546" s="269"/>
      <c r="AC1546" s="269"/>
      <c r="AD1546" s="269"/>
      <c r="AE1546" s="269"/>
      <c r="AG1546" s="128"/>
    </row>
    <row r="1547" spans="1:33" ht="26.25">
      <c r="A1547" s="269"/>
      <c r="B1547" s="269"/>
      <c r="C1547" s="269"/>
      <c r="D1547" s="269"/>
      <c r="E1547" s="269"/>
      <c r="F1547" s="269"/>
      <c r="G1547" s="269"/>
      <c r="H1547" s="269"/>
      <c r="I1547" s="269"/>
      <c r="J1547" s="334"/>
      <c r="K1547" s="334"/>
      <c r="L1547" s="334"/>
      <c r="M1547" s="328"/>
      <c r="N1547" s="328"/>
      <c r="O1547" s="386"/>
      <c r="P1547" s="356"/>
      <c r="Q1547" s="380"/>
      <c r="S1547" s="336"/>
      <c r="T1547" s="62" ph="1"/>
      <c r="V1547" s="232"/>
      <c r="W1547" s="269"/>
      <c r="X1547" s="201"/>
      <c r="Y1547" s="269"/>
      <c r="Z1547" s="269"/>
      <c r="AA1547" s="269"/>
      <c r="AB1547" s="269"/>
      <c r="AC1547" s="269"/>
      <c r="AD1547" s="269"/>
      <c r="AE1547" s="269"/>
      <c r="AG1547" s="128"/>
    </row>
    <row r="1548" spans="1:33" ht="26.25">
      <c r="A1548" s="269"/>
      <c r="B1548" s="269"/>
      <c r="C1548" s="269"/>
      <c r="D1548" s="269"/>
      <c r="E1548" s="269"/>
      <c r="F1548" s="269"/>
      <c r="G1548" s="269"/>
      <c r="H1548" s="269"/>
      <c r="I1548" s="269"/>
      <c r="J1548" s="334"/>
      <c r="K1548" s="334"/>
      <c r="L1548" s="334"/>
      <c r="M1548" s="328"/>
      <c r="N1548" s="328"/>
      <c r="O1548" s="386"/>
      <c r="P1548" s="356"/>
      <c r="Q1548" s="380"/>
      <c r="S1548" s="336"/>
      <c r="T1548" s="62" ph="1"/>
      <c r="V1548" s="232"/>
      <c r="W1548" s="269"/>
      <c r="X1548" s="201"/>
      <c r="Y1548" s="269"/>
      <c r="Z1548" s="269"/>
      <c r="AA1548" s="269"/>
      <c r="AB1548" s="269"/>
      <c r="AC1548" s="269"/>
      <c r="AD1548" s="269"/>
      <c r="AE1548" s="269"/>
      <c r="AG1548" s="128"/>
    </row>
    <row r="1549" spans="1:33" ht="26.25">
      <c r="A1549" s="269"/>
      <c r="B1549" s="269"/>
      <c r="C1549" s="269"/>
      <c r="D1549" s="269"/>
      <c r="E1549" s="269"/>
      <c r="F1549" s="269"/>
      <c r="G1549" s="269"/>
      <c r="H1549" s="269"/>
      <c r="I1549" s="269"/>
      <c r="J1549" s="334"/>
      <c r="K1549" s="334"/>
      <c r="L1549" s="334"/>
      <c r="M1549" s="328"/>
      <c r="N1549" s="328"/>
      <c r="O1549" s="386"/>
      <c r="P1549" s="356"/>
      <c r="Q1549" s="380"/>
      <c r="S1549" s="336"/>
      <c r="T1549" s="62" ph="1"/>
      <c r="V1549" s="232"/>
      <c r="W1549" s="269"/>
      <c r="X1549" s="201"/>
      <c r="Y1549" s="269"/>
      <c r="Z1549" s="269"/>
      <c r="AA1549" s="269"/>
      <c r="AB1549" s="269"/>
      <c r="AC1549" s="269"/>
      <c r="AD1549" s="269"/>
      <c r="AE1549" s="269"/>
      <c r="AG1549" s="128"/>
    </row>
    <row r="1550" spans="1:33" ht="26.25">
      <c r="A1550" s="269"/>
      <c r="B1550" s="269"/>
      <c r="C1550" s="269"/>
      <c r="D1550" s="269"/>
      <c r="E1550" s="269"/>
      <c r="F1550" s="269"/>
      <c r="G1550" s="269"/>
      <c r="H1550" s="269"/>
      <c r="I1550" s="269"/>
      <c r="J1550" s="334"/>
      <c r="K1550" s="334"/>
      <c r="L1550" s="334"/>
      <c r="M1550" s="328"/>
      <c r="N1550" s="328"/>
      <c r="O1550" s="386"/>
      <c r="P1550" s="356"/>
      <c r="Q1550" s="380"/>
      <c r="S1550" s="336"/>
      <c r="T1550" s="62" ph="1"/>
      <c r="V1550" s="232"/>
      <c r="W1550" s="269"/>
      <c r="X1550" s="201"/>
      <c r="Y1550" s="269"/>
      <c r="Z1550" s="269"/>
      <c r="AA1550" s="269"/>
      <c r="AB1550" s="269"/>
      <c r="AC1550" s="269"/>
      <c r="AD1550" s="269"/>
      <c r="AE1550" s="269"/>
      <c r="AG1550" s="128"/>
    </row>
    <row r="1551" spans="1:33" ht="26.25">
      <c r="A1551" s="269"/>
      <c r="B1551" s="269"/>
      <c r="C1551" s="269"/>
      <c r="D1551" s="269"/>
      <c r="E1551" s="269"/>
      <c r="F1551" s="269"/>
      <c r="G1551" s="269"/>
      <c r="H1551" s="269"/>
      <c r="I1551" s="269"/>
      <c r="J1551" s="334"/>
      <c r="K1551" s="334"/>
      <c r="L1551" s="334"/>
      <c r="M1551" s="328"/>
      <c r="N1551" s="328"/>
      <c r="O1551" s="386"/>
      <c r="P1551" s="356"/>
      <c r="Q1551" s="380"/>
      <c r="S1551" s="336"/>
      <c r="T1551" s="62" ph="1"/>
      <c r="V1551" s="232"/>
      <c r="W1551" s="269"/>
      <c r="X1551" s="201"/>
      <c r="Y1551" s="269"/>
      <c r="Z1551" s="269"/>
      <c r="AA1551" s="269"/>
      <c r="AB1551" s="269"/>
      <c r="AC1551" s="269"/>
      <c r="AD1551" s="269"/>
      <c r="AE1551" s="269"/>
      <c r="AG1551" s="128"/>
    </row>
    <row r="1552" spans="1:33" ht="26.25">
      <c r="A1552" s="269"/>
      <c r="B1552" s="269"/>
      <c r="C1552" s="269"/>
      <c r="D1552" s="269"/>
      <c r="E1552" s="269"/>
      <c r="F1552" s="269"/>
      <c r="G1552" s="269"/>
      <c r="H1552" s="269"/>
      <c r="I1552" s="269"/>
      <c r="J1552" s="334"/>
      <c r="K1552" s="334"/>
      <c r="L1552" s="334"/>
      <c r="M1552" s="328"/>
      <c r="N1552" s="328"/>
      <c r="O1552" s="386"/>
      <c r="P1552" s="356"/>
      <c r="Q1552" s="380"/>
      <c r="S1552" s="336"/>
      <c r="T1552" s="62" ph="1"/>
      <c r="V1552" s="232"/>
      <c r="W1552" s="269"/>
      <c r="X1552" s="201"/>
      <c r="Y1552" s="269"/>
      <c r="Z1552" s="269"/>
      <c r="AA1552" s="269"/>
      <c r="AB1552" s="269"/>
      <c r="AC1552" s="269"/>
      <c r="AD1552" s="269"/>
      <c r="AE1552" s="269"/>
      <c r="AG1552" s="128"/>
    </row>
    <row r="1553" spans="1:33" ht="26.25">
      <c r="A1553" s="269"/>
      <c r="B1553" s="269"/>
      <c r="C1553" s="269"/>
      <c r="D1553" s="269"/>
      <c r="E1553" s="269"/>
      <c r="F1553" s="269"/>
      <c r="G1553" s="269"/>
      <c r="H1553" s="269"/>
      <c r="I1553" s="269"/>
      <c r="J1553" s="334"/>
      <c r="K1553" s="334"/>
      <c r="L1553" s="334"/>
      <c r="M1553" s="328"/>
      <c r="N1553" s="328"/>
      <c r="O1553" s="386"/>
      <c r="P1553" s="356"/>
      <c r="Q1553" s="380"/>
      <c r="S1553" s="336"/>
      <c r="T1553" s="62" ph="1"/>
      <c r="V1553" s="232"/>
      <c r="W1553" s="269"/>
      <c r="X1553" s="201"/>
      <c r="Y1553" s="269"/>
      <c r="Z1553" s="269"/>
      <c r="AA1553" s="269"/>
      <c r="AB1553" s="269"/>
      <c r="AC1553" s="269"/>
      <c r="AD1553" s="269"/>
      <c r="AE1553" s="269"/>
      <c r="AG1553" s="128"/>
    </row>
    <row r="1554" spans="1:33">
      <c r="O1554" s="386"/>
      <c r="P1554" s="356"/>
      <c r="Q1554" s="380"/>
      <c r="AG1554" s="128"/>
    </row>
    <row r="1555" spans="1:33" ht="26.25">
      <c r="A1555" s="269"/>
      <c r="B1555" s="269"/>
      <c r="C1555" s="269"/>
      <c r="D1555" s="269"/>
      <c r="E1555" s="269"/>
      <c r="F1555" s="269"/>
      <c r="G1555" s="269"/>
      <c r="H1555" s="269"/>
      <c r="I1555" s="269"/>
      <c r="J1555" s="334"/>
      <c r="K1555" s="334"/>
      <c r="L1555" s="334"/>
      <c r="M1555" s="328"/>
      <c r="N1555" s="328"/>
      <c r="O1555" s="386"/>
      <c r="P1555" s="356"/>
      <c r="Q1555" s="380"/>
      <c r="S1555" s="336"/>
      <c r="T1555" s="62" ph="1"/>
      <c r="V1555" s="232"/>
      <c r="W1555" s="269"/>
      <c r="X1555" s="201"/>
      <c r="Y1555" s="269"/>
      <c r="Z1555" s="269"/>
      <c r="AA1555" s="269"/>
      <c r="AB1555" s="269"/>
      <c r="AC1555" s="269"/>
      <c r="AD1555" s="269"/>
      <c r="AE1555" s="269"/>
      <c r="AG1555" s="128"/>
    </row>
    <row r="1556" spans="1:33" ht="26.25">
      <c r="A1556" s="269"/>
      <c r="B1556" s="269"/>
      <c r="C1556" s="269"/>
      <c r="D1556" s="269"/>
      <c r="E1556" s="269"/>
      <c r="F1556" s="269"/>
      <c r="G1556" s="269"/>
      <c r="H1556" s="269"/>
      <c r="I1556" s="269"/>
      <c r="J1556" s="334"/>
      <c r="K1556" s="334"/>
      <c r="L1556" s="334"/>
      <c r="M1556" s="328"/>
      <c r="N1556" s="328"/>
      <c r="O1556" s="386"/>
      <c r="P1556" s="356"/>
      <c r="Q1556" s="380"/>
      <c r="S1556" s="336"/>
      <c r="T1556" s="62" ph="1"/>
      <c r="V1556" s="232"/>
      <c r="W1556" s="269"/>
      <c r="X1556" s="201"/>
      <c r="Y1556" s="269"/>
      <c r="Z1556" s="269"/>
      <c r="AA1556" s="269"/>
      <c r="AB1556" s="269"/>
      <c r="AC1556" s="269"/>
      <c r="AD1556" s="269"/>
      <c r="AE1556" s="269"/>
      <c r="AG1556" s="128"/>
    </row>
    <row r="1557" spans="1:33" ht="26.25">
      <c r="A1557" s="269"/>
      <c r="B1557" s="269"/>
      <c r="C1557" s="269"/>
      <c r="D1557" s="269"/>
      <c r="E1557" s="269"/>
      <c r="F1557" s="269"/>
      <c r="G1557" s="269"/>
      <c r="H1557" s="269"/>
      <c r="I1557" s="269"/>
      <c r="J1557" s="334"/>
      <c r="K1557" s="334"/>
      <c r="L1557" s="334"/>
      <c r="M1557" s="328"/>
      <c r="N1557" s="328"/>
      <c r="S1557" s="336"/>
      <c r="T1557" s="62" ph="1"/>
      <c r="V1557" s="232"/>
      <c r="W1557" s="269"/>
      <c r="X1557" s="201"/>
      <c r="Y1557" s="269"/>
      <c r="Z1557" s="269"/>
      <c r="AA1557" s="269"/>
      <c r="AB1557" s="269"/>
      <c r="AC1557" s="269"/>
      <c r="AD1557" s="269"/>
      <c r="AE1557" s="269"/>
      <c r="AG1557" s="128"/>
    </row>
    <row r="1558" spans="1:33" ht="26.25">
      <c r="A1558" s="269"/>
      <c r="B1558" s="269"/>
      <c r="C1558" s="269"/>
      <c r="D1558" s="269"/>
      <c r="E1558" s="269"/>
      <c r="F1558" s="269"/>
      <c r="G1558" s="269"/>
      <c r="H1558" s="269"/>
      <c r="I1558" s="269"/>
      <c r="J1558" s="334"/>
      <c r="K1558" s="334"/>
      <c r="L1558" s="334"/>
      <c r="M1558" s="328"/>
      <c r="N1558" s="328"/>
      <c r="O1558" s="386"/>
      <c r="P1558" s="356"/>
      <c r="Q1558" s="380"/>
      <c r="S1558" s="336"/>
      <c r="T1558" s="62" ph="1"/>
      <c r="V1558" s="232"/>
      <c r="W1558" s="269"/>
      <c r="X1558" s="201"/>
      <c r="Y1558" s="269"/>
      <c r="Z1558" s="269"/>
      <c r="AA1558" s="269"/>
      <c r="AB1558" s="269"/>
      <c r="AC1558" s="269"/>
      <c r="AD1558" s="269"/>
      <c r="AE1558" s="269"/>
      <c r="AG1558" s="269"/>
    </row>
    <row r="1559" spans="1:33" ht="26.25">
      <c r="A1559" s="269"/>
      <c r="B1559" s="269"/>
      <c r="C1559" s="269"/>
      <c r="D1559" s="269"/>
      <c r="E1559" s="269"/>
      <c r="F1559" s="269"/>
      <c r="G1559" s="269"/>
      <c r="H1559" s="269"/>
      <c r="I1559" s="269"/>
      <c r="J1559" s="334"/>
      <c r="K1559" s="334"/>
      <c r="L1559" s="334"/>
      <c r="M1559" s="328"/>
      <c r="N1559" s="328"/>
      <c r="O1559" s="386"/>
      <c r="P1559" s="356"/>
      <c r="Q1559" s="380"/>
      <c r="S1559" s="336"/>
      <c r="T1559" s="62" ph="1"/>
      <c r="V1559" s="232"/>
      <c r="W1559" s="269"/>
      <c r="X1559" s="201"/>
      <c r="Y1559" s="269"/>
      <c r="Z1559" s="269"/>
      <c r="AA1559" s="269"/>
      <c r="AB1559" s="269"/>
      <c r="AC1559" s="269"/>
      <c r="AD1559" s="269"/>
      <c r="AE1559" s="269"/>
      <c r="AG1559" s="128"/>
    </row>
    <row r="1560" spans="1:33" ht="26.25">
      <c r="A1560" s="269"/>
      <c r="B1560" s="269"/>
      <c r="C1560" s="269"/>
      <c r="D1560" s="269"/>
      <c r="E1560" s="269"/>
      <c r="F1560" s="269"/>
      <c r="G1560" s="269"/>
      <c r="H1560" s="269"/>
      <c r="I1560" s="269"/>
      <c r="J1560" s="334"/>
      <c r="K1560" s="334"/>
      <c r="L1560" s="334"/>
      <c r="M1560" s="328"/>
      <c r="N1560" s="328"/>
      <c r="O1560" s="386"/>
      <c r="P1560" s="356"/>
      <c r="Q1560" s="380"/>
      <c r="S1560" s="336"/>
      <c r="T1560" s="62" ph="1"/>
      <c r="V1560" s="232"/>
      <c r="W1560" s="269"/>
      <c r="X1560" s="201"/>
      <c r="Y1560" s="269"/>
      <c r="Z1560" s="269"/>
      <c r="AA1560" s="269"/>
      <c r="AB1560" s="269"/>
      <c r="AC1560" s="269"/>
      <c r="AD1560" s="269"/>
      <c r="AE1560" s="269"/>
      <c r="AG1560" s="128"/>
    </row>
    <row r="1561" spans="1:33" ht="26.25">
      <c r="A1561" s="269"/>
      <c r="B1561" s="269"/>
      <c r="C1561" s="269"/>
      <c r="D1561" s="269"/>
      <c r="E1561" s="269"/>
      <c r="F1561" s="269"/>
      <c r="G1561" s="269"/>
      <c r="H1561" s="269"/>
      <c r="I1561" s="269"/>
      <c r="J1561" s="334"/>
      <c r="K1561" s="334"/>
      <c r="L1561" s="334"/>
      <c r="M1561" s="328"/>
      <c r="N1561" s="328"/>
      <c r="O1561" s="386"/>
      <c r="P1561" s="356"/>
      <c r="Q1561" s="380"/>
      <c r="S1561" s="336"/>
      <c r="T1561" s="62" ph="1"/>
      <c r="V1561" s="232"/>
      <c r="W1561" s="269"/>
      <c r="X1561" s="201"/>
      <c r="Y1561" s="269"/>
      <c r="Z1561" s="269"/>
      <c r="AA1561" s="269"/>
      <c r="AB1561" s="269"/>
      <c r="AC1561" s="269"/>
      <c r="AD1561" s="269"/>
      <c r="AE1561" s="269"/>
      <c r="AG1561" s="128"/>
    </row>
    <row r="1562" spans="1:33" ht="26.25">
      <c r="A1562" s="269"/>
      <c r="B1562" s="269"/>
      <c r="C1562" s="269"/>
      <c r="D1562" s="269"/>
      <c r="E1562" s="269"/>
      <c r="F1562" s="269"/>
      <c r="G1562" s="269"/>
      <c r="H1562" s="269"/>
      <c r="I1562" s="269"/>
      <c r="J1562" s="334"/>
      <c r="K1562" s="334"/>
      <c r="L1562" s="334"/>
      <c r="M1562" s="328"/>
      <c r="N1562" s="328"/>
      <c r="O1562" s="386"/>
      <c r="P1562" s="356"/>
      <c r="Q1562" s="380"/>
      <c r="S1562" s="336"/>
      <c r="T1562" s="62" ph="1"/>
      <c r="V1562" s="232"/>
      <c r="W1562" s="269"/>
      <c r="X1562" s="201"/>
      <c r="Y1562" s="269"/>
      <c r="Z1562" s="269"/>
      <c r="AA1562" s="269"/>
      <c r="AB1562" s="269"/>
      <c r="AC1562" s="269"/>
      <c r="AD1562" s="269"/>
      <c r="AE1562" s="269"/>
      <c r="AG1562" s="128"/>
    </row>
    <row r="1563" spans="1:33" ht="26.25">
      <c r="A1563" s="269"/>
      <c r="B1563" s="269"/>
      <c r="C1563" s="269"/>
      <c r="D1563" s="269"/>
      <c r="E1563" s="269"/>
      <c r="F1563" s="269"/>
      <c r="G1563" s="269"/>
      <c r="H1563" s="269"/>
      <c r="I1563" s="269"/>
      <c r="J1563" s="334"/>
      <c r="K1563" s="334"/>
      <c r="L1563" s="334"/>
      <c r="M1563" s="328"/>
      <c r="N1563" s="328"/>
      <c r="O1563" s="386"/>
      <c r="P1563" s="356"/>
      <c r="Q1563" s="380"/>
      <c r="S1563" s="336"/>
      <c r="T1563" s="62" ph="1"/>
      <c r="V1563" s="232"/>
      <c r="W1563" s="269"/>
      <c r="X1563" s="201"/>
      <c r="Y1563" s="269"/>
      <c r="Z1563" s="269"/>
      <c r="AA1563" s="269"/>
      <c r="AB1563" s="269"/>
      <c r="AC1563" s="269"/>
      <c r="AD1563" s="269"/>
      <c r="AE1563" s="269"/>
      <c r="AG1563" s="128"/>
    </row>
    <row r="1564" spans="1:33" ht="26.25">
      <c r="A1564" s="269"/>
      <c r="B1564" s="269"/>
      <c r="C1564" s="269"/>
      <c r="D1564" s="269"/>
      <c r="E1564" s="269"/>
      <c r="F1564" s="269"/>
      <c r="G1564" s="269"/>
      <c r="H1564" s="269"/>
      <c r="I1564" s="269"/>
      <c r="J1564" s="334"/>
      <c r="K1564" s="334"/>
      <c r="L1564" s="334"/>
      <c r="M1564" s="328"/>
      <c r="N1564" s="328"/>
      <c r="O1564" s="386"/>
      <c r="P1564" s="356"/>
      <c r="Q1564" s="380"/>
      <c r="S1564" s="336"/>
      <c r="T1564" s="62" ph="1"/>
      <c r="V1564" s="232"/>
      <c r="W1564" s="269"/>
      <c r="X1564" s="201"/>
      <c r="Y1564" s="269"/>
      <c r="Z1564" s="269"/>
      <c r="AA1564" s="269"/>
      <c r="AB1564" s="269"/>
      <c r="AC1564" s="269"/>
      <c r="AD1564" s="269"/>
      <c r="AE1564" s="269"/>
      <c r="AG1564" s="128"/>
    </row>
    <row r="1565" spans="1:33" ht="26.25">
      <c r="A1565" s="269"/>
      <c r="B1565" s="269"/>
      <c r="C1565" s="269"/>
      <c r="D1565" s="269"/>
      <c r="E1565" s="269"/>
      <c r="F1565" s="269"/>
      <c r="G1565" s="269"/>
      <c r="H1565" s="269"/>
      <c r="I1565" s="269"/>
      <c r="J1565" s="334"/>
      <c r="K1565" s="334"/>
      <c r="L1565" s="334"/>
      <c r="M1565" s="328"/>
      <c r="N1565" s="328"/>
      <c r="O1565" s="386"/>
      <c r="P1565" s="356"/>
      <c r="Q1565" s="380"/>
      <c r="S1565" s="336"/>
      <c r="T1565" s="62" ph="1"/>
      <c r="V1565" s="232"/>
      <c r="W1565" s="269"/>
      <c r="X1565" s="201"/>
      <c r="Y1565" s="269"/>
      <c r="Z1565" s="269"/>
      <c r="AA1565" s="269"/>
      <c r="AB1565" s="269"/>
      <c r="AC1565" s="269"/>
      <c r="AD1565" s="269"/>
      <c r="AE1565" s="269"/>
      <c r="AG1565" s="128"/>
    </row>
    <row r="1566" spans="1:33" ht="26.25">
      <c r="A1566" s="269"/>
      <c r="B1566" s="269"/>
      <c r="C1566" s="269"/>
      <c r="D1566" s="269"/>
      <c r="E1566" s="269"/>
      <c r="F1566" s="269"/>
      <c r="G1566" s="269"/>
      <c r="H1566" s="269"/>
      <c r="I1566" s="269"/>
      <c r="J1566" s="334"/>
      <c r="K1566" s="334"/>
      <c r="L1566" s="334"/>
      <c r="M1566" s="328"/>
      <c r="N1566" s="328"/>
      <c r="S1566" s="336"/>
      <c r="T1566" s="62" ph="1"/>
      <c r="V1566" s="232"/>
      <c r="W1566" s="269"/>
      <c r="X1566" s="201"/>
      <c r="Y1566" s="269"/>
      <c r="Z1566" s="269"/>
      <c r="AA1566" s="269"/>
      <c r="AB1566" s="269"/>
      <c r="AC1566" s="269"/>
      <c r="AD1566" s="269"/>
      <c r="AE1566" s="269"/>
      <c r="AG1566" s="128"/>
    </row>
    <row r="1567" spans="1:33" ht="26.25">
      <c r="A1567" s="269"/>
      <c r="B1567" s="269"/>
      <c r="C1567" s="269"/>
      <c r="D1567" s="269"/>
      <c r="E1567" s="269"/>
      <c r="F1567" s="269"/>
      <c r="G1567" s="269"/>
      <c r="H1567" s="269"/>
      <c r="I1567" s="269"/>
      <c r="J1567" s="334"/>
      <c r="K1567" s="334"/>
      <c r="L1567" s="334"/>
      <c r="M1567" s="328"/>
      <c r="N1567" s="328"/>
      <c r="O1567" s="386"/>
      <c r="P1567" s="356"/>
      <c r="Q1567" s="380"/>
      <c r="S1567" s="336"/>
      <c r="T1567" s="62" ph="1"/>
      <c r="V1567" s="232"/>
      <c r="W1567" s="269"/>
      <c r="X1567" s="201"/>
      <c r="Y1567" s="269"/>
      <c r="Z1567" s="269"/>
      <c r="AA1567" s="269"/>
      <c r="AB1567" s="269"/>
      <c r="AC1567" s="269"/>
      <c r="AD1567" s="269"/>
      <c r="AE1567" s="269"/>
      <c r="AG1567" s="128"/>
    </row>
    <row r="1568" spans="1:33" ht="26.25">
      <c r="A1568" s="269"/>
      <c r="B1568" s="269"/>
      <c r="C1568" s="269"/>
      <c r="D1568" s="269"/>
      <c r="E1568" s="269"/>
      <c r="F1568" s="269"/>
      <c r="G1568" s="269"/>
      <c r="H1568" s="269"/>
      <c r="I1568" s="269"/>
      <c r="J1568" s="334"/>
      <c r="K1568" s="334"/>
      <c r="L1568" s="334"/>
      <c r="M1568" s="328"/>
      <c r="N1568" s="328"/>
      <c r="O1568" s="386"/>
      <c r="P1568" s="356"/>
      <c r="Q1568" s="380"/>
      <c r="S1568" s="336"/>
      <c r="T1568" s="62" ph="1"/>
      <c r="V1568" s="232"/>
      <c r="W1568" s="269"/>
      <c r="X1568" s="201"/>
      <c r="Y1568" s="269"/>
      <c r="Z1568" s="269"/>
      <c r="AA1568" s="269"/>
      <c r="AB1568" s="269"/>
      <c r="AC1568" s="269"/>
      <c r="AD1568" s="269"/>
      <c r="AE1568" s="269"/>
      <c r="AG1568" s="128"/>
    </row>
    <row r="1569" spans="1:33" ht="26.25">
      <c r="A1569" s="269"/>
      <c r="B1569" s="269"/>
      <c r="C1569" s="269"/>
      <c r="D1569" s="269"/>
      <c r="E1569" s="269"/>
      <c r="F1569" s="269"/>
      <c r="G1569" s="269"/>
      <c r="H1569" s="269"/>
      <c r="I1569" s="269"/>
      <c r="J1569" s="334"/>
      <c r="K1569" s="334"/>
      <c r="L1569" s="334"/>
      <c r="M1569" s="328"/>
      <c r="N1569" s="328"/>
      <c r="O1569" s="386"/>
      <c r="P1569" s="356"/>
      <c r="Q1569" s="380"/>
      <c r="S1569" s="336"/>
      <c r="T1569" s="62" ph="1"/>
      <c r="V1569" s="232"/>
      <c r="W1569" s="269"/>
      <c r="X1569" s="201"/>
      <c r="Y1569" s="269"/>
      <c r="Z1569" s="269"/>
      <c r="AA1569" s="269"/>
      <c r="AB1569" s="269"/>
      <c r="AC1569" s="269"/>
      <c r="AD1569" s="269"/>
      <c r="AE1569" s="269"/>
      <c r="AG1569" s="128"/>
    </row>
    <row r="1570" spans="1:33" ht="26.25">
      <c r="A1570" s="269"/>
      <c r="B1570" s="269"/>
      <c r="C1570" s="269"/>
      <c r="D1570" s="269"/>
      <c r="E1570" s="269"/>
      <c r="F1570" s="269"/>
      <c r="G1570" s="269"/>
      <c r="H1570" s="269"/>
      <c r="I1570" s="269"/>
      <c r="J1570" s="334"/>
      <c r="K1570" s="334"/>
      <c r="L1570" s="334"/>
      <c r="M1570" s="328"/>
      <c r="N1570" s="328"/>
      <c r="O1570" s="386"/>
      <c r="P1570" s="356"/>
      <c r="Q1570" s="380"/>
      <c r="S1570" s="336"/>
      <c r="T1570" s="62" ph="1"/>
      <c r="V1570" s="232"/>
      <c r="W1570" s="269"/>
      <c r="X1570" s="201"/>
      <c r="Y1570" s="269"/>
      <c r="Z1570" s="269"/>
      <c r="AA1570" s="269"/>
      <c r="AB1570" s="269"/>
      <c r="AC1570" s="269"/>
      <c r="AD1570" s="269"/>
      <c r="AE1570" s="269"/>
      <c r="AG1570" s="128"/>
    </row>
    <row r="1571" spans="1:33" ht="26.25">
      <c r="A1571" s="269"/>
      <c r="B1571" s="269"/>
      <c r="C1571" s="269"/>
      <c r="D1571" s="269"/>
      <c r="E1571" s="269"/>
      <c r="F1571" s="269"/>
      <c r="G1571" s="269"/>
      <c r="H1571" s="269"/>
      <c r="I1571" s="269"/>
      <c r="J1571" s="334"/>
      <c r="K1571" s="334"/>
      <c r="L1571" s="334"/>
      <c r="M1571" s="328"/>
      <c r="N1571" s="328"/>
      <c r="O1571" s="386"/>
      <c r="P1571" s="356"/>
      <c r="Q1571" s="380"/>
      <c r="S1571" s="336"/>
      <c r="T1571" s="62" ph="1"/>
      <c r="V1571" s="232"/>
      <c r="W1571" s="269"/>
      <c r="X1571" s="201"/>
      <c r="Y1571" s="269"/>
      <c r="Z1571" s="269"/>
      <c r="AA1571" s="269"/>
      <c r="AB1571" s="269"/>
      <c r="AC1571" s="269"/>
      <c r="AD1571" s="269"/>
      <c r="AE1571" s="269"/>
      <c r="AG1571" s="128"/>
    </row>
    <row r="1572" spans="1:33" ht="26.25">
      <c r="A1572" s="269"/>
      <c r="B1572" s="269"/>
      <c r="C1572" s="269"/>
      <c r="D1572" s="269"/>
      <c r="E1572" s="269"/>
      <c r="F1572" s="269"/>
      <c r="G1572" s="269"/>
      <c r="H1572" s="269"/>
      <c r="I1572" s="269"/>
      <c r="J1572" s="334"/>
      <c r="K1572" s="334"/>
      <c r="L1572" s="334"/>
      <c r="M1572" s="328"/>
      <c r="N1572" s="328"/>
      <c r="O1572" s="386"/>
      <c r="P1572" s="356"/>
      <c r="Q1572" s="380"/>
      <c r="S1572" s="336"/>
      <c r="T1572" s="62" ph="1"/>
      <c r="V1572" s="232"/>
      <c r="W1572" s="269"/>
      <c r="X1572" s="201"/>
      <c r="Y1572" s="269"/>
      <c r="Z1572" s="269"/>
      <c r="AA1572" s="269"/>
      <c r="AB1572" s="269"/>
      <c r="AC1572" s="269"/>
      <c r="AD1572" s="269"/>
      <c r="AE1572" s="269"/>
      <c r="AG1572" s="128"/>
    </row>
    <row r="1573" spans="1:33" ht="26.25">
      <c r="A1573" s="269"/>
      <c r="B1573" s="269"/>
      <c r="C1573" s="269"/>
      <c r="D1573" s="269"/>
      <c r="E1573" s="269"/>
      <c r="F1573" s="269"/>
      <c r="G1573" s="269"/>
      <c r="H1573" s="269"/>
      <c r="I1573" s="269"/>
      <c r="J1573" s="334"/>
      <c r="K1573" s="334"/>
      <c r="L1573" s="334"/>
      <c r="M1573" s="328"/>
      <c r="N1573" s="328"/>
      <c r="O1573" s="386"/>
      <c r="P1573" s="356"/>
      <c r="Q1573" s="380"/>
      <c r="S1573" s="336"/>
      <c r="T1573" s="62" ph="1"/>
      <c r="V1573" s="232"/>
      <c r="W1573" s="269"/>
      <c r="X1573" s="201"/>
      <c r="Y1573" s="269"/>
      <c r="Z1573" s="269"/>
      <c r="AA1573" s="269"/>
      <c r="AB1573" s="269"/>
      <c r="AC1573" s="269"/>
      <c r="AD1573" s="269"/>
      <c r="AE1573" s="269"/>
      <c r="AG1573" s="27"/>
    </row>
    <row r="1574" spans="1:33" ht="26.25">
      <c r="A1574" s="269"/>
      <c r="B1574" s="269"/>
      <c r="C1574" s="269"/>
      <c r="D1574" s="269"/>
      <c r="E1574" s="269"/>
      <c r="F1574" s="269"/>
      <c r="G1574" s="269"/>
      <c r="H1574" s="269"/>
      <c r="I1574" s="269"/>
      <c r="J1574" s="334"/>
      <c r="K1574" s="334"/>
      <c r="L1574" s="334"/>
      <c r="M1574" s="328"/>
      <c r="N1574" s="328"/>
      <c r="O1574" s="386"/>
      <c r="P1574" s="356"/>
      <c r="Q1574" s="380"/>
      <c r="S1574" s="336"/>
      <c r="T1574" s="62" ph="1"/>
      <c r="V1574" s="232"/>
      <c r="W1574" s="269"/>
      <c r="X1574" s="201"/>
      <c r="Y1574" s="269"/>
      <c r="Z1574" s="269"/>
      <c r="AA1574" s="269"/>
      <c r="AB1574" s="269"/>
      <c r="AC1574" s="269"/>
      <c r="AD1574" s="269"/>
      <c r="AE1574" s="269"/>
      <c r="AG1574" s="128"/>
    </row>
    <row r="1575" spans="1:33" ht="26.25">
      <c r="A1575" s="269"/>
      <c r="B1575" s="269"/>
      <c r="C1575" s="269"/>
      <c r="D1575" s="269"/>
      <c r="E1575" s="269"/>
      <c r="F1575" s="269"/>
      <c r="G1575" s="269"/>
      <c r="H1575" s="269"/>
      <c r="I1575" s="269"/>
      <c r="J1575" s="334"/>
      <c r="K1575" s="334"/>
      <c r="L1575" s="334"/>
      <c r="M1575" s="328"/>
      <c r="N1575" s="328"/>
      <c r="O1575" s="386"/>
      <c r="P1575" s="356"/>
      <c r="Q1575" s="380"/>
      <c r="S1575" s="336"/>
      <c r="T1575" s="62" ph="1"/>
      <c r="V1575" s="232"/>
      <c r="W1575" s="269"/>
      <c r="X1575" s="201"/>
      <c r="Y1575" s="269"/>
      <c r="Z1575" s="269"/>
      <c r="AA1575" s="269"/>
      <c r="AB1575" s="269"/>
      <c r="AC1575" s="269"/>
      <c r="AD1575" s="269"/>
      <c r="AE1575" s="269"/>
      <c r="AG1575" s="128"/>
    </row>
    <row r="1576" spans="1:33" ht="26.25">
      <c r="A1576" s="269"/>
      <c r="B1576" s="269"/>
      <c r="C1576" s="269"/>
      <c r="D1576" s="269"/>
      <c r="E1576" s="269"/>
      <c r="F1576" s="269"/>
      <c r="G1576" s="269"/>
      <c r="H1576" s="269"/>
      <c r="I1576" s="269"/>
      <c r="J1576" s="334"/>
      <c r="K1576" s="334"/>
      <c r="L1576" s="334"/>
      <c r="M1576" s="328"/>
      <c r="N1576" s="328"/>
      <c r="O1576" s="386"/>
      <c r="P1576" s="356"/>
      <c r="Q1576" s="380"/>
      <c r="S1576" s="336"/>
      <c r="T1576" s="62" ph="1"/>
      <c r="V1576" s="232"/>
      <c r="W1576" s="269"/>
      <c r="X1576" s="201"/>
      <c r="Y1576" s="269"/>
      <c r="Z1576" s="269"/>
      <c r="AA1576" s="269"/>
      <c r="AB1576" s="269"/>
      <c r="AC1576" s="269"/>
      <c r="AD1576" s="269"/>
      <c r="AE1576" s="269"/>
      <c r="AG1576" s="128"/>
    </row>
    <row r="1577" spans="1:33" ht="26.25">
      <c r="A1577" s="269"/>
      <c r="B1577" s="269"/>
      <c r="C1577" s="269"/>
      <c r="D1577" s="269"/>
      <c r="E1577" s="269"/>
      <c r="F1577" s="269"/>
      <c r="G1577" s="269"/>
      <c r="H1577" s="269"/>
      <c r="I1577" s="269"/>
      <c r="J1577" s="334"/>
      <c r="K1577" s="334"/>
      <c r="L1577" s="334"/>
      <c r="M1577" s="328"/>
      <c r="N1577" s="328"/>
      <c r="O1577" s="386"/>
      <c r="P1577" s="356"/>
      <c r="Q1577" s="380"/>
      <c r="S1577" s="336"/>
      <c r="T1577" s="62" ph="1"/>
      <c r="V1577" s="232"/>
      <c r="W1577" s="269"/>
      <c r="X1577" s="201"/>
      <c r="Y1577" s="269"/>
      <c r="Z1577" s="269"/>
      <c r="AA1577" s="269"/>
      <c r="AB1577" s="269"/>
      <c r="AC1577" s="269"/>
      <c r="AD1577" s="269"/>
      <c r="AE1577" s="269"/>
      <c r="AG1577" s="128"/>
    </row>
    <row r="1578" spans="1:33" ht="26.25">
      <c r="A1578" s="269"/>
      <c r="B1578" s="269"/>
      <c r="C1578" s="269"/>
      <c r="D1578" s="269"/>
      <c r="E1578" s="269"/>
      <c r="F1578" s="269"/>
      <c r="G1578" s="269"/>
      <c r="H1578" s="269"/>
      <c r="I1578" s="269"/>
      <c r="J1578" s="334"/>
      <c r="K1578" s="334"/>
      <c r="L1578" s="334"/>
      <c r="M1578" s="328"/>
      <c r="N1578" s="328"/>
      <c r="O1578" s="386"/>
      <c r="P1578" s="356"/>
      <c r="Q1578" s="380"/>
      <c r="S1578" s="336"/>
      <c r="T1578" s="62" ph="1"/>
      <c r="V1578" s="232"/>
      <c r="W1578" s="269"/>
      <c r="X1578" s="201"/>
      <c r="Y1578" s="269"/>
      <c r="Z1578" s="269"/>
      <c r="AA1578" s="269"/>
      <c r="AB1578" s="269"/>
      <c r="AC1578" s="269"/>
      <c r="AD1578" s="269"/>
      <c r="AE1578" s="269"/>
      <c r="AG1578" s="128"/>
    </row>
    <row r="1579" spans="1:33" ht="26.25">
      <c r="A1579" s="269"/>
      <c r="B1579" s="269"/>
      <c r="C1579" s="269"/>
      <c r="D1579" s="269"/>
      <c r="E1579" s="269"/>
      <c r="F1579" s="269"/>
      <c r="G1579" s="269"/>
      <c r="H1579" s="269"/>
      <c r="I1579" s="269"/>
      <c r="J1579" s="334"/>
      <c r="K1579" s="334"/>
      <c r="L1579" s="334"/>
      <c r="M1579" s="328"/>
      <c r="N1579" s="328"/>
      <c r="O1579" s="386"/>
      <c r="P1579" s="356"/>
      <c r="Q1579" s="380"/>
      <c r="S1579" s="336"/>
      <c r="T1579" s="62" ph="1"/>
      <c r="V1579" s="232"/>
      <c r="W1579" s="269"/>
      <c r="X1579" s="201"/>
      <c r="Y1579" s="269"/>
      <c r="Z1579" s="269"/>
      <c r="AA1579" s="269"/>
      <c r="AB1579" s="269"/>
      <c r="AC1579" s="269"/>
      <c r="AD1579" s="269"/>
      <c r="AE1579" s="269"/>
      <c r="AG1579" s="128"/>
    </row>
    <row r="1580" spans="1:33" ht="26.25">
      <c r="A1580" s="269"/>
      <c r="B1580" s="269"/>
      <c r="C1580" s="269"/>
      <c r="D1580" s="269"/>
      <c r="E1580" s="269"/>
      <c r="F1580" s="269"/>
      <c r="G1580" s="269"/>
      <c r="H1580" s="269"/>
      <c r="I1580" s="269"/>
      <c r="J1580" s="334"/>
      <c r="K1580" s="334"/>
      <c r="L1580" s="334"/>
      <c r="M1580" s="328"/>
      <c r="N1580" s="328"/>
      <c r="O1580" s="386"/>
      <c r="P1580" s="356"/>
      <c r="Q1580" s="380"/>
      <c r="S1580" s="336"/>
      <c r="T1580" s="62" ph="1"/>
      <c r="V1580" s="232"/>
      <c r="W1580" s="269"/>
      <c r="X1580" s="201"/>
      <c r="Y1580" s="269"/>
      <c r="Z1580" s="269"/>
      <c r="AA1580" s="269"/>
      <c r="AB1580" s="269"/>
      <c r="AC1580" s="269"/>
      <c r="AD1580" s="269"/>
      <c r="AE1580" s="269"/>
      <c r="AG1580" s="128"/>
    </row>
    <row r="1581" spans="1:33" ht="26.25">
      <c r="A1581" s="269"/>
      <c r="B1581" s="269"/>
      <c r="C1581" s="269"/>
      <c r="D1581" s="269"/>
      <c r="E1581" s="269"/>
      <c r="F1581" s="269"/>
      <c r="G1581" s="269"/>
      <c r="H1581" s="269"/>
      <c r="I1581" s="269"/>
      <c r="J1581" s="334"/>
      <c r="K1581" s="334"/>
      <c r="L1581" s="334"/>
      <c r="M1581" s="328"/>
      <c r="N1581" s="328"/>
      <c r="O1581" s="386"/>
      <c r="P1581" s="356"/>
      <c r="Q1581" s="380"/>
      <c r="S1581" s="336"/>
      <c r="T1581" s="62" ph="1"/>
      <c r="V1581" s="232"/>
      <c r="W1581" s="269"/>
      <c r="X1581" s="201"/>
      <c r="Y1581" s="269"/>
      <c r="Z1581" s="269"/>
      <c r="AA1581" s="269"/>
      <c r="AB1581" s="269"/>
      <c r="AC1581" s="269"/>
      <c r="AD1581" s="269"/>
      <c r="AE1581" s="269"/>
      <c r="AG1581" s="128"/>
    </row>
    <row r="1582" spans="1:33" ht="26.25">
      <c r="A1582" s="269"/>
      <c r="B1582" s="269"/>
      <c r="C1582" s="269"/>
      <c r="D1582" s="269"/>
      <c r="E1582" s="269"/>
      <c r="F1582" s="269"/>
      <c r="G1582" s="269"/>
      <c r="H1582" s="269"/>
      <c r="I1582" s="269"/>
      <c r="J1582" s="334"/>
      <c r="K1582" s="334"/>
      <c r="L1582" s="334"/>
      <c r="M1582" s="328"/>
      <c r="N1582" s="328"/>
      <c r="O1582" s="386"/>
      <c r="P1582" s="356"/>
      <c r="Q1582" s="380"/>
      <c r="S1582" s="336"/>
      <c r="T1582" s="62" ph="1"/>
      <c r="V1582" s="232"/>
      <c r="W1582" s="269"/>
      <c r="X1582" s="201"/>
      <c r="Y1582" s="269"/>
      <c r="Z1582" s="269"/>
      <c r="AA1582" s="269"/>
      <c r="AB1582" s="269"/>
      <c r="AC1582" s="269"/>
      <c r="AD1582" s="269"/>
      <c r="AE1582" s="269"/>
      <c r="AG1582" s="128"/>
    </row>
    <row r="1583" spans="1:33" ht="26.25">
      <c r="A1583" s="269"/>
      <c r="B1583" s="269"/>
      <c r="C1583" s="269"/>
      <c r="D1583" s="269"/>
      <c r="E1583" s="269"/>
      <c r="F1583" s="269"/>
      <c r="G1583" s="269"/>
      <c r="H1583" s="269"/>
      <c r="I1583" s="269"/>
      <c r="J1583" s="334"/>
      <c r="K1583" s="334"/>
      <c r="L1583" s="334"/>
      <c r="M1583" s="328"/>
      <c r="N1583" s="328"/>
      <c r="O1583" s="386"/>
      <c r="P1583" s="356"/>
      <c r="Q1583" s="380"/>
      <c r="S1583" s="336"/>
      <c r="T1583" s="62" ph="1"/>
      <c r="V1583" s="232"/>
      <c r="W1583" s="269"/>
      <c r="X1583" s="201"/>
      <c r="Y1583" s="269"/>
      <c r="Z1583" s="269"/>
      <c r="AA1583" s="269"/>
      <c r="AB1583" s="269"/>
      <c r="AC1583" s="269"/>
      <c r="AD1583" s="269"/>
      <c r="AE1583" s="269"/>
      <c r="AG1583" s="128"/>
    </row>
    <row r="1584" spans="1:33" ht="26.25">
      <c r="A1584" s="269"/>
      <c r="B1584" s="269"/>
      <c r="C1584" s="269"/>
      <c r="D1584" s="269"/>
      <c r="E1584" s="269"/>
      <c r="F1584" s="269"/>
      <c r="G1584" s="269"/>
      <c r="H1584" s="269"/>
      <c r="I1584" s="269"/>
      <c r="J1584" s="334"/>
      <c r="K1584" s="334"/>
      <c r="L1584" s="334"/>
      <c r="M1584" s="328"/>
      <c r="N1584" s="328"/>
      <c r="O1584" s="386"/>
      <c r="P1584" s="356"/>
      <c r="Q1584" s="380"/>
      <c r="S1584" s="336"/>
      <c r="T1584" s="62" ph="1"/>
      <c r="V1584" s="232"/>
      <c r="W1584" s="269"/>
      <c r="X1584" s="201"/>
      <c r="Y1584" s="269"/>
      <c r="Z1584" s="269"/>
      <c r="AA1584" s="269"/>
      <c r="AB1584" s="269"/>
      <c r="AC1584" s="269"/>
      <c r="AD1584" s="269"/>
      <c r="AE1584" s="269"/>
      <c r="AG1584" s="128"/>
    </row>
    <row r="1585" spans="1:33" ht="26.25">
      <c r="A1585" s="269"/>
      <c r="B1585" s="269"/>
      <c r="C1585" s="269"/>
      <c r="D1585" s="269"/>
      <c r="E1585" s="269"/>
      <c r="F1585" s="269"/>
      <c r="G1585" s="269"/>
      <c r="H1585" s="269"/>
      <c r="I1585" s="269"/>
      <c r="J1585" s="334"/>
      <c r="K1585" s="334"/>
      <c r="L1585" s="334"/>
      <c r="M1585" s="328"/>
      <c r="N1585" s="328"/>
      <c r="O1585" s="386"/>
      <c r="P1585" s="356"/>
      <c r="Q1585" s="380"/>
      <c r="S1585" s="336"/>
      <c r="T1585" s="62" ph="1"/>
      <c r="V1585" s="232"/>
      <c r="W1585" s="269"/>
      <c r="X1585" s="201"/>
      <c r="Y1585" s="269"/>
      <c r="Z1585" s="269"/>
      <c r="AA1585" s="269"/>
      <c r="AB1585" s="269"/>
      <c r="AC1585" s="269"/>
      <c r="AD1585" s="269"/>
      <c r="AE1585" s="269"/>
      <c r="AG1585" s="128"/>
    </row>
    <row r="1586" spans="1:33" ht="26.25">
      <c r="A1586" s="269"/>
      <c r="B1586" s="269"/>
      <c r="C1586" s="269"/>
      <c r="D1586" s="269"/>
      <c r="E1586" s="269"/>
      <c r="F1586" s="269"/>
      <c r="G1586" s="269"/>
      <c r="H1586" s="269"/>
      <c r="I1586" s="269"/>
      <c r="J1586" s="334"/>
      <c r="K1586" s="334"/>
      <c r="L1586" s="334"/>
      <c r="M1586" s="328"/>
      <c r="N1586" s="328"/>
      <c r="O1586" s="386"/>
      <c r="P1586" s="356"/>
      <c r="Q1586" s="380"/>
      <c r="S1586" s="336"/>
      <c r="T1586" s="62" ph="1"/>
      <c r="V1586" s="232"/>
      <c r="W1586" s="269"/>
      <c r="X1586" s="201"/>
      <c r="Y1586" s="269"/>
      <c r="Z1586" s="269"/>
      <c r="AA1586" s="269"/>
      <c r="AB1586" s="269"/>
      <c r="AC1586" s="269"/>
      <c r="AD1586" s="269"/>
      <c r="AE1586" s="269"/>
      <c r="AG1586" s="128"/>
    </row>
    <row r="1587" spans="1:33" ht="26.25">
      <c r="A1587" s="269"/>
      <c r="B1587" s="269"/>
      <c r="C1587" s="269"/>
      <c r="D1587" s="269"/>
      <c r="E1587" s="269"/>
      <c r="F1587" s="269"/>
      <c r="G1587" s="269"/>
      <c r="H1587" s="269"/>
      <c r="I1587" s="269"/>
      <c r="J1587" s="334"/>
      <c r="K1587" s="334"/>
      <c r="L1587" s="334"/>
      <c r="M1587" s="328"/>
      <c r="N1587" s="328"/>
      <c r="O1587" s="386"/>
      <c r="P1587" s="356"/>
      <c r="Q1587" s="380"/>
      <c r="S1587" s="336"/>
      <c r="T1587" s="62" ph="1"/>
      <c r="V1587" s="232"/>
      <c r="W1587" s="269"/>
      <c r="X1587" s="201"/>
      <c r="Y1587" s="269"/>
      <c r="Z1587" s="269"/>
      <c r="AA1587" s="269"/>
      <c r="AB1587" s="269"/>
      <c r="AC1587" s="269"/>
      <c r="AD1587" s="269"/>
      <c r="AE1587" s="269"/>
      <c r="AG1587" s="269"/>
    </row>
    <row r="1588" spans="1:33" ht="26.25">
      <c r="A1588" s="269"/>
      <c r="B1588" s="269"/>
      <c r="C1588" s="269"/>
      <c r="D1588" s="269"/>
      <c r="E1588" s="269"/>
      <c r="F1588" s="269"/>
      <c r="G1588" s="269"/>
      <c r="H1588" s="269"/>
      <c r="I1588" s="269"/>
      <c r="J1588" s="334"/>
      <c r="K1588" s="334"/>
      <c r="L1588" s="334"/>
      <c r="M1588" s="328"/>
      <c r="N1588" s="328"/>
      <c r="O1588" s="386"/>
      <c r="P1588" s="356"/>
      <c r="Q1588" s="380"/>
      <c r="S1588" s="336"/>
      <c r="T1588" s="62" ph="1"/>
      <c r="V1588" s="232"/>
      <c r="W1588" s="269"/>
      <c r="X1588" s="201"/>
      <c r="Y1588" s="269"/>
      <c r="Z1588" s="269"/>
      <c r="AA1588" s="269"/>
      <c r="AB1588" s="269"/>
      <c r="AC1588" s="269"/>
      <c r="AD1588" s="269"/>
      <c r="AE1588" s="269"/>
      <c r="AG1588" s="128"/>
    </row>
    <row r="1589" spans="1:33" ht="26.25">
      <c r="A1589" s="269"/>
      <c r="B1589" s="269"/>
      <c r="C1589" s="269"/>
      <c r="D1589" s="269"/>
      <c r="E1589" s="269"/>
      <c r="F1589" s="269"/>
      <c r="G1589" s="269"/>
      <c r="H1589" s="269"/>
      <c r="I1589" s="269"/>
      <c r="J1589" s="334"/>
      <c r="K1589" s="334"/>
      <c r="L1589" s="334"/>
      <c r="M1589" s="328"/>
      <c r="N1589" s="328"/>
      <c r="O1589" s="386"/>
      <c r="P1589" s="356"/>
      <c r="Q1589" s="380"/>
      <c r="S1589" s="336"/>
      <c r="T1589" s="62" ph="1"/>
      <c r="V1589" s="232"/>
      <c r="W1589" s="269"/>
      <c r="X1589" s="201"/>
      <c r="Y1589" s="269"/>
      <c r="Z1589" s="269"/>
      <c r="AA1589" s="269"/>
      <c r="AB1589" s="269"/>
      <c r="AC1589" s="269"/>
      <c r="AD1589" s="269"/>
      <c r="AE1589" s="269"/>
      <c r="AG1589" s="128"/>
    </row>
    <row r="1590" spans="1:33" ht="26.25">
      <c r="A1590" s="269"/>
      <c r="B1590" s="269"/>
      <c r="C1590" s="269"/>
      <c r="D1590" s="269"/>
      <c r="E1590" s="269"/>
      <c r="F1590" s="269"/>
      <c r="G1590" s="269"/>
      <c r="H1590" s="269"/>
      <c r="I1590" s="269"/>
      <c r="J1590" s="334"/>
      <c r="K1590" s="334"/>
      <c r="L1590" s="334"/>
      <c r="M1590" s="328"/>
      <c r="N1590" s="328"/>
      <c r="O1590" s="386"/>
      <c r="P1590" s="356"/>
      <c r="Q1590" s="380"/>
      <c r="S1590" s="336"/>
      <c r="T1590" s="62" ph="1"/>
      <c r="V1590" s="232"/>
      <c r="W1590" s="269"/>
      <c r="X1590" s="201"/>
      <c r="Y1590" s="269"/>
      <c r="Z1590" s="269"/>
      <c r="AA1590" s="269"/>
      <c r="AB1590" s="269"/>
      <c r="AC1590" s="269"/>
      <c r="AD1590" s="269"/>
      <c r="AE1590" s="269"/>
      <c r="AG1590" s="128"/>
    </row>
    <row r="1591" spans="1:33" ht="26.25">
      <c r="A1591" s="269"/>
      <c r="B1591" s="269"/>
      <c r="C1591" s="269"/>
      <c r="D1591" s="269"/>
      <c r="E1591" s="269"/>
      <c r="F1591" s="269"/>
      <c r="G1591" s="269"/>
      <c r="H1591" s="269"/>
      <c r="I1591" s="269"/>
      <c r="J1591" s="334"/>
      <c r="K1591" s="334"/>
      <c r="L1591" s="334"/>
      <c r="M1591" s="328"/>
      <c r="N1591" s="328"/>
      <c r="O1591" s="386"/>
      <c r="P1591" s="356"/>
      <c r="Q1591" s="380"/>
      <c r="S1591" s="336"/>
      <c r="T1591" s="62" ph="1"/>
      <c r="V1591" s="232"/>
      <c r="W1591" s="269"/>
      <c r="X1591" s="201"/>
      <c r="Y1591" s="269"/>
      <c r="Z1591" s="269"/>
      <c r="AA1591" s="269"/>
      <c r="AB1591" s="269"/>
      <c r="AC1591" s="269"/>
      <c r="AD1591" s="269"/>
      <c r="AE1591" s="269"/>
      <c r="AG1591" s="128"/>
    </row>
    <row r="1592" spans="1:33" ht="26.25">
      <c r="A1592" s="269"/>
      <c r="B1592" s="269"/>
      <c r="C1592" s="269"/>
      <c r="D1592" s="269"/>
      <c r="E1592" s="269"/>
      <c r="F1592" s="269"/>
      <c r="G1592" s="269"/>
      <c r="H1592" s="269"/>
      <c r="I1592" s="269"/>
      <c r="J1592" s="334"/>
      <c r="K1592" s="334"/>
      <c r="L1592" s="334"/>
      <c r="M1592" s="328"/>
      <c r="N1592" s="328"/>
      <c r="O1592" s="386"/>
      <c r="P1592" s="356"/>
      <c r="Q1592" s="380"/>
      <c r="S1592" s="336"/>
      <c r="T1592" s="62" ph="1"/>
      <c r="V1592" s="232"/>
      <c r="W1592" s="269"/>
      <c r="X1592" s="201"/>
      <c r="Y1592" s="269"/>
      <c r="Z1592" s="269"/>
      <c r="AA1592" s="269"/>
      <c r="AB1592" s="269"/>
      <c r="AC1592" s="269"/>
      <c r="AD1592" s="269"/>
      <c r="AE1592" s="269"/>
      <c r="AG1592" s="128"/>
    </row>
    <row r="1593" spans="1:33" ht="26.25">
      <c r="A1593" s="269"/>
      <c r="B1593" s="269"/>
      <c r="C1593" s="269"/>
      <c r="D1593" s="269"/>
      <c r="E1593" s="269"/>
      <c r="F1593" s="269"/>
      <c r="G1593" s="269"/>
      <c r="H1593" s="269"/>
      <c r="I1593" s="269"/>
      <c r="J1593" s="334"/>
      <c r="K1593" s="334"/>
      <c r="L1593" s="334"/>
      <c r="M1593" s="328"/>
      <c r="N1593" s="328"/>
      <c r="O1593" s="386"/>
      <c r="P1593" s="356"/>
      <c r="Q1593" s="380"/>
      <c r="S1593" s="336"/>
      <c r="T1593" s="62" ph="1"/>
      <c r="V1593" s="232"/>
      <c r="W1593" s="269"/>
      <c r="X1593" s="201"/>
      <c r="Y1593" s="269"/>
      <c r="Z1593" s="269"/>
      <c r="AA1593" s="269"/>
      <c r="AB1593" s="269"/>
      <c r="AC1593" s="269"/>
      <c r="AD1593" s="269"/>
      <c r="AE1593" s="269"/>
      <c r="AG1593" s="128"/>
    </row>
    <row r="1594" spans="1:33" ht="26.25">
      <c r="A1594" s="269"/>
      <c r="B1594" s="269"/>
      <c r="C1594" s="269"/>
      <c r="D1594" s="269"/>
      <c r="E1594" s="269"/>
      <c r="F1594" s="269"/>
      <c r="G1594" s="269"/>
      <c r="H1594" s="269"/>
      <c r="I1594" s="269"/>
      <c r="J1594" s="334"/>
      <c r="K1594" s="334"/>
      <c r="L1594" s="334"/>
      <c r="M1594" s="328"/>
      <c r="N1594" s="328"/>
      <c r="O1594" s="386"/>
      <c r="P1594" s="356"/>
      <c r="Q1594" s="380"/>
      <c r="S1594" s="336"/>
      <c r="T1594" s="62" ph="1"/>
      <c r="V1594" s="232"/>
      <c r="W1594" s="269"/>
      <c r="X1594" s="201"/>
      <c r="Y1594" s="269"/>
      <c r="Z1594" s="269"/>
      <c r="AA1594" s="269"/>
      <c r="AB1594" s="269"/>
      <c r="AC1594" s="269"/>
      <c r="AD1594" s="269"/>
      <c r="AE1594" s="269"/>
      <c r="AG1594" s="128"/>
    </row>
    <row r="1595" spans="1:33" ht="26.25">
      <c r="A1595" s="269"/>
      <c r="B1595" s="269"/>
      <c r="C1595" s="269"/>
      <c r="D1595" s="269"/>
      <c r="E1595" s="269"/>
      <c r="F1595" s="269"/>
      <c r="G1595" s="269"/>
      <c r="H1595" s="269"/>
      <c r="I1595" s="269"/>
      <c r="J1595" s="334"/>
      <c r="K1595" s="334"/>
      <c r="L1595" s="334"/>
      <c r="M1595" s="328"/>
      <c r="N1595" s="328"/>
      <c r="O1595" s="386"/>
      <c r="P1595" s="356"/>
      <c r="Q1595" s="380"/>
      <c r="S1595" s="336"/>
      <c r="T1595" s="62" ph="1"/>
      <c r="V1595" s="232"/>
      <c r="W1595" s="269"/>
      <c r="X1595" s="201"/>
      <c r="Y1595" s="269"/>
      <c r="Z1595" s="269"/>
      <c r="AA1595" s="269"/>
      <c r="AB1595" s="269"/>
      <c r="AC1595" s="269"/>
      <c r="AD1595" s="269"/>
      <c r="AE1595" s="269"/>
      <c r="AG1595" s="128"/>
    </row>
    <row r="1596" spans="1:33" ht="26.25">
      <c r="A1596" s="269"/>
      <c r="B1596" s="269"/>
      <c r="C1596" s="269"/>
      <c r="D1596" s="269"/>
      <c r="E1596" s="269"/>
      <c r="F1596" s="269"/>
      <c r="G1596" s="269"/>
      <c r="H1596" s="269"/>
      <c r="I1596" s="269"/>
      <c r="J1596" s="334"/>
      <c r="K1596" s="334"/>
      <c r="L1596" s="334"/>
      <c r="M1596" s="328"/>
      <c r="N1596" s="328"/>
      <c r="O1596" s="386"/>
      <c r="P1596" s="356"/>
      <c r="Q1596" s="380"/>
      <c r="S1596" s="336"/>
      <c r="T1596" s="62" ph="1"/>
      <c r="V1596" s="232"/>
      <c r="W1596" s="269"/>
      <c r="X1596" s="201"/>
      <c r="Y1596" s="269"/>
      <c r="Z1596" s="269"/>
      <c r="AA1596" s="269"/>
      <c r="AB1596" s="269"/>
      <c r="AC1596" s="269"/>
      <c r="AD1596" s="269"/>
      <c r="AE1596" s="269"/>
      <c r="AG1596" s="128"/>
    </row>
    <row r="1597" spans="1:33" ht="26.25">
      <c r="A1597" s="269"/>
      <c r="B1597" s="269"/>
      <c r="C1597" s="269"/>
      <c r="D1597" s="269"/>
      <c r="E1597" s="269"/>
      <c r="F1597" s="269"/>
      <c r="G1597" s="269"/>
      <c r="H1597" s="269"/>
      <c r="I1597" s="269"/>
      <c r="J1597" s="334"/>
      <c r="K1597" s="334"/>
      <c r="L1597" s="334"/>
      <c r="M1597" s="328"/>
      <c r="N1597" s="328"/>
      <c r="O1597" s="386"/>
      <c r="P1597" s="356"/>
      <c r="Q1597" s="380"/>
      <c r="S1597" s="336"/>
      <c r="T1597" s="62" ph="1"/>
      <c r="V1597" s="232"/>
      <c r="W1597" s="269"/>
      <c r="X1597" s="201"/>
      <c r="Y1597" s="269"/>
      <c r="Z1597" s="269"/>
      <c r="AA1597" s="269"/>
      <c r="AB1597" s="269"/>
      <c r="AC1597" s="269"/>
      <c r="AD1597" s="269"/>
      <c r="AE1597" s="269"/>
      <c r="AG1597" s="128"/>
    </row>
    <row r="1598" spans="1:33" ht="26.25">
      <c r="A1598" s="269"/>
      <c r="B1598" s="269"/>
      <c r="C1598" s="269"/>
      <c r="D1598" s="269"/>
      <c r="E1598" s="269"/>
      <c r="F1598" s="269"/>
      <c r="G1598" s="269"/>
      <c r="H1598" s="269"/>
      <c r="I1598" s="269"/>
      <c r="J1598" s="334"/>
      <c r="K1598" s="334"/>
      <c r="L1598" s="334"/>
      <c r="M1598" s="328"/>
      <c r="N1598" s="328"/>
      <c r="O1598" s="386"/>
      <c r="P1598" s="356"/>
      <c r="Q1598" s="380"/>
      <c r="S1598" s="336"/>
      <c r="T1598" s="62" ph="1"/>
      <c r="V1598" s="232"/>
      <c r="W1598" s="269"/>
      <c r="X1598" s="201"/>
      <c r="Y1598" s="269"/>
      <c r="Z1598" s="269"/>
      <c r="AA1598" s="269"/>
      <c r="AB1598" s="269"/>
      <c r="AC1598" s="269"/>
      <c r="AD1598" s="269"/>
      <c r="AE1598" s="269"/>
      <c r="AG1598" s="269"/>
    </row>
    <row r="1599" spans="1:33" ht="26.25">
      <c r="A1599" s="269"/>
      <c r="B1599" s="269"/>
      <c r="C1599" s="269"/>
      <c r="D1599" s="269"/>
      <c r="E1599" s="269"/>
      <c r="F1599" s="269"/>
      <c r="G1599" s="269"/>
      <c r="H1599" s="269"/>
      <c r="I1599" s="269"/>
      <c r="J1599" s="334"/>
      <c r="K1599" s="334"/>
      <c r="L1599" s="334"/>
      <c r="M1599" s="328"/>
      <c r="N1599" s="328"/>
      <c r="O1599" s="386"/>
      <c r="P1599" s="356"/>
      <c r="Q1599" s="380"/>
      <c r="S1599" s="336"/>
      <c r="T1599" s="62" ph="1"/>
      <c r="V1599" s="232"/>
      <c r="W1599" s="269"/>
      <c r="X1599" s="201"/>
      <c r="Y1599" s="269"/>
      <c r="Z1599" s="269"/>
      <c r="AA1599" s="269"/>
      <c r="AB1599" s="269"/>
      <c r="AC1599" s="269"/>
      <c r="AD1599" s="269"/>
      <c r="AE1599" s="269"/>
      <c r="AG1599" s="128"/>
    </row>
    <row r="1600" spans="1:33" ht="26.25">
      <c r="A1600" s="269"/>
      <c r="B1600" s="269"/>
      <c r="C1600" s="269"/>
      <c r="D1600" s="269"/>
      <c r="E1600" s="269"/>
      <c r="F1600" s="269"/>
      <c r="G1600" s="269"/>
      <c r="H1600" s="269"/>
      <c r="I1600" s="269"/>
      <c r="J1600" s="334"/>
      <c r="K1600" s="334"/>
      <c r="L1600" s="334"/>
      <c r="M1600" s="328"/>
      <c r="N1600" s="328"/>
      <c r="O1600" s="386"/>
      <c r="P1600" s="356"/>
      <c r="Q1600" s="380"/>
      <c r="S1600" s="336"/>
      <c r="T1600" s="62" ph="1"/>
      <c r="V1600" s="232"/>
      <c r="W1600" s="269"/>
      <c r="X1600" s="201"/>
      <c r="Y1600" s="269"/>
      <c r="Z1600" s="269"/>
      <c r="AA1600" s="269"/>
      <c r="AB1600" s="269"/>
      <c r="AC1600" s="269"/>
      <c r="AD1600" s="269"/>
      <c r="AE1600" s="269"/>
      <c r="AG1600" s="128"/>
    </row>
    <row r="1601" spans="1:33" ht="26.25">
      <c r="A1601" s="269"/>
      <c r="B1601" s="269"/>
      <c r="C1601" s="269"/>
      <c r="D1601" s="269"/>
      <c r="E1601" s="269"/>
      <c r="F1601" s="269"/>
      <c r="G1601" s="269"/>
      <c r="H1601" s="269"/>
      <c r="I1601" s="269"/>
      <c r="J1601" s="334"/>
      <c r="K1601" s="334"/>
      <c r="L1601" s="334"/>
      <c r="M1601" s="328"/>
      <c r="N1601" s="328"/>
      <c r="O1601" s="386"/>
      <c r="P1601" s="356"/>
      <c r="Q1601" s="380"/>
      <c r="S1601" s="336"/>
      <c r="T1601" s="62" ph="1"/>
      <c r="V1601" s="232"/>
      <c r="W1601" s="269"/>
      <c r="X1601" s="201"/>
      <c r="Y1601" s="269"/>
      <c r="Z1601" s="269"/>
      <c r="AA1601" s="269"/>
      <c r="AB1601" s="269"/>
      <c r="AC1601" s="269"/>
      <c r="AD1601" s="269"/>
      <c r="AE1601" s="269"/>
      <c r="AG1601" s="269"/>
    </row>
    <row r="1602" spans="1:33" ht="26.25">
      <c r="A1602" s="269"/>
      <c r="B1602" s="269"/>
      <c r="C1602" s="269"/>
      <c r="D1602" s="269"/>
      <c r="E1602" s="269"/>
      <c r="F1602" s="269"/>
      <c r="G1602" s="269"/>
      <c r="H1602" s="269"/>
      <c r="I1602" s="269"/>
      <c r="J1602" s="334"/>
      <c r="K1602" s="334"/>
      <c r="L1602" s="334"/>
      <c r="M1602" s="328"/>
      <c r="N1602" s="328"/>
      <c r="O1602" s="386"/>
      <c r="P1602" s="356"/>
      <c r="Q1602" s="380"/>
      <c r="S1602" s="336"/>
      <c r="T1602" s="62" ph="1"/>
      <c r="V1602" s="232"/>
      <c r="W1602" s="269"/>
      <c r="X1602" s="201"/>
      <c r="Y1602" s="269"/>
      <c r="Z1602" s="269"/>
      <c r="AA1602" s="269"/>
      <c r="AB1602" s="269"/>
      <c r="AC1602" s="269"/>
      <c r="AD1602" s="269"/>
      <c r="AE1602" s="269"/>
      <c r="AG1602" s="128"/>
    </row>
    <row r="1603" spans="1:33" ht="26.25">
      <c r="A1603" s="269"/>
      <c r="B1603" s="269"/>
      <c r="C1603" s="269"/>
      <c r="D1603" s="269"/>
      <c r="E1603" s="269"/>
      <c r="F1603" s="269"/>
      <c r="G1603" s="269"/>
      <c r="H1603" s="269"/>
      <c r="I1603" s="269"/>
      <c r="J1603" s="334"/>
      <c r="K1603" s="334"/>
      <c r="L1603" s="334"/>
      <c r="M1603" s="328"/>
      <c r="N1603" s="328"/>
      <c r="O1603" s="386"/>
      <c r="P1603" s="356"/>
      <c r="Q1603" s="380"/>
      <c r="S1603" s="336"/>
      <c r="T1603" s="62" ph="1"/>
      <c r="V1603" s="232"/>
      <c r="W1603" s="269"/>
      <c r="X1603" s="201"/>
      <c r="Y1603" s="269"/>
      <c r="Z1603" s="269"/>
      <c r="AA1603" s="269"/>
      <c r="AB1603" s="269"/>
      <c r="AC1603" s="269"/>
      <c r="AD1603" s="269"/>
      <c r="AE1603" s="269"/>
      <c r="AG1603" s="128"/>
    </row>
    <row r="1604" spans="1:33" ht="26.25">
      <c r="A1604" s="269"/>
      <c r="B1604" s="269"/>
      <c r="C1604" s="269"/>
      <c r="D1604" s="269"/>
      <c r="E1604" s="269"/>
      <c r="F1604" s="269"/>
      <c r="G1604" s="269"/>
      <c r="H1604" s="269"/>
      <c r="I1604" s="269"/>
      <c r="J1604" s="334"/>
      <c r="K1604" s="334"/>
      <c r="L1604" s="334"/>
      <c r="M1604" s="328"/>
      <c r="N1604" s="328"/>
      <c r="O1604" s="386"/>
      <c r="P1604" s="356"/>
      <c r="Q1604" s="380"/>
      <c r="S1604" s="336"/>
      <c r="T1604" s="62" ph="1"/>
      <c r="V1604" s="232"/>
      <c r="W1604" s="269"/>
      <c r="X1604" s="201"/>
      <c r="Y1604" s="269"/>
      <c r="Z1604" s="269"/>
      <c r="AA1604" s="269"/>
      <c r="AB1604" s="269"/>
      <c r="AC1604" s="269"/>
      <c r="AD1604" s="269"/>
      <c r="AE1604" s="269"/>
      <c r="AG1604" s="128"/>
    </row>
    <row r="1605" spans="1:33" ht="26.25">
      <c r="A1605" s="269"/>
      <c r="B1605" s="269"/>
      <c r="C1605" s="269"/>
      <c r="D1605" s="269"/>
      <c r="E1605" s="269"/>
      <c r="F1605" s="269"/>
      <c r="G1605" s="269"/>
      <c r="H1605" s="269"/>
      <c r="I1605" s="269"/>
      <c r="J1605" s="334"/>
      <c r="K1605" s="334"/>
      <c r="L1605" s="334"/>
      <c r="M1605" s="328"/>
      <c r="N1605" s="328"/>
      <c r="O1605" s="386"/>
      <c r="P1605" s="356"/>
      <c r="Q1605" s="380"/>
      <c r="S1605" s="336"/>
      <c r="T1605" s="62" ph="1"/>
      <c r="V1605" s="232"/>
      <c r="W1605" s="269"/>
      <c r="X1605" s="201"/>
      <c r="Y1605" s="269"/>
      <c r="Z1605" s="269"/>
      <c r="AA1605" s="269"/>
      <c r="AB1605" s="269"/>
      <c r="AC1605" s="269"/>
      <c r="AD1605" s="269"/>
      <c r="AE1605" s="269"/>
      <c r="AG1605" s="128"/>
    </row>
    <row r="1606" spans="1:33" ht="26.25">
      <c r="A1606" s="269"/>
      <c r="B1606" s="269"/>
      <c r="C1606" s="269"/>
      <c r="D1606" s="269"/>
      <c r="E1606" s="269"/>
      <c r="F1606" s="269"/>
      <c r="G1606" s="269"/>
      <c r="H1606" s="269"/>
      <c r="I1606" s="269"/>
      <c r="J1606" s="334"/>
      <c r="K1606" s="334"/>
      <c r="L1606" s="334"/>
      <c r="M1606" s="328"/>
      <c r="N1606" s="328"/>
      <c r="O1606" s="386"/>
      <c r="P1606" s="356"/>
      <c r="Q1606" s="380"/>
      <c r="S1606" s="336"/>
      <c r="T1606" s="62" ph="1"/>
      <c r="V1606" s="232"/>
      <c r="W1606" s="269"/>
      <c r="X1606" s="201"/>
      <c r="Y1606" s="269"/>
      <c r="Z1606" s="269"/>
      <c r="AA1606" s="269"/>
      <c r="AB1606" s="269"/>
      <c r="AC1606" s="269"/>
      <c r="AD1606" s="269"/>
      <c r="AE1606" s="269"/>
      <c r="AG1606" s="128"/>
    </row>
    <row r="1607" spans="1:33" ht="26.25">
      <c r="A1607" s="269"/>
      <c r="B1607" s="269"/>
      <c r="C1607" s="269"/>
      <c r="D1607" s="269"/>
      <c r="E1607" s="269"/>
      <c r="F1607" s="269"/>
      <c r="G1607" s="269"/>
      <c r="H1607" s="269"/>
      <c r="I1607" s="269"/>
      <c r="J1607" s="334"/>
      <c r="K1607" s="334"/>
      <c r="L1607" s="334"/>
      <c r="M1607" s="328"/>
      <c r="N1607" s="328"/>
      <c r="O1607" s="386"/>
      <c r="P1607" s="356"/>
      <c r="Q1607" s="380"/>
      <c r="S1607" s="336"/>
      <c r="T1607" s="62" ph="1"/>
      <c r="V1607" s="232"/>
      <c r="W1607" s="269"/>
      <c r="X1607" s="201"/>
      <c r="Y1607" s="269"/>
      <c r="Z1607" s="269"/>
      <c r="AA1607" s="269"/>
      <c r="AB1607" s="269"/>
      <c r="AC1607" s="269"/>
      <c r="AD1607" s="269"/>
      <c r="AE1607" s="269"/>
      <c r="AG1607" s="128"/>
    </row>
    <row r="1608" spans="1:33" ht="26.25">
      <c r="A1608" s="269"/>
      <c r="B1608" s="269"/>
      <c r="C1608" s="269"/>
      <c r="D1608" s="269"/>
      <c r="E1608" s="269"/>
      <c r="F1608" s="269"/>
      <c r="G1608" s="269"/>
      <c r="H1608" s="269"/>
      <c r="I1608" s="269"/>
      <c r="J1608" s="334"/>
      <c r="K1608" s="334"/>
      <c r="L1608" s="334"/>
      <c r="M1608" s="328"/>
      <c r="N1608" s="328"/>
      <c r="O1608" s="386"/>
      <c r="P1608" s="356"/>
      <c r="Q1608" s="380"/>
      <c r="S1608" s="336"/>
      <c r="T1608" s="62" ph="1"/>
      <c r="V1608" s="232"/>
      <c r="W1608" s="269"/>
      <c r="X1608" s="201"/>
      <c r="Y1608" s="269"/>
      <c r="Z1608" s="269"/>
      <c r="AA1608" s="269"/>
      <c r="AB1608" s="269"/>
      <c r="AC1608" s="269"/>
      <c r="AD1608" s="269"/>
      <c r="AE1608" s="269"/>
      <c r="AG1608" s="128"/>
    </row>
    <row r="1609" spans="1:33" ht="26.25">
      <c r="A1609" s="269"/>
      <c r="B1609" s="269"/>
      <c r="C1609" s="269"/>
      <c r="D1609" s="269"/>
      <c r="E1609" s="269"/>
      <c r="F1609" s="269"/>
      <c r="G1609" s="269"/>
      <c r="H1609" s="269"/>
      <c r="I1609" s="269"/>
      <c r="J1609" s="334"/>
      <c r="K1609" s="334"/>
      <c r="L1609" s="334"/>
      <c r="M1609" s="328"/>
      <c r="N1609" s="328"/>
      <c r="O1609" s="386"/>
      <c r="P1609" s="356"/>
      <c r="Q1609" s="380"/>
      <c r="S1609" s="336"/>
      <c r="T1609" s="62" ph="1"/>
      <c r="V1609" s="232"/>
      <c r="W1609" s="269"/>
      <c r="X1609" s="201"/>
      <c r="Y1609" s="269"/>
      <c r="Z1609" s="269"/>
      <c r="AA1609" s="269"/>
      <c r="AB1609" s="269"/>
      <c r="AC1609" s="269"/>
      <c r="AD1609" s="269"/>
      <c r="AE1609" s="269"/>
      <c r="AG1609" s="128"/>
    </row>
    <row r="1610" spans="1:33" ht="26.25">
      <c r="A1610" s="269"/>
      <c r="B1610" s="269"/>
      <c r="C1610" s="269"/>
      <c r="D1610" s="269"/>
      <c r="E1610" s="269"/>
      <c r="F1610" s="269"/>
      <c r="G1610" s="269"/>
      <c r="H1610" s="269"/>
      <c r="I1610" s="269"/>
      <c r="J1610" s="334"/>
      <c r="K1610" s="334"/>
      <c r="L1610" s="334"/>
      <c r="M1610" s="328"/>
      <c r="N1610" s="328"/>
      <c r="O1610" s="386"/>
      <c r="P1610" s="356"/>
      <c r="Q1610" s="380"/>
      <c r="S1610" s="336"/>
      <c r="T1610" s="62" ph="1"/>
      <c r="V1610" s="232"/>
      <c r="W1610" s="269"/>
      <c r="X1610" s="201"/>
      <c r="Y1610" s="269"/>
      <c r="Z1610" s="269"/>
      <c r="AA1610" s="269"/>
      <c r="AB1610" s="269"/>
      <c r="AC1610" s="269"/>
      <c r="AD1610" s="269"/>
      <c r="AE1610" s="269"/>
      <c r="AG1610" s="128"/>
    </row>
    <row r="1611" spans="1:33" ht="26.25">
      <c r="A1611" s="269"/>
      <c r="B1611" s="269"/>
      <c r="C1611" s="269"/>
      <c r="D1611" s="269"/>
      <c r="E1611" s="269"/>
      <c r="F1611" s="269"/>
      <c r="G1611" s="269"/>
      <c r="H1611" s="269"/>
      <c r="I1611" s="269"/>
      <c r="J1611" s="334"/>
      <c r="K1611" s="334"/>
      <c r="L1611" s="334"/>
      <c r="M1611" s="328"/>
      <c r="N1611" s="328"/>
      <c r="O1611" s="386"/>
      <c r="P1611" s="356"/>
      <c r="Q1611" s="380"/>
      <c r="S1611" s="336"/>
      <c r="T1611" s="62" ph="1"/>
      <c r="V1611" s="232"/>
      <c r="W1611" s="269"/>
      <c r="X1611" s="201"/>
      <c r="Y1611" s="269"/>
      <c r="Z1611" s="269"/>
      <c r="AA1611" s="269"/>
      <c r="AB1611" s="269"/>
      <c r="AC1611" s="269"/>
      <c r="AD1611" s="269"/>
      <c r="AE1611" s="269"/>
      <c r="AG1611" s="128"/>
    </row>
    <row r="1612" spans="1:33" ht="26.25">
      <c r="A1612" s="269"/>
      <c r="B1612" s="269"/>
      <c r="C1612" s="269"/>
      <c r="D1612" s="269"/>
      <c r="E1612" s="269"/>
      <c r="F1612" s="269"/>
      <c r="G1612" s="269"/>
      <c r="H1612" s="269"/>
      <c r="I1612" s="269"/>
      <c r="J1612" s="334"/>
      <c r="K1612" s="334"/>
      <c r="L1612" s="334"/>
      <c r="M1612" s="328"/>
      <c r="N1612" s="328"/>
      <c r="O1612" s="386"/>
      <c r="P1612" s="356"/>
      <c r="Q1612" s="380"/>
      <c r="S1612" s="336"/>
      <c r="T1612" s="62" ph="1"/>
      <c r="V1612" s="232"/>
      <c r="W1612" s="269"/>
      <c r="X1612" s="201"/>
      <c r="Y1612" s="269"/>
      <c r="Z1612" s="269"/>
      <c r="AA1612" s="269"/>
      <c r="AB1612" s="269"/>
      <c r="AC1612" s="269"/>
      <c r="AD1612" s="269"/>
      <c r="AE1612" s="269"/>
      <c r="AG1612" s="128"/>
    </row>
    <row r="1613" spans="1:33" ht="26.25">
      <c r="A1613" s="269"/>
      <c r="B1613" s="269"/>
      <c r="C1613" s="269"/>
      <c r="D1613" s="269"/>
      <c r="E1613" s="269"/>
      <c r="F1613" s="269"/>
      <c r="G1613" s="269"/>
      <c r="H1613" s="269"/>
      <c r="I1613" s="269"/>
      <c r="J1613" s="334"/>
      <c r="K1613" s="334"/>
      <c r="L1613" s="334"/>
      <c r="M1613" s="328"/>
      <c r="N1613" s="328"/>
      <c r="O1613" s="386"/>
      <c r="P1613" s="356"/>
      <c r="Q1613" s="380"/>
      <c r="S1613" s="336"/>
      <c r="T1613" s="62" ph="1"/>
      <c r="V1613" s="232"/>
      <c r="W1613" s="269"/>
      <c r="X1613" s="201"/>
      <c r="Y1613" s="269"/>
      <c r="Z1613" s="269"/>
      <c r="AA1613" s="269"/>
      <c r="AB1613" s="269"/>
      <c r="AC1613" s="269"/>
      <c r="AD1613" s="269"/>
      <c r="AE1613" s="269"/>
      <c r="AG1613" s="128"/>
    </row>
    <row r="1614" spans="1:33" ht="26.25">
      <c r="A1614" s="269"/>
      <c r="B1614" s="269"/>
      <c r="C1614" s="269"/>
      <c r="D1614" s="269"/>
      <c r="E1614" s="269"/>
      <c r="F1614" s="269"/>
      <c r="G1614" s="269"/>
      <c r="H1614" s="269"/>
      <c r="I1614" s="269"/>
      <c r="J1614" s="334"/>
      <c r="K1614" s="334"/>
      <c r="L1614" s="334"/>
      <c r="M1614" s="328"/>
      <c r="N1614" s="328"/>
      <c r="O1614" s="386"/>
      <c r="P1614" s="356"/>
      <c r="Q1614" s="380"/>
      <c r="S1614" s="336"/>
      <c r="T1614" s="62" ph="1"/>
      <c r="V1614" s="232"/>
      <c r="W1614" s="269"/>
      <c r="X1614" s="201"/>
      <c r="Y1614" s="269"/>
      <c r="Z1614" s="269"/>
      <c r="AA1614" s="269"/>
      <c r="AB1614" s="269"/>
      <c r="AC1614" s="269"/>
      <c r="AD1614" s="269"/>
      <c r="AE1614" s="269"/>
      <c r="AG1614" s="128"/>
    </row>
    <row r="1615" spans="1:33" ht="26.25">
      <c r="A1615" s="269"/>
      <c r="B1615" s="269"/>
      <c r="C1615" s="269"/>
      <c r="D1615" s="269"/>
      <c r="E1615" s="269"/>
      <c r="F1615" s="269"/>
      <c r="G1615" s="269"/>
      <c r="H1615" s="269"/>
      <c r="I1615" s="269"/>
      <c r="J1615" s="334"/>
      <c r="K1615" s="334"/>
      <c r="L1615" s="334"/>
      <c r="M1615" s="328"/>
      <c r="N1615" s="328"/>
      <c r="O1615" s="386"/>
      <c r="P1615" s="356"/>
      <c r="Q1615" s="380"/>
      <c r="S1615" s="336"/>
      <c r="T1615" s="62" ph="1"/>
      <c r="V1615" s="232"/>
      <c r="W1615" s="269"/>
      <c r="X1615" s="201"/>
      <c r="Y1615" s="269"/>
      <c r="Z1615" s="269"/>
      <c r="AA1615" s="269"/>
      <c r="AB1615" s="269"/>
      <c r="AC1615" s="269"/>
      <c r="AD1615" s="269"/>
      <c r="AE1615" s="269"/>
      <c r="AG1615" s="128"/>
    </row>
    <row r="1616" spans="1:33" ht="26.25">
      <c r="A1616" s="269"/>
      <c r="B1616" s="269"/>
      <c r="C1616" s="269"/>
      <c r="D1616" s="269"/>
      <c r="E1616" s="269"/>
      <c r="F1616" s="269"/>
      <c r="G1616" s="269"/>
      <c r="H1616" s="269"/>
      <c r="I1616" s="269"/>
      <c r="J1616" s="334"/>
      <c r="K1616" s="334"/>
      <c r="L1616" s="334"/>
      <c r="M1616" s="328"/>
      <c r="N1616" s="328"/>
      <c r="O1616" s="386"/>
      <c r="P1616" s="356"/>
      <c r="Q1616" s="380"/>
      <c r="S1616" s="336"/>
      <c r="T1616" s="62" ph="1"/>
      <c r="V1616" s="232"/>
      <c r="W1616" s="269"/>
      <c r="X1616" s="201"/>
      <c r="Y1616" s="269"/>
      <c r="Z1616" s="269"/>
      <c r="AA1616" s="269"/>
      <c r="AB1616" s="269"/>
      <c r="AC1616" s="269"/>
      <c r="AD1616" s="269"/>
      <c r="AE1616" s="269"/>
      <c r="AG1616" s="128"/>
    </row>
    <row r="1617" spans="1:33" ht="26.25">
      <c r="A1617" s="269"/>
      <c r="B1617" s="269"/>
      <c r="C1617" s="269"/>
      <c r="D1617" s="269"/>
      <c r="E1617" s="269"/>
      <c r="F1617" s="269"/>
      <c r="G1617" s="269"/>
      <c r="H1617" s="269"/>
      <c r="I1617" s="269"/>
      <c r="J1617" s="334"/>
      <c r="K1617" s="334"/>
      <c r="L1617" s="334"/>
      <c r="M1617" s="328"/>
      <c r="N1617" s="328"/>
      <c r="O1617" s="386"/>
      <c r="P1617" s="356"/>
      <c r="Q1617" s="380"/>
      <c r="S1617" s="336"/>
      <c r="T1617" s="62" ph="1"/>
      <c r="V1617" s="232"/>
      <c r="W1617" s="269"/>
      <c r="X1617" s="201"/>
      <c r="Y1617" s="269"/>
      <c r="Z1617" s="269"/>
      <c r="AA1617" s="269"/>
      <c r="AB1617" s="269"/>
      <c r="AC1617" s="269"/>
      <c r="AD1617" s="269"/>
      <c r="AE1617" s="269"/>
      <c r="AG1617" s="128"/>
    </row>
    <row r="1618" spans="1:33" ht="26.25">
      <c r="A1618" s="269"/>
      <c r="B1618" s="269"/>
      <c r="C1618" s="269"/>
      <c r="D1618" s="269"/>
      <c r="E1618" s="269"/>
      <c r="F1618" s="269"/>
      <c r="G1618" s="269"/>
      <c r="H1618" s="269"/>
      <c r="I1618" s="269"/>
      <c r="J1618" s="334"/>
      <c r="K1618" s="334"/>
      <c r="L1618" s="334"/>
      <c r="M1618" s="328"/>
      <c r="N1618" s="328"/>
      <c r="O1618" s="386"/>
      <c r="P1618" s="356"/>
      <c r="Q1618" s="380"/>
      <c r="S1618" s="336"/>
      <c r="T1618" s="62" ph="1"/>
      <c r="V1618" s="232"/>
      <c r="W1618" s="269"/>
      <c r="X1618" s="201"/>
      <c r="Y1618" s="269"/>
      <c r="Z1618" s="269"/>
      <c r="AA1618" s="269"/>
      <c r="AB1618" s="269"/>
      <c r="AC1618" s="269"/>
      <c r="AD1618" s="269"/>
      <c r="AE1618" s="269"/>
      <c r="AG1618" s="128"/>
    </row>
    <row r="1619" spans="1:33" ht="26.25">
      <c r="A1619" s="269"/>
      <c r="B1619" s="269"/>
      <c r="C1619" s="269"/>
      <c r="D1619" s="269"/>
      <c r="E1619" s="269"/>
      <c r="F1619" s="269"/>
      <c r="G1619" s="269"/>
      <c r="H1619" s="269"/>
      <c r="I1619" s="269"/>
      <c r="J1619" s="334"/>
      <c r="K1619" s="334"/>
      <c r="L1619" s="334"/>
      <c r="M1619" s="328"/>
      <c r="N1619" s="328"/>
      <c r="O1619" s="386"/>
      <c r="P1619" s="356"/>
      <c r="Q1619" s="380"/>
      <c r="S1619" s="336"/>
      <c r="T1619" s="62" ph="1"/>
      <c r="V1619" s="232"/>
      <c r="W1619" s="269"/>
      <c r="X1619" s="201"/>
      <c r="Y1619" s="269"/>
      <c r="Z1619" s="269"/>
      <c r="AA1619" s="269"/>
      <c r="AB1619" s="269"/>
      <c r="AC1619" s="269"/>
      <c r="AD1619" s="269"/>
      <c r="AE1619" s="269"/>
      <c r="AG1619" s="128"/>
    </row>
    <row r="1620" spans="1:33" ht="26.25">
      <c r="A1620" s="269"/>
      <c r="B1620" s="269"/>
      <c r="C1620" s="269"/>
      <c r="D1620" s="269"/>
      <c r="E1620" s="269"/>
      <c r="F1620" s="269"/>
      <c r="G1620" s="269"/>
      <c r="H1620" s="269"/>
      <c r="I1620" s="269"/>
      <c r="J1620" s="334"/>
      <c r="K1620" s="334"/>
      <c r="L1620" s="334"/>
      <c r="M1620" s="328"/>
      <c r="N1620" s="328"/>
      <c r="O1620" s="386"/>
      <c r="P1620" s="356"/>
      <c r="Q1620" s="380"/>
      <c r="S1620" s="336"/>
      <c r="T1620" s="62" ph="1"/>
      <c r="V1620" s="232"/>
      <c r="W1620" s="269"/>
      <c r="X1620" s="201"/>
      <c r="Y1620" s="269"/>
      <c r="Z1620" s="269"/>
      <c r="AA1620" s="269"/>
      <c r="AB1620" s="269"/>
      <c r="AC1620" s="269"/>
      <c r="AD1620" s="269"/>
      <c r="AE1620" s="269"/>
      <c r="AG1620" s="128"/>
    </row>
    <row r="1621" spans="1:33" ht="26.25">
      <c r="A1621" s="269"/>
      <c r="B1621" s="269"/>
      <c r="C1621" s="269"/>
      <c r="D1621" s="269"/>
      <c r="E1621" s="269"/>
      <c r="F1621" s="269"/>
      <c r="G1621" s="269"/>
      <c r="H1621" s="269"/>
      <c r="I1621" s="269"/>
      <c r="J1621" s="334"/>
      <c r="K1621" s="334"/>
      <c r="L1621" s="334"/>
      <c r="M1621" s="328"/>
      <c r="N1621" s="328"/>
      <c r="O1621" s="386"/>
      <c r="P1621" s="356"/>
      <c r="Q1621" s="380"/>
      <c r="S1621" s="336"/>
      <c r="T1621" s="62" ph="1"/>
      <c r="V1621" s="232"/>
      <c r="W1621" s="269"/>
      <c r="X1621" s="201"/>
      <c r="Y1621" s="269"/>
      <c r="Z1621" s="269"/>
      <c r="AA1621" s="269"/>
      <c r="AB1621" s="269"/>
      <c r="AC1621" s="269"/>
      <c r="AD1621" s="269"/>
      <c r="AE1621" s="269"/>
      <c r="AG1621" s="128"/>
    </row>
    <row r="1622" spans="1:33" ht="26.25">
      <c r="A1622" s="269"/>
      <c r="B1622" s="269"/>
      <c r="C1622" s="269"/>
      <c r="D1622" s="269"/>
      <c r="E1622" s="269"/>
      <c r="F1622" s="269"/>
      <c r="G1622" s="269"/>
      <c r="H1622" s="269"/>
      <c r="I1622" s="269"/>
      <c r="J1622" s="334"/>
      <c r="K1622" s="334"/>
      <c r="L1622" s="334"/>
      <c r="M1622" s="328"/>
      <c r="N1622" s="328"/>
      <c r="O1622" s="386"/>
      <c r="P1622" s="356"/>
      <c r="Q1622" s="380"/>
      <c r="S1622" s="336"/>
      <c r="T1622" s="62" ph="1"/>
      <c r="V1622" s="232"/>
      <c r="W1622" s="269"/>
      <c r="X1622" s="201"/>
      <c r="Y1622" s="269"/>
      <c r="Z1622" s="269"/>
      <c r="AA1622" s="269"/>
      <c r="AB1622" s="269"/>
      <c r="AC1622" s="269"/>
      <c r="AD1622" s="269"/>
      <c r="AE1622" s="269"/>
      <c r="AG1622" s="128"/>
    </row>
    <row r="1623" spans="1:33" ht="26.25">
      <c r="A1623" s="269"/>
      <c r="B1623" s="269"/>
      <c r="C1623" s="269"/>
      <c r="D1623" s="269"/>
      <c r="E1623" s="269"/>
      <c r="F1623" s="269"/>
      <c r="G1623" s="269"/>
      <c r="H1623" s="269"/>
      <c r="I1623" s="269"/>
      <c r="J1623" s="334"/>
      <c r="K1623" s="334"/>
      <c r="L1623" s="334"/>
      <c r="M1623" s="328"/>
      <c r="N1623" s="328"/>
      <c r="O1623" s="386"/>
      <c r="P1623" s="356"/>
      <c r="Q1623" s="380"/>
      <c r="S1623" s="336"/>
      <c r="T1623" s="62" ph="1"/>
      <c r="V1623" s="232"/>
      <c r="W1623" s="269"/>
      <c r="X1623" s="201"/>
      <c r="Y1623" s="269"/>
      <c r="Z1623" s="269"/>
      <c r="AA1623" s="269"/>
      <c r="AB1623" s="269"/>
      <c r="AC1623" s="269"/>
      <c r="AD1623" s="269"/>
      <c r="AE1623" s="269"/>
      <c r="AG1623" s="128"/>
    </row>
    <row r="1624" spans="1:33" ht="26.25">
      <c r="A1624" s="269"/>
      <c r="B1624" s="269"/>
      <c r="C1624" s="269"/>
      <c r="D1624" s="269"/>
      <c r="E1624" s="269"/>
      <c r="F1624" s="269"/>
      <c r="G1624" s="269"/>
      <c r="H1624" s="269"/>
      <c r="I1624" s="269"/>
      <c r="J1624" s="334"/>
      <c r="K1624" s="334"/>
      <c r="L1624" s="334"/>
      <c r="M1624" s="328"/>
      <c r="N1624" s="328"/>
      <c r="O1624" s="386"/>
      <c r="P1624" s="356"/>
      <c r="Q1624" s="380"/>
      <c r="S1624" s="336"/>
      <c r="T1624" s="62" ph="1"/>
      <c r="V1624" s="232"/>
      <c r="W1624" s="269"/>
      <c r="X1624" s="201"/>
      <c r="Y1624" s="269"/>
      <c r="Z1624" s="269"/>
      <c r="AA1624" s="269"/>
      <c r="AB1624" s="269"/>
      <c r="AC1624" s="269"/>
      <c r="AD1624" s="269"/>
      <c r="AE1624" s="269"/>
      <c r="AG1624" s="269"/>
    </row>
    <row r="1625" spans="1:33" ht="26.25">
      <c r="A1625" s="269"/>
      <c r="B1625" s="269"/>
      <c r="C1625" s="269"/>
      <c r="D1625" s="269"/>
      <c r="E1625" s="269"/>
      <c r="F1625" s="269"/>
      <c r="G1625" s="269"/>
      <c r="H1625" s="269"/>
      <c r="I1625" s="269"/>
      <c r="J1625" s="334"/>
      <c r="K1625" s="334"/>
      <c r="L1625" s="334"/>
      <c r="M1625" s="328"/>
      <c r="N1625" s="328"/>
      <c r="O1625" s="386"/>
      <c r="P1625" s="356"/>
      <c r="Q1625" s="380"/>
      <c r="S1625" s="336"/>
      <c r="T1625" s="62" ph="1"/>
      <c r="V1625" s="232"/>
      <c r="W1625" s="269"/>
      <c r="X1625" s="201"/>
      <c r="Y1625" s="269"/>
      <c r="Z1625" s="269"/>
      <c r="AA1625" s="269"/>
      <c r="AB1625" s="269"/>
      <c r="AC1625" s="269"/>
      <c r="AD1625" s="269"/>
      <c r="AE1625" s="269"/>
      <c r="AG1625" s="128"/>
    </row>
    <row r="1626" spans="1:33" ht="26.25">
      <c r="A1626" s="269"/>
      <c r="B1626" s="269"/>
      <c r="C1626" s="269"/>
      <c r="D1626" s="269"/>
      <c r="E1626" s="269"/>
      <c r="F1626" s="269"/>
      <c r="G1626" s="269"/>
      <c r="H1626" s="269"/>
      <c r="I1626" s="269"/>
      <c r="J1626" s="334"/>
      <c r="K1626" s="334"/>
      <c r="L1626" s="334"/>
      <c r="M1626" s="328"/>
      <c r="N1626" s="328"/>
      <c r="O1626" s="386"/>
      <c r="P1626" s="356"/>
      <c r="Q1626" s="380"/>
      <c r="S1626" s="336"/>
      <c r="T1626" s="62" ph="1"/>
      <c r="V1626" s="232"/>
      <c r="W1626" s="269"/>
      <c r="X1626" s="201"/>
      <c r="Y1626" s="269"/>
      <c r="Z1626" s="269"/>
      <c r="AA1626" s="269"/>
      <c r="AB1626" s="269"/>
      <c r="AC1626" s="269"/>
      <c r="AD1626" s="269"/>
      <c r="AE1626" s="269"/>
      <c r="AG1626" s="128"/>
    </row>
    <row r="1627" spans="1:33" ht="26.25">
      <c r="A1627" s="269"/>
      <c r="B1627" s="269"/>
      <c r="C1627" s="269"/>
      <c r="D1627" s="269"/>
      <c r="E1627" s="269"/>
      <c r="F1627" s="269"/>
      <c r="G1627" s="269"/>
      <c r="H1627" s="269"/>
      <c r="I1627" s="269"/>
      <c r="J1627" s="334"/>
      <c r="K1627" s="334"/>
      <c r="L1627" s="334"/>
      <c r="M1627" s="328"/>
      <c r="N1627" s="328"/>
      <c r="O1627" s="386"/>
      <c r="P1627" s="356"/>
      <c r="Q1627" s="380"/>
      <c r="S1627" s="336"/>
      <c r="T1627" s="62" ph="1"/>
      <c r="V1627" s="232"/>
      <c r="W1627" s="269"/>
      <c r="X1627" s="201"/>
      <c r="Y1627" s="269"/>
      <c r="Z1627" s="269"/>
      <c r="AA1627" s="269"/>
      <c r="AB1627" s="269"/>
      <c r="AC1627" s="269"/>
      <c r="AD1627" s="269"/>
      <c r="AE1627" s="269"/>
      <c r="AG1627" s="128"/>
    </row>
    <row r="1628" spans="1:33" ht="26.25">
      <c r="A1628" s="269"/>
      <c r="B1628" s="269"/>
      <c r="C1628" s="269"/>
      <c r="D1628" s="269"/>
      <c r="E1628" s="269"/>
      <c r="F1628" s="269"/>
      <c r="G1628" s="269"/>
      <c r="H1628" s="269"/>
      <c r="I1628" s="269"/>
      <c r="J1628" s="334"/>
      <c r="K1628" s="334"/>
      <c r="L1628" s="334"/>
      <c r="M1628" s="328"/>
      <c r="N1628" s="328"/>
      <c r="O1628" s="386"/>
      <c r="P1628" s="356"/>
      <c r="Q1628" s="380"/>
      <c r="S1628" s="336"/>
      <c r="T1628" s="62" ph="1"/>
      <c r="V1628" s="232"/>
      <c r="W1628" s="269"/>
      <c r="X1628" s="201"/>
      <c r="Y1628" s="269"/>
      <c r="Z1628" s="269"/>
      <c r="AA1628" s="269"/>
      <c r="AB1628" s="269"/>
      <c r="AC1628" s="269"/>
      <c r="AD1628" s="269"/>
      <c r="AE1628" s="269"/>
      <c r="AG1628" s="128"/>
    </row>
    <row r="1629" spans="1:33" ht="26.25">
      <c r="A1629" s="269"/>
      <c r="B1629" s="269"/>
      <c r="C1629" s="269"/>
      <c r="D1629" s="269"/>
      <c r="E1629" s="269"/>
      <c r="F1629" s="269"/>
      <c r="G1629" s="269"/>
      <c r="H1629" s="269"/>
      <c r="I1629" s="269"/>
      <c r="J1629" s="334"/>
      <c r="K1629" s="334"/>
      <c r="L1629" s="334"/>
      <c r="M1629" s="328"/>
      <c r="N1629" s="328"/>
      <c r="O1629" s="386"/>
      <c r="P1629" s="356"/>
      <c r="Q1629" s="380"/>
      <c r="S1629" s="336"/>
      <c r="T1629" s="62" ph="1"/>
      <c r="V1629" s="232"/>
      <c r="W1629" s="269"/>
      <c r="X1629" s="201"/>
      <c r="Y1629" s="269"/>
      <c r="Z1629" s="269"/>
      <c r="AA1629" s="269"/>
      <c r="AB1629" s="269"/>
      <c r="AC1629" s="269"/>
      <c r="AD1629" s="269"/>
      <c r="AE1629" s="269"/>
      <c r="AG1629" s="128"/>
    </row>
    <row r="1630" spans="1:33" ht="26.25">
      <c r="A1630" s="269"/>
      <c r="B1630" s="269"/>
      <c r="C1630" s="269"/>
      <c r="D1630" s="269"/>
      <c r="E1630" s="269"/>
      <c r="F1630" s="269"/>
      <c r="G1630" s="269"/>
      <c r="H1630" s="269"/>
      <c r="I1630" s="269"/>
      <c r="J1630" s="334"/>
      <c r="K1630" s="334"/>
      <c r="L1630" s="334"/>
      <c r="M1630" s="328"/>
      <c r="N1630" s="328"/>
      <c r="O1630" s="386"/>
      <c r="P1630" s="356"/>
      <c r="Q1630" s="380"/>
      <c r="S1630" s="336"/>
      <c r="T1630" s="62" ph="1"/>
      <c r="V1630" s="232"/>
      <c r="W1630" s="269"/>
      <c r="X1630" s="201"/>
      <c r="Y1630" s="269"/>
      <c r="Z1630" s="269"/>
      <c r="AA1630" s="269"/>
      <c r="AB1630" s="269"/>
      <c r="AC1630" s="269"/>
      <c r="AD1630" s="269"/>
      <c r="AE1630" s="269"/>
      <c r="AG1630" s="128"/>
    </row>
    <row r="1631" spans="1:33" ht="26.25">
      <c r="A1631" s="269"/>
      <c r="B1631" s="269"/>
      <c r="C1631" s="269"/>
      <c r="D1631" s="269"/>
      <c r="E1631" s="269"/>
      <c r="F1631" s="269"/>
      <c r="G1631" s="269"/>
      <c r="H1631" s="269"/>
      <c r="I1631" s="269"/>
      <c r="J1631" s="334"/>
      <c r="K1631" s="334"/>
      <c r="L1631" s="334"/>
      <c r="M1631" s="328"/>
      <c r="N1631" s="328"/>
      <c r="O1631" s="386"/>
      <c r="P1631" s="356"/>
      <c r="Q1631" s="380"/>
      <c r="S1631" s="336"/>
      <c r="T1631" s="62" ph="1"/>
      <c r="V1631" s="232"/>
      <c r="W1631" s="269"/>
      <c r="X1631" s="201"/>
      <c r="Y1631" s="269"/>
      <c r="Z1631" s="269"/>
      <c r="AA1631" s="269"/>
      <c r="AB1631" s="269"/>
      <c r="AC1631" s="269"/>
      <c r="AD1631" s="269"/>
      <c r="AE1631" s="269"/>
      <c r="AG1631" s="128"/>
    </row>
    <row r="1632" spans="1:33" ht="26.25">
      <c r="A1632" s="269"/>
      <c r="B1632" s="269"/>
      <c r="C1632" s="269"/>
      <c r="D1632" s="269"/>
      <c r="E1632" s="269"/>
      <c r="F1632" s="269"/>
      <c r="G1632" s="269"/>
      <c r="H1632" s="269"/>
      <c r="I1632" s="269"/>
      <c r="J1632" s="334"/>
      <c r="K1632" s="334"/>
      <c r="L1632" s="334"/>
      <c r="M1632" s="328"/>
      <c r="N1632" s="328"/>
      <c r="O1632" s="386"/>
      <c r="P1632" s="356"/>
      <c r="Q1632" s="380"/>
      <c r="S1632" s="336"/>
      <c r="T1632" s="62" ph="1"/>
      <c r="V1632" s="232"/>
      <c r="W1632" s="269"/>
      <c r="X1632" s="201"/>
      <c r="Y1632" s="269"/>
      <c r="Z1632" s="269"/>
      <c r="AA1632" s="269"/>
      <c r="AB1632" s="269"/>
      <c r="AC1632" s="269"/>
      <c r="AD1632" s="269"/>
      <c r="AE1632" s="269"/>
      <c r="AG1632" s="128"/>
    </row>
    <row r="1633" spans="1:33" ht="26.25">
      <c r="A1633" s="269"/>
      <c r="B1633" s="269"/>
      <c r="C1633" s="269"/>
      <c r="D1633" s="269"/>
      <c r="E1633" s="269"/>
      <c r="F1633" s="269"/>
      <c r="G1633" s="269"/>
      <c r="H1633" s="269"/>
      <c r="I1633" s="269"/>
      <c r="J1633" s="334"/>
      <c r="K1633" s="334"/>
      <c r="L1633" s="334"/>
      <c r="M1633" s="328"/>
      <c r="N1633" s="328"/>
      <c r="O1633" s="386"/>
      <c r="P1633" s="356"/>
      <c r="Q1633" s="380"/>
      <c r="S1633" s="336"/>
      <c r="T1633" s="62" ph="1"/>
      <c r="V1633" s="232"/>
      <c r="W1633" s="269"/>
      <c r="X1633" s="201"/>
      <c r="Y1633" s="269"/>
      <c r="Z1633" s="269"/>
      <c r="AA1633" s="269"/>
      <c r="AB1633" s="269"/>
      <c r="AC1633" s="269"/>
      <c r="AD1633" s="269"/>
      <c r="AE1633" s="269"/>
      <c r="AG1633" s="128"/>
    </row>
    <row r="1634" spans="1:33" ht="26.25">
      <c r="A1634" s="269"/>
      <c r="B1634" s="269"/>
      <c r="C1634" s="269"/>
      <c r="D1634" s="269"/>
      <c r="E1634" s="269"/>
      <c r="F1634" s="269"/>
      <c r="G1634" s="269"/>
      <c r="H1634" s="269"/>
      <c r="I1634" s="269"/>
      <c r="J1634" s="334"/>
      <c r="K1634" s="334"/>
      <c r="L1634" s="334"/>
      <c r="M1634" s="328"/>
      <c r="N1634" s="328"/>
      <c r="O1634" s="386"/>
      <c r="P1634" s="356"/>
      <c r="Q1634" s="380"/>
      <c r="S1634" s="336"/>
      <c r="T1634" s="62" ph="1"/>
      <c r="V1634" s="232"/>
      <c r="W1634" s="269"/>
      <c r="X1634" s="201"/>
      <c r="Y1634" s="269"/>
      <c r="Z1634" s="269"/>
      <c r="AA1634" s="269"/>
      <c r="AB1634" s="269"/>
      <c r="AC1634" s="269"/>
      <c r="AD1634" s="269"/>
      <c r="AE1634" s="269"/>
      <c r="AG1634" s="128"/>
    </row>
    <row r="1635" spans="1:33" ht="26.25">
      <c r="A1635" s="269"/>
      <c r="B1635" s="269"/>
      <c r="C1635" s="269"/>
      <c r="D1635" s="269"/>
      <c r="E1635" s="269"/>
      <c r="F1635" s="269"/>
      <c r="G1635" s="269"/>
      <c r="H1635" s="269"/>
      <c r="I1635" s="269"/>
      <c r="J1635" s="334"/>
      <c r="K1635" s="334"/>
      <c r="L1635" s="334"/>
      <c r="M1635" s="328"/>
      <c r="N1635" s="328"/>
      <c r="O1635" s="386"/>
      <c r="P1635" s="356"/>
      <c r="Q1635" s="380"/>
      <c r="S1635" s="336"/>
      <c r="T1635" s="62" ph="1"/>
      <c r="V1635" s="232"/>
      <c r="W1635" s="269"/>
      <c r="X1635" s="201"/>
      <c r="Y1635" s="269"/>
      <c r="Z1635" s="269"/>
      <c r="AA1635" s="269"/>
      <c r="AB1635" s="269"/>
      <c r="AC1635" s="269"/>
      <c r="AD1635" s="269"/>
      <c r="AE1635" s="269"/>
      <c r="AG1635" s="128"/>
    </row>
    <row r="1636" spans="1:33" ht="26.25">
      <c r="A1636" s="269"/>
      <c r="B1636" s="269"/>
      <c r="C1636" s="269"/>
      <c r="D1636" s="269"/>
      <c r="E1636" s="269"/>
      <c r="F1636" s="269"/>
      <c r="G1636" s="269"/>
      <c r="H1636" s="269"/>
      <c r="I1636" s="269"/>
      <c r="J1636" s="334"/>
      <c r="K1636" s="334"/>
      <c r="L1636" s="334"/>
      <c r="M1636" s="328"/>
      <c r="N1636" s="328"/>
      <c r="O1636" s="386"/>
      <c r="P1636" s="356"/>
      <c r="Q1636" s="380"/>
      <c r="S1636" s="336"/>
      <c r="T1636" s="62" ph="1"/>
      <c r="V1636" s="232"/>
      <c r="W1636" s="269"/>
      <c r="X1636" s="201"/>
      <c r="Y1636" s="269"/>
      <c r="Z1636" s="269"/>
      <c r="AA1636" s="269"/>
      <c r="AB1636" s="269"/>
      <c r="AC1636" s="269"/>
      <c r="AD1636" s="269"/>
      <c r="AE1636" s="269"/>
      <c r="AG1636" s="128"/>
    </row>
    <row r="1637" spans="1:33" ht="26.25">
      <c r="A1637" s="269"/>
      <c r="B1637" s="269"/>
      <c r="C1637" s="269"/>
      <c r="D1637" s="269"/>
      <c r="E1637" s="269"/>
      <c r="F1637" s="269"/>
      <c r="G1637" s="269"/>
      <c r="H1637" s="269"/>
      <c r="I1637" s="269"/>
      <c r="J1637" s="334"/>
      <c r="K1637" s="334"/>
      <c r="L1637" s="334"/>
      <c r="M1637" s="328"/>
      <c r="N1637" s="328"/>
      <c r="O1637" s="386"/>
      <c r="P1637" s="356"/>
      <c r="Q1637" s="380"/>
      <c r="S1637" s="336"/>
      <c r="T1637" s="62" ph="1"/>
      <c r="V1637" s="232"/>
      <c r="W1637" s="269"/>
      <c r="X1637" s="201"/>
      <c r="Y1637" s="269"/>
      <c r="Z1637" s="269"/>
      <c r="AA1637" s="269"/>
      <c r="AB1637" s="269"/>
      <c r="AC1637" s="269"/>
      <c r="AD1637" s="269"/>
      <c r="AE1637" s="269"/>
      <c r="AG1637" s="128"/>
    </row>
    <row r="1638" spans="1:33" ht="26.25">
      <c r="A1638" s="269"/>
      <c r="B1638" s="269"/>
      <c r="C1638" s="269"/>
      <c r="D1638" s="269"/>
      <c r="E1638" s="269"/>
      <c r="F1638" s="269"/>
      <c r="G1638" s="269"/>
      <c r="H1638" s="269"/>
      <c r="I1638" s="269"/>
      <c r="J1638" s="334"/>
      <c r="K1638" s="334"/>
      <c r="L1638" s="334"/>
      <c r="M1638" s="328"/>
      <c r="N1638" s="328"/>
      <c r="O1638" s="386"/>
      <c r="P1638" s="356"/>
      <c r="Q1638" s="380"/>
      <c r="S1638" s="336"/>
      <c r="T1638" s="62" ph="1"/>
      <c r="V1638" s="232"/>
      <c r="W1638" s="269"/>
      <c r="X1638" s="201"/>
      <c r="Y1638" s="269"/>
      <c r="Z1638" s="269"/>
      <c r="AA1638" s="269"/>
      <c r="AB1638" s="269"/>
      <c r="AC1638" s="269"/>
      <c r="AD1638" s="269"/>
      <c r="AE1638" s="269"/>
      <c r="AG1638" s="128"/>
    </row>
    <row r="1639" spans="1:33" ht="26.25">
      <c r="A1639" s="269"/>
      <c r="B1639" s="269"/>
      <c r="C1639" s="269"/>
      <c r="D1639" s="269"/>
      <c r="E1639" s="269"/>
      <c r="F1639" s="269"/>
      <c r="G1639" s="269"/>
      <c r="H1639" s="269"/>
      <c r="I1639" s="269"/>
      <c r="J1639" s="334"/>
      <c r="K1639" s="334"/>
      <c r="L1639" s="334"/>
      <c r="M1639" s="328"/>
      <c r="N1639" s="328"/>
      <c r="O1639" s="386"/>
      <c r="P1639" s="356"/>
      <c r="Q1639" s="380"/>
      <c r="S1639" s="336"/>
      <c r="T1639" s="62" ph="1"/>
      <c r="V1639" s="232"/>
      <c r="W1639" s="269"/>
      <c r="X1639" s="201"/>
      <c r="Y1639" s="269"/>
      <c r="Z1639" s="269"/>
      <c r="AA1639" s="269"/>
      <c r="AB1639" s="269"/>
      <c r="AC1639" s="269"/>
      <c r="AD1639" s="269"/>
      <c r="AE1639" s="269"/>
      <c r="AG1639" s="128"/>
    </row>
    <row r="1640" spans="1:33" ht="26.25">
      <c r="A1640" s="269"/>
      <c r="B1640" s="269"/>
      <c r="C1640" s="269"/>
      <c r="D1640" s="269"/>
      <c r="E1640" s="269"/>
      <c r="F1640" s="269"/>
      <c r="G1640" s="269"/>
      <c r="H1640" s="269"/>
      <c r="I1640" s="269"/>
      <c r="J1640" s="334"/>
      <c r="K1640" s="334"/>
      <c r="L1640" s="334"/>
      <c r="M1640" s="328"/>
      <c r="N1640" s="328"/>
      <c r="O1640" s="386"/>
      <c r="P1640" s="356"/>
      <c r="Q1640" s="380"/>
      <c r="S1640" s="336"/>
      <c r="T1640" s="62" ph="1"/>
      <c r="V1640" s="232"/>
      <c r="W1640" s="269"/>
      <c r="X1640" s="201"/>
      <c r="Y1640" s="269"/>
      <c r="Z1640" s="269"/>
      <c r="AA1640" s="269"/>
      <c r="AB1640" s="269"/>
      <c r="AC1640" s="269"/>
      <c r="AD1640" s="269"/>
      <c r="AE1640" s="269"/>
      <c r="AG1640" s="128"/>
    </row>
    <row r="1641" spans="1:33" ht="26.25">
      <c r="A1641" s="269"/>
      <c r="B1641" s="269"/>
      <c r="C1641" s="269"/>
      <c r="D1641" s="269"/>
      <c r="E1641" s="269"/>
      <c r="F1641" s="269"/>
      <c r="G1641" s="269"/>
      <c r="H1641" s="269"/>
      <c r="I1641" s="269"/>
      <c r="J1641" s="334"/>
      <c r="K1641" s="334"/>
      <c r="L1641" s="334"/>
      <c r="M1641" s="328"/>
      <c r="N1641" s="328"/>
      <c r="O1641" s="386"/>
      <c r="P1641" s="356"/>
      <c r="Q1641" s="380"/>
      <c r="S1641" s="336"/>
      <c r="T1641" s="62" ph="1"/>
      <c r="V1641" s="232"/>
      <c r="W1641" s="269"/>
      <c r="X1641" s="201"/>
      <c r="Y1641" s="269"/>
      <c r="Z1641" s="269"/>
      <c r="AA1641" s="269"/>
      <c r="AB1641" s="269"/>
      <c r="AC1641" s="269"/>
      <c r="AD1641" s="269"/>
      <c r="AE1641" s="269"/>
      <c r="AG1641" s="128"/>
    </row>
    <row r="1642" spans="1:33" ht="26.25">
      <c r="A1642" s="269"/>
      <c r="B1642" s="269"/>
      <c r="C1642" s="269"/>
      <c r="D1642" s="269"/>
      <c r="E1642" s="269"/>
      <c r="F1642" s="269"/>
      <c r="G1642" s="269"/>
      <c r="H1642" s="269"/>
      <c r="I1642" s="269"/>
      <c r="J1642" s="334"/>
      <c r="K1642" s="334"/>
      <c r="L1642" s="334"/>
      <c r="M1642" s="328"/>
      <c r="N1642" s="328"/>
      <c r="O1642" s="386"/>
      <c r="P1642" s="356"/>
      <c r="Q1642" s="380"/>
      <c r="S1642" s="336"/>
      <c r="T1642" s="62" ph="1"/>
      <c r="V1642" s="232"/>
      <c r="W1642" s="269"/>
      <c r="X1642" s="201"/>
      <c r="Y1642" s="269"/>
      <c r="Z1642" s="269"/>
      <c r="AA1642" s="269"/>
      <c r="AB1642" s="269"/>
      <c r="AC1642" s="269"/>
      <c r="AD1642" s="269"/>
      <c r="AE1642" s="269"/>
      <c r="AG1642" s="128"/>
    </row>
    <row r="1643" spans="1:33" ht="26.25">
      <c r="A1643" s="269"/>
      <c r="B1643" s="269"/>
      <c r="C1643" s="269"/>
      <c r="D1643" s="269"/>
      <c r="E1643" s="269"/>
      <c r="F1643" s="269"/>
      <c r="G1643" s="269"/>
      <c r="H1643" s="269"/>
      <c r="I1643" s="269"/>
      <c r="J1643" s="334"/>
      <c r="K1643" s="334"/>
      <c r="L1643" s="334"/>
      <c r="M1643" s="328"/>
      <c r="N1643" s="328"/>
      <c r="O1643" s="386"/>
      <c r="P1643" s="356"/>
      <c r="Q1643" s="380"/>
      <c r="S1643" s="336"/>
      <c r="T1643" s="62" ph="1"/>
      <c r="V1643" s="232"/>
      <c r="W1643" s="269"/>
      <c r="X1643" s="201"/>
      <c r="Y1643" s="269"/>
      <c r="Z1643" s="269"/>
      <c r="AA1643" s="269"/>
      <c r="AB1643" s="269"/>
      <c r="AC1643" s="269"/>
      <c r="AD1643" s="269"/>
      <c r="AE1643" s="269"/>
      <c r="AG1643" s="128"/>
    </row>
    <row r="1644" spans="1:33" ht="26.25">
      <c r="A1644" s="269"/>
      <c r="B1644" s="269"/>
      <c r="C1644" s="269"/>
      <c r="D1644" s="269"/>
      <c r="E1644" s="269"/>
      <c r="F1644" s="269"/>
      <c r="G1644" s="269"/>
      <c r="H1644" s="269"/>
      <c r="I1644" s="269"/>
      <c r="J1644" s="334"/>
      <c r="K1644" s="334"/>
      <c r="L1644" s="334"/>
      <c r="M1644" s="328"/>
      <c r="N1644" s="328"/>
      <c r="O1644" s="386"/>
      <c r="P1644" s="356"/>
      <c r="Q1644" s="380"/>
      <c r="S1644" s="336"/>
      <c r="T1644" s="62" ph="1"/>
      <c r="V1644" s="232"/>
      <c r="W1644" s="269"/>
      <c r="X1644" s="201"/>
      <c r="Y1644" s="269"/>
      <c r="Z1644" s="269"/>
      <c r="AA1644" s="269"/>
      <c r="AB1644" s="269"/>
      <c r="AC1644" s="269"/>
      <c r="AD1644" s="269"/>
      <c r="AE1644" s="269"/>
      <c r="AG1644" s="128"/>
    </row>
    <row r="1645" spans="1:33" ht="26.25">
      <c r="A1645" s="269"/>
      <c r="B1645" s="269"/>
      <c r="C1645" s="269"/>
      <c r="D1645" s="269"/>
      <c r="E1645" s="269"/>
      <c r="F1645" s="269"/>
      <c r="G1645" s="269"/>
      <c r="H1645" s="269"/>
      <c r="I1645" s="269"/>
      <c r="J1645" s="334"/>
      <c r="K1645" s="334"/>
      <c r="L1645" s="334"/>
      <c r="M1645" s="328"/>
      <c r="N1645" s="328"/>
      <c r="O1645" s="386"/>
      <c r="P1645" s="356"/>
      <c r="Q1645" s="380"/>
      <c r="S1645" s="336"/>
      <c r="T1645" s="62" ph="1"/>
      <c r="V1645" s="232"/>
      <c r="W1645" s="269"/>
      <c r="X1645" s="201"/>
      <c r="Y1645" s="269"/>
      <c r="Z1645" s="269"/>
      <c r="AA1645" s="269"/>
      <c r="AB1645" s="269"/>
      <c r="AC1645" s="269"/>
      <c r="AD1645" s="269"/>
      <c r="AE1645" s="269"/>
      <c r="AG1645" s="128"/>
    </row>
    <row r="1646" spans="1:33" ht="26.25">
      <c r="A1646" s="269"/>
      <c r="B1646" s="269"/>
      <c r="C1646" s="269"/>
      <c r="D1646" s="269"/>
      <c r="E1646" s="269"/>
      <c r="F1646" s="269"/>
      <c r="G1646" s="269"/>
      <c r="H1646" s="269"/>
      <c r="I1646" s="269"/>
      <c r="J1646" s="334"/>
      <c r="K1646" s="334"/>
      <c r="L1646" s="334"/>
      <c r="M1646" s="328"/>
      <c r="N1646" s="328"/>
      <c r="O1646" s="386"/>
      <c r="P1646" s="356"/>
      <c r="Q1646" s="380"/>
      <c r="S1646" s="336"/>
      <c r="T1646" s="62" ph="1"/>
      <c r="V1646" s="232"/>
      <c r="W1646" s="269"/>
      <c r="X1646" s="201"/>
      <c r="Y1646" s="269"/>
      <c r="Z1646" s="269"/>
      <c r="AA1646" s="269"/>
      <c r="AB1646" s="269"/>
      <c r="AC1646" s="269"/>
      <c r="AD1646" s="269"/>
      <c r="AE1646" s="269"/>
      <c r="AG1646" s="128"/>
    </row>
    <row r="1647" spans="1:33" ht="26.25">
      <c r="A1647" s="269"/>
      <c r="B1647" s="269"/>
      <c r="C1647" s="269"/>
      <c r="D1647" s="269"/>
      <c r="E1647" s="269"/>
      <c r="F1647" s="269"/>
      <c r="G1647" s="269"/>
      <c r="H1647" s="269"/>
      <c r="I1647" s="269"/>
      <c r="J1647" s="334"/>
      <c r="K1647" s="334"/>
      <c r="L1647" s="334"/>
      <c r="M1647" s="328"/>
      <c r="N1647" s="328"/>
      <c r="O1647" s="386"/>
      <c r="P1647" s="356"/>
      <c r="Q1647" s="380"/>
      <c r="S1647" s="336"/>
      <c r="T1647" s="62" ph="1"/>
      <c r="V1647" s="232"/>
      <c r="W1647" s="269"/>
      <c r="X1647" s="201"/>
      <c r="Y1647" s="269"/>
      <c r="Z1647" s="269"/>
      <c r="AA1647" s="269"/>
      <c r="AB1647" s="269"/>
      <c r="AC1647" s="269"/>
      <c r="AD1647" s="269"/>
      <c r="AE1647" s="269"/>
      <c r="AG1647" s="128"/>
    </row>
    <row r="1648" spans="1:33" ht="26.25">
      <c r="A1648" s="269"/>
      <c r="B1648" s="269"/>
      <c r="C1648" s="269"/>
      <c r="D1648" s="269"/>
      <c r="E1648" s="269"/>
      <c r="F1648" s="269"/>
      <c r="G1648" s="269"/>
      <c r="H1648" s="269"/>
      <c r="I1648" s="269"/>
      <c r="J1648" s="334"/>
      <c r="K1648" s="334"/>
      <c r="L1648" s="334"/>
      <c r="M1648" s="328"/>
      <c r="N1648" s="328"/>
      <c r="O1648" s="386"/>
      <c r="P1648" s="356"/>
      <c r="Q1648" s="380"/>
      <c r="S1648" s="336"/>
      <c r="T1648" s="62" ph="1"/>
      <c r="V1648" s="232"/>
      <c r="W1648" s="269"/>
      <c r="X1648" s="201"/>
      <c r="Y1648" s="269"/>
      <c r="Z1648" s="269"/>
      <c r="AA1648" s="269"/>
      <c r="AB1648" s="269"/>
      <c r="AC1648" s="269"/>
      <c r="AD1648" s="269"/>
      <c r="AE1648" s="269"/>
      <c r="AG1648" s="128"/>
    </row>
    <row r="1649" spans="1:33" ht="26.25">
      <c r="A1649" s="269"/>
      <c r="B1649" s="269"/>
      <c r="C1649" s="269"/>
      <c r="D1649" s="269"/>
      <c r="E1649" s="269"/>
      <c r="F1649" s="269"/>
      <c r="G1649" s="269"/>
      <c r="H1649" s="269"/>
      <c r="I1649" s="269"/>
      <c r="J1649" s="334"/>
      <c r="K1649" s="334"/>
      <c r="L1649" s="334"/>
      <c r="M1649" s="328"/>
      <c r="N1649" s="328"/>
      <c r="O1649" s="386"/>
      <c r="P1649" s="356"/>
      <c r="Q1649" s="380"/>
      <c r="S1649" s="336"/>
      <c r="T1649" s="62" ph="1"/>
      <c r="V1649" s="232"/>
      <c r="W1649" s="269"/>
      <c r="X1649" s="201"/>
      <c r="Y1649" s="269"/>
      <c r="Z1649" s="269"/>
      <c r="AA1649" s="269"/>
      <c r="AB1649" s="269"/>
      <c r="AC1649" s="269"/>
      <c r="AD1649" s="269"/>
      <c r="AE1649" s="269"/>
      <c r="AG1649" s="128"/>
    </row>
    <row r="1650" spans="1:33" ht="26.25">
      <c r="A1650" s="269"/>
      <c r="B1650" s="269"/>
      <c r="C1650" s="269"/>
      <c r="D1650" s="269"/>
      <c r="E1650" s="269"/>
      <c r="F1650" s="269"/>
      <c r="G1650" s="269"/>
      <c r="H1650" s="269"/>
      <c r="I1650" s="269"/>
      <c r="J1650" s="334"/>
      <c r="K1650" s="334"/>
      <c r="L1650" s="334"/>
      <c r="M1650" s="328"/>
      <c r="N1650" s="328"/>
      <c r="O1650" s="386"/>
      <c r="P1650" s="356"/>
      <c r="Q1650" s="380"/>
      <c r="S1650" s="336"/>
      <c r="T1650" s="62" ph="1"/>
      <c r="V1650" s="232"/>
      <c r="W1650" s="269"/>
      <c r="X1650" s="201"/>
      <c r="Y1650" s="269"/>
      <c r="Z1650" s="269"/>
      <c r="AA1650" s="269"/>
      <c r="AB1650" s="269"/>
      <c r="AC1650" s="269"/>
      <c r="AD1650" s="269"/>
      <c r="AE1650" s="269"/>
      <c r="AG1650" s="128"/>
    </row>
    <row r="1651" spans="1:33" ht="26.25">
      <c r="A1651" s="269"/>
      <c r="B1651" s="269"/>
      <c r="C1651" s="269"/>
      <c r="D1651" s="269"/>
      <c r="E1651" s="269"/>
      <c r="F1651" s="269"/>
      <c r="G1651" s="269"/>
      <c r="H1651" s="269"/>
      <c r="I1651" s="269"/>
      <c r="J1651" s="334"/>
      <c r="K1651" s="334"/>
      <c r="L1651" s="334"/>
      <c r="M1651" s="328"/>
      <c r="N1651" s="328"/>
      <c r="O1651" s="386"/>
      <c r="P1651" s="356"/>
      <c r="Q1651" s="380"/>
      <c r="S1651" s="336"/>
      <c r="T1651" s="62" ph="1"/>
      <c r="V1651" s="232"/>
      <c r="W1651" s="269"/>
      <c r="X1651" s="201"/>
      <c r="Y1651" s="269"/>
      <c r="Z1651" s="269"/>
      <c r="AA1651" s="269"/>
      <c r="AB1651" s="269"/>
      <c r="AC1651" s="269"/>
      <c r="AD1651" s="269"/>
      <c r="AE1651" s="269"/>
      <c r="AG1651" s="128"/>
    </row>
    <row r="1652" spans="1:33" ht="26.25">
      <c r="A1652" s="269"/>
      <c r="B1652" s="269"/>
      <c r="C1652" s="269"/>
      <c r="D1652" s="269"/>
      <c r="E1652" s="269"/>
      <c r="F1652" s="269"/>
      <c r="G1652" s="269"/>
      <c r="H1652" s="269"/>
      <c r="I1652" s="269"/>
      <c r="J1652" s="334"/>
      <c r="K1652" s="334"/>
      <c r="L1652" s="334"/>
      <c r="M1652" s="328"/>
      <c r="N1652" s="328"/>
      <c r="O1652" s="386"/>
      <c r="P1652" s="356"/>
      <c r="Q1652" s="380"/>
      <c r="S1652" s="336"/>
      <c r="T1652" s="62" ph="1"/>
      <c r="V1652" s="232"/>
      <c r="W1652" s="269"/>
      <c r="X1652" s="201"/>
      <c r="Y1652" s="269"/>
      <c r="Z1652" s="269"/>
      <c r="AA1652" s="269"/>
      <c r="AB1652" s="269"/>
      <c r="AC1652" s="269"/>
      <c r="AD1652" s="269"/>
      <c r="AE1652" s="269"/>
      <c r="AG1652" s="128"/>
    </row>
    <row r="1653" spans="1:33" ht="26.25">
      <c r="A1653" s="269"/>
      <c r="B1653" s="269"/>
      <c r="C1653" s="269"/>
      <c r="D1653" s="269"/>
      <c r="E1653" s="269"/>
      <c r="F1653" s="269"/>
      <c r="G1653" s="269"/>
      <c r="H1653" s="269"/>
      <c r="I1653" s="269"/>
      <c r="J1653" s="334"/>
      <c r="K1653" s="334"/>
      <c r="L1653" s="334"/>
      <c r="M1653" s="328"/>
      <c r="N1653" s="328"/>
      <c r="O1653" s="386"/>
      <c r="P1653" s="356"/>
      <c r="Q1653" s="380"/>
      <c r="S1653" s="336"/>
      <c r="T1653" s="62" ph="1"/>
      <c r="V1653" s="232"/>
      <c r="W1653" s="269"/>
      <c r="X1653" s="201"/>
      <c r="Y1653" s="269"/>
      <c r="Z1653" s="269"/>
      <c r="AA1653" s="269"/>
      <c r="AB1653" s="269"/>
      <c r="AC1653" s="269"/>
      <c r="AD1653" s="269"/>
      <c r="AE1653" s="269"/>
      <c r="AG1653" s="128"/>
    </row>
    <row r="1654" spans="1:33" ht="26.25">
      <c r="A1654" s="269"/>
      <c r="B1654" s="269"/>
      <c r="C1654" s="269"/>
      <c r="D1654" s="269"/>
      <c r="E1654" s="269"/>
      <c r="F1654" s="269"/>
      <c r="G1654" s="269"/>
      <c r="H1654" s="269"/>
      <c r="I1654" s="269"/>
      <c r="J1654" s="334"/>
      <c r="K1654" s="334"/>
      <c r="L1654" s="334"/>
      <c r="M1654" s="328"/>
      <c r="N1654" s="328"/>
      <c r="O1654" s="386"/>
      <c r="P1654" s="356"/>
      <c r="Q1654" s="380"/>
      <c r="S1654" s="336"/>
      <c r="T1654" s="62" ph="1"/>
      <c r="V1654" s="232"/>
      <c r="W1654" s="269"/>
      <c r="X1654" s="201"/>
      <c r="Y1654" s="269"/>
      <c r="Z1654" s="269"/>
      <c r="AA1654" s="269"/>
      <c r="AB1654" s="269"/>
      <c r="AC1654" s="269"/>
      <c r="AD1654" s="269"/>
      <c r="AE1654" s="269"/>
      <c r="AG1654" s="128"/>
    </row>
    <row r="1655" spans="1:33" ht="26.25">
      <c r="A1655" s="269"/>
      <c r="B1655" s="269"/>
      <c r="C1655" s="269"/>
      <c r="D1655" s="269"/>
      <c r="E1655" s="269"/>
      <c r="F1655" s="269"/>
      <c r="G1655" s="269"/>
      <c r="H1655" s="269"/>
      <c r="I1655" s="269"/>
      <c r="J1655" s="334"/>
      <c r="K1655" s="334"/>
      <c r="L1655" s="334"/>
      <c r="M1655" s="328"/>
      <c r="N1655" s="328"/>
      <c r="O1655" s="386"/>
      <c r="P1655" s="356"/>
      <c r="Q1655" s="380"/>
      <c r="S1655" s="336"/>
      <c r="T1655" s="62" ph="1"/>
      <c r="V1655" s="232"/>
      <c r="W1655" s="269"/>
      <c r="X1655" s="201"/>
      <c r="Y1655" s="269"/>
      <c r="Z1655" s="269"/>
      <c r="AA1655" s="269"/>
      <c r="AB1655" s="269"/>
      <c r="AC1655" s="269"/>
      <c r="AD1655" s="269"/>
      <c r="AE1655" s="269"/>
      <c r="AG1655" s="128"/>
    </row>
    <row r="1656" spans="1:33" ht="26.25">
      <c r="A1656" s="269"/>
      <c r="B1656" s="269"/>
      <c r="C1656" s="269"/>
      <c r="D1656" s="269"/>
      <c r="E1656" s="269"/>
      <c r="F1656" s="269"/>
      <c r="G1656" s="269"/>
      <c r="H1656" s="269"/>
      <c r="I1656" s="269"/>
      <c r="J1656" s="334"/>
      <c r="K1656" s="334"/>
      <c r="L1656" s="334"/>
      <c r="M1656" s="328"/>
      <c r="N1656" s="328"/>
      <c r="O1656" s="386"/>
      <c r="P1656" s="356"/>
      <c r="Q1656" s="380"/>
      <c r="S1656" s="336"/>
      <c r="T1656" s="62" ph="1"/>
      <c r="V1656" s="232"/>
      <c r="W1656" s="269"/>
      <c r="X1656" s="201"/>
      <c r="Y1656" s="269"/>
      <c r="Z1656" s="269"/>
      <c r="AA1656" s="269"/>
      <c r="AB1656" s="269"/>
      <c r="AC1656" s="269"/>
      <c r="AD1656" s="269"/>
      <c r="AE1656" s="269"/>
      <c r="AG1656" s="128"/>
    </row>
    <row r="1657" spans="1:33" ht="26.25">
      <c r="A1657" s="269"/>
      <c r="B1657" s="269"/>
      <c r="C1657" s="269"/>
      <c r="D1657" s="269"/>
      <c r="E1657" s="269"/>
      <c r="F1657" s="269"/>
      <c r="G1657" s="269"/>
      <c r="H1657" s="269"/>
      <c r="I1657" s="269"/>
      <c r="J1657" s="334"/>
      <c r="K1657" s="334"/>
      <c r="L1657" s="334"/>
      <c r="M1657" s="328"/>
      <c r="N1657" s="328"/>
      <c r="O1657" s="386"/>
      <c r="P1657" s="356"/>
      <c r="Q1657" s="380"/>
      <c r="S1657" s="336"/>
      <c r="T1657" s="62" ph="1"/>
      <c r="V1657" s="232"/>
      <c r="W1657" s="269"/>
      <c r="X1657" s="201"/>
      <c r="Y1657" s="269"/>
      <c r="Z1657" s="269"/>
      <c r="AA1657" s="269"/>
      <c r="AB1657" s="269"/>
      <c r="AC1657" s="269"/>
      <c r="AD1657" s="269"/>
      <c r="AE1657" s="269"/>
      <c r="AG1657" s="269"/>
    </row>
    <row r="1658" spans="1:33" ht="26.25">
      <c r="A1658" s="269"/>
      <c r="B1658" s="269"/>
      <c r="C1658" s="269"/>
      <c r="D1658" s="269"/>
      <c r="E1658" s="269"/>
      <c r="F1658" s="269"/>
      <c r="G1658" s="269"/>
      <c r="H1658" s="269"/>
      <c r="I1658" s="269"/>
      <c r="J1658" s="334"/>
      <c r="K1658" s="334"/>
      <c r="L1658" s="334"/>
      <c r="M1658" s="328"/>
      <c r="N1658" s="328"/>
      <c r="O1658" s="386"/>
      <c r="P1658" s="356"/>
      <c r="Q1658" s="380"/>
      <c r="S1658" s="336"/>
      <c r="T1658" s="62" ph="1"/>
      <c r="V1658" s="232"/>
      <c r="W1658" s="269"/>
      <c r="X1658" s="201"/>
      <c r="Y1658" s="269"/>
      <c r="Z1658" s="269"/>
      <c r="AA1658" s="269"/>
      <c r="AB1658" s="269"/>
      <c r="AC1658" s="269"/>
      <c r="AD1658" s="269"/>
      <c r="AE1658" s="269"/>
      <c r="AG1658" s="269"/>
    </row>
    <row r="1659" spans="1:33" ht="26.25">
      <c r="A1659" s="269"/>
      <c r="B1659" s="269"/>
      <c r="C1659" s="269"/>
      <c r="D1659" s="269"/>
      <c r="E1659" s="269"/>
      <c r="F1659" s="269"/>
      <c r="G1659" s="269"/>
      <c r="H1659" s="269"/>
      <c r="I1659" s="269"/>
      <c r="J1659" s="334"/>
      <c r="K1659" s="334"/>
      <c r="L1659" s="334"/>
      <c r="M1659" s="328"/>
      <c r="N1659" s="328"/>
      <c r="O1659" s="386"/>
      <c r="P1659" s="356"/>
      <c r="Q1659" s="380"/>
      <c r="S1659" s="336"/>
      <c r="T1659" s="62" ph="1"/>
      <c r="V1659" s="232"/>
      <c r="W1659" s="269"/>
      <c r="X1659" s="201"/>
      <c r="Y1659" s="269"/>
      <c r="Z1659" s="269"/>
      <c r="AA1659" s="269"/>
      <c r="AB1659" s="269"/>
      <c r="AC1659" s="269"/>
      <c r="AD1659" s="269"/>
      <c r="AE1659" s="269"/>
      <c r="AG1659" s="128"/>
    </row>
    <row r="1660" spans="1:33" ht="26.25">
      <c r="A1660" s="269"/>
      <c r="B1660" s="269"/>
      <c r="C1660" s="269"/>
      <c r="D1660" s="269"/>
      <c r="E1660" s="269"/>
      <c r="F1660" s="269"/>
      <c r="G1660" s="269"/>
      <c r="H1660" s="269"/>
      <c r="I1660" s="269"/>
      <c r="J1660" s="334"/>
      <c r="K1660" s="334"/>
      <c r="L1660" s="334"/>
      <c r="M1660" s="328"/>
      <c r="N1660" s="328"/>
      <c r="O1660" s="386"/>
      <c r="P1660" s="356"/>
      <c r="Q1660" s="380"/>
      <c r="S1660" s="336"/>
      <c r="T1660" s="62" ph="1"/>
      <c r="V1660" s="232"/>
      <c r="W1660" s="269"/>
      <c r="X1660" s="201"/>
      <c r="Y1660" s="269"/>
      <c r="Z1660" s="269"/>
      <c r="AA1660" s="269"/>
      <c r="AB1660" s="269"/>
      <c r="AC1660" s="269"/>
      <c r="AD1660" s="269"/>
      <c r="AE1660" s="269"/>
      <c r="AG1660" s="128"/>
    </row>
    <row r="1661" spans="1:33" ht="26.25">
      <c r="A1661" s="269"/>
      <c r="B1661" s="269"/>
      <c r="C1661" s="269"/>
      <c r="D1661" s="269"/>
      <c r="E1661" s="269"/>
      <c r="F1661" s="269"/>
      <c r="G1661" s="269"/>
      <c r="H1661" s="269"/>
      <c r="I1661" s="269"/>
      <c r="J1661" s="334"/>
      <c r="K1661" s="334"/>
      <c r="L1661" s="334"/>
      <c r="M1661" s="328"/>
      <c r="N1661" s="328"/>
      <c r="O1661" s="386"/>
      <c r="P1661" s="356"/>
      <c r="Q1661" s="380"/>
      <c r="S1661" s="336"/>
      <c r="T1661" s="62" ph="1"/>
      <c r="V1661" s="232"/>
      <c r="W1661" s="269"/>
      <c r="X1661" s="201"/>
      <c r="Y1661" s="269"/>
      <c r="Z1661" s="269"/>
      <c r="AA1661" s="269"/>
      <c r="AB1661" s="269"/>
      <c r="AC1661" s="269"/>
      <c r="AD1661" s="269"/>
      <c r="AE1661" s="269"/>
      <c r="AG1661" s="128"/>
    </row>
    <row r="1662" spans="1:33" ht="26.25">
      <c r="A1662" s="269"/>
      <c r="B1662" s="269"/>
      <c r="C1662" s="269"/>
      <c r="D1662" s="269"/>
      <c r="E1662" s="269"/>
      <c r="F1662" s="269"/>
      <c r="G1662" s="269"/>
      <c r="H1662" s="269"/>
      <c r="I1662" s="269"/>
      <c r="J1662" s="334"/>
      <c r="K1662" s="334"/>
      <c r="L1662" s="334"/>
      <c r="M1662" s="328"/>
      <c r="N1662" s="328"/>
      <c r="O1662" s="386"/>
      <c r="P1662" s="356"/>
      <c r="Q1662" s="380"/>
      <c r="S1662" s="336"/>
      <c r="T1662" s="62" ph="1"/>
      <c r="V1662" s="232"/>
      <c r="W1662" s="269"/>
      <c r="X1662" s="201"/>
      <c r="Y1662" s="269"/>
      <c r="Z1662" s="269"/>
      <c r="AA1662" s="269"/>
      <c r="AB1662" s="269"/>
      <c r="AC1662" s="269"/>
      <c r="AD1662" s="269"/>
      <c r="AE1662" s="269"/>
      <c r="AG1662" s="128"/>
    </row>
    <row r="1663" spans="1:33" ht="26.25">
      <c r="A1663" s="269"/>
      <c r="B1663" s="269"/>
      <c r="C1663" s="269"/>
      <c r="D1663" s="269"/>
      <c r="E1663" s="269"/>
      <c r="F1663" s="269"/>
      <c r="G1663" s="269"/>
      <c r="H1663" s="269"/>
      <c r="I1663" s="269"/>
      <c r="J1663" s="334"/>
      <c r="K1663" s="334"/>
      <c r="L1663" s="334"/>
      <c r="M1663" s="328"/>
      <c r="N1663" s="328"/>
      <c r="O1663" s="386"/>
      <c r="P1663" s="356"/>
      <c r="Q1663" s="380"/>
      <c r="S1663" s="336"/>
      <c r="T1663" s="62" ph="1"/>
      <c r="V1663" s="232"/>
      <c r="W1663" s="269"/>
      <c r="X1663" s="201"/>
      <c r="Y1663" s="269"/>
      <c r="Z1663" s="269"/>
      <c r="AA1663" s="269"/>
      <c r="AB1663" s="269"/>
      <c r="AC1663" s="269"/>
      <c r="AD1663" s="269"/>
      <c r="AE1663" s="269"/>
      <c r="AG1663" s="128"/>
    </row>
    <row r="1664" spans="1:33" ht="26.25">
      <c r="A1664" s="269"/>
      <c r="B1664" s="269"/>
      <c r="C1664" s="269"/>
      <c r="D1664" s="269"/>
      <c r="E1664" s="269"/>
      <c r="F1664" s="269"/>
      <c r="G1664" s="269"/>
      <c r="H1664" s="269"/>
      <c r="I1664" s="269"/>
      <c r="J1664" s="334"/>
      <c r="K1664" s="334"/>
      <c r="L1664" s="334"/>
      <c r="M1664" s="328"/>
      <c r="N1664" s="328"/>
      <c r="O1664" s="386"/>
      <c r="P1664" s="356"/>
      <c r="Q1664" s="380"/>
      <c r="S1664" s="336"/>
      <c r="T1664" s="62" ph="1"/>
      <c r="V1664" s="232"/>
      <c r="W1664" s="269"/>
      <c r="X1664" s="201"/>
      <c r="Y1664" s="269"/>
      <c r="Z1664" s="269"/>
      <c r="AA1664" s="269"/>
      <c r="AB1664" s="269"/>
      <c r="AC1664" s="269"/>
      <c r="AD1664" s="269"/>
      <c r="AE1664" s="269"/>
      <c r="AG1664" s="128"/>
    </row>
    <row r="1665" spans="1:33" ht="26.25">
      <c r="A1665" s="269"/>
      <c r="B1665" s="269"/>
      <c r="C1665" s="269"/>
      <c r="D1665" s="269"/>
      <c r="E1665" s="269"/>
      <c r="F1665" s="269"/>
      <c r="G1665" s="269"/>
      <c r="H1665" s="269"/>
      <c r="I1665" s="269"/>
      <c r="J1665" s="334"/>
      <c r="K1665" s="334"/>
      <c r="L1665" s="334"/>
      <c r="M1665" s="328"/>
      <c r="N1665" s="328"/>
      <c r="O1665" s="386"/>
      <c r="P1665" s="356"/>
      <c r="Q1665" s="380"/>
      <c r="S1665" s="336"/>
      <c r="T1665" s="62" ph="1"/>
      <c r="V1665" s="232"/>
      <c r="W1665" s="269"/>
      <c r="X1665" s="201"/>
      <c r="Y1665" s="269"/>
      <c r="Z1665" s="269"/>
      <c r="AA1665" s="269"/>
      <c r="AB1665" s="269"/>
      <c r="AC1665" s="269"/>
      <c r="AD1665" s="269"/>
      <c r="AE1665" s="269"/>
      <c r="AG1665" s="128"/>
    </row>
    <row r="1666" spans="1:33" ht="26.25">
      <c r="A1666" s="269"/>
      <c r="B1666" s="269"/>
      <c r="C1666" s="269"/>
      <c r="D1666" s="269"/>
      <c r="E1666" s="269"/>
      <c r="F1666" s="269"/>
      <c r="G1666" s="269"/>
      <c r="H1666" s="269"/>
      <c r="I1666" s="269"/>
      <c r="J1666" s="334"/>
      <c r="K1666" s="334"/>
      <c r="L1666" s="334"/>
      <c r="M1666" s="328"/>
      <c r="N1666" s="328"/>
      <c r="O1666" s="386"/>
      <c r="P1666" s="356"/>
      <c r="Q1666" s="380"/>
      <c r="S1666" s="336"/>
      <c r="T1666" s="62" ph="1"/>
      <c r="V1666" s="232"/>
      <c r="W1666" s="269"/>
      <c r="X1666" s="201"/>
      <c r="Y1666" s="269"/>
      <c r="Z1666" s="269"/>
      <c r="AA1666" s="269"/>
      <c r="AB1666" s="269"/>
      <c r="AC1666" s="269"/>
      <c r="AD1666" s="269"/>
      <c r="AE1666" s="269"/>
      <c r="AG1666" s="128"/>
    </row>
    <row r="1667" spans="1:33" ht="26.25">
      <c r="A1667" s="269"/>
      <c r="B1667" s="269"/>
      <c r="C1667" s="269"/>
      <c r="D1667" s="269"/>
      <c r="E1667" s="269"/>
      <c r="F1667" s="269"/>
      <c r="G1667" s="269"/>
      <c r="H1667" s="269"/>
      <c r="I1667" s="269"/>
      <c r="J1667" s="334"/>
      <c r="K1667" s="334"/>
      <c r="L1667" s="334"/>
      <c r="M1667" s="328"/>
      <c r="N1667" s="328"/>
      <c r="O1667" s="386"/>
      <c r="P1667" s="356"/>
      <c r="Q1667" s="380"/>
      <c r="S1667" s="336"/>
      <c r="T1667" s="62" ph="1"/>
      <c r="V1667" s="232"/>
      <c r="W1667" s="269"/>
      <c r="X1667" s="201"/>
      <c r="Y1667" s="269"/>
      <c r="Z1667" s="269"/>
      <c r="AA1667" s="269"/>
      <c r="AB1667" s="269"/>
      <c r="AC1667" s="269"/>
      <c r="AD1667" s="269"/>
      <c r="AE1667" s="269"/>
      <c r="AG1667" s="269"/>
    </row>
    <row r="1668" spans="1:33" ht="26.25">
      <c r="A1668" s="269"/>
      <c r="B1668" s="269"/>
      <c r="C1668" s="269"/>
      <c r="D1668" s="269"/>
      <c r="E1668" s="269"/>
      <c r="F1668" s="269"/>
      <c r="G1668" s="269"/>
      <c r="H1668" s="269"/>
      <c r="I1668" s="269"/>
      <c r="J1668" s="334"/>
      <c r="K1668" s="334"/>
      <c r="L1668" s="334"/>
      <c r="M1668" s="328"/>
      <c r="N1668" s="328"/>
      <c r="O1668" s="386"/>
      <c r="P1668" s="356"/>
      <c r="Q1668" s="380"/>
      <c r="S1668" s="336"/>
      <c r="T1668" s="62" ph="1"/>
      <c r="V1668" s="232"/>
      <c r="W1668" s="269"/>
      <c r="X1668" s="201"/>
      <c r="Y1668" s="269"/>
      <c r="Z1668" s="269"/>
      <c r="AA1668" s="269"/>
      <c r="AB1668" s="269"/>
      <c r="AC1668" s="269"/>
      <c r="AD1668" s="269"/>
      <c r="AE1668" s="269"/>
      <c r="AG1668" s="128"/>
    </row>
    <row r="1669" spans="1:33" ht="26.25">
      <c r="A1669" s="269"/>
      <c r="B1669" s="269"/>
      <c r="C1669" s="269"/>
      <c r="D1669" s="269"/>
      <c r="E1669" s="269"/>
      <c r="F1669" s="269"/>
      <c r="G1669" s="269"/>
      <c r="H1669" s="269"/>
      <c r="I1669" s="269"/>
      <c r="J1669" s="334"/>
      <c r="K1669" s="334"/>
      <c r="L1669" s="334"/>
      <c r="M1669" s="328"/>
      <c r="N1669" s="328"/>
      <c r="O1669" s="386"/>
      <c r="P1669" s="356"/>
      <c r="Q1669" s="380"/>
      <c r="S1669" s="336"/>
      <c r="T1669" s="62" ph="1"/>
      <c r="V1669" s="232"/>
      <c r="W1669" s="269"/>
      <c r="X1669" s="201"/>
      <c r="Y1669" s="269"/>
      <c r="Z1669" s="269"/>
      <c r="AA1669" s="269"/>
      <c r="AB1669" s="269"/>
      <c r="AC1669" s="269"/>
      <c r="AD1669" s="269"/>
      <c r="AE1669" s="269"/>
      <c r="AG1669" s="128"/>
    </row>
    <row r="1670" spans="1:33" ht="26.25">
      <c r="A1670" s="269"/>
      <c r="B1670" s="269"/>
      <c r="C1670" s="269"/>
      <c r="D1670" s="269"/>
      <c r="E1670" s="269"/>
      <c r="F1670" s="269"/>
      <c r="G1670" s="269"/>
      <c r="H1670" s="269"/>
      <c r="I1670" s="269"/>
      <c r="J1670" s="334"/>
      <c r="K1670" s="334"/>
      <c r="L1670" s="334"/>
      <c r="M1670" s="328"/>
      <c r="N1670" s="328"/>
      <c r="O1670" s="386"/>
      <c r="P1670" s="356"/>
      <c r="Q1670" s="380"/>
      <c r="S1670" s="336"/>
      <c r="T1670" s="62" ph="1"/>
      <c r="V1670" s="232"/>
      <c r="W1670" s="269"/>
      <c r="X1670" s="201"/>
      <c r="Y1670" s="269"/>
      <c r="Z1670" s="269"/>
      <c r="AA1670" s="269"/>
      <c r="AB1670" s="269"/>
      <c r="AC1670" s="269"/>
      <c r="AD1670" s="269"/>
      <c r="AE1670" s="269"/>
      <c r="AG1670" s="128"/>
    </row>
    <row r="1671" spans="1:33" ht="26.25">
      <c r="A1671" s="269"/>
      <c r="B1671" s="269"/>
      <c r="C1671" s="269"/>
      <c r="D1671" s="269"/>
      <c r="E1671" s="269"/>
      <c r="F1671" s="269"/>
      <c r="G1671" s="269"/>
      <c r="H1671" s="269"/>
      <c r="I1671" s="269"/>
      <c r="J1671" s="334"/>
      <c r="K1671" s="334"/>
      <c r="L1671" s="334"/>
      <c r="M1671" s="328"/>
      <c r="N1671" s="328"/>
      <c r="O1671" s="386"/>
      <c r="P1671" s="356"/>
      <c r="Q1671" s="380"/>
      <c r="S1671" s="336"/>
      <c r="T1671" s="62" ph="1"/>
      <c r="V1671" s="232"/>
      <c r="W1671" s="269"/>
      <c r="X1671" s="201"/>
      <c r="Y1671" s="269"/>
      <c r="Z1671" s="269"/>
      <c r="AA1671" s="269"/>
      <c r="AB1671" s="269"/>
      <c r="AC1671" s="269"/>
      <c r="AD1671" s="269"/>
      <c r="AE1671" s="269"/>
      <c r="AG1671" s="128"/>
    </row>
    <row r="1672" spans="1:33" ht="26.25">
      <c r="A1672" s="269"/>
      <c r="B1672" s="269"/>
      <c r="C1672" s="269"/>
      <c r="D1672" s="269"/>
      <c r="E1672" s="269"/>
      <c r="F1672" s="269"/>
      <c r="G1672" s="269"/>
      <c r="H1672" s="269"/>
      <c r="I1672" s="269"/>
      <c r="J1672" s="334"/>
      <c r="K1672" s="334"/>
      <c r="L1672" s="334"/>
      <c r="M1672" s="328"/>
      <c r="N1672" s="328"/>
      <c r="O1672" s="386"/>
      <c r="P1672" s="356"/>
      <c r="Q1672" s="380"/>
      <c r="S1672" s="336"/>
      <c r="T1672" s="62" ph="1"/>
      <c r="V1672" s="232"/>
      <c r="W1672" s="269"/>
      <c r="X1672" s="201"/>
      <c r="Y1672" s="269"/>
      <c r="Z1672" s="269"/>
      <c r="AA1672" s="269"/>
      <c r="AB1672" s="269"/>
      <c r="AC1672" s="269"/>
      <c r="AD1672" s="269"/>
      <c r="AE1672" s="269"/>
      <c r="AG1672" s="128"/>
    </row>
    <row r="1673" spans="1:33" ht="26.25">
      <c r="A1673" s="269"/>
      <c r="B1673" s="269"/>
      <c r="C1673" s="269"/>
      <c r="D1673" s="269"/>
      <c r="E1673" s="269"/>
      <c r="F1673" s="269"/>
      <c r="G1673" s="269"/>
      <c r="H1673" s="269"/>
      <c r="I1673" s="269"/>
      <c r="J1673" s="334"/>
      <c r="K1673" s="334"/>
      <c r="L1673" s="334"/>
      <c r="M1673" s="328"/>
      <c r="N1673" s="328"/>
      <c r="O1673" s="386"/>
      <c r="P1673" s="356"/>
      <c r="Q1673" s="380"/>
      <c r="S1673" s="336"/>
      <c r="T1673" s="62" ph="1"/>
      <c r="V1673" s="232"/>
      <c r="W1673" s="269"/>
      <c r="X1673" s="201"/>
      <c r="Y1673" s="269"/>
      <c r="Z1673" s="269"/>
      <c r="AA1673" s="269"/>
      <c r="AB1673" s="269"/>
      <c r="AC1673" s="269"/>
      <c r="AD1673" s="269"/>
      <c r="AE1673" s="269"/>
      <c r="AG1673" s="128"/>
    </row>
    <row r="1674" spans="1:33" ht="26.25">
      <c r="A1674" s="269"/>
      <c r="B1674" s="269"/>
      <c r="C1674" s="269"/>
      <c r="D1674" s="269"/>
      <c r="E1674" s="269"/>
      <c r="F1674" s="269"/>
      <c r="G1674" s="269"/>
      <c r="H1674" s="269"/>
      <c r="I1674" s="269"/>
      <c r="J1674" s="334"/>
      <c r="K1674" s="334"/>
      <c r="L1674" s="334"/>
      <c r="M1674" s="328"/>
      <c r="N1674" s="328"/>
      <c r="O1674" s="386"/>
      <c r="P1674" s="356"/>
      <c r="Q1674" s="380"/>
      <c r="S1674" s="336"/>
      <c r="T1674" s="62" ph="1"/>
      <c r="V1674" s="232"/>
      <c r="W1674" s="269"/>
      <c r="X1674" s="201"/>
      <c r="Y1674" s="269"/>
      <c r="Z1674" s="269"/>
      <c r="AA1674" s="269"/>
      <c r="AB1674" s="269"/>
      <c r="AC1674" s="269"/>
      <c r="AD1674" s="269"/>
      <c r="AE1674" s="269"/>
      <c r="AG1674" s="128"/>
    </row>
    <row r="1675" spans="1:33" ht="26.25">
      <c r="A1675" s="269"/>
      <c r="B1675" s="269"/>
      <c r="C1675" s="269"/>
      <c r="D1675" s="269"/>
      <c r="E1675" s="269"/>
      <c r="F1675" s="269"/>
      <c r="G1675" s="269"/>
      <c r="H1675" s="269"/>
      <c r="I1675" s="269"/>
      <c r="J1675" s="334"/>
      <c r="K1675" s="334"/>
      <c r="L1675" s="334"/>
      <c r="M1675" s="328"/>
      <c r="N1675" s="328"/>
      <c r="O1675" s="386"/>
      <c r="P1675" s="356"/>
      <c r="Q1675" s="380"/>
      <c r="S1675" s="336"/>
      <c r="T1675" s="62" ph="1"/>
      <c r="V1675" s="232"/>
      <c r="W1675" s="269"/>
      <c r="X1675" s="201"/>
      <c r="Y1675" s="269"/>
      <c r="Z1675" s="269"/>
      <c r="AA1675" s="269"/>
      <c r="AB1675" s="269"/>
      <c r="AC1675" s="269"/>
      <c r="AD1675" s="269"/>
      <c r="AE1675" s="269"/>
      <c r="AG1675" s="128"/>
    </row>
    <row r="1676" spans="1:33" ht="26.25">
      <c r="A1676" s="269"/>
      <c r="B1676" s="269"/>
      <c r="C1676" s="269"/>
      <c r="D1676" s="269"/>
      <c r="E1676" s="269"/>
      <c r="F1676" s="269"/>
      <c r="G1676" s="269"/>
      <c r="H1676" s="269"/>
      <c r="I1676" s="269"/>
      <c r="J1676" s="334"/>
      <c r="K1676" s="334"/>
      <c r="L1676" s="334"/>
      <c r="M1676" s="328"/>
      <c r="N1676" s="328"/>
      <c r="O1676" s="386"/>
      <c r="P1676" s="356"/>
      <c r="Q1676" s="380"/>
      <c r="S1676" s="336"/>
      <c r="T1676" s="62" ph="1"/>
      <c r="V1676" s="232"/>
      <c r="W1676" s="269"/>
      <c r="X1676" s="201"/>
      <c r="Y1676" s="269"/>
      <c r="Z1676" s="269"/>
      <c r="AA1676" s="269"/>
      <c r="AB1676" s="269"/>
      <c r="AC1676" s="269"/>
      <c r="AD1676" s="269"/>
      <c r="AE1676" s="269"/>
      <c r="AG1676" s="128"/>
    </row>
    <row r="1677" spans="1:33" ht="26.25">
      <c r="A1677" s="269"/>
      <c r="B1677" s="269"/>
      <c r="C1677" s="269"/>
      <c r="D1677" s="269"/>
      <c r="E1677" s="269"/>
      <c r="F1677" s="269"/>
      <c r="G1677" s="269"/>
      <c r="H1677" s="269"/>
      <c r="I1677" s="269"/>
      <c r="J1677" s="334"/>
      <c r="K1677" s="334"/>
      <c r="L1677" s="334"/>
      <c r="M1677" s="328"/>
      <c r="N1677" s="328"/>
      <c r="O1677" s="386"/>
      <c r="P1677" s="356"/>
      <c r="Q1677" s="380"/>
      <c r="S1677" s="336"/>
      <c r="T1677" s="62" ph="1"/>
      <c r="V1677" s="232"/>
      <c r="W1677" s="269"/>
      <c r="X1677" s="201"/>
      <c r="Y1677" s="269"/>
      <c r="Z1677" s="269"/>
      <c r="AA1677" s="269"/>
      <c r="AB1677" s="269"/>
      <c r="AC1677" s="269"/>
      <c r="AD1677" s="269"/>
      <c r="AE1677" s="269"/>
      <c r="AG1677" s="269"/>
    </row>
    <row r="1678" spans="1:33" ht="26.25">
      <c r="A1678" s="269"/>
      <c r="B1678" s="269"/>
      <c r="C1678" s="269"/>
      <c r="D1678" s="269"/>
      <c r="E1678" s="269"/>
      <c r="F1678" s="269"/>
      <c r="G1678" s="269"/>
      <c r="H1678" s="269"/>
      <c r="I1678" s="269"/>
      <c r="J1678" s="334"/>
      <c r="K1678" s="334"/>
      <c r="L1678" s="334"/>
      <c r="M1678" s="328"/>
      <c r="N1678" s="328"/>
      <c r="O1678" s="386"/>
      <c r="P1678" s="356"/>
      <c r="Q1678" s="380"/>
      <c r="S1678" s="336"/>
      <c r="T1678" s="62" ph="1"/>
      <c r="V1678" s="232"/>
      <c r="W1678" s="269"/>
      <c r="X1678" s="201"/>
      <c r="Y1678" s="269"/>
      <c r="Z1678" s="269"/>
      <c r="AA1678" s="269"/>
      <c r="AB1678" s="269"/>
      <c r="AC1678" s="269"/>
      <c r="AD1678" s="269"/>
      <c r="AE1678" s="269"/>
      <c r="AG1678" s="128"/>
    </row>
    <row r="1679" spans="1:33" ht="26.25">
      <c r="A1679" s="269"/>
      <c r="B1679" s="269"/>
      <c r="C1679" s="269"/>
      <c r="D1679" s="269"/>
      <c r="E1679" s="269"/>
      <c r="F1679" s="269"/>
      <c r="G1679" s="269"/>
      <c r="H1679" s="269"/>
      <c r="I1679" s="269"/>
      <c r="J1679" s="334"/>
      <c r="K1679" s="334"/>
      <c r="L1679" s="334"/>
      <c r="M1679" s="328"/>
      <c r="N1679" s="328"/>
      <c r="O1679" s="386"/>
      <c r="P1679" s="356"/>
      <c r="Q1679" s="380"/>
      <c r="S1679" s="336"/>
      <c r="T1679" s="62" ph="1"/>
      <c r="V1679" s="232"/>
      <c r="W1679" s="269"/>
      <c r="X1679" s="201"/>
      <c r="Y1679" s="269"/>
      <c r="Z1679" s="269"/>
      <c r="AA1679" s="269"/>
      <c r="AB1679" s="269"/>
      <c r="AC1679" s="269"/>
      <c r="AD1679" s="269"/>
      <c r="AE1679" s="269"/>
      <c r="AG1679" s="128"/>
    </row>
    <row r="1680" spans="1:33" ht="26.25">
      <c r="A1680" s="269"/>
      <c r="B1680" s="269"/>
      <c r="C1680" s="269"/>
      <c r="D1680" s="269"/>
      <c r="E1680" s="269"/>
      <c r="F1680" s="269"/>
      <c r="G1680" s="269"/>
      <c r="H1680" s="269"/>
      <c r="I1680" s="269"/>
      <c r="J1680" s="334"/>
      <c r="K1680" s="334"/>
      <c r="L1680" s="334"/>
      <c r="M1680" s="328"/>
      <c r="N1680" s="328"/>
      <c r="O1680" s="386"/>
      <c r="P1680" s="356"/>
      <c r="Q1680" s="380"/>
      <c r="S1680" s="336"/>
      <c r="T1680" s="62" ph="1"/>
      <c r="V1680" s="232"/>
      <c r="W1680" s="269"/>
      <c r="X1680" s="201"/>
      <c r="Y1680" s="269"/>
      <c r="Z1680" s="269"/>
      <c r="AA1680" s="269"/>
      <c r="AB1680" s="269"/>
      <c r="AC1680" s="269"/>
      <c r="AD1680" s="269"/>
      <c r="AE1680" s="269"/>
      <c r="AG1680" s="128"/>
    </row>
    <row r="1681" spans="1:33" ht="26.25">
      <c r="A1681" s="269"/>
      <c r="B1681" s="269"/>
      <c r="C1681" s="269"/>
      <c r="D1681" s="269"/>
      <c r="E1681" s="269"/>
      <c r="F1681" s="269"/>
      <c r="G1681" s="269"/>
      <c r="H1681" s="269"/>
      <c r="I1681" s="269"/>
      <c r="J1681" s="334"/>
      <c r="K1681" s="334"/>
      <c r="L1681" s="334"/>
      <c r="M1681" s="328"/>
      <c r="N1681" s="328"/>
      <c r="O1681" s="386"/>
      <c r="P1681" s="356"/>
      <c r="Q1681" s="380"/>
      <c r="S1681" s="336"/>
      <c r="T1681" s="62" ph="1"/>
      <c r="V1681" s="232"/>
      <c r="W1681" s="269"/>
      <c r="X1681" s="201"/>
      <c r="Y1681" s="269"/>
      <c r="Z1681" s="269"/>
      <c r="AA1681" s="269"/>
      <c r="AB1681" s="269"/>
      <c r="AC1681" s="269"/>
      <c r="AD1681" s="269"/>
      <c r="AE1681" s="269"/>
      <c r="AG1681" s="269"/>
    </row>
    <row r="1682" spans="1:33" ht="26.25">
      <c r="A1682" s="269"/>
      <c r="B1682" s="269"/>
      <c r="C1682" s="269"/>
      <c r="D1682" s="269"/>
      <c r="E1682" s="269"/>
      <c r="F1682" s="269"/>
      <c r="G1682" s="269"/>
      <c r="H1682" s="269"/>
      <c r="I1682" s="269"/>
      <c r="J1682" s="334"/>
      <c r="K1682" s="334"/>
      <c r="L1682" s="334"/>
      <c r="M1682" s="328"/>
      <c r="N1682" s="328"/>
      <c r="O1682" s="386"/>
      <c r="P1682" s="356"/>
      <c r="Q1682" s="380"/>
      <c r="S1682" s="336"/>
      <c r="T1682" s="62" ph="1"/>
      <c r="V1682" s="232"/>
      <c r="W1682" s="269"/>
      <c r="X1682" s="201"/>
      <c r="Y1682" s="269"/>
      <c r="Z1682" s="269"/>
      <c r="AA1682" s="269"/>
      <c r="AB1682" s="269"/>
      <c r="AC1682" s="269"/>
      <c r="AD1682" s="269"/>
      <c r="AE1682" s="269"/>
      <c r="AG1682" s="128"/>
    </row>
    <row r="1683" spans="1:33" ht="26.25">
      <c r="A1683" s="269"/>
      <c r="B1683" s="269"/>
      <c r="C1683" s="269"/>
      <c r="D1683" s="269"/>
      <c r="E1683" s="269"/>
      <c r="F1683" s="269"/>
      <c r="G1683" s="269"/>
      <c r="H1683" s="269"/>
      <c r="I1683" s="269"/>
      <c r="J1683" s="334"/>
      <c r="K1683" s="334"/>
      <c r="L1683" s="334"/>
      <c r="M1683" s="328"/>
      <c r="N1683" s="328"/>
      <c r="O1683" s="386"/>
      <c r="P1683" s="356"/>
      <c r="Q1683" s="380"/>
      <c r="S1683" s="336"/>
      <c r="T1683" s="62" ph="1"/>
      <c r="V1683" s="232"/>
      <c r="W1683" s="269"/>
      <c r="X1683" s="201"/>
      <c r="Y1683" s="269"/>
      <c r="Z1683" s="269"/>
      <c r="AA1683" s="269"/>
      <c r="AB1683" s="269"/>
      <c r="AC1683" s="269"/>
      <c r="AD1683" s="269"/>
      <c r="AE1683" s="269"/>
      <c r="AG1683" s="128"/>
    </row>
    <row r="1684" spans="1:33" ht="26.25">
      <c r="A1684" s="269"/>
      <c r="B1684" s="269"/>
      <c r="C1684" s="269"/>
      <c r="D1684" s="269"/>
      <c r="E1684" s="269"/>
      <c r="F1684" s="269"/>
      <c r="G1684" s="269"/>
      <c r="H1684" s="269"/>
      <c r="I1684" s="269"/>
      <c r="J1684" s="334"/>
      <c r="K1684" s="334"/>
      <c r="L1684" s="334"/>
      <c r="M1684" s="328"/>
      <c r="N1684" s="328"/>
      <c r="O1684" s="386"/>
      <c r="P1684" s="356"/>
      <c r="Q1684" s="380"/>
      <c r="S1684" s="336"/>
      <c r="T1684" s="62" ph="1"/>
      <c r="V1684" s="232"/>
      <c r="W1684" s="269"/>
      <c r="X1684" s="201"/>
      <c r="Y1684" s="269"/>
      <c r="Z1684" s="269"/>
      <c r="AA1684" s="269"/>
      <c r="AB1684" s="269"/>
      <c r="AC1684" s="269"/>
      <c r="AD1684" s="269"/>
      <c r="AE1684" s="269"/>
      <c r="AG1684" s="128"/>
    </row>
    <row r="1685" spans="1:33" ht="26.25">
      <c r="A1685" s="269"/>
      <c r="B1685" s="269"/>
      <c r="C1685" s="269"/>
      <c r="D1685" s="269"/>
      <c r="E1685" s="269"/>
      <c r="F1685" s="269"/>
      <c r="G1685" s="269"/>
      <c r="H1685" s="269"/>
      <c r="I1685" s="269"/>
      <c r="J1685" s="334"/>
      <c r="K1685" s="334"/>
      <c r="L1685" s="334"/>
      <c r="M1685" s="328"/>
      <c r="N1685" s="328"/>
      <c r="O1685" s="386"/>
      <c r="P1685" s="356"/>
      <c r="Q1685" s="380"/>
      <c r="S1685" s="336"/>
      <c r="T1685" s="62" ph="1"/>
      <c r="V1685" s="232"/>
      <c r="W1685" s="269"/>
      <c r="X1685" s="201"/>
      <c r="Y1685" s="269"/>
      <c r="Z1685" s="269"/>
      <c r="AA1685" s="269"/>
      <c r="AB1685" s="269"/>
      <c r="AC1685" s="269"/>
      <c r="AD1685" s="269"/>
      <c r="AE1685" s="269"/>
      <c r="AG1685" s="128"/>
    </row>
    <row r="1686" spans="1:33" ht="26.25">
      <c r="A1686" s="269"/>
      <c r="B1686" s="269"/>
      <c r="C1686" s="269"/>
      <c r="D1686" s="269"/>
      <c r="E1686" s="269"/>
      <c r="F1686" s="269"/>
      <c r="G1686" s="269"/>
      <c r="H1686" s="269"/>
      <c r="I1686" s="269"/>
      <c r="J1686" s="334"/>
      <c r="K1686" s="334"/>
      <c r="L1686" s="334"/>
      <c r="M1686" s="328"/>
      <c r="N1686" s="328"/>
      <c r="O1686" s="386"/>
      <c r="P1686" s="356"/>
      <c r="Q1686" s="380"/>
      <c r="S1686" s="336"/>
      <c r="T1686" s="62" ph="1"/>
      <c r="V1686" s="232"/>
      <c r="W1686" s="269"/>
      <c r="X1686" s="201"/>
      <c r="Y1686" s="269"/>
      <c r="Z1686" s="269"/>
      <c r="AA1686" s="269"/>
      <c r="AB1686" s="269"/>
      <c r="AC1686" s="269"/>
      <c r="AD1686" s="269"/>
      <c r="AE1686" s="269"/>
      <c r="AG1686" s="128"/>
    </row>
    <row r="1687" spans="1:33" ht="26.25">
      <c r="A1687" s="269"/>
      <c r="B1687" s="269"/>
      <c r="C1687" s="269"/>
      <c r="D1687" s="269"/>
      <c r="E1687" s="269"/>
      <c r="F1687" s="269"/>
      <c r="G1687" s="269"/>
      <c r="H1687" s="269"/>
      <c r="I1687" s="269"/>
      <c r="J1687" s="334"/>
      <c r="K1687" s="334"/>
      <c r="L1687" s="334"/>
      <c r="M1687" s="328"/>
      <c r="N1687" s="328"/>
      <c r="O1687" s="386"/>
      <c r="P1687" s="356"/>
      <c r="Q1687" s="380"/>
      <c r="S1687" s="336"/>
      <c r="T1687" s="62" ph="1"/>
      <c r="V1687" s="232"/>
      <c r="W1687" s="269"/>
      <c r="X1687" s="201"/>
      <c r="Y1687" s="269"/>
      <c r="Z1687" s="269"/>
      <c r="AA1687" s="269"/>
      <c r="AB1687" s="269"/>
      <c r="AC1687" s="269"/>
      <c r="AD1687" s="269"/>
      <c r="AE1687" s="269"/>
      <c r="AG1687" s="128"/>
    </row>
    <row r="1688" spans="1:33" ht="26.25">
      <c r="A1688" s="269"/>
      <c r="B1688" s="269"/>
      <c r="C1688" s="269"/>
      <c r="D1688" s="269"/>
      <c r="E1688" s="269"/>
      <c r="F1688" s="269"/>
      <c r="G1688" s="269"/>
      <c r="H1688" s="269"/>
      <c r="I1688" s="269"/>
      <c r="J1688" s="334"/>
      <c r="K1688" s="334"/>
      <c r="L1688" s="334"/>
      <c r="M1688" s="328"/>
      <c r="N1688" s="328"/>
      <c r="O1688" s="386"/>
      <c r="P1688" s="356"/>
      <c r="Q1688" s="380"/>
      <c r="S1688" s="336"/>
      <c r="T1688" s="62" ph="1"/>
      <c r="V1688" s="232"/>
      <c r="W1688" s="269"/>
      <c r="X1688" s="201"/>
      <c r="Y1688" s="269"/>
      <c r="Z1688" s="269"/>
      <c r="AA1688" s="269"/>
      <c r="AB1688" s="269"/>
      <c r="AC1688" s="269"/>
      <c r="AD1688" s="269"/>
      <c r="AE1688" s="269"/>
      <c r="AG1688" s="128"/>
    </row>
    <row r="1689" spans="1:33" ht="26.25">
      <c r="A1689" s="269"/>
      <c r="B1689" s="269"/>
      <c r="C1689" s="269"/>
      <c r="D1689" s="269"/>
      <c r="E1689" s="269"/>
      <c r="F1689" s="269"/>
      <c r="G1689" s="269"/>
      <c r="H1689" s="269"/>
      <c r="I1689" s="269"/>
      <c r="J1689" s="334"/>
      <c r="K1689" s="334"/>
      <c r="L1689" s="334"/>
      <c r="M1689" s="328"/>
      <c r="N1689" s="328"/>
      <c r="O1689" s="386"/>
      <c r="P1689" s="356"/>
      <c r="Q1689" s="380"/>
      <c r="S1689" s="336"/>
      <c r="T1689" s="62" ph="1"/>
      <c r="V1689" s="232"/>
      <c r="W1689" s="269"/>
      <c r="X1689" s="201"/>
      <c r="Y1689" s="269"/>
      <c r="Z1689" s="269"/>
      <c r="AA1689" s="269"/>
      <c r="AB1689" s="269"/>
      <c r="AC1689" s="269"/>
      <c r="AD1689" s="269"/>
      <c r="AE1689" s="269"/>
      <c r="AG1689" s="128"/>
    </row>
    <row r="1690" spans="1:33" ht="26.25">
      <c r="A1690" s="269"/>
      <c r="B1690" s="269"/>
      <c r="C1690" s="269"/>
      <c r="D1690" s="269"/>
      <c r="E1690" s="269"/>
      <c r="F1690" s="269"/>
      <c r="G1690" s="269"/>
      <c r="H1690" s="269"/>
      <c r="I1690" s="269"/>
      <c r="J1690" s="334"/>
      <c r="K1690" s="334"/>
      <c r="L1690" s="334"/>
      <c r="M1690" s="328"/>
      <c r="N1690" s="328"/>
      <c r="O1690" s="386"/>
      <c r="P1690" s="356"/>
      <c r="Q1690" s="380"/>
      <c r="S1690" s="336"/>
      <c r="T1690" s="62" ph="1"/>
      <c r="V1690" s="232"/>
      <c r="W1690" s="269"/>
      <c r="X1690" s="201"/>
      <c r="Y1690" s="269"/>
      <c r="Z1690" s="269"/>
      <c r="AA1690" s="269"/>
      <c r="AB1690" s="269"/>
      <c r="AC1690" s="269"/>
      <c r="AD1690" s="269"/>
      <c r="AE1690" s="269"/>
      <c r="AG1690" s="128"/>
    </row>
    <row r="1691" spans="1:33" ht="26.25">
      <c r="A1691" s="269"/>
      <c r="B1691" s="269"/>
      <c r="C1691" s="269"/>
      <c r="D1691" s="269"/>
      <c r="E1691" s="269"/>
      <c r="F1691" s="269"/>
      <c r="G1691" s="269"/>
      <c r="H1691" s="269"/>
      <c r="I1691" s="269"/>
      <c r="J1691" s="334"/>
      <c r="K1691" s="334"/>
      <c r="L1691" s="334"/>
      <c r="M1691" s="328"/>
      <c r="N1691" s="328"/>
      <c r="O1691" s="386"/>
      <c r="P1691" s="356"/>
      <c r="Q1691" s="380"/>
      <c r="S1691" s="336"/>
      <c r="T1691" s="62" ph="1"/>
      <c r="V1691" s="232"/>
      <c r="W1691" s="269"/>
      <c r="X1691" s="201"/>
      <c r="Y1691" s="269"/>
      <c r="Z1691" s="269"/>
      <c r="AA1691" s="269"/>
      <c r="AB1691" s="269"/>
      <c r="AC1691" s="269"/>
      <c r="AD1691" s="269"/>
      <c r="AE1691" s="269"/>
      <c r="AG1691" s="128"/>
    </row>
    <row r="1692" spans="1:33" ht="26.25">
      <c r="A1692" s="269"/>
      <c r="B1692" s="269"/>
      <c r="C1692" s="269"/>
      <c r="D1692" s="269"/>
      <c r="E1692" s="269"/>
      <c r="F1692" s="269"/>
      <c r="G1692" s="269"/>
      <c r="H1692" s="269"/>
      <c r="I1692" s="269"/>
      <c r="J1692" s="334"/>
      <c r="K1692" s="334"/>
      <c r="L1692" s="334"/>
      <c r="M1692" s="328"/>
      <c r="N1692" s="328"/>
      <c r="O1692" s="386"/>
      <c r="P1692" s="356"/>
      <c r="Q1692" s="380"/>
      <c r="S1692" s="336"/>
      <c r="T1692" s="62" ph="1"/>
      <c r="V1692" s="232"/>
      <c r="W1692" s="269"/>
      <c r="X1692" s="201"/>
      <c r="Y1692" s="269"/>
      <c r="Z1692" s="269"/>
      <c r="AA1692" s="269"/>
      <c r="AB1692" s="269"/>
      <c r="AC1692" s="269"/>
      <c r="AD1692" s="269"/>
      <c r="AE1692" s="269"/>
      <c r="AG1692" s="128"/>
    </row>
    <row r="1693" spans="1:33" ht="26.25">
      <c r="A1693" s="269"/>
      <c r="B1693" s="269"/>
      <c r="C1693" s="269"/>
      <c r="D1693" s="269"/>
      <c r="E1693" s="269"/>
      <c r="F1693" s="269"/>
      <c r="G1693" s="269"/>
      <c r="H1693" s="269"/>
      <c r="I1693" s="269"/>
      <c r="J1693" s="334"/>
      <c r="K1693" s="334"/>
      <c r="L1693" s="334"/>
      <c r="M1693" s="328"/>
      <c r="N1693" s="328"/>
      <c r="O1693" s="386"/>
      <c r="P1693" s="356"/>
      <c r="Q1693" s="380"/>
      <c r="S1693" s="336"/>
      <c r="T1693" s="62" ph="1"/>
      <c r="V1693" s="232"/>
      <c r="W1693" s="269"/>
      <c r="X1693" s="201"/>
      <c r="Y1693" s="269"/>
      <c r="Z1693" s="269"/>
      <c r="AA1693" s="269"/>
      <c r="AB1693" s="269"/>
      <c r="AC1693" s="269"/>
      <c r="AD1693" s="269"/>
      <c r="AE1693" s="269"/>
      <c r="AG1693" s="128"/>
    </row>
    <row r="1694" spans="1:33" ht="26.25">
      <c r="A1694" s="269"/>
      <c r="B1694" s="269"/>
      <c r="C1694" s="269"/>
      <c r="D1694" s="269"/>
      <c r="E1694" s="269"/>
      <c r="F1694" s="269"/>
      <c r="G1694" s="269"/>
      <c r="H1694" s="269"/>
      <c r="I1694" s="269"/>
      <c r="J1694" s="334"/>
      <c r="K1694" s="334"/>
      <c r="L1694" s="334"/>
      <c r="M1694" s="328"/>
      <c r="N1694" s="328"/>
      <c r="O1694" s="386"/>
      <c r="P1694" s="356"/>
      <c r="Q1694" s="380"/>
      <c r="S1694" s="336"/>
      <c r="T1694" s="62" ph="1"/>
      <c r="V1694" s="232"/>
      <c r="W1694" s="269"/>
      <c r="X1694" s="201"/>
      <c r="Y1694" s="269"/>
      <c r="Z1694" s="269"/>
      <c r="AA1694" s="269"/>
      <c r="AB1694" s="269"/>
      <c r="AC1694" s="269"/>
      <c r="AD1694" s="269"/>
      <c r="AE1694" s="269"/>
      <c r="AG1694" s="128"/>
    </row>
    <row r="1695" spans="1:33" ht="26.25">
      <c r="A1695" s="269"/>
      <c r="B1695" s="269"/>
      <c r="C1695" s="269"/>
      <c r="D1695" s="269"/>
      <c r="E1695" s="269"/>
      <c r="F1695" s="269"/>
      <c r="G1695" s="269"/>
      <c r="H1695" s="269"/>
      <c r="I1695" s="269"/>
      <c r="J1695" s="334"/>
      <c r="K1695" s="334"/>
      <c r="L1695" s="334"/>
      <c r="M1695" s="328"/>
      <c r="N1695" s="328"/>
      <c r="O1695" s="386"/>
      <c r="P1695" s="356"/>
      <c r="Q1695" s="380"/>
      <c r="S1695" s="336"/>
      <c r="T1695" s="62" ph="1"/>
      <c r="V1695" s="232"/>
      <c r="W1695" s="269"/>
      <c r="X1695" s="201"/>
      <c r="Y1695" s="269"/>
      <c r="Z1695" s="269"/>
      <c r="AA1695" s="269"/>
      <c r="AB1695" s="269"/>
      <c r="AC1695" s="269"/>
      <c r="AD1695" s="269"/>
      <c r="AE1695" s="269"/>
      <c r="AG1695" s="128"/>
    </row>
    <row r="1696" spans="1:33" ht="26.25">
      <c r="A1696" s="269"/>
      <c r="B1696" s="269"/>
      <c r="C1696" s="269"/>
      <c r="D1696" s="269"/>
      <c r="E1696" s="269"/>
      <c r="F1696" s="269"/>
      <c r="G1696" s="269"/>
      <c r="H1696" s="269"/>
      <c r="I1696" s="269"/>
      <c r="J1696" s="334"/>
      <c r="K1696" s="334"/>
      <c r="L1696" s="334"/>
      <c r="M1696" s="328"/>
      <c r="N1696" s="328"/>
      <c r="O1696" s="386"/>
      <c r="P1696" s="356"/>
      <c r="Q1696" s="380"/>
      <c r="S1696" s="336"/>
      <c r="T1696" s="62" ph="1"/>
      <c r="V1696" s="232"/>
      <c r="W1696" s="269"/>
      <c r="X1696" s="201"/>
      <c r="Y1696" s="269"/>
      <c r="Z1696" s="269"/>
      <c r="AA1696" s="269"/>
      <c r="AB1696" s="269"/>
      <c r="AC1696" s="269"/>
      <c r="AD1696" s="269"/>
      <c r="AE1696" s="269"/>
      <c r="AG1696" s="128"/>
    </row>
    <row r="1697" spans="1:33" ht="26.25">
      <c r="A1697" s="269"/>
      <c r="B1697" s="269"/>
      <c r="C1697" s="269"/>
      <c r="D1697" s="269"/>
      <c r="E1697" s="269"/>
      <c r="F1697" s="269"/>
      <c r="G1697" s="269"/>
      <c r="H1697" s="269"/>
      <c r="I1697" s="269"/>
      <c r="J1697" s="334"/>
      <c r="K1697" s="334"/>
      <c r="L1697" s="334"/>
      <c r="M1697" s="328"/>
      <c r="N1697" s="328"/>
      <c r="O1697" s="386"/>
      <c r="P1697" s="356"/>
      <c r="Q1697" s="380"/>
      <c r="S1697" s="336"/>
      <c r="T1697" s="62" ph="1"/>
      <c r="V1697" s="232"/>
      <c r="W1697" s="269"/>
      <c r="X1697" s="201"/>
      <c r="Y1697" s="269"/>
      <c r="Z1697" s="269"/>
      <c r="AA1697" s="269"/>
      <c r="AB1697" s="269"/>
      <c r="AC1697" s="269"/>
      <c r="AD1697" s="269"/>
      <c r="AE1697" s="269"/>
      <c r="AG1697" s="128"/>
    </row>
    <row r="1698" spans="1:33" ht="26.25">
      <c r="A1698" s="269"/>
      <c r="B1698" s="269"/>
      <c r="C1698" s="269"/>
      <c r="D1698" s="269"/>
      <c r="E1698" s="269"/>
      <c r="F1698" s="269"/>
      <c r="G1698" s="269"/>
      <c r="H1698" s="269"/>
      <c r="I1698" s="269"/>
      <c r="J1698" s="334"/>
      <c r="K1698" s="334"/>
      <c r="L1698" s="334"/>
      <c r="M1698" s="328"/>
      <c r="N1698" s="328"/>
      <c r="O1698" s="386"/>
      <c r="P1698" s="356"/>
      <c r="Q1698" s="380"/>
      <c r="S1698" s="336"/>
      <c r="T1698" s="62" ph="1"/>
      <c r="V1698" s="232"/>
      <c r="W1698" s="269"/>
      <c r="X1698" s="201"/>
      <c r="Y1698" s="269"/>
      <c r="Z1698" s="269"/>
      <c r="AA1698" s="269"/>
      <c r="AB1698" s="269"/>
      <c r="AC1698" s="269"/>
      <c r="AD1698" s="269"/>
      <c r="AE1698" s="269"/>
      <c r="AG1698" s="128"/>
    </row>
    <row r="1699" spans="1:33" ht="26.25">
      <c r="A1699" s="269"/>
      <c r="B1699" s="269"/>
      <c r="C1699" s="269"/>
      <c r="D1699" s="269"/>
      <c r="E1699" s="269"/>
      <c r="F1699" s="269"/>
      <c r="G1699" s="269"/>
      <c r="H1699" s="269"/>
      <c r="I1699" s="269"/>
      <c r="J1699" s="334"/>
      <c r="K1699" s="334"/>
      <c r="L1699" s="334"/>
      <c r="M1699" s="328"/>
      <c r="N1699" s="328"/>
      <c r="O1699" s="386"/>
      <c r="P1699" s="356"/>
      <c r="Q1699" s="380"/>
      <c r="S1699" s="336"/>
      <c r="T1699" s="62" ph="1"/>
      <c r="V1699" s="232"/>
      <c r="W1699" s="269"/>
      <c r="X1699" s="201"/>
      <c r="Y1699" s="269"/>
      <c r="Z1699" s="269"/>
      <c r="AA1699" s="269"/>
      <c r="AB1699" s="269"/>
      <c r="AC1699" s="269"/>
      <c r="AD1699" s="269"/>
      <c r="AE1699" s="269"/>
      <c r="AG1699" s="128"/>
    </row>
    <row r="1700" spans="1:33" ht="26.25">
      <c r="A1700" s="269"/>
      <c r="B1700" s="269"/>
      <c r="C1700" s="269"/>
      <c r="D1700" s="269"/>
      <c r="E1700" s="269"/>
      <c r="F1700" s="269"/>
      <c r="G1700" s="269"/>
      <c r="H1700" s="269"/>
      <c r="I1700" s="269"/>
      <c r="J1700" s="334"/>
      <c r="K1700" s="334"/>
      <c r="L1700" s="334"/>
      <c r="M1700" s="328"/>
      <c r="N1700" s="328"/>
      <c r="O1700" s="386"/>
      <c r="P1700" s="356"/>
      <c r="Q1700" s="380"/>
      <c r="S1700" s="336"/>
      <c r="T1700" s="62" ph="1"/>
      <c r="V1700" s="232"/>
      <c r="W1700" s="269"/>
      <c r="X1700" s="201"/>
      <c r="Y1700" s="269"/>
      <c r="Z1700" s="269"/>
      <c r="AA1700" s="269"/>
      <c r="AB1700" s="269"/>
      <c r="AC1700" s="269"/>
      <c r="AD1700" s="269"/>
      <c r="AE1700" s="269"/>
      <c r="AG1700" s="128"/>
    </row>
    <row r="1701" spans="1:33" ht="26.25">
      <c r="A1701" s="269"/>
      <c r="B1701" s="269"/>
      <c r="C1701" s="269"/>
      <c r="D1701" s="269"/>
      <c r="E1701" s="269"/>
      <c r="F1701" s="269"/>
      <c r="G1701" s="269"/>
      <c r="H1701" s="269"/>
      <c r="I1701" s="269"/>
      <c r="J1701" s="334"/>
      <c r="K1701" s="334"/>
      <c r="L1701" s="334"/>
      <c r="M1701" s="328"/>
      <c r="N1701" s="328"/>
      <c r="O1701" s="386"/>
      <c r="P1701" s="356"/>
      <c r="Q1701" s="380"/>
      <c r="S1701" s="336"/>
      <c r="T1701" s="62" ph="1"/>
      <c r="V1701" s="232"/>
      <c r="W1701" s="269"/>
      <c r="X1701" s="201"/>
      <c r="Y1701" s="269"/>
      <c r="Z1701" s="269"/>
      <c r="AA1701" s="269"/>
      <c r="AB1701" s="269"/>
      <c r="AC1701" s="269"/>
      <c r="AD1701" s="269"/>
      <c r="AE1701" s="269"/>
      <c r="AG1701" s="128"/>
    </row>
    <row r="1702" spans="1:33" ht="26.25">
      <c r="A1702" s="269"/>
      <c r="B1702" s="269"/>
      <c r="C1702" s="269"/>
      <c r="D1702" s="269"/>
      <c r="E1702" s="269"/>
      <c r="F1702" s="269"/>
      <c r="G1702" s="269"/>
      <c r="H1702" s="269"/>
      <c r="I1702" s="269"/>
      <c r="J1702" s="334"/>
      <c r="K1702" s="334"/>
      <c r="L1702" s="334"/>
      <c r="M1702" s="328"/>
      <c r="N1702" s="328"/>
      <c r="O1702" s="386"/>
      <c r="P1702" s="356"/>
      <c r="Q1702" s="380"/>
      <c r="S1702" s="336"/>
      <c r="T1702" s="62" ph="1"/>
      <c r="V1702" s="232"/>
      <c r="W1702" s="269"/>
      <c r="X1702" s="201"/>
      <c r="Y1702" s="269"/>
      <c r="Z1702" s="269"/>
      <c r="AA1702" s="269"/>
      <c r="AB1702" s="269"/>
      <c r="AC1702" s="269"/>
      <c r="AD1702" s="269"/>
      <c r="AE1702" s="269"/>
      <c r="AG1702" s="128"/>
    </row>
    <row r="1703" spans="1:33" ht="26.25">
      <c r="A1703" s="269"/>
      <c r="B1703" s="269"/>
      <c r="C1703" s="269"/>
      <c r="D1703" s="269"/>
      <c r="E1703" s="269"/>
      <c r="F1703" s="269"/>
      <c r="G1703" s="269"/>
      <c r="H1703" s="269"/>
      <c r="I1703" s="269"/>
      <c r="J1703" s="334"/>
      <c r="K1703" s="334"/>
      <c r="L1703" s="334"/>
      <c r="M1703" s="328"/>
      <c r="N1703" s="328"/>
      <c r="O1703" s="386"/>
      <c r="P1703" s="356"/>
      <c r="Q1703" s="380"/>
      <c r="S1703" s="336"/>
      <c r="T1703" s="62" ph="1"/>
      <c r="V1703" s="232"/>
      <c r="W1703" s="269"/>
      <c r="X1703" s="201"/>
      <c r="Y1703" s="269"/>
      <c r="Z1703" s="269"/>
      <c r="AA1703" s="269"/>
      <c r="AB1703" s="269"/>
      <c r="AC1703" s="269"/>
      <c r="AD1703" s="269"/>
      <c r="AE1703" s="269"/>
    </row>
    <row r="1704" spans="1:33" ht="26.25">
      <c r="A1704" s="269"/>
      <c r="B1704" s="269"/>
      <c r="C1704" s="269"/>
      <c r="D1704" s="269"/>
      <c r="E1704" s="269"/>
      <c r="F1704" s="269"/>
      <c r="G1704" s="269"/>
      <c r="H1704" s="269"/>
      <c r="I1704" s="269"/>
      <c r="J1704" s="334"/>
      <c r="K1704" s="334"/>
      <c r="L1704" s="334"/>
      <c r="M1704" s="328"/>
      <c r="N1704" s="328"/>
      <c r="O1704" s="386"/>
      <c r="P1704" s="356"/>
      <c r="Q1704" s="380"/>
      <c r="S1704" s="336"/>
      <c r="T1704" s="62" ph="1"/>
      <c r="V1704" s="232"/>
      <c r="W1704" s="269"/>
      <c r="X1704" s="201"/>
      <c r="Y1704" s="269"/>
      <c r="Z1704" s="269"/>
      <c r="AA1704" s="269"/>
      <c r="AB1704" s="269"/>
      <c r="AC1704" s="269"/>
      <c r="AD1704" s="269"/>
      <c r="AE1704" s="269"/>
      <c r="AG1704" s="128"/>
    </row>
    <row r="1705" spans="1:33" ht="26.25">
      <c r="A1705" s="269"/>
      <c r="B1705" s="269"/>
      <c r="C1705" s="269"/>
      <c r="D1705" s="269"/>
      <c r="E1705" s="269"/>
      <c r="F1705" s="269"/>
      <c r="G1705" s="269"/>
      <c r="H1705" s="269"/>
      <c r="I1705" s="269"/>
      <c r="J1705" s="334"/>
      <c r="K1705" s="334"/>
      <c r="L1705" s="334"/>
      <c r="M1705" s="328"/>
      <c r="N1705" s="328"/>
      <c r="O1705" s="386"/>
      <c r="P1705" s="356"/>
      <c r="Q1705" s="380"/>
      <c r="S1705" s="336"/>
      <c r="T1705" s="62" ph="1"/>
      <c r="V1705" s="232"/>
      <c r="W1705" s="269"/>
      <c r="X1705" s="201"/>
      <c r="Y1705" s="269"/>
      <c r="Z1705" s="269"/>
      <c r="AA1705" s="269"/>
      <c r="AB1705" s="269"/>
      <c r="AC1705" s="269"/>
      <c r="AD1705" s="269"/>
      <c r="AE1705" s="269"/>
      <c r="AG1705" s="128"/>
    </row>
    <row r="1706" spans="1:33" ht="26.25">
      <c r="A1706" s="269"/>
      <c r="B1706" s="269"/>
      <c r="C1706" s="269"/>
      <c r="D1706" s="269"/>
      <c r="E1706" s="269"/>
      <c r="F1706" s="269"/>
      <c r="G1706" s="269"/>
      <c r="H1706" s="269"/>
      <c r="I1706" s="269"/>
      <c r="J1706" s="334"/>
      <c r="K1706" s="334"/>
      <c r="L1706" s="334"/>
      <c r="M1706" s="328"/>
      <c r="N1706" s="328"/>
      <c r="O1706" s="386"/>
      <c r="P1706" s="356"/>
      <c r="Q1706" s="380"/>
      <c r="S1706" s="336"/>
      <c r="T1706" s="62" ph="1"/>
      <c r="V1706" s="232"/>
      <c r="W1706" s="269"/>
      <c r="X1706" s="201"/>
      <c r="Y1706" s="269"/>
      <c r="Z1706" s="269"/>
      <c r="AA1706" s="269"/>
      <c r="AB1706" s="269"/>
      <c r="AC1706" s="269"/>
      <c r="AD1706" s="269"/>
      <c r="AE1706" s="269"/>
      <c r="AG1706" s="128"/>
    </row>
    <row r="1707" spans="1:33" ht="26.25">
      <c r="A1707" s="269"/>
      <c r="B1707" s="269"/>
      <c r="C1707" s="269"/>
      <c r="D1707" s="269"/>
      <c r="E1707" s="269"/>
      <c r="F1707" s="269"/>
      <c r="G1707" s="269"/>
      <c r="H1707" s="269"/>
      <c r="I1707" s="269"/>
      <c r="J1707" s="334"/>
      <c r="K1707" s="334"/>
      <c r="L1707" s="334"/>
      <c r="M1707" s="328"/>
      <c r="N1707" s="328"/>
      <c r="O1707" s="386"/>
      <c r="P1707" s="356"/>
      <c r="Q1707" s="380"/>
      <c r="S1707" s="336"/>
      <c r="T1707" s="62" ph="1"/>
      <c r="V1707" s="232"/>
      <c r="W1707" s="269"/>
      <c r="X1707" s="201"/>
      <c r="Y1707" s="269"/>
      <c r="Z1707" s="269"/>
      <c r="AA1707" s="269"/>
      <c r="AB1707" s="269"/>
      <c r="AC1707" s="269"/>
      <c r="AD1707" s="269"/>
      <c r="AE1707" s="269"/>
      <c r="AG1707" s="128"/>
    </row>
    <row r="1708" spans="1:33" ht="26.25">
      <c r="A1708" s="269"/>
      <c r="B1708" s="269"/>
      <c r="C1708" s="269"/>
      <c r="D1708" s="269"/>
      <c r="E1708" s="269"/>
      <c r="F1708" s="269"/>
      <c r="G1708" s="269"/>
      <c r="H1708" s="269"/>
      <c r="I1708" s="269"/>
      <c r="J1708" s="334"/>
      <c r="K1708" s="334"/>
      <c r="L1708" s="334"/>
      <c r="M1708" s="328"/>
      <c r="N1708" s="328"/>
      <c r="O1708" s="386"/>
      <c r="P1708" s="356"/>
      <c r="Q1708" s="380"/>
      <c r="S1708" s="336"/>
      <c r="T1708" s="62" ph="1"/>
      <c r="V1708" s="232"/>
      <c r="W1708" s="269"/>
      <c r="X1708" s="201"/>
      <c r="Y1708" s="269"/>
      <c r="Z1708" s="269"/>
      <c r="AA1708" s="269"/>
      <c r="AB1708" s="269"/>
      <c r="AC1708" s="269"/>
      <c r="AD1708" s="269"/>
      <c r="AE1708" s="269"/>
      <c r="AG1708" s="128"/>
    </row>
    <row r="1709" spans="1:33" ht="26.25">
      <c r="A1709" s="269"/>
      <c r="B1709" s="269"/>
      <c r="C1709" s="269"/>
      <c r="D1709" s="269"/>
      <c r="E1709" s="269"/>
      <c r="F1709" s="269"/>
      <c r="G1709" s="269"/>
      <c r="H1709" s="269"/>
      <c r="I1709" s="269"/>
      <c r="J1709" s="334"/>
      <c r="K1709" s="334"/>
      <c r="L1709" s="334"/>
      <c r="M1709" s="328"/>
      <c r="N1709" s="328"/>
      <c r="O1709" s="386"/>
      <c r="P1709" s="356"/>
      <c r="Q1709" s="380"/>
      <c r="S1709" s="336"/>
      <c r="T1709" s="62" ph="1"/>
      <c r="V1709" s="232"/>
      <c r="W1709" s="269"/>
      <c r="X1709" s="201"/>
      <c r="Y1709" s="269"/>
      <c r="Z1709" s="269"/>
      <c r="AA1709" s="269"/>
      <c r="AB1709" s="269"/>
      <c r="AC1709" s="269"/>
      <c r="AD1709" s="269"/>
      <c r="AE1709" s="269"/>
      <c r="AG1709" s="128"/>
    </row>
    <row r="1710" spans="1:33" ht="26.25">
      <c r="A1710" s="269"/>
      <c r="B1710" s="269"/>
      <c r="C1710" s="269"/>
      <c r="D1710" s="269"/>
      <c r="E1710" s="269"/>
      <c r="F1710" s="269"/>
      <c r="G1710" s="269"/>
      <c r="H1710" s="269"/>
      <c r="I1710" s="269"/>
      <c r="J1710" s="334"/>
      <c r="K1710" s="334"/>
      <c r="L1710" s="334"/>
      <c r="M1710" s="328"/>
      <c r="N1710" s="328"/>
      <c r="O1710" s="386"/>
      <c r="P1710" s="356"/>
      <c r="Q1710" s="380"/>
      <c r="S1710" s="336"/>
      <c r="T1710" s="62" ph="1"/>
      <c r="V1710" s="232"/>
      <c r="W1710" s="269"/>
      <c r="X1710" s="201"/>
      <c r="Y1710" s="269"/>
      <c r="Z1710" s="269"/>
      <c r="AA1710" s="269"/>
      <c r="AB1710" s="269"/>
      <c r="AC1710" s="269"/>
      <c r="AD1710" s="269"/>
      <c r="AE1710" s="269"/>
      <c r="AG1710" s="128"/>
    </row>
    <row r="1711" spans="1:33" ht="26.25">
      <c r="A1711" s="269"/>
      <c r="B1711" s="269"/>
      <c r="C1711" s="269"/>
      <c r="D1711" s="269"/>
      <c r="E1711" s="269"/>
      <c r="F1711" s="269"/>
      <c r="G1711" s="269"/>
      <c r="H1711" s="269"/>
      <c r="I1711" s="269"/>
      <c r="J1711" s="334"/>
      <c r="K1711" s="334"/>
      <c r="L1711" s="334"/>
      <c r="M1711" s="328"/>
      <c r="N1711" s="328"/>
      <c r="O1711" s="386"/>
      <c r="P1711" s="356"/>
      <c r="Q1711" s="380"/>
      <c r="S1711" s="336"/>
      <c r="T1711" s="62" ph="1"/>
      <c r="V1711" s="232"/>
      <c r="W1711" s="269"/>
      <c r="X1711" s="201"/>
      <c r="Y1711" s="269"/>
      <c r="Z1711" s="269"/>
      <c r="AA1711" s="269"/>
      <c r="AB1711" s="269"/>
      <c r="AC1711" s="269"/>
      <c r="AD1711" s="269"/>
      <c r="AE1711" s="269"/>
      <c r="AG1711" s="128"/>
    </row>
    <row r="1712" spans="1:33" ht="26.25">
      <c r="A1712" s="269"/>
      <c r="B1712" s="269"/>
      <c r="C1712" s="269"/>
      <c r="D1712" s="269"/>
      <c r="E1712" s="269"/>
      <c r="F1712" s="269"/>
      <c r="G1712" s="269"/>
      <c r="H1712" s="269"/>
      <c r="I1712" s="269"/>
      <c r="J1712" s="334"/>
      <c r="K1712" s="334"/>
      <c r="L1712" s="334"/>
      <c r="M1712" s="328"/>
      <c r="N1712" s="328"/>
      <c r="O1712" s="386"/>
      <c r="P1712" s="356"/>
      <c r="Q1712" s="380"/>
      <c r="S1712" s="336"/>
      <c r="T1712" s="62" ph="1"/>
      <c r="V1712" s="232"/>
      <c r="W1712" s="269"/>
      <c r="X1712" s="201"/>
      <c r="Y1712" s="269"/>
      <c r="Z1712" s="269"/>
      <c r="AA1712" s="269"/>
      <c r="AB1712" s="269"/>
      <c r="AC1712" s="269"/>
      <c r="AD1712" s="269"/>
      <c r="AE1712" s="269"/>
      <c r="AG1712" s="128"/>
    </row>
    <row r="1713" spans="1:33" ht="26.25">
      <c r="A1713" s="269"/>
      <c r="B1713" s="269"/>
      <c r="C1713" s="269"/>
      <c r="D1713" s="269"/>
      <c r="E1713" s="269"/>
      <c r="F1713" s="269"/>
      <c r="G1713" s="269"/>
      <c r="H1713" s="269"/>
      <c r="I1713" s="269"/>
      <c r="J1713" s="334"/>
      <c r="K1713" s="334"/>
      <c r="L1713" s="334"/>
      <c r="M1713" s="328"/>
      <c r="N1713" s="328"/>
      <c r="O1713" s="386"/>
      <c r="P1713" s="356"/>
      <c r="Q1713" s="380"/>
      <c r="S1713" s="336"/>
      <c r="T1713" s="62" ph="1"/>
      <c r="V1713" s="232"/>
      <c r="W1713" s="269"/>
      <c r="X1713" s="201"/>
      <c r="Y1713" s="269"/>
      <c r="Z1713" s="269"/>
      <c r="AA1713" s="269"/>
      <c r="AB1713" s="269"/>
      <c r="AC1713" s="269"/>
      <c r="AD1713" s="269"/>
      <c r="AE1713" s="269"/>
      <c r="AG1713" s="128"/>
    </row>
    <row r="1714" spans="1:33" ht="26.25">
      <c r="A1714" s="269"/>
      <c r="B1714" s="269"/>
      <c r="C1714" s="269"/>
      <c r="D1714" s="269"/>
      <c r="E1714" s="269"/>
      <c r="F1714" s="269"/>
      <c r="G1714" s="269"/>
      <c r="H1714" s="269"/>
      <c r="I1714" s="269"/>
      <c r="J1714" s="334"/>
      <c r="K1714" s="334"/>
      <c r="L1714" s="334"/>
      <c r="M1714" s="328"/>
      <c r="N1714" s="328"/>
      <c r="O1714" s="386"/>
      <c r="P1714" s="356"/>
      <c r="Q1714" s="380"/>
      <c r="S1714" s="336"/>
      <c r="T1714" s="62" ph="1"/>
      <c r="V1714" s="232"/>
      <c r="W1714" s="269"/>
      <c r="X1714" s="201"/>
      <c r="Y1714" s="269"/>
      <c r="Z1714" s="269"/>
      <c r="AA1714" s="269"/>
      <c r="AB1714" s="269"/>
      <c r="AC1714" s="269"/>
      <c r="AD1714" s="269"/>
      <c r="AE1714" s="269"/>
      <c r="AG1714" s="128"/>
    </row>
    <row r="1715" spans="1:33" ht="26.25">
      <c r="A1715" s="269"/>
      <c r="B1715" s="269"/>
      <c r="C1715" s="269"/>
      <c r="D1715" s="269"/>
      <c r="E1715" s="269"/>
      <c r="F1715" s="269"/>
      <c r="G1715" s="269"/>
      <c r="H1715" s="269"/>
      <c r="I1715" s="269"/>
      <c r="J1715" s="334"/>
      <c r="K1715" s="334"/>
      <c r="L1715" s="334"/>
      <c r="M1715" s="328"/>
      <c r="N1715" s="328"/>
      <c r="O1715" s="386"/>
      <c r="P1715" s="356"/>
      <c r="Q1715" s="380"/>
      <c r="S1715" s="336"/>
      <c r="T1715" s="62" ph="1"/>
      <c r="V1715" s="232"/>
      <c r="W1715" s="269"/>
      <c r="X1715" s="201"/>
      <c r="Y1715" s="269"/>
      <c r="Z1715" s="269"/>
      <c r="AA1715" s="269"/>
      <c r="AB1715" s="269"/>
      <c r="AC1715" s="269"/>
      <c r="AD1715" s="269"/>
      <c r="AE1715" s="269"/>
      <c r="AG1715" s="128"/>
    </row>
    <row r="1716" spans="1:33" ht="26.25">
      <c r="A1716" s="269"/>
      <c r="B1716" s="269"/>
      <c r="C1716" s="269"/>
      <c r="D1716" s="269"/>
      <c r="E1716" s="269"/>
      <c r="F1716" s="269"/>
      <c r="G1716" s="269"/>
      <c r="H1716" s="269"/>
      <c r="I1716" s="269"/>
      <c r="J1716" s="334"/>
      <c r="K1716" s="334"/>
      <c r="L1716" s="334"/>
      <c r="M1716" s="328"/>
      <c r="N1716" s="328"/>
      <c r="O1716" s="386"/>
      <c r="P1716" s="356"/>
      <c r="Q1716" s="380"/>
      <c r="S1716" s="336"/>
      <c r="T1716" s="62" ph="1"/>
      <c r="V1716" s="232"/>
      <c r="W1716" s="269"/>
      <c r="X1716" s="201"/>
      <c r="Y1716" s="269"/>
      <c r="Z1716" s="269"/>
      <c r="AA1716" s="269"/>
      <c r="AB1716" s="269"/>
      <c r="AC1716" s="269"/>
      <c r="AD1716" s="269"/>
      <c r="AE1716" s="269"/>
      <c r="AG1716" s="128"/>
    </row>
    <row r="1717" spans="1:33" ht="26.25">
      <c r="A1717" s="269"/>
      <c r="B1717" s="269"/>
      <c r="C1717" s="269"/>
      <c r="D1717" s="269"/>
      <c r="E1717" s="269"/>
      <c r="F1717" s="269"/>
      <c r="G1717" s="269"/>
      <c r="H1717" s="269"/>
      <c r="I1717" s="269"/>
      <c r="J1717" s="334"/>
      <c r="K1717" s="334"/>
      <c r="L1717" s="334"/>
      <c r="M1717" s="328"/>
      <c r="N1717" s="328"/>
      <c r="O1717" s="386"/>
      <c r="P1717" s="356"/>
      <c r="Q1717" s="380"/>
      <c r="S1717" s="336"/>
      <c r="T1717" s="62" ph="1"/>
      <c r="V1717" s="232"/>
      <c r="W1717" s="269"/>
      <c r="X1717" s="201"/>
      <c r="Y1717" s="269"/>
      <c r="Z1717" s="269"/>
      <c r="AA1717" s="269"/>
      <c r="AB1717" s="269"/>
      <c r="AC1717" s="269"/>
      <c r="AD1717" s="269"/>
      <c r="AE1717" s="269"/>
      <c r="AG1717" s="128"/>
    </row>
    <row r="1718" spans="1:33" ht="26.25">
      <c r="A1718" s="269"/>
      <c r="B1718" s="269"/>
      <c r="C1718" s="269"/>
      <c r="D1718" s="269"/>
      <c r="E1718" s="269"/>
      <c r="F1718" s="269"/>
      <c r="G1718" s="269"/>
      <c r="H1718" s="269"/>
      <c r="I1718" s="269"/>
      <c r="J1718" s="334"/>
      <c r="K1718" s="334"/>
      <c r="L1718" s="334"/>
      <c r="M1718" s="328"/>
      <c r="N1718" s="328"/>
      <c r="O1718" s="386"/>
      <c r="P1718" s="356"/>
      <c r="Q1718" s="380"/>
      <c r="S1718" s="336"/>
      <c r="T1718" s="62" ph="1"/>
      <c r="V1718" s="232"/>
      <c r="W1718" s="269"/>
      <c r="X1718" s="201"/>
      <c r="Y1718" s="269"/>
      <c r="Z1718" s="269"/>
      <c r="AA1718" s="269"/>
      <c r="AB1718" s="269"/>
      <c r="AC1718" s="269"/>
      <c r="AD1718" s="269"/>
      <c r="AE1718" s="269"/>
      <c r="AG1718" s="128"/>
    </row>
    <row r="1719" spans="1:33" ht="26.25">
      <c r="A1719" s="269"/>
      <c r="B1719" s="269"/>
      <c r="C1719" s="269"/>
      <c r="D1719" s="269"/>
      <c r="E1719" s="269"/>
      <c r="F1719" s="269"/>
      <c r="G1719" s="269"/>
      <c r="H1719" s="269"/>
      <c r="I1719" s="269"/>
      <c r="J1719" s="334"/>
      <c r="K1719" s="334"/>
      <c r="L1719" s="334"/>
      <c r="M1719" s="328"/>
      <c r="N1719" s="328"/>
      <c r="O1719" s="386"/>
      <c r="P1719" s="356"/>
      <c r="Q1719" s="380"/>
      <c r="S1719" s="336"/>
      <c r="T1719" s="62" ph="1"/>
      <c r="V1719" s="232"/>
      <c r="W1719" s="269"/>
      <c r="X1719" s="201"/>
      <c r="Y1719" s="269"/>
      <c r="Z1719" s="269"/>
      <c r="AA1719" s="269"/>
      <c r="AB1719" s="269"/>
      <c r="AC1719" s="269"/>
      <c r="AD1719" s="269"/>
      <c r="AE1719" s="269"/>
      <c r="AG1719" s="128"/>
    </row>
    <row r="1720" spans="1:33" ht="26.25">
      <c r="A1720" s="269"/>
      <c r="B1720" s="269"/>
      <c r="C1720" s="269"/>
      <c r="D1720" s="269"/>
      <c r="E1720" s="269"/>
      <c r="F1720" s="269"/>
      <c r="G1720" s="269"/>
      <c r="H1720" s="269"/>
      <c r="I1720" s="269"/>
      <c r="J1720" s="334"/>
      <c r="K1720" s="334"/>
      <c r="L1720" s="334"/>
      <c r="M1720" s="328"/>
      <c r="N1720" s="328"/>
      <c r="O1720" s="386"/>
      <c r="P1720" s="356"/>
      <c r="Q1720" s="380"/>
      <c r="S1720" s="336"/>
      <c r="T1720" s="62" ph="1"/>
      <c r="V1720" s="232"/>
      <c r="W1720" s="269"/>
      <c r="X1720" s="201"/>
      <c r="Y1720" s="269"/>
      <c r="Z1720" s="269"/>
      <c r="AA1720" s="269"/>
      <c r="AB1720" s="269"/>
      <c r="AC1720" s="269"/>
      <c r="AD1720" s="269"/>
      <c r="AE1720" s="269"/>
      <c r="AG1720" s="128"/>
    </row>
    <row r="1721" spans="1:33" ht="26.25">
      <c r="A1721" s="269"/>
      <c r="B1721" s="269"/>
      <c r="C1721" s="269"/>
      <c r="D1721" s="269"/>
      <c r="E1721" s="269"/>
      <c r="F1721" s="269"/>
      <c r="G1721" s="269"/>
      <c r="H1721" s="269"/>
      <c r="I1721" s="269"/>
      <c r="J1721" s="334"/>
      <c r="K1721" s="334"/>
      <c r="L1721" s="334"/>
      <c r="M1721" s="328"/>
      <c r="N1721" s="328"/>
      <c r="O1721" s="386"/>
      <c r="P1721" s="356"/>
      <c r="Q1721" s="380"/>
      <c r="S1721" s="336"/>
      <c r="T1721" s="62" ph="1"/>
      <c r="V1721" s="232"/>
      <c r="W1721" s="269"/>
      <c r="X1721" s="201"/>
      <c r="Y1721" s="269"/>
      <c r="Z1721" s="269"/>
      <c r="AA1721" s="269"/>
      <c r="AB1721" s="269"/>
      <c r="AC1721" s="269"/>
      <c r="AD1721" s="269"/>
      <c r="AE1721" s="269"/>
      <c r="AG1721" s="128"/>
    </row>
    <row r="1722" spans="1:33" ht="26.25">
      <c r="A1722" s="269"/>
      <c r="B1722" s="269"/>
      <c r="C1722" s="269"/>
      <c r="D1722" s="269"/>
      <c r="E1722" s="269"/>
      <c r="F1722" s="269"/>
      <c r="G1722" s="269"/>
      <c r="H1722" s="269"/>
      <c r="I1722" s="269"/>
      <c r="J1722" s="334"/>
      <c r="K1722" s="334"/>
      <c r="L1722" s="334"/>
      <c r="M1722" s="328"/>
      <c r="N1722" s="328"/>
      <c r="O1722" s="386"/>
      <c r="P1722" s="356"/>
      <c r="Q1722" s="380"/>
      <c r="S1722" s="336"/>
      <c r="T1722" s="62" ph="1"/>
      <c r="V1722" s="232"/>
      <c r="W1722" s="269"/>
      <c r="X1722" s="201"/>
      <c r="Y1722" s="269"/>
      <c r="Z1722" s="269"/>
      <c r="AA1722" s="269"/>
      <c r="AB1722" s="269"/>
      <c r="AC1722" s="269"/>
      <c r="AD1722" s="269"/>
      <c r="AE1722" s="269"/>
      <c r="AG1722" s="128"/>
    </row>
    <row r="1723" spans="1:33" ht="26.25">
      <c r="A1723" s="269"/>
      <c r="B1723" s="269"/>
      <c r="C1723" s="269"/>
      <c r="D1723" s="269"/>
      <c r="E1723" s="269"/>
      <c r="F1723" s="269"/>
      <c r="G1723" s="269"/>
      <c r="H1723" s="269"/>
      <c r="I1723" s="269"/>
      <c r="J1723" s="334"/>
      <c r="K1723" s="334"/>
      <c r="L1723" s="334"/>
      <c r="M1723" s="328"/>
      <c r="N1723" s="328"/>
      <c r="O1723" s="386"/>
      <c r="P1723" s="356"/>
      <c r="Q1723" s="380"/>
      <c r="S1723" s="336"/>
      <c r="T1723" s="62" ph="1"/>
      <c r="V1723" s="232"/>
      <c r="W1723" s="269"/>
      <c r="X1723" s="201"/>
      <c r="Y1723" s="269"/>
      <c r="Z1723" s="269"/>
      <c r="AA1723" s="269"/>
      <c r="AB1723" s="269"/>
      <c r="AC1723" s="269"/>
      <c r="AD1723" s="269"/>
      <c r="AE1723" s="269"/>
      <c r="AG1723" s="128"/>
    </row>
    <row r="1724" spans="1:33" ht="26.25">
      <c r="A1724" s="269"/>
      <c r="B1724" s="269"/>
      <c r="C1724" s="269"/>
      <c r="D1724" s="269"/>
      <c r="E1724" s="269"/>
      <c r="F1724" s="269"/>
      <c r="G1724" s="269"/>
      <c r="H1724" s="269"/>
      <c r="I1724" s="269"/>
      <c r="J1724" s="334"/>
      <c r="K1724" s="334"/>
      <c r="L1724" s="334"/>
      <c r="M1724" s="328"/>
      <c r="N1724" s="328"/>
      <c r="O1724" s="386"/>
      <c r="P1724" s="356"/>
      <c r="Q1724" s="380"/>
      <c r="S1724" s="336"/>
      <c r="T1724" s="62" ph="1"/>
      <c r="V1724" s="232"/>
      <c r="W1724" s="269"/>
      <c r="X1724" s="201"/>
      <c r="Y1724" s="269"/>
      <c r="Z1724" s="269"/>
      <c r="AA1724" s="269"/>
      <c r="AB1724" s="269"/>
      <c r="AC1724" s="269"/>
      <c r="AD1724" s="269"/>
      <c r="AE1724" s="269"/>
      <c r="AG1724" s="128"/>
    </row>
    <row r="1725" spans="1:33" ht="26.25">
      <c r="A1725" s="269"/>
      <c r="B1725" s="269"/>
      <c r="C1725" s="269"/>
      <c r="D1725" s="269"/>
      <c r="E1725" s="269"/>
      <c r="F1725" s="269"/>
      <c r="G1725" s="269"/>
      <c r="H1725" s="269"/>
      <c r="I1725" s="269"/>
      <c r="J1725" s="334"/>
      <c r="K1725" s="334"/>
      <c r="L1725" s="334"/>
      <c r="M1725" s="328"/>
      <c r="N1725" s="328"/>
      <c r="O1725" s="386"/>
      <c r="P1725" s="356"/>
      <c r="Q1725" s="380"/>
      <c r="S1725" s="336"/>
      <c r="T1725" s="62" ph="1"/>
      <c r="V1725" s="232"/>
      <c r="W1725" s="269"/>
      <c r="X1725" s="201"/>
      <c r="Y1725" s="269"/>
      <c r="Z1725" s="269"/>
      <c r="AA1725" s="269"/>
      <c r="AB1725" s="269"/>
      <c r="AC1725" s="269"/>
      <c r="AD1725" s="269"/>
      <c r="AE1725" s="269"/>
      <c r="AG1725" s="128"/>
    </row>
    <row r="1726" spans="1:33" ht="26.25">
      <c r="A1726" s="269"/>
      <c r="B1726" s="269"/>
      <c r="C1726" s="269"/>
      <c r="D1726" s="269"/>
      <c r="E1726" s="269"/>
      <c r="F1726" s="269"/>
      <c r="G1726" s="269"/>
      <c r="H1726" s="269"/>
      <c r="I1726" s="269"/>
      <c r="J1726" s="334"/>
      <c r="K1726" s="334"/>
      <c r="L1726" s="334"/>
      <c r="M1726" s="328"/>
      <c r="N1726" s="328"/>
      <c r="O1726" s="386"/>
      <c r="P1726" s="356"/>
      <c r="Q1726" s="380"/>
      <c r="S1726" s="336"/>
      <c r="T1726" s="62" ph="1"/>
      <c r="V1726" s="232"/>
      <c r="W1726" s="269"/>
      <c r="X1726" s="201"/>
      <c r="Y1726" s="269"/>
      <c r="Z1726" s="269"/>
      <c r="AA1726" s="269"/>
      <c r="AB1726" s="269"/>
      <c r="AC1726" s="269"/>
      <c r="AD1726" s="269"/>
      <c r="AE1726" s="269"/>
      <c r="AG1726" s="128"/>
    </row>
    <row r="1727" spans="1:33" ht="26.25">
      <c r="A1727" s="269"/>
      <c r="B1727" s="269"/>
      <c r="C1727" s="269"/>
      <c r="D1727" s="269"/>
      <c r="E1727" s="269"/>
      <c r="F1727" s="269"/>
      <c r="G1727" s="269"/>
      <c r="H1727" s="269"/>
      <c r="I1727" s="269"/>
      <c r="J1727" s="334"/>
      <c r="K1727" s="334"/>
      <c r="L1727" s="334"/>
      <c r="M1727" s="328"/>
      <c r="N1727" s="328"/>
      <c r="O1727" s="386"/>
      <c r="P1727" s="356"/>
      <c r="Q1727" s="380"/>
      <c r="S1727" s="336"/>
      <c r="T1727" s="62" ph="1"/>
      <c r="V1727" s="232"/>
      <c r="W1727" s="269"/>
      <c r="X1727" s="201"/>
      <c r="Y1727" s="269"/>
      <c r="Z1727" s="269"/>
      <c r="AA1727" s="269"/>
      <c r="AB1727" s="269"/>
      <c r="AC1727" s="269"/>
      <c r="AD1727" s="269"/>
      <c r="AE1727" s="269"/>
      <c r="AG1727" s="128"/>
    </row>
    <row r="1728" spans="1:33" ht="26.25">
      <c r="A1728" s="269"/>
      <c r="B1728" s="269"/>
      <c r="C1728" s="269"/>
      <c r="D1728" s="269"/>
      <c r="E1728" s="269"/>
      <c r="F1728" s="269"/>
      <c r="G1728" s="269"/>
      <c r="H1728" s="269"/>
      <c r="I1728" s="269"/>
      <c r="J1728" s="334"/>
      <c r="K1728" s="334"/>
      <c r="L1728" s="334"/>
      <c r="M1728" s="328"/>
      <c r="N1728" s="328"/>
      <c r="O1728" s="386"/>
      <c r="P1728" s="356"/>
      <c r="Q1728" s="380"/>
      <c r="S1728" s="336"/>
      <c r="T1728" s="62" ph="1"/>
      <c r="V1728" s="232"/>
      <c r="W1728" s="269"/>
      <c r="X1728" s="201"/>
      <c r="Y1728" s="269"/>
      <c r="Z1728" s="269"/>
      <c r="AA1728" s="269"/>
      <c r="AB1728" s="269"/>
      <c r="AC1728" s="269"/>
      <c r="AD1728" s="269"/>
      <c r="AE1728" s="269"/>
      <c r="AG1728" s="128"/>
    </row>
    <row r="1729" spans="1:33" ht="26.25">
      <c r="A1729" s="269"/>
      <c r="B1729" s="269"/>
      <c r="C1729" s="269"/>
      <c r="D1729" s="269"/>
      <c r="E1729" s="269"/>
      <c r="F1729" s="269"/>
      <c r="G1729" s="269"/>
      <c r="H1729" s="269"/>
      <c r="I1729" s="269"/>
      <c r="J1729" s="334"/>
      <c r="K1729" s="334"/>
      <c r="L1729" s="334"/>
      <c r="M1729" s="328"/>
      <c r="N1729" s="328"/>
      <c r="O1729" s="386"/>
      <c r="P1729" s="356"/>
      <c r="Q1729" s="380"/>
      <c r="S1729" s="336"/>
      <c r="T1729" s="62" ph="1"/>
      <c r="V1729" s="232"/>
      <c r="W1729" s="269"/>
      <c r="X1729" s="201"/>
      <c r="Y1729" s="269"/>
      <c r="Z1729" s="269"/>
      <c r="AA1729" s="269"/>
      <c r="AB1729" s="269"/>
      <c r="AC1729" s="269"/>
      <c r="AD1729" s="269"/>
      <c r="AE1729" s="269"/>
      <c r="AG1729" s="128"/>
    </row>
    <row r="1730" spans="1:33" ht="26.25">
      <c r="A1730" s="269"/>
      <c r="B1730" s="269"/>
      <c r="C1730" s="269"/>
      <c r="D1730" s="269"/>
      <c r="E1730" s="269"/>
      <c r="F1730" s="269"/>
      <c r="G1730" s="269"/>
      <c r="H1730" s="269"/>
      <c r="I1730" s="269"/>
      <c r="J1730" s="334"/>
      <c r="K1730" s="334"/>
      <c r="L1730" s="334"/>
      <c r="M1730" s="328"/>
      <c r="N1730" s="328"/>
      <c r="O1730" s="386"/>
      <c r="P1730" s="356"/>
      <c r="Q1730" s="380"/>
      <c r="S1730" s="336"/>
      <c r="T1730" s="62" ph="1"/>
      <c r="V1730" s="232"/>
      <c r="W1730" s="269"/>
      <c r="X1730" s="201"/>
      <c r="Y1730" s="269"/>
      <c r="Z1730" s="269"/>
      <c r="AA1730" s="269"/>
      <c r="AB1730" s="269"/>
      <c r="AC1730" s="269"/>
      <c r="AD1730" s="269"/>
      <c r="AE1730" s="269"/>
      <c r="AG1730" s="128"/>
    </row>
    <row r="1731" spans="1:33" ht="26.25">
      <c r="A1731" s="269"/>
      <c r="B1731" s="269"/>
      <c r="C1731" s="269"/>
      <c r="D1731" s="269"/>
      <c r="E1731" s="269"/>
      <c r="F1731" s="269"/>
      <c r="G1731" s="269"/>
      <c r="H1731" s="269"/>
      <c r="I1731" s="269"/>
      <c r="J1731" s="334"/>
      <c r="K1731" s="334"/>
      <c r="L1731" s="334"/>
      <c r="M1731" s="328"/>
      <c r="N1731" s="328"/>
      <c r="O1731" s="386"/>
      <c r="P1731" s="356"/>
      <c r="Q1731" s="380"/>
      <c r="S1731" s="336"/>
      <c r="T1731" s="62" ph="1"/>
      <c r="V1731" s="232"/>
      <c r="W1731" s="269"/>
      <c r="X1731" s="201"/>
      <c r="Y1731" s="269"/>
      <c r="Z1731" s="269"/>
      <c r="AA1731" s="269"/>
      <c r="AB1731" s="269"/>
      <c r="AC1731" s="269"/>
      <c r="AD1731" s="269"/>
      <c r="AE1731" s="269"/>
      <c r="AG1731" s="128"/>
    </row>
    <row r="1732" spans="1:33" ht="26.25">
      <c r="A1732" s="269"/>
      <c r="B1732" s="269"/>
      <c r="C1732" s="269"/>
      <c r="D1732" s="269"/>
      <c r="E1732" s="269"/>
      <c r="F1732" s="269"/>
      <c r="G1732" s="269"/>
      <c r="H1732" s="269"/>
      <c r="I1732" s="269"/>
      <c r="J1732" s="334"/>
      <c r="K1732" s="334"/>
      <c r="L1732" s="334"/>
      <c r="M1732" s="328"/>
      <c r="N1732" s="328"/>
      <c r="O1732" s="386"/>
      <c r="P1732" s="356"/>
      <c r="Q1732" s="380"/>
      <c r="S1732" s="336"/>
      <c r="T1732" s="62" ph="1"/>
      <c r="V1732" s="232"/>
      <c r="W1732" s="269"/>
      <c r="X1732" s="201"/>
      <c r="Y1732" s="269"/>
      <c r="Z1732" s="269"/>
      <c r="AA1732" s="269"/>
      <c r="AB1732" s="269"/>
      <c r="AC1732" s="269"/>
      <c r="AD1732" s="269"/>
      <c r="AE1732" s="269"/>
      <c r="AG1732" s="128"/>
    </row>
    <row r="1733" spans="1:33" ht="26.25">
      <c r="A1733" s="269"/>
      <c r="B1733" s="269"/>
      <c r="C1733" s="269"/>
      <c r="D1733" s="269"/>
      <c r="E1733" s="269"/>
      <c r="F1733" s="269"/>
      <c r="G1733" s="269"/>
      <c r="H1733" s="269"/>
      <c r="I1733" s="269"/>
      <c r="J1733" s="334"/>
      <c r="K1733" s="334"/>
      <c r="L1733" s="334"/>
      <c r="M1733" s="328"/>
      <c r="N1733" s="328"/>
      <c r="O1733" s="386"/>
      <c r="P1733" s="356"/>
      <c r="Q1733" s="380"/>
      <c r="S1733" s="336"/>
      <c r="T1733" s="62" ph="1"/>
      <c r="V1733" s="232"/>
      <c r="W1733" s="269"/>
      <c r="X1733" s="201"/>
      <c r="Y1733" s="269"/>
      <c r="Z1733" s="269"/>
      <c r="AA1733" s="269"/>
      <c r="AB1733" s="269"/>
      <c r="AC1733" s="269"/>
      <c r="AD1733" s="269"/>
      <c r="AE1733" s="269"/>
      <c r="AG1733" s="128"/>
    </row>
    <row r="1734" spans="1:33" ht="26.25">
      <c r="A1734" s="269"/>
      <c r="B1734" s="269"/>
      <c r="C1734" s="269"/>
      <c r="D1734" s="269"/>
      <c r="E1734" s="269"/>
      <c r="F1734" s="269"/>
      <c r="G1734" s="269"/>
      <c r="H1734" s="269"/>
      <c r="I1734" s="269"/>
      <c r="J1734" s="334"/>
      <c r="K1734" s="334"/>
      <c r="L1734" s="334"/>
      <c r="M1734" s="328"/>
      <c r="N1734" s="328"/>
      <c r="O1734" s="386"/>
      <c r="P1734" s="356"/>
      <c r="Q1734" s="380"/>
      <c r="S1734" s="336"/>
      <c r="T1734" s="62" ph="1"/>
      <c r="V1734" s="232"/>
      <c r="W1734" s="269"/>
      <c r="X1734" s="201"/>
      <c r="Y1734" s="269"/>
      <c r="Z1734" s="269"/>
      <c r="AA1734" s="269"/>
      <c r="AB1734" s="269"/>
      <c r="AC1734" s="269"/>
      <c r="AD1734" s="269"/>
      <c r="AE1734" s="269"/>
      <c r="AG1734" s="128"/>
    </row>
    <row r="1735" spans="1:33" ht="26.25">
      <c r="A1735" s="269"/>
      <c r="B1735" s="269"/>
      <c r="C1735" s="269"/>
      <c r="D1735" s="269"/>
      <c r="E1735" s="269"/>
      <c r="F1735" s="269"/>
      <c r="G1735" s="269"/>
      <c r="H1735" s="269"/>
      <c r="I1735" s="269"/>
      <c r="J1735" s="334"/>
      <c r="K1735" s="334"/>
      <c r="L1735" s="334"/>
      <c r="M1735" s="328"/>
      <c r="N1735" s="328"/>
      <c r="O1735" s="386"/>
      <c r="P1735" s="356"/>
      <c r="Q1735" s="380"/>
      <c r="S1735" s="336"/>
      <c r="T1735" s="62" ph="1"/>
      <c r="V1735" s="232"/>
      <c r="W1735" s="269"/>
      <c r="X1735" s="201"/>
      <c r="Y1735" s="269"/>
      <c r="Z1735" s="269"/>
      <c r="AA1735" s="269"/>
      <c r="AB1735" s="269"/>
      <c r="AC1735" s="269"/>
      <c r="AD1735" s="269"/>
      <c r="AE1735" s="269"/>
      <c r="AG1735" s="128"/>
    </row>
    <row r="1736" spans="1:33" ht="26.25">
      <c r="A1736" s="269"/>
      <c r="B1736" s="269"/>
      <c r="C1736" s="269"/>
      <c r="D1736" s="269"/>
      <c r="E1736" s="269"/>
      <c r="F1736" s="269"/>
      <c r="G1736" s="269"/>
      <c r="H1736" s="269"/>
      <c r="I1736" s="269"/>
      <c r="J1736" s="334"/>
      <c r="K1736" s="334"/>
      <c r="L1736" s="334"/>
      <c r="M1736" s="328"/>
      <c r="N1736" s="328"/>
      <c r="O1736" s="386"/>
      <c r="P1736" s="356"/>
      <c r="Q1736" s="380"/>
      <c r="S1736" s="336"/>
      <c r="T1736" s="62" ph="1"/>
      <c r="V1736" s="232"/>
      <c r="W1736" s="269"/>
      <c r="X1736" s="201"/>
      <c r="Y1736" s="269"/>
      <c r="Z1736" s="269"/>
      <c r="AA1736" s="269"/>
      <c r="AB1736" s="269"/>
      <c r="AC1736" s="269"/>
      <c r="AD1736" s="269"/>
      <c r="AE1736" s="269"/>
      <c r="AG1736" s="128"/>
    </row>
    <row r="1737" spans="1:33" ht="26.25">
      <c r="A1737" s="269"/>
      <c r="B1737" s="269"/>
      <c r="C1737" s="269"/>
      <c r="D1737" s="269"/>
      <c r="E1737" s="269"/>
      <c r="F1737" s="269"/>
      <c r="G1737" s="269"/>
      <c r="H1737" s="269"/>
      <c r="I1737" s="269"/>
      <c r="J1737" s="334"/>
      <c r="K1737" s="334"/>
      <c r="L1737" s="334"/>
      <c r="M1737" s="328"/>
      <c r="N1737" s="328"/>
      <c r="O1737" s="386"/>
      <c r="P1737" s="356"/>
      <c r="Q1737" s="380"/>
      <c r="S1737" s="336"/>
      <c r="T1737" s="62" ph="1"/>
      <c r="V1737" s="232"/>
      <c r="W1737" s="269"/>
      <c r="X1737" s="201"/>
      <c r="Y1737" s="269"/>
      <c r="Z1737" s="269"/>
      <c r="AA1737" s="269"/>
      <c r="AB1737" s="269"/>
      <c r="AC1737" s="269"/>
      <c r="AD1737" s="269"/>
      <c r="AE1737" s="269"/>
      <c r="AG1737" s="128"/>
    </row>
    <row r="1738" spans="1:33" ht="26.25">
      <c r="A1738" s="269"/>
      <c r="B1738" s="269"/>
      <c r="C1738" s="269"/>
      <c r="D1738" s="269"/>
      <c r="E1738" s="269"/>
      <c r="F1738" s="269"/>
      <c r="G1738" s="269"/>
      <c r="H1738" s="269"/>
      <c r="I1738" s="269"/>
      <c r="J1738" s="334"/>
      <c r="K1738" s="334"/>
      <c r="L1738" s="334"/>
      <c r="M1738" s="328"/>
      <c r="N1738" s="328"/>
      <c r="O1738" s="386"/>
      <c r="P1738" s="356"/>
      <c r="Q1738" s="380"/>
      <c r="S1738" s="336"/>
      <c r="T1738" s="62" ph="1"/>
      <c r="V1738" s="232"/>
      <c r="W1738" s="269"/>
      <c r="X1738" s="201"/>
      <c r="Y1738" s="269"/>
      <c r="Z1738" s="269"/>
      <c r="AA1738" s="269"/>
      <c r="AB1738" s="269"/>
      <c r="AC1738" s="269"/>
      <c r="AD1738" s="269"/>
      <c r="AE1738" s="269"/>
      <c r="AG1738" s="128"/>
    </row>
    <row r="1739" spans="1:33" ht="26.25">
      <c r="A1739" s="269"/>
      <c r="B1739" s="269"/>
      <c r="C1739" s="269"/>
      <c r="D1739" s="269"/>
      <c r="E1739" s="269"/>
      <c r="F1739" s="269"/>
      <c r="G1739" s="269"/>
      <c r="H1739" s="269"/>
      <c r="I1739" s="269"/>
      <c r="J1739" s="334"/>
      <c r="K1739" s="334"/>
      <c r="L1739" s="334"/>
      <c r="M1739" s="328"/>
      <c r="N1739" s="328"/>
      <c r="O1739" s="386"/>
      <c r="P1739" s="356"/>
      <c r="Q1739" s="380"/>
      <c r="S1739" s="336"/>
      <c r="T1739" s="62" ph="1"/>
      <c r="V1739" s="232"/>
      <c r="W1739" s="269"/>
      <c r="X1739" s="201"/>
      <c r="Y1739" s="269"/>
      <c r="Z1739" s="269"/>
      <c r="AA1739" s="269"/>
      <c r="AB1739" s="269"/>
      <c r="AC1739" s="269"/>
      <c r="AD1739" s="269"/>
      <c r="AE1739" s="269"/>
      <c r="AG1739" s="128"/>
    </row>
    <row r="1740" spans="1:33" ht="26.25">
      <c r="A1740" s="269"/>
      <c r="B1740" s="269"/>
      <c r="C1740" s="269"/>
      <c r="D1740" s="269"/>
      <c r="E1740" s="269"/>
      <c r="F1740" s="269"/>
      <c r="G1740" s="269"/>
      <c r="H1740" s="269"/>
      <c r="I1740" s="269"/>
      <c r="J1740" s="334"/>
      <c r="K1740" s="334"/>
      <c r="L1740" s="334"/>
      <c r="M1740" s="328"/>
      <c r="N1740" s="328"/>
      <c r="O1740" s="386"/>
      <c r="P1740" s="356"/>
      <c r="Q1740" s="380"/>
      <c r="S1740" s="336"/>
      <c r="T1740" s="62" ph="1"/>
      <c r="V1740" s="232"/>
      <c r="W1740" s="269"/>
      <c r="X1740" s="201"/>
      <c r="Y1740" s="269"/>
      <c r="Z1740" s="269"/>
      <c r="AA1740" s="269"/>
      <c r="AB1740" s="269"/>
      <c r="AC1740" s="269"/>
      <c r="AD1740" s="269"/>
      <c r="AE1740" s="269"/>
      <c r="AG1740" s="128"/>
    </row>
    <row r="1741" spans="1:33" ht="26.25">
      <c r="A1741" s="269"/>
      <c r="B1741" s="269"/>
      <c r="C1741" s="269"/>
      <c r="D1741" s="269"/>
      <c r="E1741" s="269"/>
      <c r="F1741" s="269"/>
      <c r="G1741" s="269"/>
      <c r="H1741" s="269"/>
      <c r="I1741" s="269"/>
      <c r="J1741" s="334"/>
      <c r="K1741" s="334"/>
      <c r="L1741" s="334"/>
      <c r="M1741" s="328"/>
      <c r="N1741" s="328"/>
      <c r="O1741" s="386"/>
      <c r="P1741" s="356"/>
      <c r="Q1741" s="380"/>
      <c r="S1741" s="336"/>
      <c r="T1741" s="62" ph="1"/>
      <c r="V1741" s="232"/>
      <c r="W1741" s="269"/>
      <c r="X1741" s="201"/>
      <c r="Y1741" s="269"/>
      <c r="Z1741" s="269"/>
      <c r="AA1741" s="269"/>
      <c r="AB1741" s="269"/>
      <c r="AC1741" s="269"/>
      <c r="AD1741" s="269"/>
      <c r="AE1741" s="269"/>
      <c r="AG1741" s="128"/>
    </row>
    <row r="1742" spans="1:33" ht="26.25">
      <c r="A1742" s="269"/>
      <c r="B1742" s="269"/>
      <c r="C1742" s="269"/>
      <c r="D1742" s="269"/>
      <c r="E1742" s="269"/>
      <c r="F1742" s="269"/>
      <c r="G1742" s="269"/>
      <c r="H1742" s="269"/>
      <c r="I1742" s="269"/>
      <c r="J1742" s="334"/>
      <c r="K1742" s="334"/>
      <c r="L1742" s="334"/>
      <c r="M1742" s="328"/>
      <c r="N1742" s="328"/>
      <c r="O1742" s="386"/>
      <c r="P1742" s="356"/>
      <c r="Q1742" s="380"/>
      <c r="S1742" s="336"/>
      <c r="T1742" s="62" ph="1"/>
      <c r="V1742" s="232"/>
      <c r="W1742" s="269"/>
      <c r="X1742" s="201"/>
      <c r="Y1742" s="269"/>
      <c r="Z1742" s="269"/>
      <c r="AA1742" s="269"/>
      <c r="AB1742" s="269"/>
      <c r="AC1742" s="269"/>
      <c r="AD1742" s="269"/>
      <c r="AE1742" s="269"/>
      <c r="AG1742" s="128"/>
    </row>
    <row r="1743" spans="1:33" ht="26.25">
      <c r="A1743" s="269"/>
      <c r="B1743" s="269"/>
      <c r="C1743" s="269"/>
      <c r="D1743" s="269"/>
      <c r="E1743" s="269"/>
      <c r="F1743" s="269"/>
      <c r="G1743" s="269"/>
      <c r="H1743" s="269"/>
      <c r="I1743" s="269"/>
      <c r="J1743" s="334"/>
      <c r="K1743" s="334"/>
      <c r="L1743" s="334"/>
      <c r="M1743" s="328"/>
      <c r="N1743" s="328"/>
      <c r="O1743" s="386"/>
      <c r="P1743" s="356"/>
      <c r="Q1743" s="380"/>
      <c r="S1743" s="336"/>
      <c r="T1743" s="62" ph="1"/>
      <c r="V1743" s="232"/>
      <c r="W1743" s="269"/>
      <c r="X1743" s="201"/>
      <c r="Y1743" s="269"/>
      <c r="Z1743" s="269"/>
      <c r="AA1743" s="269"/>
      <c r="AB1743" s="269"/>
      <c r="AC1743" s="269"/>
      <c r="AD1743" s="269"/>
      <c r="AE1743" s="269"/>
      <c r="AG1743" s="128"/>
    </row>
    <row r="1744" spans="1:33" ht="26.25">
      <c r="A1744" s="269"/>
      <c r="B1744" s="269"/>
      <c r="C1744" s="269"/>
      <c r="D1744" s="269"/>
      <c r="E1744" s="269"/>
      <c r="F1744" s="269"/>
      <c r="G1744" s="269"/>
      <c r="H1744" s="269"/>
      <c r="I1744" s="269"/>
      <c r="J1744" s="334"/>
      <c r="K1744" s="334"/>
      <c r="L1744" s="334"/>
      <c r="M1744" s="328"/>
      <c r="N1744" s="328"/>
      <c r="O1744" s="386"/>
      <c r="P1744" s="356"/>
      <c r="Q1744" s="380"/>
      <c r="S1744" s="336"/>
      <c r="T1744" s="62" ph="1"/>
      <c r="V1744" s="232"/>
      <c r="W1744" s="269"/>
      <c r="X1744" s="201"/>
      <c r="Y1744" s="269"/>
      <c r="Z1744" s="269"/>
      <c r="AA1744" s="269"/>
      <c r="AB1744" s="269"/>
      <c r="AC1744" s="269"/>
      <c r="AD1744" s="269"/>
      <c r="AE1744" s="269"/>
      <c r="AG1744" s="128"/>
    </row>
    <row r="1745" spans="1:33" ht="26.25">
      <c r="A1745" s="269"/>
      <c r="B1745" s="269"/>
      <c r="C1745" s="269"/>
      <c r="D1745" s="269"/>
      <c r="E1745" s="269"/>
      <c r="F1745" s="269"/>
      <c r="G1745" s="269"/>
      <c r="H1745" s="269"/>
      <c r="I1745" s="269"/>
      <c r="J1745" s="334"/>
      <c r="K1745" s="334"/>
      <c r="L1745" s="334"/>
      <c r="M1745" s="328"/>
      <c r="N1745" s="328"/>
      <c r="O1745" s="386"/>
      <c r="P1745" s="356"/>
      <c r="Q1745" s="380"/>
      <c r="S1745" s="336"/>
      <c r="T1745" s="62" ph="1"/>
      <c r="V1745" s="232"/>
      <c r="W1745" s="269"/>
      <c r="X1745" s="201"/>
      <c r="Y1745" s="269"/>
      <c r="Z1745" s="269"/>
      <c r="AA1745" s="269"/>
      <c r="AB1745" s="269"/>
      <c r="AC1745" s="269"/>
      <c r="AD1745" s="269"/>
      <c r="AE1745" s="269"/>
      <c r="AG1745" s="128"/>
    </row>
    <row r="1746" spans="1:33" ht="26.25">
      <c r="A1746" s="269"/>
      <c r="B1746" s="269"/>
      <c r="C1746" s="269"/>
      <c r="D1746" s="269"/>
      <c r="E1746" s="269"/>
      <c r="F1746" s="269"/>
      <c r="G1746" s="269"/>
      <c r="H1746" s="269"/>
      <c r="I1746" s="269"/>
      <c r="J1746" s="334"/>
      <c r="K1746" s="334"/>
      <c r="L1746" s="334"/>
      <c r="M1746" s="328"/>
      <c r="N1746" s="328"/>
      <c r="O1746" s="386"/>
      <c r="P1746" s="356"/>
      <c r="Q1746" s="380"/>
      <c r="S1746" s="336"/>
      <c r="T1746" s="62" ph="1"/>
      <c r="V1746" s="232"/>
      <c r="W1746" s="269"/>
      <c r="X1746" s="201"/>
      <c r="Y1746" s="269"/>
      <c r="Z1746" s="269"/>
      <c r="AA1746" s="269"/>
      <c r="AB1746" s="269"/>
      <c r="AC1746" s="269"/>
      <c r="AD1746" s="269"/>
      <c r="AE1746" s="269"/>
      <c r="AG1746" s="128"/>
    </row>
    <row r="1747" spans="1:33" ht="26.25">
      <c r="A1747" s="269"/>
      <c r="B1747" s="269"/>
      <c r="C1747" s="269"/>
      <c r="D1747" s="269"/>
      <c r="E1747" s="269"/>
      <c r="F1747" s="269"/>
      <c r="G1747" s="269"/>
      <c r="H1747" s="269"/>
      <c r="I1747" s="269"/>
      <c r="J1747" s="334"/>
      <c r="K1747" s="334"/>
      <c r="L1747" s="334"/>
      <c r="M1747" s="328"/>
      <c r="N1747" s="328"/>
      <c r="O1747" s="386"/>
      <c r="P1747" s="356"/>
      <c r="Q1747" s="380"/>
      <c r="S1747" s="336"/>
      <c r="T1747" s="62" ph="1"/>
      <c r="V1747" s="232"/>
      <c r="W1747" s="269"/>
      <c r="X1747" s="201"/>
      <c r="Y1747" s="269"/>
      <c r="Z1747" s="269"/>
      <c r="AA1747" s="269"/>
      <c r="AB1747" s="269"/>
      <c r="AC1747" s="269"/>
      <c r="AD1747" s="269"/>
      <c r="AE1747" s="269"/>
      <c r="AG1747" s="128"/>
    </row>
    <row r="1748" spans="1:33" ht="26.25">
      <c r="A1748" s="269"/>
      <c r="B1748" s="269"/>
      <c r="C1748" s="269"/>
      <c r="D1748" s="269"/>
      <c r="E1748" s="269"/>
      <c r="F1748" s="269"/>
      <c r="G1748" s="269"/>
      <c r="H1748" s="269"/>
      <c r="I1748" s="269"/>
      <c r="J1748" s="334"/>
      <c r="K1748" s="334"/>
      <c r="L1748" s="334"/>
      <c r="M1748" s="328"/>
      <c r="N1748" s="328"/>
      <c r="O1748" s="386"/>
      <c r="P1748" s="356"/>
      <c r="Q1748" s="380"/>
      <c r="S1748" s="336"/>
      <c r="T1748" s="62" ph="1"/>
      <c r="V1748" s="232"/>
      <c r="W1748" s="269"/>
      <c r="X1748" s="201"/>
      <c r="Y1748" s="269"/>
      <c r="Z1748" s="269"/>
      <c r="AA1748" s="269"/>
      <c r="AB1748" s="269"/>
      <c r="AC1748" s="269"/>
      <c r="AD1748" s="269"/>
      <c r="AE1748" s="269"/>
      <c r="AG1748" s="269"/>
    </row>
    <row r="1749" spans="1:33" ht="26.25">
      <c r="A1749" s="269"/>
      <c r="B1749" s="269"/>
      <c r="C1749" s="269"/>
      <c r="D1749" s="269"/>
      <c r="E1749" s="269"/>
      <c r="F1749" s="269"/>
      <c r="G1749" s="269"/>
      <c r="H1749" s="269"/>
      <c r="I1749" s="269"/>
      <c r="J1749" s="334"/>
      <c r="K1749" s="334"/>
      <c r="L1749" s="334"/>
      <c r="M1749" s="328"/>
      <c r="N1749" s="328"/>
      <c r="O1749" s="386"/>
      <c r="P1749" s="356"/>
      <c r="Q1749" s="380"/>
      <c r="S1749" s="336"/>
      <c r="T1749" s="62" ph="1"/>
      <c r="V1749" s="232"/>
      <c r="W1749" s="269"/>
      <c r="X1749" s="201"/>
      <c r="Y1749" s="269"/>
      <c r="Z1749" s="269"/>
      <c r="AA1749" s="269"/>
      <c r="AB1749" s="269"/>
      <c r="AC1749" s="269"/>
      <c r="AD1749" s="269"/>
      <c r="AE1749" s="269"/>
      <c r="AG1749" s="128"/>
    </row>
    <row r="1750" spans="1:33" ht="26.25">
      <c r="A1750" s="269"/>
      <c r="B1750" s="269"/>
      <c r="C1750" s="269"/>
      <c r="D1750" s="269"/>
      <c r="E1750" s="269"/>
      <c r="F1750" s="269"/>
      <c r="G1750" s="269"/>
      <c r="H1750" s="269"/>
      <c r="I1750" s="269"/>
      <c r="J1750" s="334"/>
      <c r="K1750" s="334"/>
      <c r="L1750" s="334"/>
      <c r="M1750" s="328"/>
      <c r="N1750" s="328"/>
      <c r="O1750" s="386"/>
      <c r="P1750" s="356"/>
      <c r="Q1750" s="380"/>
      <c r="S1750" s="336"/>
      <c r="T1750" s="62" ph="1"/>
      <c r="V1750" s="232"/>
      <c r="W1750" s="269"/>
      <c r="X1750" s="201"/>
      <c r="Y1750" s="269"/>
      <c r="Z1750" s="269"/>
      <c r="AA1750" s="269"/>
      <c r="AB1750" s="269"/>
      <c r="AC1750" s="269"/>
      <c r="AD1750" s="269"/>
      <c r="AE1750" s="269"/>
      <c r="AG1750" s="128"/>
    </row>
    <row r="1751" spans="1:33" ht="26.25">
      <c r="A1751" s="269"/>
      <c r="B1751" s="269"/>
      <c r="C1751" s="269"/>
      <c r="D1751" s="269"/>
      <c r="E1751" s="269"/>
      <c r="F1751" s="269"/>
      <c r="G1751" s="269"/>
      <c r="H1751" s="269"/>
      <c r="I1751" s="269"/>
      <c r="J1751" s="334"/>
      <c r="K1751" s="334"/>
      <c r="L1751" s="334"/>
      <c r="M1751" s="328"/>
      <c r="N1751" s="328"/>
      <c r="O1751" s="386"/>
      <c r="P1751" s="356"/>
      <c r="Q1751" s="380"/>
      <c r="S1751" s="336"/>
      <c r="T1751" s="62" ph="1"/>
      <c r="V1751" s="232"/>
      <c r="W1751" s="269"/>
      <c r="X1751" s="201"/>
      <c r="Y1751" s="269"/>
      <c r="Z1751" s="269"/>
      <c r="AA1751" s="269"/>
      <c r="AB1751" s="269"/>
      <c r="AC1751" s="269"/>
      <c r="AD1751" s="269"/>
      <c r="AE1751" s="269"/>
      <c r="AG1751" s="128"/>
    </row>
    <row r="1752" spans="1:33" ht="26.25">
      <c r="A1752" s="269"/>
      <c r="B1752" s="269"/>
      <c r="C1752" s="269"/>
      <c r="D1752" s="269"/>
      <c r="E1752" s="269"/>
      <c r="F1752" s="269"/>
      <c r="G1752" s="269"/>
      <c r="H1752" s="269"/>
      <c r="I1752" s="269"/>
      <c r="J1752" s="334"/>
      <c r="K1752" s="334"/>
      <c r="L1752" s="334"/>
      <c r="M1752" s="328"/>
      <c r="N1752" s="328"/>
      <c r="O1752" s="386"/>
      <c r="P1752" s="356"/>
      <c r="Q1752" s="380"/>
      <c r="S1752" s="336"/>
      <c r="T1752" s="62" ph="1"/>
      <c r="V1752" s="232"/>
      <c r="W1752" s="269"/>
      <c r="X1752" s="201"/>
      <c r="Y1752" s="269"/>
      <c r="Z1752" s="269"/>
      <c r="AA1752" s="269"/>
      <c r="AB1752" s="269"/>
      <c r="AC1752" s="269"/>
      <c r="AD1752" s="269"/>
      <c r="AE1752" s="269"/>
      <c r="AG1752" s="128"/>
    </row>
    <row r="1753" spans="1:33" ht="26.25">
      <c r="A1753" s="269"/>
      <c r="B1753" s="269"/>
      <c r="C1753" s="269"/>
      <c r="D1753" s="269"/>
      <c r="E1753" s="269"/>
      <c r="F1753" s="269"/>
      <c r="G1753" s="269"/>
      <c r="H1753" s="269"/>
      <c r="I1753" s="269"/>
      <c r="J1753" s="334"/>
      <c r="K1753" s="334"/>
      <c r="L1753" s="334"/>
      <c r="M1753" s="328"/>
      <c r="N1753" s="328"/>
      <c r="O1753" s="386"/>
      <c r="P1753" s="356"/>
      <c r="Q1753" s="380"/>
      <c r="S1753" s="336"/>
      <c r="T1753" s="62" ph="1"/>
      <c r="V1753" s="232"/>
      <c r="W1753" s="269"/>
      <c r="X1753" s="201"/>
      <c r="Y1753" s="269"/>
      <c r="Z1753" s="269"/>
      <c r="AA1753" s="269"/>
      <c r="AB1753" s="269"/>
      <c r="AC1753" s="269"/>
      <c r="AD1753" s="269"/>
      <c r="AE1753" s="269"/>
      <c r="AG1753" s="128"/>
    </row>
    <row r="1754" spans="1:33" ht="26.25">
      <c r="A1754" s="269"/>
      <c r="B1754" s="269"/>
      <c r="C1754" s="269"/>
      <c r="D1754" s="269"/>
      <c r="E1754" s="269"/>
      <c r="F1754" s="269"/>
      <c r="G1754" s="269"/>
      <c r="H1754" s="269"/>
      <c r="I1754" s="269"/>
      <c r="J1754" s="334"/>
      <c r="K1754" s="334"/>
      <c r="L1754" s="334"/>
      <c r="M1754" s="328"/>
      <c r="N1754" s="328"/>
      <c r="O1754" s="386"/>
      <c r="P1754" s="356"/>
      <c r="Q1754" s="380"/>
      <c r="S1754" s="336"/>
      <c r="T1754" s="62" ph="1"/>
      <c r="V1754" s="232"/>
      <c r="W1754" s="269"/>
      <c r="X1754" s="201"/>
      <c r="Y1754" s="269"/>
      <c r="Z1754" s="269"/>
      <c r="AA1754" s="269"/>
      <c r="AB1754" s="269"/>
      <c r="AC1754" s="269"/>
      <c r="AD1754" s="269"/>
      <c r="AE1754" s="269"/>
      <c r="AG1754" s="128"/>
    </row>
    <row r="1755" spans="1:33" ht="26.25">
      <c r="A1755" s="269"/>
      <c r="B1755" s="269"/>
      <c r="C1755" s="269"/>
      <c r="D1755" s="269"/>
      <c r="E1755" s="269"/>
      <c r="F1755" s="269"/>
      <c r="G1755" s="269"/>
      <c r="H1755" s="269"/>
      <c r="I1755" s="269"/>
      <c r="J1755" s="334"/>
      <c r="K1755" s="334"/>
      <c r="L1755" s="334"/>
      <c r="M1755" s="328"/>
      <c r="N1755" s="328"/>
      <c r="O1755" s="386"/>
      <c r="P1755" s="356"/>
      <c r="Q1755" s="380"/>
      <c r="S1755" s="336"/>
      <c r="T1755" s="62" ph="1"/>
      <c r="V1755" s="232"/>
      <c r="W1755" s="269"/>
      <c r="X1755" s="201"/>
      <c r="Y1755" s="269"/>
      <c r="Z1755" s="269"/>
      <c r="AA1755" s="269"/>
      <c r="AB1755" s="269"/>
      <c r="AC1755" s="269"/>
      <c r="AD1755" s="269"/>
      <c r="AE1755" s="269"/>
      <c r="AG1755" s="128"/>
    </row>
    <row r="1756" spans="1:33" ht="26.25">
      <c r="A1756" s="269"/>
      <c r="B1756" s="269"/>
      <c r="C1756" s="269"/>
      <c r="D1756" s="269"/>
      <c r="E1756" s="269"/>
      <c r="F1756" s="269"/>
      <c r="G1756" s="269"/>
      <c r="H1756" s="269"/>
      <c r="I1756" s="269"/>
      <c r="J1756" s="334"/>
      <c r="K1756" s="334"/>
      <c r="L1756" s="334"/>
      <c r="M1756" s="328"/>
      <c r="N1756" s="328"/>
      <c r="O1756" s="386"/>
      <c r="P1756" s="356"/>
      <c r="Q1756" s="380"/>
      <c r="S1756" s="336"/>
      <c r="T1756" s="62" ph="1"/>
      <c r="V1756" s="232"/>
      <c r="W1756" s="269"/>
      <c r="X1756" s="201"/>
      <c r="Y1756" s="269"/>
      <c r="Z1756" s="269"/>
      <c r="AA1756" s="269"/>
      <c r="AB1756" s="269"/>
      <c r="AC1756" s="269"/>
      <c r="AD1756" s="269"/>
      <c r="AE1756" s="269"/>
      <c r="AG1756" s="128"/>
    </row>
    <row r="1757" spans="1:33" ht="26.25">
      <c r="A1757" s="269"/>
      <c r="B1757" s="269"/>
      <c r="C1757" s="269"/>
      <c r="D1757" s="269"/>
      <c r="E1757" s="269"/>
      <c r="F1757" s="269"/>
      <c r="G1757" s="269"/>
      <c r="H1757" s="269"/>
      <c r="I1757" s="269"/>
      <c r="J1757" s="334"/>
      <c r="K1757" s="334"/>
      <c r="L1757" s="334"/>
      <c r="M1757" s="328"/>
      <c r="N1757" s="328"/>
      <c r="O1757" s="386"/>
      <c r="P1757" s="356"/>
      <c r="Q1757" s="380"/>
      <c r="S1757" s="336"/>
      <c r="T1757" s="62" ph="1"/>
      <c r="V1757" s="232"/>
      <c r="W1757" s="269"/>
      <c r="X1757" s="201"/>
      <c r="Y1757" s="269"/>
      <c r="Z1757" s="269"/>
      <c r="AA1757" s="269"/>
      <c r="AB1757" s="269"/>
      <c r="AC1757" s="269"/>
      <c r="AD1757" s="269"/>
      <c r="AE1757" s="269"/>
      <c r="AG1757" s="128"/>
    </row>
    <row r="1758" spans="1:33" ht="26.25">
      <c r="A1758" s="269"/>
      <c r="B1758" s="269"/>
      <c r="C1758" s="269"/>
      <c r="D1758" s="269"/>
      <c r="E1758" s="269"/>
      <c r="F1758" s="269"/>
      <c r="G1758" s="269"/>
      <c r="H1758" s="269"/>
      <c r="I1758" s="269"/>
      <c r="J1758" s="334"/>
      <c r="K1758" s="334"/>
      <c r="L1758" s="334"/>
      <c r="M1758" s="328"/>
      <c r="N1758" s="328"/>
      <c r="O1758" s="386"/>
      <c r="P1758" s="356"/>
      <c r="Q1758" s="380"/>
      <c r="S1758" s="336"/>
      <c r="T1758" s="62" ph="1"/>
      <c r="V1758" s="232"/>
      <c r="W1758" s="269"/>
      <c r="X1758" s="201"/>
      <c r="Y1758" s="269"/>
      <c r="Z1758" s="269"/>
      <c r="AA1758" s="269"/>
      <c r="AB1758" s="269"/>
      <c r="AC1758" s="269"/>
      <c r="AD1758" s="269"/>
      <c r="AE1758" s="269"/>
      <c r="AG1758" s="128"/>
    </row>
    <row r="1759" spans="1:33" ht="26.25">
      <c r="A1759" s="269"/>
      <c r="B1759" s="269"/>
      <c r="C1759" s="269"/>
      <c r="D1759" s="269"/>
      <c r="E1759" s="269"/>
      <c r="F1759" s="269"/>
      <c r="G1759" s="269"/>
      <c r="H1759" s="269"/>
      <c r="I1759" s="269"/>
      <c r="J1759" s="334"/>
      <c r="K1759" s="334"/>
      <c r="L1759" s="334"/>
      <c r="M1759" s="328"/>
      <c r="N1759" s="328"/>
      <c r="O1759" s="386"/>
      <c r="P1759" s="356"/>
      <c r="Q1759" s="380"/>
      <c r="S1759" s="336"/>
      <c r="T1759" s="62" ph="1"/>
      <c r="V1759" s="232"/>
      <c r="W1759" s="269"/>
      <c r="X1759" s="201"/>
      <c r="Y1759" s="269"/>
      <c r="Z1759" s="269"/>
      <c r="AA1759" s="269"/>
      <c r="AB1759" s="269"/>
      <c r="AC1759" s="269"/>
      <c r="AD1759" s="269"/>
      <c r="AE1759" s="269"/>
      <c r="AG1759" s="128"/>
    </row>
    <row r="1760" spans="1:33" ht="26.25">
      <c r="A1760" s="269"/>
      <c r="B1760" s="269"/>
      <c r="C1760" s="269"/>
      <c r="D1760" s="269"/>
      <c r="E1760" s="269"/>
      <c r="F1760" s="269"/>
      <c r="G1760" s="269"/>
      <c r="H1760" s="269"/>
      <c r="I1760" s="269"/>
      <c r="J1760" s="334"/>
      <c r="K1760" s="334"/>
      <c r="L1760" s="334"/>
      <c r="M1760" s="328"/>
      <c r="N1760" s="328"/>
      <c r="O1760" s="386"/>
      <c r="P1760" s="356"/>
      <c r="Q1760" s="380"/>
      <c r="S1760" s="336"/>
      <c r="T1760" s="62" ph="1"/>
      <c r="V1760" s="232"/>
      <c r="W1760" s="269"/>
      <c r="X1760" s="201"/>
      <c r="Y1760" s="269"/>
      <c r="Z1760" s="269"/>
      <c r="AA1760" s="269"/>
      <c r="AB1760" s="269"/>
      <c r="AC1760" s="269"/>
      <c r="AD1760" s="269"/>
      <c r="AE1760" s="269"/>
      <c r="AG1760" s="128"/>
    </row>
    <row r="1761" spans="1:33" ht="26.25">
      <c r="A1761" s="269"/>
      <c r="B1761" s="269"/>
      <c r="C1761" s="269"/>
      <c r="D1761" s="269"/>
      <c r="E1761" s="269"/>
      <c r="F1761" s="269"/>
      <c r="G1761" s="269"/>
      <c r="H1761" s="269"/>
      <c r="I1761" s="269"/>
      <c r="J1761" s="334"/>
      <c r="K1761" s="334"/>
      <c r="L1761" s="334"/>
      <c r="M1761" s="328"/>
      <c r="N1761" s="328"/>
      <c r="O1761" s="386"/>
      <c r="P1761" s="356"/>
      <c r="Q1761" s="380"/>
      <c r="S1761" s="336"/>
      <c r="T1761" s="62" ph="1"/>
      <c r="V1761" s="232"/>
      <c r="W1761" s="269"/>
      <c r="X1761" s="201"/>
      <c r="Y1761" s="269"/>
      <c r="Z1761" s="269"/>
      <c r="AA1761" s="269"/>
      <c r="AB1761" s="269"/>
      <c r="AC1761" s="269"/>
      <c r="AD1761" s="269"/>
      <c r="AE1761" s="269"/>
      <c r="AG1761" s="128"/>
    </row>
    <row r="1762" spans="1:33" ht="26.25">
      <c r="A1762" s="269"/>
      <c r="B1762" s="269"/>
      <c r="C1762" s="269"/>
      <c r="D1762" s="269"/>
      <c r="E1762" s="269"/>
      <c r="F1762" s="269"/>
      <c r="G1762" s="269"/>
      <c r="H1762" s="269"/>
      <c r="I1762" s="269"/>
      <c r="J1762" s="334"/>
      <c r="K1762" s="334"/>
      <c r="L1762" s="334"/>
      <c r="M1762" s="328"/>
      <c r="N1762" s="328"/>
      <c r="O1762" s="386"/>
      <c r="P1762" s="356"/>
      <c r="Q1762" s="380"/>
      <c r="S1762" s="336"/>
      <c r="T1762" s="62" ph="1"/>
      <c r="V1762" s="232"/>
      <c r="W1762" s="269"/>
      <c r="X1762" s="201"/>
      <c r="Y1762" s="269"/>
      <c r="Z1762" s="269"/>
      <c r="AA1762" s="269"/>
      <c r="AB1762" s="269"/>
      <c r="AC1762" s="269"/>
      <c r="AD1762" s="269"/>
      <c r="AE1762" s="269"/>
      <c r="AG1762" s="128"/>
    </row>
    <row r="1763" spans="1:33" ht="26.25">
      <c r="A1763" s="269"/>
      <c r="B1763" s="269"/>
      <c r="C1763" s="269"/>
      <c r="D1763" s="269"/>
      <c r="E1763" s="269"/>
      <c r="F1763" s="269"/>
      <c r="G1763" s="269"/>
      <c r="H1763" s="269"/>
      <c r="I1763" s="269"/>
      <c r="J1763" s="334"/>
      <c r="K1763" s="334"/>
      <c r="L1763" s="334"/>
      <c r="M1763" s="328"/>
      <c r="N1763" s="328"/>
      <c r="O1763" s="386"/>
      <c r="P1763" s="356"/>
      <c r="Q1763" s="380"/>
      <c r="S1763" s="336"/>
      <c r="T1763" s="62" ph="1"/>
      <c r="V1763" s="232"/>
      <c r="W1763" s="269"/>
      <c r="X1763" s="201"/>
      <c r="Y1763" s="269"/>
      <c r="Z1763" s="269"/>
      <c r="AA1763" s="269"/>
      <c r="AB1763" s="269"/>
      <c r="AC1763" s="269"/>
      <c r="AD1763" s="269"/>
      <c r="AE1763" s="269"/>
      <c r="AG1763" s="128"/>
    </row>
    <row r="1764" spans="1:33" ht="26.25">
      <c r="A1764" s="269"/>
      <c r="B1764" s="269"/>
      <c r="C1764" s="269"/>
      <c r="D1764" s="269"/>
      <c r="E1764" s="269"/>
      <c r="F1764" s="269"/>
      <c r="G1764" s="269"/>
      <c r="H1764" s="269"/>
      <c r="I1764" s="269"/>
      <c r="J1764" s="334"/>
      <c r="K1764" s="334"/>
      <c r="L1764" s="334"/>
      <c r="M1764" s="328"/>
      <c r="N1764" s="328"/>
      <c r="O1764" s="386"/>
      <c r="P1764" s="356"/>
      <c r="Q1764" s="380"/>
      <c r="S1764" s="336"/>
      <c r="T1764" s="62" ph="1"/>
      <c r="V1764" s="232"/>
      <c r="W1764" s="269"/>
      <c r="X1764" s="201"/>
      <c r="Y1764" s="269"/>
      <c r="Z1764" s="269"/>
      <c r="AA1764" s="269"/>
      <c r="AB1764" s="269"/>
      <c r="AC1764" s="269"/>
      <c r="AD1764" s="269"/>
      <c r="AE1764" s="269"/>
      <c r="AG1764" s="128"/>
    </row>
    <row r="1765" spans="1:33" ht="26.25">
      <c r="A1765" s="269"/>
      <c r="B1765" s="269"/>
      <c r="C1765" s="269"/>
      <c r="D1765" s="269"/>
      <c r="E1765" s="269"/>
      <c r="F1765" s="269"/>
      <c r="G1765" s="269"/>
      <c r="H1765" s="269"/>
      <c r="I1765" s="269"/>
      <c r="J1765" s="334"/>
      <c r="K1765" s="334"/>
      <c r="L1765" s="334"/>
      <c r="M1765" s="328"/>
      <c r="N1765" s="328"/>
      <c r="O1765" s="386"/>
      <c r="P1765" s="356"/>
      <c r="Q1765" s="380"/>
      <c r="S1765" s="336"/>
      <c r="T1765" s="62" ph="1"/>
      <c r="V1765" s="232"/>
      <c r="W1765" s="269"/>
      <c r="X1765" s="201"/>
      <c r="Y1765" s="269"/>
      <c r="Z1765" s="269"/>
      <c r="AA1765" s="269"/>
      <c r="AB1765" s="269"/>
      <c r="AC1765" s="269"/>
      <c r="AD1765" s="269"/>
      <c r="AE1765" s="269"/>
      <c r="AG1765" s="128"/>
    </row>
    <row r="1766" spans="1:33" ht="26.25">
      <c r="A1766" s="269"/>
      <c r="B1766" s="269"/>
      <c r="C1766" s="269"/>
      <c r="D1766" s="269"/>
      <c r="E1766" s="269"/>
      <c r="F1766" s="269"/>
      <c r="G1766" s="269"/>
      <c r="H1766" s="269"/>
      <c r="I1766" s="269"/>
      <c r="J1766" s="334"/>
      <c r="K1766" s="334"/>
      <c r="L1766" s="334"/>
      <c r="M1766" s="328"/>
      <c r="N1766" s="328"/>
      <c r="O1766" s="386"/>
      <c r="P1766" s="356"/>
      <c r="Q1766" s="380"/>
      <c r="S1766" s="336"/>
      <c r="T1766" s="62" ph="1"/>
      <c r="V1766" s="232"/>
      <c r="W1766" s="269"/>
      <c r="X1766" s="201"/>
      <c r="Y1766" s="269"/>
      <c r="Z1766" s="269"/>
      <c r="AA1766" s="269"/>
      <c r="AB1766" s="269"/>
      <c r="AC1766" s="269"/>
      <c r="AD1766" s="269"/>
      <c r="AE1766" s="269"/>
      <c r="AG1766" s="128"/>
    </row>
    <row r="1767" spans="1:33" ht="26.25">
      <c r="A1767" s="269"/>
      <c r="B1767" s="269"/>
      <c r="C1767" s="269"/>
      <c r="D1767" s="269"/>
      <c r="E1767" s="269"/>
      <c r="F1767" s="269"/>
      <c r="G1767" s="269"/>
      <c r="H1767" s="269"/>
      <c r="I1767" s="269"/>
      <c r="J1767" s="334"/>
      <c r="K1767" s="334"/>
      <c r="L1767" s="334"/>
      <c r="M1767" s="328"/>
      <c r="N1767" s="328"/>
      <c r="O1767" s="386"/>
      <c r="P1767" s="356"/>
      <c r="Q1767" s="380"/>
      <c r="S1767" s="336"/>
      <c r="T1767" s="62" ph="1"/>
      <c r="V1767" s="232"/>
      <c r="W1767" s="269"/>
      <c r="X1767" s="201"/>
      <c r="Y1767" s="269"/>
      <c r="Z1767" s="269"/>
      <c r="AA1767" s="269"/>
      <c r="AB1767" s="269"/>
      <c r="AC1767" s="269"/>
      <c r="AD1767" s="269"/>
      <c r="AE1767" s="269"/>
      <c r="AG1767" s="128"/>
    </row>
    <row r="1768" spans="1:33" ht="26.25">
      <c r="A1768" s="269"/>
      <c r="B1768" s="269"/>
      <c r="C1768" s="269"/>
      <c r="D1768" s="269"/>
      <c r="E1768" s="269"/>
      <c r="F1768" s="269"/>
      <c r="G1768" s="269"/>
      <c r="H1768" s="269"/>
      <c r="I1768" s="269"/>
      <c r="J1768" s="334"/>
      <c r="K1768" s="334"/>
      <c r="L1768" s="334"/>
      <c r="M1768" s="328"/>
      <c r="N1768" s="328"/>
      <c r="O1768" s="386"/>
      <c r="P1768" s="356"/>
      <c r="Q1768" s="380"/>
      <c r="S1768" s="336"/>
      <c r="T1768" s="62" ph="1"/>
      <c r="V1768" s="232"/>
      <c r="W1768" s="269"/>
      <c r="X1768" s="201"/>
      <c r="Y1768" s="269"/>
      <c r="Z1768" s="269"/>
      <c r="AA1768" s="269"/>
      <c r="AB1768" s="269"/>
      <c r="AC1768" s="269"/>
      <c r="AD1768" s="269"/>
      <c r="AE1768" s="269"/>
      <c r="AG1768" s="128"/>
    </row>
    <row r="1769" spans="1:33" ht="26.25">
      <c r="A1769" s="269"/>
      <c r="B1769" s="269"/>
      <c r="C1769" s="269"/>
      <c r="D1769" s="269"/>
      <c r="E1769" s="269"/>
      <c r="F1769" s="269"/>
      <c r="G1769" s="269"/>
      <c r="H1769" s="269"/>
      <c r="I1769" s="269"/>
      <c r="J1769" s="334"/>
      <c r="K1769" s="334"/>
      <c r="L1769" s="334"/>
      <c r="M1769" s="328"/>
      <c r="N1769" s="328"/>
      <c r="O1769" s="386"/>
      <c r="P1769" s="356"/>
      <c r="Q1769" s="380"/>
      <c r="S1769" s="336"/>
      <c r="T1769" s="62" ph="1"/>
      <c r="V1769" s="232"/>
      <c r="W1769" s="269"/>
      <c r="X1769" s="201"/>
      <c r="Y1769" s="269"/>
      <c r="Z1769" s="269"/>
      <c r="AA1769" s="269"/>
      <c r="AB1769" s="269"/>
      <c r="AC1769" s="269"/>
      <c r="AD1769" s="269"/>
      <c r="AE1769" s="269"/>
      <c r="AG1769" s="128"/>
    </row>
    <row r="1770" spans="1:33" ht="26.25">
      <c r="A1770" s="269"/>
      <c r="B1770" s="269"/>
      <c r="C1770" s="269"/>
      <c r="D1770" s="269"/>
      <c r="E1770" s="269"/>
      <c r="F1770" s="269"/>
      <c r="G1770" s="269"/>
      <c r="H1770" s="269"/>
      <c r="I1770" s="269"/>
      <c r="J1770" s="334"/>
      <c r="K1770" s="334"/>
      <c r="L1770" s="334"/>
      <c r="M1770" s="328"/>
      <c r="N1770" s="328"/>
      <c r="O1770" s="386"/>
      <c r="P1770" s="356"/>
      <c r="Q1770" s="380"/>
      <c r="S1770" s="336"/>
      <c r="T1770" s="62" ph="1"/>
      <c r="V1770" s="232"/>
      <c r="W1770" s="269"/>
      <c r="X1770" s="201"/>
      <c r="Y1770" s="269"/>
      <c r="Z1770" s="269"/>
      <c r="AA1770" s="269"/>
      <c r="AB1770" s="269"/>
      <c r="AC1770" s="269"/>
      <c r="AD1770" s="269"/>
      <c r="AE1770" s="269"/>
      <c r="AG1770" s="128"/>
    </row>
    <row r="1771" spans="1:33" ht="26.25">
      <c r="A1771" s="269"/>
      <c r="B1771" s="269"/>
      <c r="C1771" s="269"/>
      <c r="D1771" s="269"/>
      <c r="E1771" s="269"/>
      <c r="F1771" s="269"/>
      <c r="G1771" s="269"/>
      <c r="H1771" s="269"/>
      <c r="I1771" s="269"/>
      <c r="J1771" s="334"/>
      <c r="K1771" s="334"/>
      <c r="L1771" s="334"/>
      <c r="M1771" s="328"/>
      <c r="N1771" s="328"/>
      <c r="O1771" s="386"/>
      <c r="P1771" s="356"/>
      <c r="Q1771" s="380"/>
      <c r="S1771" s="336"/>
      <c r="T1771" s="62" ph="1"/>
      <c r="V1771" s="232"/>
      <c r="W1771" s="269"/>
      <c r="X1771" s="201"/>
      <c r="Y1771" s="269"/>
      <c r="Z1771" s="269"/>
      <c r="AA1771" s="269"/>
      <c r="AB1771" s="269"/>
      <c r="AC1771" s="269"/>
      <c r="AD1771" s="269"/>
      <c r="AE1771" s="269"/>
      <c r="AG1771" s="128"/>
    </row>
    <row r="1772" spans="1:33" ht="26.25">
      <c r="A1772" s="269"/>
      <c r="B1772" s="269"/>
      <c r="C1772" s="269"/>
      <c r="D1772" s="269"/>
      <c r="E1772" s="269"/>
      <c r="F1772" s="269"/>
      <c r="G1772" s="269"/>
      <c r="H1772" s="269"/>
      <c r="I1772" s="269"/>
      <c r="J1772" s="334"/>
      <c r="K1772" s="334"/>
      <c r="L1772" s="334"/>
      <c r="M1772" s="328"/>
      <c r="N1772" s="328"/>
      <c r="O1772" s="386"/>
      <c r="P1772" s="356"/>
      <c r="Q1772" s="380"/>
      <c r="S1772" s="336"/>
      <c r="T1772" s="62" ph="1"/>
      <c r="V1772" s="232"/>
      <c r="W1772" s="269"/>
      <c r="X1772" s="201"/>
      <c r="Y1772" s="269"/>
      <c r="Z1772" s="269"/>
      <c r="AA1772" s="269"/>
      <c r="AB1772" s="269"/>
      <c r="AC1772" s="269"/>
      <c r="AD1772" s="269"/>
      <c r="AE1772" s="269"/>
      <c r="AG1772" s="128"/>
    </row>
    <row r="1773" spans="1:33" ht="26.25">
      <c r="A1773" s="269"/>
      <c r="B1773" s="269"/>
      <c r="C1773" s="269"/>
      <c r="D1773" s="269"/>
      <c r="E1773" s="269"/>
      <c r="F1773" s="269"/>
      <c r="G1773" s="269"/>
      <c r="H1773" s="269"/>
      <c r="I1773" s="269"/>
      <c r="J1773" s="334"/>
      <c r="K1773" s="334"/>
      <c r="L1773" s="334"/>
      <c r="M1773" s="328"/>
      <c r="N1773" s="328"/>
      <c r="O1773" s="386"/>
      <c r="P1773" s="356"/>
      <c r="Q1773" s="380"/>
      <c r="S1773" s="336"/>
      <c r="T1773" s="62" ph="1"/>
      <c r="V1773" s="232"/>
      <c r="W1773" s="269"/>
      <c r="X1773" s="201"/>
      <c r="Y1773" s="269"/>
      <c r="Z1773" s="269"/>
      <c r="AA1773" s="269"/>
      <c r="AB1773" s="269"/>
      <c r="AC1773" s="269"/>
      <c r="AD1773" s="269"/>
      <c r="AE1773" s="269"/>
      <c r="AG1773" s="128"/>
    </row>
    <row r="1774" spans="1:33" ht="26.25">
      <c r="A1774" s="269"/>
      <c r="B1774" s="269"/>
      <c r="C1774" s="269"/>
      <c r="D1774" s="269"/>
      <c r="E1774" s="269"/>
      <c r="F1774" s="269"/>
      <c r="G1774" s="269"/>
      <c r="H1774" s="269"/>
      <c r="I1774" s="269"/>
      <c r="J1774" s="334"/>
      <c r="K1774" s="334"/>
      <c r="L1774" s="334"/>
      <c r="M1774" s="328"/>
      <c r="N1774" s="328"/>
      <c r="O1774" s="386"/>
      <c r="P1774" s="356"/>
      <c r="Q1774" s="380"/>
      <c r="S1774" s="336"/>
      <c r="T1774" s="62" ph="1"/>
      <c r="V1774" s="232"/>
      <c r="W1774" s="269"/>
      <c r="X1774" s="201"/>
      <c r="Y1774" s="269"/>
      <c r="Z1774" s="269"/>
      <c r="AA1774" s="269"/>
      <c r="AB1774" s="269"/>
      <c r="AC1774" s="269"/>
      <c r="AD1774" s="269"/>
      <c r="AE1774" s="269"/>
      <c r="AG1774" s="128"/>
    </row>
    <row r="1775" spans="1:33" ht="26.25">
      <c r="A1775" s="269"/>
      <c r="B1775" s="269"/>
      <c r="C1775" s="269"/>
      <c r="D1775" s="269"/>
      <c r="E1775" s="269"/>
      <c r="F1775" s="269"/>
      <c r="G1775" s="269"/>
      <c r="H1775" s="269"/>
      <c r="I1775" s="269"/>
      <c r="J1775" s="334"/>
      <c r="K1775" s="334"/>
      <c r="L1775" s="334"/>
      <c r="M1775" s="328"/>
      <c r="N1775" s="328"/>
      <c r="O1775" s="386"/>
      <c r="P1775" s="356"/>
      <c r="Q1775" s="380"/>
      <c r="S1775" s="336"/>
      <c r="T1775" s="62" ph="1"/>
      <c r="V1775" s="232"/>
      <c r="W1775" s="269"/>
      <c r="X1775" s="201"/>
      <c r="Y1775" s="269"/>
      <c r="Z1775" s="269"/>
      <c r="AA1775" s="269"/>
      <c r="AB1775" s="269"/>
      <c r="AC1775" s="269"/>
      <c r="AD1775" s="269"/>
      <c r="AE1775" s="269"/>
      <c r="AG1775" s="128"/>
    </row>
    <row r="1776" spans="1:33" ht="26.25">
      <c r="A1776" s="269"/>
      <c r="B1776" s="269"/>
      <c r="C1776" s="269"/>
      <c r="D1776" s="269"/>
      <c r="E1776" s="269"/>
      <c r="F1776" s="269"/>
      <c r="G1776" s="269"/>
      <c r="H1776" s="269"/>
      <c r="I1776" s="269"/>
      <c r="J1776" s="334"/>
      <c r="K1776" s="334"/>
      <c r="L1776" s="334"/>
      <c r="M1776" s="328"/>
      <c r="N1776" s="328"/>
      <c r="O1776" s="386"/>
      <c r="P1776" s="356"/>
      <c r="Q1776" s="380"/>
      <c r="S1776" s="336"/>
      <c r="T1776" s="62" ph="1"/>
      <c r="V1776" s="232"/>
      <c r="W1776" s="269"/>
      <c r="X1776" s="201"/>
      <c r="Y1776" s="269"/>
      <c r="Z1776" s="269"/>
      <c r="AA1776" s="269"/>
      <c r="AB1776" s="269"/>
      <c r="AC1776" s="269"/>
      <c r="AD1776" s="269"/>
      <c r="AE1776" s="269"/>
      <c r="AG1776" s="128"/>
    </row>
    <row r="1777" spans="1:33" ht="26.25">
      <c r="A1777" s="269"/>
      <c r="B1777" s="269"/>
      <c r="C1777" s="269"/>
      <c r="D1777" s="269"/>
      <c r="E1777" s="269"/>
      <c r="F1777" s="269"/>
      <c r="G1777" s="269"/>
      <c r="H1777" s="269"/>
      <c r="I1777" s="269"/>
      <c r="J1777" s="334"/>
      <c r="K1777" s="334"/>
      <c r="L1777" s="334"/>
      <c r="M1777" s="328"/>
      <c r="N1777" s="328"/>
      <c r="O1777" s="386"/>
      <c r="P1777" s="356"/>
      <c r="Q1777" s="380"/>
      <c r="S1777" s="336"/>
      <c r="T1777" s="62" ph="1"/>
      <c r="V1777" s="232"/>
      <c r="W1777" s="269"/>
      <c r="X1777" s="201"/>
      <c r="Y1777" s="269"/>
      <c r="Z1777" s="269"/>
      <c r="AA1777" s="269"/>
      <c r="AB1777" s="269"/>
      <c r="AC1777" s="269"/>
      <c r="AD1777" s="269"/>
      <c r="AE1777" s="269"/>
      <c r="AG1777" s="128"/>
    </row>
    <row r="1778" spans="1:33" ht="26.25">
      <c r="A1778" s="269"/>
      <c r="B1778" s="269"/>
      <c r="C1778" s="269"/>
      <c r="D1778" s="269"/>
      <c r="E1778" s="269"/>
      <c r="F1778" s="269"/>
      <c r="G1778" s="269"/>
      <c r="H1778" s="269"/>
      <c r="I1778" s="269"/>
      <c r="J1778" s="334"/>
      <c r="K1778" s="334"/>
      <c r="L1778" s="334"/>
      <c r="M1778" s="328"/>
      <c r="N1778" s="328"/>
      <c r="O1778" s="386"/>
      <c r="P1778" s="356"/>
      <c r="Q1778" s="380"/>
      <c r="S1778" s="336"/>
      <c r="T1778" s="62" ph="1"/>
      <c r="V1778" s="232"/>
      <c r="W1778" s="269"/>
      <c r="X1778" s="201"/>
      <c r="Y1778" s="269"/>
      <c r="Z1778" s="269"/>
      <c r="AA1778" s="269"/>
      <c r="AB1778" s="269"/>
      <c r="AC1778" s="269"/>
      <c r="AD1778" s="269"/>
      <c r="AE1778" s="269"/>
      <c r="AG1778" s="128"/>
    </row>
    <row r="1779" spans="1:33" ht="26.25">
      <c r="A1779" s="269"/>
      <c r="B1779" s="269"/>
      <c r="C1779" s="269"/>
      <c r="D1779" s="269"/>
      <c r="E1779" s="269"/>
      <c r="F1779" s="269"/>
      <c r="G1779" s="269"/>
      <c r="H1779" s="269"/>
      <c r="I1779" s="269"/>
      <c r="J1779" s="334"/>
      <c r="K1779" s="334"/>
      <c r="L1779" s="334"/>
      <c r="M1779" s="328"/>
      <c r="N1779" s="328"/>
      <c r="O1779" s="386"/>
      <c r="P1779" s="356"/>
      <c r="Q1779" s="380"/>
      <c r="S1779" s="336"/>
      <c r="T1779" s="62" ph="1"/>
      <c r="V1779" s="232"/>
      <c r="W1779" s="269"/>
      <c r="X1779" s="201"/>
      <c r="Y1779" s="269"/>
      <c r="Z1779" s="269"/>
      <c r="AA1779" s="269"/>
      <c r="AB1779" s="269"/>
      <c r="AC1779" s="269"/>
      <c r="AD1779" s="269"/>
      <c r="AE1779" s="269"/>
      <c r="AG1779" s="128"/>
    </row>
    <row r="1780" spans="1:33" ht="26.25">
      <c r="A1780" s="269"/>
      <c r="B1780" s="269"/>
      <c r="C1780" s="269"/>
      <c r="D1780" s="269"/>
      <c r="E1780" s="269"/>
      <c r="F1780" s="269"/>
      <c r="G1780" s="269"/>
      <c r="H1780" s="269"/>
      <c r="I1780" s="269"/>
      <c r="J1780" s="334"/>
      <c r="K1780" s="334"/>
      <c r="L1780" s="334"/>
      <c r="M1780" s="328"/>
      <c r="N1780" s="328"/>
      <c r="O1780" s="386"/>
      <c r="P1780" s="356"/>
      <c r="Q1780" s="380"/>
      <c r="S1780" s="336"/>
      <c r="T1780" s="62" ph="1"/>
      <c r="V1780" s="232"/>
      <c r="W1780" s="269"/>
      <c r="X1780" s="201"/>
      <c r="Y1780" s="269"/>
      <c r="Z1780" s="269"/>
      <c r="AA1780" s="269"/>
      <c r="AB1780" s="269"/>
      <c r="AC1780" s="269"/>
      <c r="AD1780" s="269"/>
      <c r="AE1780" s="269"/>
      <c r="AG1780" s="128"/>
    </row>
    <row r="1781" spans="1:33" ht="26.25">
      <c r="A1781" s="269"/>
      <c r="B1781" s="269"/>
      <c r="C1781" s="269"/>
      <c r="D1781" s="269"/>
      <c r="E1781" s="269"/>
      <c r="F1781" s="269"/>
      <c r="G1781" s="269"/>
      <c r="H1781" s="269"/>
      <c r="I1781" s="269"/>
      <c r="J1781" s="334"/>
      <c r="K1781" s="334"/>
      <c r="L1781" s="334"/>
      <c r="M1781" s="328"/>
      <c r="N1781" s="328"/>
      <c r="O1781" s="386"/>
      <c r="P1781" s="356"/>
      <c r="Q1781" s="380"/>
      <c r="S1781" s="336"/>
      <c r="T1781" s="62" ph="1"/>
      <c r="V1781" s="232"/>
      <c r="W1781" s="269"/>
      <c r="X1781" s="201"/>
      <c r="Y1781" s="269"/>
      <c r="Z1781" s="269"/>
      <c r="AA1781" s="269"/>
      <c r="AB1781" s="269"/>
      <c r="AC1781" s="269"/>
      <c r="AD1781" s="269"/>
      <c r="AE1781" s="269"/>
      <c r="AG1781" s="128"/>
    </row>
    <row r="1782" spans="1:33" ht="26.25">
      <c r="A1782" s="269"/>
      <c r="B1782" s="269"/>
      <c r="C1782" s="269"/>
      <c r="D1782" s="269"/>
      <c r="E1782" s="269"/>
      <c r="F1782" s="269"/>
      <c r="G1782" s="269"/>
      <c r="H1782" s="269"/>
      <c r="I1782" s="269"/>
      <c r="J1782" s="334"/>
      <c r="K1782" s="334"/>
      <c r="L1782" s="334"/>
      <c r="M1782" s="328"/>
      <c r="N1782" s="328"/>
      <c r="O1782" s="386"/>
      <c r="P1782" s="356"/>
      <c r="Q1782" s="380"/>
      <c r="S1782" s="336"/>
      <c r="T1782" s="62" ph="1"/>
      <c r="V1782" s="232"/>
      <c r="W1782" s="269"/>
      <c r="X1782" s="201"/>
      <c r="Y1782" s="269"/>
      <c r="Z1782" s="269"/>
      <c r="AA1782" s="269"/>
      <c r="AB1782" s="269"/>
      <c r="AC1782" s="269"/>
      <c r="AD1782" s="269"/>
      <c r="AE1782" s="269"/>
      <c r="AG1782" s="128"/>
    </row>
    <row r="1783" spans="1:33" ht="26.25">
      <c r="A1783" s="269"/>
      <c r="B1783" s="269"/>
      <c r="C1783" s="269"/>
      <c r="D1783" s="269"/>
      <c r="E1783" s="269"/>
      <c r="F1783" s="269"/>
      <c r="G1783" s="269"/>
      <c r="H1783" s="269"/>
      <c r="I1783" s="269"/>
      <c r="J1783" s="334"/>
      <c r="K1783" s="334"/>
      <c r="L1783" s="334"/>
      <c r="M1783" s="328"/>
      <c r="N1783" s="328"/>
      <c r="O1783" s="386"/>
      <c r="P1783" s="356"/>
      <c r="Q1783" s="380"/>
      <c r="S1783" s="336"/>
      <c r="T1783" s="62" ph="1"/>
      <c r="V1783" s="232"/>
      <c r="W1783" s="269"/>
      <c r="X1783" s="201"/>
      <c r="Y1783" s="269"/>
      <c r="Z1783" s="269"/>
      <c r="AA1783" s="269"/>
      <c r="AB1783" s="269"/>
      <c r="AC1783" s="269"/>
      <c r="AD1783" s="269"/>
      <c r="AE1783" s="269"/>
      <c r="AG1783" s="128"/>
    </row>
    <row r="1784" spans="1:33" ht="26.25">
      <c r="A1784" s="269"/>
      <c r="B1784" s="269"/>
      <c r="C1784" s="269"/>
      <c r="D1784" s="269"/>
      <c r="E1784" s="269"/>
      <c r="F1784" s="269"/>
      <c r="G1784" s="269"/>
      <c r="H1784" s="269"/>
      <c r="I1784" s="269"/>
      <c r="J1784" s="334"/>
      <c r="K1784" s="334"/>
      <c r="L1784" s="334"/>
      <c r="M1784" s="328"/>
      <c r="N1784" s="328"/>
      <c r="O1784" s="386"/>
      <c r="P1784" s="356"/>
      <c r="Q1784" s="380"/>
      <c r="S1784" s="336"/>
      <c r="T1784" s="62" ph="1"/>
      <c r="V1784" s="232"/>
      <c r="W1784" s="269"/>
      <c r="X1784" s="201"/>
      <c r="Y1784" s="269"/>
      <c r="Z1784" s="269"/>
      <c r="AA1784" s="269"/>
      <c r="AB1784" s="269"/>
      <c r="AC1784" s="269"/>
      <c r="AD1784" s="269"/>
      <c r="AE1784" s="269"/>
      <c r="AG1784" s="128"/>
    </row>
    <row r="1785" spans="1:33" ht="26.25">
      <c r="A1785" s="269"/>
      <c r="B1785" s="269"/>
      <c r="C1785" s="269"/>
      <c r="D1785" s="269"/>
      <c r="E1785" s="269"/>
      <c r="F1785" s="269"/>
      <c r="G1785" s="269"/>
      <c r="H1785" s="269"/>
      <c r="I1785" s="269"/>
      <c r="J1785" s="334"/>
      <c r="K1785" s="334"/>
      <c r="L1785" s="334"/>
      <c r="M1785" s="328"/>
      <c r="N1785" s="328"/>
      <c r="O1785" s="386"/>
      <c r="P1785" s="356"/>
      <c r="Q1785" s="380"/>
      <c r="S1785" s="336"/>
      <c r="T1785" s="62" ph="1"/>
      <c r="V1785" s="232"/>
      <c r="W1785" s="269"/>
      <c r="X1785" s="201"/>
      <c r="Y1785" s="269"/>
      <c r="Z1785" s="269"/>
      <c r="AA1785" s="269"/>
      <c r="AB1785" s="269"/>
      <c r="AC1785" s="269"/>
      <c r="AD1785" s="269"/>
      <c r="AE1785" s="269"/>
      <c r="AG1785" s="128"/>
    </row>
    <row r="1786" spans="1:33" ht="26.25">
      <c r="A1786" s="269"/>
      <c r="B1786" s="269"/>
      <c r="C1786" s="269"/>
      <c r="D1786" s="269"/>
      <c r="E1786" s="269"/>
      <c r="F1786" s="269"/>
      <c r="G1786" s="269"/>
      <c r="H1786" s="269"/>
      <c r="I1786" s="269"/>
      <c r="J1786" s="334"/>
      <c r="K1786" s="334"/>
      <c r="L1786" s="334"/>
      <c r="M1786" s="328"/>
      <c r="N1786" s="328"/>
      <c r="O1786" s="386"/>
      <c r="P1786" s="356"/>
      <c r="Q1786" s="380"/>
      <c r="S1786" s="336"/>
      <c r="T1786" s="62" ph="1"/>
      <c r="V1786" s="232"/>
      <c r="W1786" s="269"/>
      <c r="X1786" s="201"/>
      <c r="Y1786" s="269"/>
      <c r="Z1786" s="269"/>
      <c r="AA1786" s="269"/>
      <c r="AB1786" s="269"/>
      <c r="AC1786" s="269"/>
      <c r="AD1786" s="269"/>
      <c r="AE1786" s="269"/>
      <c r="AG1786" s="128"/>
    </row>
    <row r="1787" spans="1:33" ht="26.25">
      <c r="A1787" s="269"/>
      <c r="B1787" s="269"/>
      <c r="C1787" s="269"/>
      <c r="D1787" s="269"/>
      <c r="E1787" s="269"/>
      <c r="F1787" s="269"/>
      <c r="G1787" s="269"/>
      <c r="H1787" s="269"/>
      <c r="I1787" s="269"/>
      <c r="J1787" s="334"/>
      <c r="K1787" s="334"/>
      <c r="L1787" s="334"/>
      <c r="M1787" s="328"/>
      <c r="N1787" s="328"/>
      <c r="O1787" s="386"/>
      <c r="P1787" s="356"/>
      <c r="Q1787" s="380"/>
      <c r="S1787" s="336"/>
      <c r="T1787" s="62" ph="1"/>
      <c r="V1787" s="232"/>
      <c r="W1787" s="269"/>
      <c r="X1787" s="201"/>
      <c r="Y1787" s="269"/>
      <c r="Z1787" s="269"/>
      <c r="AA1787" s="269"/>
      <c r="AB1787" s="269"/>
      <c r="AC1787" s="269"/>
      <c r="AD1787" s="269"/>
      <c r="AE1787" s="269"/>
      <c r="AG1787" s="128"/>
    </row>
    <row r="1788" spans="1:33" ht="26.25">
      <c r="A1788" s="269"/>
      <c r="B1788" s="269"/>
      <c r="C1788" s="269"/>
      <c r="D1788" s="269"/>
      <c r="E1788" s="269"/>
      <c r="F1788" s="269"/>
      <c r="G1788" s="269"/>
      <c r="H1788" s="269"/>
      <c r="I1788" s="269"/>
      <c r="J1788" s="334"/>
      <c r="K1788" s="334"/>
      <c r="L1788" s="334"/>
      <c r="M1788" s="328"/>
      <c r="N1788" s="328"/>
      <c r="O1788" s="386"/>
      <c r="P1788" s="356"/>
      <c r="Q1788" s="380"/>
      <c r="S1788" s="336"/>
      <c r="T1788" s="62" ph="1"/>
      <c r="V1788" s="232"/>
      <c r="W1788" s="269"/>
      <c r="X1788" s="201"/>
      <c r="Y1788" s="269"/>
      <c r="Z1788" s="269"/>
      <c r="AA1788" s="269"/>
      <c r="AB1788" s="269"/>
      <c r="AC1788" s="269"/>
      <c r="AD1788" s="269"/>
      <c r="AE1788" s="269"/>
      <c r="AG1788" s="128"/>
    </row>
    <row r="1789" spans="1:33" ht="26.25">
      <c r="A1789" s="269"/>
      <c r="B1789" s="269"/>
      <c r="C1789" s="269"/>
      <c r="D1789" s="269"/>
      <c r="E1789" s="269"/>
      <c r="F1789" s="269"/>
      <c r="G1789" s="269"/>
      <c r="H1789" s="269"/>
      <c r="I1789" s="269"/>
      <c r="J1789" s="334"/>
      <c r="K1789" s="334"/>
      <c r="L1789" s="334"/>
      <c r="M1789" s="328"/>
      <c r="N1789" s="328"/>
      <c r="O1789" s="386"/>
      <c r="P1789" s="356"/>
      <c r="Q1789" s="380"/>
      <c r="S1789" s="336"/>
      <c r="T1789" s="62" ph="1"/>
      <c r="V1789" s="232"/>
      <c r="W1789" s="269"/>
      <c r="X1789" s="201"/>
      <c r="Y1789" s="269"/>
      <c r="Z1789" s="269"/>
      <c r="AA1789" s="269"/>
      <c r="AB1789" s="269"/>
      <c r="AC1789" s="269"/>
      <c r="AD1789" s="269"/>
      <c r="AE1789" s="269"/>
      <c r="AG1789" s="128"/>
    </row>
    <row r="1790" spans="1:33" ht="26.25">
      <c r="A1790" s="269"/>
      <c r="B1790" s="269"/>
      <c r="C1790" s="269"/>
      <c r="D1790" s="269"/>
      <c r="E1790" s="269"/>
      <c r="F1790" s="269"/>
      <c r="G1790" s="269"/>
      <c r="H1790" s="269"/>
      <c r="I1790" s="269"/>
      <c r="J1790" s="334"/>
      <c r="K1790" s="334"/>
      <c r="L1790" s="334"/>
      <c r="M1790" s="328"/>
      <c r="N1790" s="328"/>
      <c r="O1790" s="386"/>
      <c r="P1790" s="356"/>
      <c r="Q1790" s="380"/>
      <c r="S1790" s="336"/>
      <c r="T1790" s="62" ph="1"/>
      <c r="V1790" s="232"/>
      <c r="W1790" s="269"/>
      <c r="X1790" s="201"/>
      <c r="Y1790" s="269"/>
      <c r="Z1790" s="269"/>
      <c r="AA1790" s="269"/>
      <c r="AB1790" s="269"/>
      <c r="AC1790" s="269"/>
      <c r="AD1790" s="269"/>
      <c r="AE1790" s="269"/>
      <c r="AG1790" s="128"/>
    </row>
    <row r="1791" spans="1:33" ht="26.25">
      <c r="A1791" s="269"/>
      <c r="B1791" s="269"/>
      <c r="C1791" s="269"/>
      <c r="D1791" s="269"/>
      <c r="E1791" s="269"/>
      <c r="F1791" s="269"/>
      <c r="G1791" s="269"/>
      <c r="H1791" s="269"/>
      <c r="I1791" s="269"/>
      <c r="J1791" s="334"/>
      <c r="K1791" s="334"/>
      <c r="L1791" s="334"/>
      <c r="M1791" s="328"/>
      <c r="N1791" s="328"/>
      <c r="O1791" s="386"/>
      <c r="P1791" s="356"/>
      <c r="Q1791" s="380"/>
      <c r="S1791" s="336"/>
      <c r="T1791" s="62" ph="1"/>
      <c r="V1791" s="232"/>
      <c r="W1791" s="269"/>
      <c r="X1791" s="201"/>
      <c r="Y1791" s="269"/>
      <c r="Z1791" s="269"/>
      <c r="AA1791" s="269"/>
      <c r="AB1791" s="269"/>
      <c r="AC1791" s="269"/>
      <c r="AD1791" s="269"/>
      <c r="AE1791" s="269"/>
      <c r="AG1791" s="269"/>
    </row>
    <row r="1792" spans="1:33" ht="26.25">
      <c r="A1792" s="269"/>
      <c r="B1792" s="269"/>
      <c r="C1792" s="269"/>
      <c r="D1792" s="269"/>
      <c r="E1792" s="269"/>
      <c r="F1792" s="269"/>
      <c r="G1792" s="269"/>
      <c r="H1792" s="269"/>
      <c r="I1792" s="269"/>
      <c r="J1792" s="334"/>
      <c r="K1792" s="334"/>
      <c r="L1792" s="334"/>
      <c r="M1792" s="328"/>
      <c r="N1792" s="328"/>
      <c r="O1792" s="386"/>
      <c r="P1792" s="356"/>
      <c r="Q1792" s="380"/>
      <c r="S1792" s="336"/>
      <c r="T1792" s="62" ph="1"/>
      <c r="V1792" s="232"/>
      <c r="W1792" s="269"/>
      <c r="X1792" s="201"/>
      <c r="Y1792" s="269"/>
      <c r="Z1792" s="269"/>
      <c r="AA1792" s="269"/>
      <c r="AB1792" s="269"/>
      <c r="AC1792" s="269"/>
      <c r="AD1792" s="269"/>
      <c r="AE1792" s="269"/>
      <c r="AG1792" s="269"/>
    </row>
    <row r="1793" spans="1:33" ht="26.25">
      <c r="A1793" s="269"/>
      <c r="B1793" s="269"/>
      <c r="C1793" s="269"/>
      <c r="D1793" s="269"/>
      <c r="E1793" s="269"/>
      <c r="F1793" s="269"/>
      <c r="G1793" s="269"/>
      <c r="H1793" s="269"/>
      <c r="I1793" s="269"/>
      <c r="J1793" s="334"/>
      <c r="K1793" s="334"/>
      <c r="L1793" s="334"/>
      <c r="M1793" s="328"/>
      <c r="N1793" s="328"/>
      <c r="O1793" s="386"/>
      <c r="P1793" s="356"/>
      <c r="Q1793" s="380"/>
      <c r="S1793" s="336"/>
      <c r="T1793" s="62" ph="1"/>
      <c r="V1793" s="232"/>
      <c r="W1793" s="269"/>
      <c r="X1793" s="201"/>
      <c r="Y1793" s="269"/>
      <c r="Z1793" s="269"/>
      <c r="AA1793" s="269"/>
      <c r="AB1793" s="269"/>
      <c r="AC1793" s="269"/>
      <c r="AD1793" s="269"/>
      <c r="AE1793" s="269"/>
      <c r="AG1793" s="128"/>
    </row>
    <row r="1794" spans="1:33" ht="26.25">
      <c r="A1794" s="269"/>
      <c r="B1794" s="269"/>
      <c r="C1794" s="269"/>
      <c r="D1794" s="269"/>
      <c r="E1794" s="269"/>
      <c r="F1794" s="269"/>
      <c r="G1794" s="269"/>
      <c r="H1794" s="269"/>
      <c r="I1794" s="269"/>
      <c r="J1794" s="334"/>
      <c r="K1794" s="334"/>
      <c r="L1794" s="334"/>
      <c r="M1794" s="328"/>
      <c r="N1794" s="328"/>
      <c r="O1794" s="386"/>
      <c r="P1794" s="356"/>
      <c r="Q1794" s="380"/>
      <c r="S1794" s="336"/>
      <c r="T1794" s="62" ph="1"/>
      <c r="V1794" s="232"/>
      <c r="W1794" s="269"/>
      <c r="X1794" s="201"/>
      <c r="Y1794" s="269"/>
      <c r="Z1794" s="269"/>
      <c r="AA1794" s="269"/>
      <c r="AB1794" s="269"/>
      <c r="AC1794" s="269"/>
      <c r="AD1794" s="269"/>
      <c r="AE1794" s="269"/>
      <c r="AG1794" s="128"/>
    </row>
    <row r="1795" spans="1:33" ht="26.25">
      <c r="A1795" s="269"/>
      <c r="B1795" s="269"/>
      <c r="C1795" s="269"/>
      <c r="D1795" s="269"/>
      <c r="E1795" s="269"/>
      <c r="F1795" s="269"/>
      <c r="G1795" s="269"/>
      <c r="H1795" s="269"/>
      <c r="I1795" s="269"/>
      <c r="J1795" s="334"/>
      <c r="K1795" s="334"/>
      <c r="L1795" s="334"/>
      <c r="M1795" s="328"/>
      <c r="N1795" s="328"/>
      <c r="O1795" s="386"/>
      <c r="P1795" s="356"/>
      <c r="Q1795" s="380"/>
      <c r="S1795" s="336"/>
      <c r="T1795" s="62" ph="1"/>
      <c r="V1795" s="232"/>
      <c r="W1795" s="269"/>
      <c r="X1795" s="201"/>
      <c r="Y1795" s="269"/>
      <c r="Z1795" s="269"/>
      <c r="AA1795" s="269"/>
      <c r="AB1795" s="269"/>
      <c r="AC1795" s="269"/>
      <c r="AD1795" s="269"/>
      <c r="AE1795" s="269"/>
      <c r="AG1795" s="128"/>
    </row>
    <row r="1796" spans="1:33" ht="26.25">
      <c r="A1796" s="269"/>
      <c r="B1796" s="269"/>
      <c r="C1796" s="269"/>
      <c r="D1796" s="269"/>
      <c r="E1796" s="269"/>
      <c r="F1796" s="269"/>
      <c r="G1796" s="269"/>
      <c r="H1796" s="269"/>
      <c r="I1796" s="269"/>
      <c r="J1796" s="334"/>
      <c r="K1796" s="334"/>
      <c r="L1796" s="334"/>
      <c r="M1796" s="328"/>
      <c r="N1796" s="328"/>
      <c r="O1796" s="386"/>
      <c r="P1796" s="356"/>
      <c r="Q1796" s="380"/>
      <c r="S1796" s="336"/>
      <c r="T1796" s="62" ph="1"/>
      <c r="V1796" s="232"/>
      <c r="W1796" s="269"/>
      <c r="X1796" s="201"/>
      <c r="Y1796" s="269"/>
      <c r="Z1796" s="269"/>
      <c r="AA1796" s="269"/>
      <c r="AB1796" s="269"/>
      <c r="AC1796" s="269"/>
      <c r="AD1796" s="269"/>
      <c r="AE1796" s="269"/>
      <c r="AG1796" s="128"/>
    </row>
    <row r="1797" spans="1:33" ht="26.25">
      <c r="A1797" s="269"/>
      <c r="B1797" s="269"/>
      <c r="C1797" s="269"/>
      <c r="D1797" s="269"/>
      <c r="E1797" s="269"/>
      <c r="F1797" s="269"/>
      <c r="G1797" s="269"/>
      <c r="H1797" s="269"/>
      <c r="I1797" s="269"/>
      <c r="J1797" s="334"/>
      <c r="K1797" s="334"/>
      <c r="L1797" s="334"/>
      <c r="M1797" s="328"/>
      <c r="N1797" s="328"/>
      <c r="O1797" s="386"/>
      <c r="P1797" s="356"/>
      <c r="Q1797" s="380"/>
      <c r="S1797" s="336"/>
      <c r="T1797" s="62" ph="1"/>
      <c r="V1797" s="232"/>
      <c r="W1797" s="269"/>
      <c r="X1797" s="201"/>
      <c r="Y1797" s="269"/>
      <c r="Z1797" s="269"/>
      <c r="AA1797" s="269"/>
      <c r="AB1797" s="269"/>
      <c r="AC1797" s="269"/>
      <c r="AD1797" s="269"/>
      <c r="AE1797" s="269"/>
      <c r="AG1797" s="128"/>
    </row>
    <row r="1798" spans="1:33" ht="26.25">
      <c r="A1798" s="269"/>
      <c r="B1798" s="269"/>
      <c r="C1798" s="269"/>
      <c r="D1798" s="269"/>
      <c r="E1798" s="269"/>
      <c r="F1798" s="269"/>
      <c r="G1798" s="269"/>
      <c r="H1798" s="269"/>
      <c r="I1798" s="269"/>
      <c r="J1798" s="334"/>
      <c r="K1798" s="334"/>
      <c r="L1798" s="334"/>
      <c r="M1798" s="328"/>
      <c r="N1798" s="328"/>
      <c r="O1798" s="386"/>
      <c r="P1798" s="356"/>
      <c r="Q1798" s="380"/>
      <c r="S1798" s="336"/>
      <c r="T1798" s="62" ph="1"/>
      <c r="V1798" s="232"/>
      <c r="W1798" s="269"/>
      <c r="X1798" s="201"/>
      <c r="Y1798" s="269"/>
      <c r="Z1798" s="269"/>
      <c r="AA1798" s="269"/>
      <c r="AB1798" s="269"/>
      <c r="AC1798" s="269"/>
      <c r="AD1798" s="269"/>
      <c r="AE1798" s="269"/>
      <c r="AG1798" s="128"/>
    </row>
    <row r="1799" spans="1:33" ht="26.25">
      <c r="A1799" s="269"/>
      <c r="B1799" s="269"/>
      <c r="C1799" s="269"/>
      <c r="D1799" s="269"/>
      <c r="E1799" s="269"/>
      <c r="F1799" s="269"/>
      <c r="G1799" s="269"/>
      <c r="H1799" s="269"/>
      <c r="I1799" s="269"/>
      <c r="J1799" s="334"/>
      <c r="K1799" s="334"/>
      <c r="L1799" s="334"/>
      <c r="M1799" s="328"/>
      <c r="N1799" s="328"/>
      <c r="O1799" s="386"/>
      <c r="P1799" s="356"/>
      <c r="Q1799" s="380"/>
      <c r="S1799" s="336"/>
      <c r="T1799" s="62" ph="1"/>
      <c r="V1799" s="232"/>
      <c r="W1799" s="269"/>
      <c r="X1799" s="201"/>
      <c r="Y1799" s="269"/>
      <c r="Z1799" s="269"/>
      <c r="AA1799" s="269"/>
      <c r="AB1799" s="269"/>
      <c r="AC1799" s="269"/>
      <c r="AD1799" s="269"/>
      <c r="AE1799" s="269"/>
      <c r="AG1799" s="128"/>
    </row>
    <row r="1800" spans="1:33" ht="26.25">
      <c r="A1800" s="269"/>
      <c r="B1800" s="269"/>
      <c r="C1800" s="269"/>
      <c r="D1800" s="269"/>
      <c r="E1800" s="269"/>
      <c r="F1800" s="269"/>
      <c r="G1800" s="269"/>
      <c r="H1800" s="269"/>
      <c r="I1800" s="269"/>
      <c r="J1800" s="334"/>
      <c r="K1800" s="334"/>
      <c r="L1800" s="334"/>
      <c r="M1800" s="328"/>
      <c r="N1800" s="328"/>
      <c r="O1800" s="386"/>
      <c r="P1800" s="356"/>
      <c r="Q1800" s="380"/>
      <c r="S1800" s="336"/>
      <c r="T1800" s="62" ph="1"/>
      <c r="V1800" s="232"/>
      <c r="W1800" s="269"/>
      <c r="X1800" s="201"/>
      <c r="Y1800" s="269"/>
      <c r="Z1800" s="269"/>
      <c r="AA1800" s="269"/>
      <c r="AB1800" s="269"/>
      <c r="AC1800" s="269"/>
      <c r="AD1800" s="269"/>
      <c r="AE1800" s="269"/>
      <c r="AG1800" s="128"/>
    </row>
    <row r="1801" spans="1:33" ht="26.25">
      <c r="A1801" s="269"/>
      <c r="B1801" s="269"/>
      <c r="C1801" s="269"/>
      <c r="D1801" s="269"/>
      <c r="E1801" s="269"/>
      <c r="F1801" s="269"/>
      <c r="G1801" s="269"/>
      <c r="H1801" s="269"/>
      <c r="I1801" s="269"/>
      <c r="J1801" s="334"/>
      <c r="K1801" s="334"/>
      <c r="L1801" s="334"/>
      <c r="M1801" s="328"/>
      <c r="N1801" s="328"/>
      <c r="O1801" s="386"/>
      <c r="P1801" s="356"/>
      <c r="Q1801" s="380"/>
      <c r="S1801" s="336"/>
      <c r="T1801" s="62" ph="1"/>
      <c r="V1801" s="232"/>
      <c r="W1801" s="269"/>
      <c r="X1801" s="201"/>
      <c r="Y1801" s="269"/>
      <c r="Z1801" s="269"/>
      <c r="AA1801" s="269"/>
      <c r="AB1801" s="269"/>
      <c r="AC1801" s="269"/>
      <c r="AD1801" s="269"/>
      <c r="AE1801" s="269"/>
      <c r="AG1801" s="128"/>
    </row>
    <row r="1802" spans="1:33" ht="26.25">
      <c r="A1802" s="269"/>
      <c r="B1802" s="269"/>
      <c r="C1802" s="269"/>
      <c r="D1802" s="269"/>
      <c r="E1802" s="269"/>
      <c r="F1802" s="269"/>
      <c r="G1802" s="269"/>
      <c r="H1802" s="269"/>
      <c r="I1802" s="269"/>
      <c r="J1802" s="334"/>
      <c r="K1802" s="334"/>
      <c r="L1802" s="334"/>
      <c r="M1802" s="328"/>
      <c r="N1802" s="328"/>
      <c r="O1802" s="386"/>
      <c r="P1802" s="356"/>
      <c r="Q1802" s="380"/>
      <c r="S1802" s="336"/>
      <c r="T1802" s="62" ph="1"/>
      <c r="V1802" s="232"/>
      <c r="W1802" s="269"/>
      <c r="X1802" s="201"/>
      <c r="Y1802" s="269"/>
      <c r="Z1802" s="269"/>
      <c r="AA1802" s="269"/>
      <c r="AB1802" s="269"/>
      <c r="AC1802" s="269"/>
      <c r="AD1802" s="269"/>
      <c r="AE1802" s="269"/>
      <c r="AG1802" s="128"/>
    </row>
    <row r="1803" spans="1:33" ht="26.25">
      <c r="A1803" s="269"/>
      <c r="B1803" s="269"/>
      <c r="C1803" s="269"/>
      <c r="D1803" s="269"/>
      <c r="E1803" s="269"/>
      <c r="F1803" s="269"/>
      <c r="G1803" s="269"/>
      <c r="H1803" s="269"/>
      <c r="I1803" s="269"/>
      <c r="J1803" s="334"/>
      <c r="K1803" s="334"/>
      <c r="L1803" s="334"/>
      <c r="M1803" s="328"/>
      <c r="N1803" s="328"/>
      <c r="O1803" s="386"/>
      <c r="P1803" s="356"/>
      <c r="Q1803" s="380"/>
      <c r="S1803" s="336"/>
      <c r="T1803" s="62" ph="1"/>
      <c r="V1803" s="232"/>
      <c r="W1803" s="269"/>
      <c r="X1803" s="201"/>
      <c r="Y1803" s="269"/>
      <c r="Z1803" s="269"/>
      <c r="AA1803" s="269"/>
      <c r="AB1803" s="269"/>
      <c r="AC1803" s="269"/>
      <c r="AD1803" s="269"/>
      <c r="AE1803" s="269"/>
      <c r="AG1803" s="128"/>
    </row>
    <row r="1804" spans="1:33" ht="26.25">
      <c r="A1804" s="269"/>
      <c r="B1804" s="269"/>
      <c r="C1804" s="269"/>
      <c r="D1804" s="269"/>
      <c r="E1804" s="269"/>
      <c r="F1804" s="269"/>
      <c r="G1804" s="269"/>
      <c r="H1804" s="269"/>
      <c r="I1804" s="269"/>
      <c r="J1804" s="334"/>
      <c r="K1804" s="334"/>
      <c r="L1804" s="334"/>
      <c r="M1804" s="328"/>
      <c r="N1804" s="328"/>
      <c r="O1804" s="386"/>
      <c r="P1804" s="356"/>
      <c r="Q1804" s="380"/>
      <c r="S1804" s="336"/>
      <c r="T1804" s="62" ph="1"/>
      <c r="V1804" s="232"/>
      <c r="W1804" s="269"/>
      <c r="X1804" s="201"/>
      <c r="Y1804" s="269"/>
      <c r="Z1804" s="269"/>
      <c r="AA1804" s="269"/>
      <c r="AB1804" s="269"/>
      <c r="AC1804" s="269"/>
      <c r="AD1804" s="269"/>
      <c r="AE1804" s="269"/>
      <c r="AG1804" s="128"/>
    </row>
    <row r="1805" spans="1:33" ht="26.25">
      <c r="A1805" s="269"/>
      <c r="B1805" s="269"/>
      <c r="C1805" s="269"/>
      <c r="D1805" s="269"/>
      <c r="E1805" s="269"/>
      <c r="F1805" s="269"/>
      <c r="G1805" s="269"/>
      <c r="H1805" s="269"/>
      <c r="I1805" s="269"/>
      <c r="J1805" s="334"/>
      <c r="K1805" s="334"/>
      <c r="L1805" s="334"/>
      <c r="M1805" s="328"/>
      <c r="N1805" s="328"/>
      <c r="O1805" s="386"/>
      <c r="P1805" s="356"/>
      <c r="Q1805" s="380"/>
      <c r="S1805" s="336"/>
      <c r="T1805" s="62" ph="1"/>
      <c r="V1805" s="232"/>
      <c r="W1805" s="269"/>
      <c r="X1805" s="201"/>
      <c r="Y1805" s="269"/>
      <c r="Z1805" s="269"/>
      <c r="AA1805" s="269"/>
      <c r="AB1805" s="269"/>
      <c r="AC1805" s="269"/>
      <c r="AD1805" s="269"/>
      <c r="AE1805" s="269"/>
      <c r="AG1805" s="269"/>
    </row>
    <row r="1806" spans="1:33" ht="26.25">
      <c r="A1806" s="269"/>
      <c r="B1806" s="269"/>
      <c r="C1806" s="269"/>
      <c r="D1806" s="269"/>
      <c r="E1806" s="269"/>
      <c r="F1806" s="269"/>
      <c r="G1806" s="269"/>
      <c r="H1806" s="269"/>
      <c r="I1806" s="269"/>
      <c r="J1806" s="334"/>
      <c r="K1806" s="334"/>
      <c r="L1806" s="334"/>
      <c r="M1806" s="328"/>
      <c r="N1806" s="328"/>
      <c r="O1806" s="386"/>
      <c r="P1806" s="356"/>
      <c r="Q1806" s="380"/>
      <c r="S1806" s="336"/>
      <c r="T1806" s="62" ph="1"/>
      <c r="V1806" s="232"/>
      <c r="W1806" s="269"/>
      <c r="X1806" s="201"/>
      <c r="Y1806" s="269"/>
      <c r="Z1806" s="269"/>
      <c r="AA1806" s="269"/>
      <c r="AB1806" s="269"/>
      <c r="AC1806" s="269"/>
      <c r="AD1806" s="269"/>
      <c r="AE1806" s="269"/>
      <c r="AG1806" s="128"/>
    </row>
    <row r="1807" spans="1:33" ht="26.25">
      <c r="A1807" s="269"/>
      <c r="B1807" s="269"/>
      <c r="C1807" s="269"/>
      <c r="D1807" s="269"/>
      <c r="E1807" s="269"/>
      <c r="F1807" s="269"/>
      <c r="G1807" s="269"/>
      <c r="H1807" s="269"/>
      <c r="I1807" s="269"/>
      <c r="J1807" s="334"/>
      <c r="K1807" s="334"/>
      <c r="L1807" s="334"/>
      <c r="M1807" s="328"/>
      <c r="N1807" s="328"/>
      <c r="O1807" s="386"/>
      <c r="P1807" s="356"/>
      <c r="Q1807" s="380"/>
      <c r="S1807" s="336"/>
      <c r="T1807" s="62" ph="1"/>
      <c r="V1807" s="232"/>
      <c r="W1807" s="269"/>
      <c r="X1807" s="201"/>
      <c r="Y1807" s="269"/>
      <c r="Z1807" s="269"/>
      <c r="AA1807" s="269"/>
      <c r="AB1807" s="269"/>
      <c r="AC1807" s="269"/>
      <c r="AD1807" s="269"/>
      <c r="AE1807" s="269"/>
      <c r="AG1807" s="128"/>
    </row>
    <row r="1808" spans="1:33" ht="26.25">
      <c r="A1808" s="269"/>
      <c r="B1808" s="269"/>
      <c r="C1808" s="269"/>
      <c r="D1808" s="269"/>
      <c r="E1808" s="269"/>
      <c r="F1808" s="269"/>
      <c r="G1808" s="269"/>
      <c r="H1808" s="269"/>
      <c r="I1808" s="269"/>
      <c r="J1808" s="334"/>
      <c r="K1808" s="334"/>
      <c r="L1808" s="334"/>
      <c r="M1808" s="328"/>
      <c r="N1808" s="328"/>
      <c r="O1808" s="386"/>
      <c r="P1808" s="356"/>
      <c r="Q1808" s="380"/>
      <c r="S1808" s="336"/>
      <c r="T1808" s="62" ph="1"/>
      <c r="V1808" s="232"/>
      <c r="W1808" s="269"/>
      <c r="X1808" s="201"/>
      <c r="Y1808" s="269"/>
      <c r="Z1808" s="269"/>
      <c r="AA1808" s="269"/>
      <c r="AB1808" s="269"/>
      <c r="AC1808" s="269"/>
      <c r="AD1808" s="269"/>
      <c r="AE1808" s="269"/>
      <c r="AG1808" s="128"/>
    </row>
    <row r="1809" spans="1:33" ht="26.25">
      <c r="A1809" s="269"/>
      <c r="B1809" s="269"/>
      <c r="C1809" s="269"/>
      <c r="D1809" s="269"/>
      <c r="E1809" s="269"/>
      <c r="F1809" s="269"/>
      <c r="G1809" s="269"/>
      <c r="H1809" s="269"/>
      <c r="I1809" s="269"/>
      <c r="J1809" s="334"/>
      <c r="K1809" s="334"/>
      <c r="L1809" s="334"/>
      <c r="M1809" s="328"/>
      <c r="N1809" s="328"/>
      <c r="O1809" s="386"/>
      <c r="P1809" s="356"/>
      <c r="Q1809" s="380"/>
      <c r="S1809" s="336"/>
      <c r="T1809" s="62" ph="1"/>
      <c r="V1809" s="232"/>
      <c r="W1809" s="269"/>
      <c r="X1809" s="201"/>
      <c r="Y1809" s="269"/>
      <c r="Z1809" s="269"/>
      <c r="AA1809" s="269"/>
      <c r="AB1809" s="269"/>
      <c r="AC1809" s="269"/>
      <c r="AD1809" s="269"/>
      <c r="AE1809" s="269"/>
      <c r="AG1809" s="128"/>
    </row>
    <row r="1810" spans="1:33" ht="26.25">
      <c r="A1810" s="269"/>
      <c r="B1810" s="269"/>
      <c r="C1810" s="269"/>
      <c r="D1810" s="269"/>
      <c r="E1810" s="269"/>
      <c r="F1810" s="269"/>
      <c r="G1810" s="269"/>
      <c r="H1810" s="269"/>
      <c r="I1810" s="269"/>
      <c r="J1810" s="334"/>
      <c r="K1810" s="334"/>
      <c r="L1810" s="334"/>
      <c r="M1810" s="328"/>
      <c r="N1810" s="328"/>
      <c r="O1810" s="386"/>
      <c r="P1810" s="356"/>
      <c r="Q1810" s="380"/>
      <c r="S1810" s="336"/>
      <c r="T1810" s="62" ph="1"/>
      <c r="V1810" s="232"/>
      <c r="W1810" s="269"/>
      <c r="X1810" s="201"/>
      <c r="Y1810" s="269"/>
      <c r="Z1810" s="269"/>
      <c r="AA1810" s="269"/>
      <c r="AB1810" s="269"/>
      <c r="AC1810" s="269"/>
      <c r="AD1810" s="269"/>
      <c r="AE1810" s="269"/>
      <c r="AG1810" s="128"/>
    </row>
    <row r="1811" spans="1:33" ht="26.25">
      <c r="A1811" s="269"/>
      <c r="B1811" s="269"/>
      <c r="C1811" s="269"/>
      <c r="D1811" s="269"/>
      <c r="E1811" s="269"/>
      <c r="F1811" s="269"/>
      <c r="G1811" s="269"/>
      <c r="H1811" s="269"/>
      <c r="I1811" s="269"/>
      <c r="J1811" s="334"/>
      <c r="K1811" s="334"/>
      <c r="L1811" s="334"/>
      <c r="M1811" s="328"/>
      <c r="N1811" s="328"/>
      <c r="O1811" s="386"/>
      <c r="P1811" s="356"/>
      <c r="Q1811" s="380"/>
      <c r="S1811" s="336"/>
      <c r="T1811" s="62" ph="1"/>
      <c r="V1811" s="232"/>
      <c r="W1811" s="269"/>
      <c r="X1811" s="201"/>
      <c r="Y1811" s="269"/>
      <c r="Z1811" s="269"/>
      <c r="AA1811" s="269"/>
      <c r="AB1811" s="269"/>
      <c r="AC1811" s="269"/>
      <c r="AD1811" s="269"/>
      <c r="AE1811" s="269"/>
      <c r="AG1811" s="128"/>
    </row>
    <row r="1812" spans="1:33" ht="26.25">
      <c r="A1812" s="269"/>
      <c r="B1812" s="269"/>
      <c r="C1812" s="269"/>
      <c r="D1812" s="269"/>
      <c r="E1812" s="269"/>
      <c r="F1812" s="269"/>
      <c r="G1812" s="269"/>
      <c r="H1812" s="269"/>
      <c r="I1812" s="269"/>
      <c r="J1812" s="334"/>
      <c r="K1812" s="334"/>
      <c r="L1812" s="334"/>
      <c r="M1812" s="328"/>
      <c r="N1812" s="328"/>
      <c r="O1812" s="386"/>
      <c r="P1812" s="356"/>
      <c r="Q1812" s="380"/>
      <c r="S1812" s="336"/>
      <c r="T1812" s="62" ph="1"/>
      <c r="V1812" s="232"/>
      <c r="W1812" s="269"/>
      <c r="X1812" s="201"/>
      <c r="Y1812" s="269"/>
      <c r="Z1812" s="269"/>
      <c r="AA1812" s="269"/>
      <c r="AB1812" s="269"/>
      <c r="AC1812" s="269"/>
      <c r="AD1812" s="269"/>
      <c r="AE1812" s="269"/>
      <c r="AG1812" s="51"/>
    </row>
    <row r="1813" spans="1:33" ht="26.25">
      <c r="A1813" s="269"/>
      <c r="B1813" s="269"/>
      <c r="C1813" s="269"/>
      <c r="D1813" s="269"/>
      <c r="E1813" s="269"/>
      <c r="F1813" s="269"/>
      <c r="G1813" s="269"/>
      <c r="H1813" s="269"/>
      <c r="I1813" s="269"/>
      <c r="J1813" s="334"/>
      <c r="K1813" s="334"/>
      <c r="L1813" s="334"/>
      <c r="M1813" s="328"/>
      <c r="N1813" s="328"/>
      <c r="O1813" s="386"/>
      <c r="P1813" s="356"/>
      <c r="Q1813" s="380"/>
      <c r="S1813" s="336"/>
      <c r="T1813" s="62" ph="1"/>
      <c r="V1813" s="232"/>
      <c r="W1813" s="269"/>
      <c r="X1813" s="201"/>
      <c r="Y1813" s="269"/>
      <c r="Z1813" s="269"/>
      <c r="AA1813" s="269"/>
      <c r="AB1813" s="269"/>
      <c r="AC1813" s="269"/>
      <c r="AD1813" s="269"/>
      <c r="AE1813" s="269"/>
      <c r="AG1813" s="128"/>
    </row>
    <row r="1814" spans="1:33" ht="26.25">
      <c r="A1814" s="269"/>
      <c r="B1814" s="269"/>
      <c r="C1814" s="269"/>
      <c r="D1814" s="269"/>
      <c r="E1814" s="269"/>
      <c r="F1814" s="269"/>
      <c r="G1814" s="269"/>
      <c r="H1814" s="269"/>
      <c r="I1814" s="269"/>
      <c r="J1814" s="334"/>
      <c r="K1814" s="334"/>
      <c r="L1814" s="334"/>
      <c r="M1814" s="328"/>
      <c r="N1814" s="328"/>
      <c r="O1814" s="386"/>
      <c r="P1814" s="356"/>
      <c r="Q1814" s="380"/>
      <c r="S1814" s="336"/>
      <c r="T1814" s="62" ph="1"/>
      <c r="V1814" s="232"/>
      <c r="W1814" s="269"/>
      <c r="X1814" s="201"/>
      <c r="Y1814" s="269"/>
      <c r="Z1814" s="269"/>
      <c r="AA1814" s="269"/>
      <c r="AB1814" s="269"/>
      <c r="AC1814" s="269"/>
      <c r="AD1814" s="269"/>
      <c r="AE1814" s="269"/>
      <c r="AG1814" s="128"/>
    </row>
    <row r="1815" spans="1:33" ht="26.25">
      <c r="A1815" s="269"/>
      <c r="B1815" s="269"/>
      <c r="C1815" s="269"/>
      <c r="D1815" s="269"/>
      <c r="E1815" s="269"/>
      <c r="F1815" s="269"/>
      <c r="G1815" s="269"/>
      <c r="H1815" s="269"/>
      <c r="I1815" s="269"/>
      <c r="J1815" s="334"/>
      <c r="K1815" s="334"/>
      <c r="L1815" s="334"/>
      <c r="M1815" s="328"/>
      <c r="N1815" s="328"/>
      <c r="O1815" s="386"/>
      <c r="P1815" s="356"/>
      <c r="Q1815" s="380"/>
      <c r="S1815" s="336"/>
      <c r="T1815" s="62" ph="1"/>
      <c r="V1815" s="232"/>
      <c r="W1815" s="269"/>
      <c r="X1815" s="201"/>
      <c r="Y1815" s="269"/>
      <c r="Z1815" s="269"/>
      <c r="AA1815" s="269"/>
      <c r="AB1815" s="269"/>
      <c r="AC1815" s="269"/>
      <c r="AD1815" s="269"/>
      <c r="AE1815" s="269"/>
      <c r="AG1815" s="128"/>
    </row>
    <row r="1816" spans="1:33" ht="26.25">
      <c r="A1816" s="269"/>
      <c r="B1816" s="269"/>
      <c r="C1816" s="269"/>
      <c r="D1816" s="269"/>
      <c r="E1816" s="269"/>
      <c r="F1816" s="269"/>
      <c r="G1816" s="269"/>
      <c r="H1816" s="269"/>
      <c r="I1816" s="269"/>
      <c r="J1816" s="334"/>
      <c r="K1816" s="334"/>
      <c r="L1816" s="334"/>
      <c r="M1816" s="328"/>
      <c r="N1816" s="328"/>
      <c r="O1816" s="386"/>
      <c r="P1816" s="356"/>
      <c r="Q1816" s="380"/>
      <c r="S1816" s="336"/>
      <c r="T1816" s="62" ph="1"/>
      <c r="V1816" s="232"/>
      <c r="W1816" s="269"/>
      <c r="X1816" s="201"/>
      <c r="Y1816" s="269"/>
      <c r="Z1816" s="269"/>
      <c r="AA1816" s="269"/>
      <c r="AB1816" s="269"/>
      <c r="AC1816" s="269"/>
      <c r="AD1816" s="269"/>
      <c r="AE1816" s="269"/>
      <c r="AG1816" s="128"/>
    </row>
    <row r="1817" spans="1:33" ht="26.25">
      <c r="A1817" s="269"/>
      <c r="B1817" s="269"/>
      <c r="C1817" s="269"/>
      <c r="D1817" s="269"/>
      <c r="E1817" s="269"/>
      <c r="F1817" s="269"/>
      <c r="G1817" s="269"/>
      <c r="H1817" s="269"/>
      <c r="I1817" s="269"/>
      <c r="J1817" s="334"/>
      <c r="K1817" s="334"/>
      <c r="L1817" s="334"/>
      <c r="M1817" s="328"/>
      <c r="N1817" s="328"/>
      <c r="O1817" s="386"/>
      <c r="P1817" s="356"/>
      <c r="Q1817" s="380"/>
      <c r="S1817" s="336"/>
      <c r="T1817" s="62" ph="1"/>
      <c r="V1817" s="232"/>
      <c r="W1817" s="269"/>
      <c r="X1817" s="201"/>
      <c r="Y1817" s="269"/>
      <c r="Z1817" s="269"/>
      <c r="AA1817" s="269"/>
      <c r="AB1817" s="269"/>
      <c r="AC1817" s="269"/>
      <c r="AD1817" s="269"/>
      <c r="AE1817" s="269"/>
      <c r="AG1817" s="128"/>
    </row>
    <row r="1818" spans="1:33" ht="26.25">
      <c r="A1818" s="269"/>
      <c r="B1818" s="269"/>
      <c r="C1818" s="269"/>
      <c r="D1818" s="269"/>
      <c r="E1818" s="269"/>
      <c r="F1818" s="269"/>
      <c r="G1818" s="269"/>
      <c r="H1818" s="269"/>
      <c r="I1818" s="269"/>
      <c r="J1818" s="334"/>
      <c r="K1818" s="334"/>
      <c r="L1818" s="334"/>
      <c r="M1818" s="328"/>
      <c r="N1818" s="328"/>
      <c r="O1818" s="386"/>
      <c r="P1818" s="356"/>
      <c r="Q1818" s="380"/>
      <c r="S1818" s="336"/>
      <c r="T1818" s="62" ph="1"/>
      <c r="V1818" s="232"/>
      <c r="W1818" s="269"/>
      <c r="X1818" s="201"/>
      <c r="Y1818" s="269"/>
      <c r="Z1818" s="269"/>
      <c r="AA1818" s="269"/>
      <c r="AB1818" s="269"/>
      <c r="AC1818" s="269"/>
      <c r="AD1818" s="269"/>
      <c r="AE1818" s="269"/>
      <c r="AG1818" s="128"/>
    </row>
    <row r="1819" spans="1:33" ht="26.25">
      <c r="A1819" s="269"/>
      <c r="B1819" s="269"/>
      <c r="C1819" s="269"/>
      <c r="D1819" s="269"/>
      <c r="E1819" s="269"/>
      <c r="F1819" s="269"/>
      <c r="G1819" s="269"/>
      <c r="H1819" s="269"/>
      <c r="I1819" s="269"/>
      <c r="J1819" s="334"/>
      <c r="K1819" s="334"/>
      <c r="L1819" s="334"/>
      <c r="M1819" s="328"/>
      <c r="N1819" s="328"/>
      <c r="O1819" s="386"/>
      <c r="P1819" s="356"/>
      <c r="Q1819" s="380"/>
      <c r="S1819" s="336"/>
      <c r="T1819" s="62" ph="1"/>
      <c r="V1819" s="232"/>
      <c r="W1819" s="269"/>
      <c r="X1819" s="201"/>
      <c r="Y1819" s="269"/>
      <c r="Z1819" s="269"/>
      <c r="AA1819" s="269"/>
      <c r="AB1819" s="269"/>
      <c r="AC1819" s="269"/>
      <c r="AD1819" s="269"/>
      <c r="AE1819" s="269"/>
      <c r="AG1819" s="128"/>
    </row>
    <row r="1820" spans="1:33" ht="26.25">
      <c r="A1820" s="269"/>
      <c r="B1820" s="269"/>
      <c r="C1820" s="269"/>
      <c r="D1820" s="269"/>
      <c r="E1820" s="269"/>
      <c r="F1820" s="269"/>
      <c r="G1820" s="269"/>
      <c r="H1820" s="269"/>
      <c r="I1820" s="269"/>
      <c r="J1820" s="334"/>
      <c r="K1820" s="334"/>
      <c r="L1820" s="334"/>
      <c r="M1820" s="328"/>
      <c r="N1820" s="328"/>
      <c r="O1820" s="386"/>
      <c r="P1820" s="356"/>
      <c r="Q1820" s="380"/>
      <c r="S1820" s="336"/>
      <c r="T1820" s="62" ph="1"/>
      <c r="V1820" s="232"/>
      <c r="W1820" s="269"/>
      <c r="X1820" s="201"/>
      <c r="Y1820" s="269"/>
      <c r="Z1820" s="269"/>
      <c r="AA1820" s="269"/>
      <c r="AB1820" s="269"/>
      <c r="AC1820" s="269"/>
      <c r="AD1820" s="269"/>
      <c r="AE1820" s="269"/>
      <c r="AG1820" s="128"/>
    </row>
    <row r="1821" spans="1:33" ht="26.25">
      <c r="A1821" s="269"/>
      <c r="B1821" s="269"/>
      <c r="C1821" s="269"/>
      <c r="D1821" s="269"/>
      <c r="E1821" s="269"/>
      <c r="F1821" s="269"/>
      <c r="G1821" s="269"/>
      <c r="H1821" s="269"/>
      <c r="I1821" s="269"/>
      <c r="J1821" s="334"/>
      <c r="K1821" s="334"/>
      <c r="L1821" s="334"/>
      <c r="M1821" s="328"/>
      <c r="N1821" s="328"/>
      <c r="O1821" s="386"/>
      <c r="P1821" s="356"/>
      <c r="Q1821" s="380"/>
      <c r="S1821" s="336"/>
      <c r="T1821" s="62" ph="1"/>
      <c r="V1821" s="232"/>
      <c r="W1821" s="269"/>
      <c r="X1821" s="201"/>
      <c r="Y1821" s="269"/>
      <c r="Z1821" s="269"/>
      <c r="AA1821" s="269"/>
      <c r="AB1821" s="269"/>
      <c r="AC1821" s="269"/>
      <c r="AD1821" s="269"/>
      <c r="AE1821" s="269"/>
      <c r="AG1821" s="128"/>
    </row>
    <row r="1822" spans="1:33" ht="26.25">
      <c r="A1822" s="269"/>
      <c r="B1822" s="269"/>
      <c r="C1822" s="269"/>
      <c r="D1822" s="269"/>
      <c r="E1822" s="269"/>
      <c r="F1822" s="269"/>
      <c r="G1822" s="269"/>
      <c r="H1822" s="269"/>
      <c r="I1822" s="269"/>
      <c r="J1822" s="334"/>
      <c r="K1822" s="334"/>
      <c r="L1822" s="334"/>
      <c r="M1822" s="328"/>
      <c r="N1822" s="328"/>
      <c r="O1822" s="386"/>
      <c r="P1822" s="356"/>
      <c r="Q1822" s="380"/>
      <c r="S1822" s="336"/>
      <c r="T1822" s="62" ph="1"/>
      <c r="V1822" s="232"/>
      <c r="W1822" s="269"/>
      <c r="X1822" s="201"/>
      <c r="Y1822" s="269"/>
      <c r="Z1822" s="269"/>
      <c r="AA1822" s="269"/>
      <c r="AB1822" s="269"/>
      <c r="AC1822" s="269"/>
      <c r="AD1822" s="269"/>
      <c r="AE1822" s="269"/>
      <c r="AG1822" s="128"/>
    </row>
    <row r="1823" spans="1:33" ht="26.25">
      <c r="A1823" s="269"/>
      <c r="B1823" s="269"/>
      <c r="C1823" s="269"/>
      <c r="D1823" s="269"/>
      <c r="E1823" s="269"/>
      <c r="F1823" s="269"/>
      <c r="G1823" s="269"/>
      <c r="H1823" s="269"/>
      <c r="I1823" s="269"/>
      <c r="J1823" s="334"/>
      <c r="K1823" s="334"/>
      <c r="L1823" s="334"/>
      <c r="M1823" s="328"/>
      <c r="N1823" s="328"/>
      <c r="O1823" s="386"/>
      <c r="P1823" s="356"/>
      <c r="Q1823" s="380"/>
      <c r="S1823" s="336"/>
      <c r="T1823" s="62" ph="1"/>
      <c r="V1823" s="232"/>
      <c r="W1823" s="269"/>
      <c r="X1823" s="201"/>
      <c r="Y1823" s="269"/>
      <c r="Z1823" s="269"/>
      <c r="AA1823" s="269"/>
      <c r="AB1823" s="269"/>
      <c r="AC1823" s="269"/>
      <c r="AD1823" s="269"/>
      <c r="AE1823" s="269"/>
      <c r="AG1823" s="128"/>
    </row>
    <row r="1824" spans="1:33" ht="26.25">
      <c r="A1824" s="269"/>
      <c r="B1824" s="269"/>
      <c r="C1824" s="269"/>
      <c r="D1824" s="269"/>
      <c r="E1824" s="269"/>
      <c r="F1824" s="269"/>
      <c r="G1824" s="269"/>
      <c r="H1824" s="269"/>
      <c r="I1824" s="269"/>
      <c r="J1824" s="334"/>
      <c r="K1824" s="334"/>
      <c r="L1824" s="334"/>
      <c r="M1824" s="328"/>
      <c r="N1824" s="328"/>
      <c r="O1824" s="386"/>
      <c r="P1824" s="356"/>
      <c r="Q1824" s="380"/>
      <c r="S1824" s="336"/>
      <c r="T1824" s="62" ph="1"/>
      <c r="V1824" s="232"/>
      <c r="W1824" s="269"/>
      <c r="X1824" s="201"/>
      <c r="Y1824" s="269"/>
      <c r="Z1824" s="269"/>
      <c r="AA1824" s="269"/>
      <c r="AB1824" s="269"/>
      <c r="AC1824" s="269"/>
      <c r="AD1824" s="269"/>
      <c r="AE1824" s="269"/>
      <c r="AG1824" s="128"/>
    </row>
    <row r="1825" spans="1:33" ht="26.25">
      <c r="A1825" s="269"/>
      <c r="B1825" s="269"/>
      <c r="C1825" s="269"/>
      <c r="D1825" s="269"/>
      <c r="E1825" s="269"/>
      <c r="F1825" s="269"/>
      <c r="G1825" s="269"/>
      <c r="H1825" s="269"/>
      <c r="I1825" s="269"/>
      <c r="J1825" s="334"/>
      <c r="K1825" s="334"/>
      <c r="L1825" s="334"/>
      <c r="M1825" s="328"/>
      <c r="N1825" s="328"/>
      <c r="O1825" s="386"/>
      <c r="P1825" s="356"/>
      <c r="Q1825" s="380"/>
      <c r="S1825" s="336"/>
      <c r="T1825" s="62" ph="1"/>
      <c r="V1825" s="232"/>
      <c r="W1825" s="269"/>
      <c r="X1825" s="201"/>
      <c r="Y1825" s="269"/>
      <c r="Z1825" s="269"/>
      <c r="AA1825" s="269"/>
      <c r="AB1825" s="269"/>
      <c r="AC1825" s="269"/>
      <c r="AD1825" s="269"/>
      <c r="AE1825" s="269"/>
      <c r="AG1825" s="128"/>
    </row>
    <row r="1826" spans="1:33" ht="26.25">
      <c r="A1826" s="269"/>
      <c r="B1826" s="269"/>
      <c r="C1826" s="269"/>
      <c r="D1826" s="269"/>
      <c r="E1826" s="269"/>
      <c r="F1826" s="269"/>
      <c r="G1826" s="269"/>
      <c r="H1826" s="269"/>
      <c r="I1826" s="269"/>
      <c r="J1826" s="334"/>
      <c r="K1826" s="334"/>
      <c r="L1826" s="334"/>
      <c r="M1826" s="328"/>
      <c r="N1826" s="328"/>
      <c r="O1826" s="386"/>
      <c r="P1826" s="356"/>
      <c r="Q1826" s="380"/>
      <c r="S1826" s="336"/>
      <c r="T1826" s="62" ph="1"/>
      <c r="V1826" s="232"/>
      <c r="W1826" s="269"/>
      <c r="X1826" s="201"/>
      <c r="Y1826" s="269"/>
      <c r="Z1826" s="269"/>
      <c r="AA1826" s="269"/>
      <c r="AB1826" s="269"/>
      <c r="AC1826" s="269"/>
      <c r="AD1826" s="269"/>
      <c r="AE1826" s="269"/>
      <c r="AG1826" s="128"/>
    </row>
    <row r="1827" spans="1:33" ht="26.25">
      <c r="A1827" s="269"/>
      <c r="B1827" s="269"/>
      <c r="C1827" s="269"/>
      <c r="D1827" s="269"/>
      <c r="E1827" s="269"/>
      <c r="F1827" s="269"/>
      <c r="G1827" s="269"/>
      <c r="H1827" s="269"/>
      <c r="I1827" s="269"/>
      <c r="J1827" s="334"/>
      <c r="K1827" s="334"/>
      <c r="L1827" s="334"/>
      <c r="M1827" s="328"/>
      <c r="N1827" s="328"/>
      <c r="O1827" s="386"/>
      <c r="P1827" s="356"/>
      <c r="Q1827" s="380"/>
      <c r="S1827" s="336"/>
      <c r="T1827" s="62" ph="1"/>
      <c r="V1827" s="232"/>
      <c r="W1827" s="269"/>
      <c r="X1827" s="201"/>
      <c r="Y1827" s="269"/>
      <c r="Z1827" s="269"/>
      <c r="AA1827" s="269"/>
      <c r="AB1827" s="269"/>
      <c r="AC1827" s="269"/>
      <c r="AD1827" s="269"/>
      <c r="AE1827" s="269"/>
      <c r="AG1827" s="128"/>
    </row>
    <row r="1828" spans="1:33" ht="26.25">
      <c r="A1828" s="269"/>
      <c r="B1828" s="269"/>
      <c r="C1828" s="269"/>
      <c r="D1828" s="269"/>
      <c r="E1828" s="269"/>
      <c r="F1828" s="269"/>
      <c r="G1828" s="269"/>
      <c r="H1828" s="269"/>
      <c r="I1828" s="269"/>
      <c r="J1828" s="334"/>
      <c r="K1828" s="334"/>
      <c r="L1828" s="334"/>
      <c r="M1828" s="328"/>
      <c r="N1828" s="328"/>
      <c r="O1828" s="386"/>
      <c r="P1828" s="356"/>
      <c r="Q1828" s="380"/>
      <c r="S1828" s="336"/>
      <c r="T1828" s="62" ph="1"/>
      <c r="V1828" s="232"/>
      <c r="W1828" s="269"/>
      <c r="X1828" s="201"/>
      <c r="Y1828" s="269"/>
      <c r="Z1828" s="269"/>
      <c r="AA1828" s="269"/>
      <c r="AB1828" s="269"/>
      <c r="AC1828" s="269"/>
      <c r="AD1828" s="269"/>
      <c r="AE1828" s="269"/>
      <c r="AG1828" s="128"/>
    </row>
    <row r="1829" spans="1:33" ht="26.25">
      <c r="A1829" s="269"/>
      <c r="B1829" s="269"/>
      <c r="C1829" s="269"/>
      <c r="D1829" s="269"/>
      <c r="E1829" s="269"/>
      <c r="F1829" s="269"/>
      <c r="G1829" s="269"/>
      <c r="H1829" s="269"/>
      <c r="I1829" s="269"/>
      <c r="J1829" s="334"/>
      <c r="K1829" s="334"/>
      <c r="L1829" s="334"/>
      <c r="M1829" s="328"/>
      <c r="N1829" s="328"/>
      <c r="O1829" s="386"/>
      <c r="P1829" s="356"/>
      <c r="Q1829" s="380"/>
      <c r="S1829" s="336"/>
      <c r="T1829" s="62" ph="1"/>
      <c r="V1829" s="232"/>
      <c r="W1829" s="269"/>
      <c r="X1829" s="201"/>
      <c r="Y1829" s="269"/>
      <c r="Z1829" s="269"/>
      <c r="AA1829" s="269"/>
      <c r="AB1829" s="269"/>
      <c r="AC1829" s="269"/>
      <c r="AD1829" s="269"/>
      <c r="AE1829" s="269"/>
      <c r="AG1829" s="128"/>
    </row>
    <row r="1830" spans="1:33" ht="26.25">
      <c r="A1830" s="269"/>
      <c r="B1830" s="269"/>
      <c r="C1830" s="269"/>
      <c r="D1830" s="269"/>
      <c r="E1830" s="269"/>
      <c r="F1830" s="269"/>
      <c r="G1830" s="269"/>
      <c r="H1830" s="269"/>
      <c r="I1830" s="269"/>
      <c r="J1830" s="334"/>
      <c r="K1830" s="334"/>
      <c r="L1830" s="334"/>
      <c r="M1830" s="328"/>
      <c r="N1830" s="328"/>
      <c r="O1830" s="386"/>
      <c r="P1830" s="356"/>
      <c r="Q1830" s="380"/>
      <c r="S1830" s="336"/>
      <c r="T1830" s="62" ph="1"/>
      <c r="V1830" s="232"/>
      <c r="W1830" s="269"/>
      <c r="X1830" s="201"/>
      <c r="Y1830" s="269"/>
      <c r="Z1830" s="269"/>
      <c r="AA1830" s="269"/>
      <c r="AB1830" s="269"/>
      <c r="AC1830" s="269"/>
      <c r="AD1830" s="269"/>
      <c r="AE1830" s="269"/>
      <c r="AG1830" s="128"/>
    </row>
    <row r="1831" spans="1:33" ht="26.25">
      <c r="A1831" s="269"/>
      <c r="B1831" s="269"/>
      <c r="C1831" s="269"/>
      <c r="D1831" s="269"/>
      <c r="E1831" s="269"/>
      <c r="F1831" s="269"/>
      <c r="G1831" s="269"/>
      <c r="H1831" s="269"/>
      <c r="I1831" s="269"/>
      <c r="J1831" s="334"/>
      <c r="K1831" s="334"/>
      <c r="L1831" s="334"/>
      <c r="M1831" s="328"/>
      <c r="N1831" s="328"/>
      <c r="O1831" s="386"/>
      <c r="P1831" s="356"/>
      <c r="Q1831" s="380"/>
      <c r="S1831" s="336"/>
      <c r="T1831" s="62" ph="1"/>
      <c r="V1831" s="232"/>
      <c r="W1831" s="269"/>
      <c r="X1831" s="201"/>
      <c r="Y1831" s="269"/>
      <c r="Z1831" s="269"/>
      <c r="AA1831" s="269"/>
      <c r="AB1831" s="269"/>
      <c r="AC1831" s="269"/>
      <c r="AD1831" s="269"/>
      <c r="AE1831" s="269"/>
      <c r="AG1831" s="128"/>
    </row>
    <row r="1832" spans="1:33" ht="26.25">
      <c r="A1832" s="269"/>
      <c r="B1832" s="269"/>
      <c r="C1832" s="269"/>
      <c r="D1832" s="269"/>
      <c r="E1832" s="269"/>
      <c r="F1832" s="269"/>
      <c r="G1832" s="269"/>
      <c r="H1832" s="269"/>
      <c r="I1832" s="269"/>
      <c r="J1832" s="334"/>
      <c r="K1832" s="334"/>
      <c r="L1832" s="334"/>
      <c r="M1832" s="328"/>
      <c r="N1832" s="328"/>
      <c r="O1832" s="386"/>
      <c r="P1832" s="356"/>
      <c r="Q1832" s="380"/>
      <c r="S1832" s="336"/>
      <c r="T1832" s="62" ph="1"/>
      <c r="V1832" s="232"/>
      <c r="W1832" s="269"/>
      <c r="X1832" s="201"/>
      <c r="Y1832" s="269"/>
      <c r="Z1832" s="269"/>
      <c r="AA1832" s="269"/>
      <c r="AB1832" s="269"/>
      <c r="AC1832" s="269"/>
      <c r="AD1832" s="269"/>
      <c r="AE1832" s="269"/>
      <c r="AG1832" s="128"/>
    </row>
    <row r="1833" spans="1:33" ht="26.25">
      <c r="A1833" s="269"/>
      <c r="B1833" s="269"/>
      <c r="C1833" s="269"/>
      <c r="D1833" s="269"/>
      <c r="E1833" s="269"/>
      <c r="F1833" s="269"/>
      <c r="G1833" s="269"/>
      <c r="H1833" s="269"/>
      <c r="I1833" s="269"/>
      <c r="J1833" s="334"/>
      <c r="K1833" s="334"/>
      <c r="L1833" s="334"/>
      <c r="M1833" s="328"/>
      <c r="N1833" s="328"/>
      <c r="O1833" s="386"/>
      <c r="P1833" s="356"/>
      <c r="Q1833" s="380"/>
      <c r="S1833" s="336"/>
      <c r="T1833" s="62" ph="1"/>
      <c r="V1833" s="232"/>
      <c r="W1833" s="269"/>
      <c r="X1833" s="201"/>
      <c r="Y1833" s="269"/>
      <c r="Z1833" s="269"/>
      <c r="AA1833" s="269"/>
      <c r="AB1833" s="269"/>
      <c r="AC1833" s="269"/>
      <c r="AD1833" s="269"/>
      <c r="AE1833" s="269"/>
      <c r="AG1833" s="128"/>
    </row>
    <row r="1834" spans="1:33" ht="26.25">
      <c r="A1834" s="269"/>
      <c r="B1834" s="269"/>
      <c r="C1834" s="269"/>
      <c r="D1834" s="269"/>
      <c r="E1834" s="269"/>
      <c r="F1834" s="269"/>
      <c r="G1834" s="269"/>
      <c r="H1834" s="269"/>
      <c r="I1834" s="269"/>
      <c r="J1834" s="334"/>
      <c r="K1834" s="334"/>
      <c r="L1834" s="334"/>
      <c r="M1834" s="328"/>
      <c r="N1834" s="328"/>
      <c r="O1834" s="386"/>
      <c r="P1834" s="356"/>
      <c r="Q1834" s="380"/>
      <c r="S1834" s="336"/>
      <c r="T1834" s="62" ph="1"/>
      <c r="V1834" s="232"/>
      <c r="W1834" s="269"/>
      <c r="X1834" s="201"/>
      <c r="Y1834" s="269"/>
      <c r="Z1834" s="269"/>
      <c r="AA1834" s="269"/>
      <c r="AB1834" s="269"/>
      <c r="AC1834" s="269"/>
      <c r="AD1834" s="269"/>
      <c r="AE1834" s="269"/>
      <c r="AG1834" s="128"/>
    </row>
    <row r="1835" spans="1:33" ht="26.25">
      <c r="A1835" s="269"/>
      <c r="B1835" s="269"/>
      <c r="C1835" s="269"/>
      <c r="D1835" s="269"/>
      <c r="E1835" s="269"/>
      <c r="F1835" s="269"/>
      <c r="G1835" s="269"/>
      <c r="H1835" s="269"/>
      <c r="I1835" s="269"/>
      <c r="J1835" s="334"/>
      <c r="K1835" s="334"/>
      <c r="L1835" s="334"/>
      <c r="M1835" s="328"/>
      <c r="N1835" s="328"/>
      <c r="O1835" s="386"/>
      <c r="P1835" s="356"/>
      <c r="Q1835" s="380"/>
      <c r="S1835" s="336"/>
      <c r="T1835" s="62" ph="1"/>
      <c r="V1835" s="232"/>
      <c r="W1835" s="269"/>
      <c r="X1835" s="201"/>
      <c r="Y1835" s="269"/>
      <c r="Z1835" s="269"/>
      <c r="AA1835" s="269"/>
      <c r="AB1835" s="269"/>
      <c r="AC1835" s="269"/>
      <c r="AD1835" s="269"/>
      <c r="AE1835" s="269"/>
      <c r="AG1835" s="128"/>
    </row>
    <row r="1836" spans="1:33" ht="26.25">
      <c r="A1836" s="269"/>
      <c r="B1836" s="269"/>
      <c r="C1836" s="269"/>
      <c r="D1836" s="269"/>
      <c r="E1836" s="269"/>
      <c r="F1836" s="269"/>
      <c r="G1836" s="269"/>
      <c r="H1836" s="269"/>
      <c r="I1836" s="269"/>
      <c r="J1836" s="334"/>
      <c r="K1836" s="334"/>
      <c r="L1836" s="334"/>
      <c r="M1836" s="328"/>
      <c r="N1836" s="328"/>
      <c r="O1836" s="386"/>
      <c r="P1836" s="356"/>
      <c r="Q1836" s="380"/>
      <c r="S1836" s="336"/>
      <c r="T1836" s="62" ph="1"/>
      <c r="V1836" s="232"/>
      <c r="W1836" s="269"/>
      <c r="X1836" s="201"/>
      <c r="Y1836" s="269"/>
      <c r="Z1836" s="269"/>
      <c r="AA1836" s="269"/>
      <c r="AB1836" s="269"/>
      <c r="AC1836" s="269"/>
      <c r="AD1836" s="269"/>
      <c r="AE1836" s="269"/>
      <c r="AG1836" s="128"/>
    </row>
    <row r="1837" spans="1:33" ht="26.25">
      <c r="A1837" s="269"/>
      <c r="B1837" s="269"/>
      <c r="C1837" s="269"/>
      <c r="D1837" s="269"/>
      <c r="E1837" s="269"/>
      <c r="F1837" s="269"/>
      <c r="G1837" s="269"/>
      <c r="H1837" s="269"/>
      <c r="I1837" s="269"/>
      <c r="J1837" s="334"/>
      <c r="K1837" s="334"/>
      <c r="L1837" s="334"/>
      <c r="M1837" s="328"/>
      <c r="N1837" s="328"/>
      <c r="O1837" s="386"/>
      <c r="P1837" s="356"/>
      <c r="Q1837" s="380"/>
      <c r="S1837" s="336"/>
      <c r="T1837" s="62" ph="1"/>
      <c r="V1837" s="232"/>
      <c r="W1837" s="269"/>
      <c r="X1837" s="201"/>
      <c r="Y1837" s="269"/>
      <c r="Z1837" s="269"/>
      <c r="AA1837" s="269"/>
      <c r="AB1837" s="269"/>
      <c r="AC1837" s="269"/>
      <c r="AD1837" s="269"/>
      <c r="AE1837" s="269"/>
      <c r="AG1837" s="128"/>
    </row>
    <row r="1838" spans="1:33" ht="26.25">
      <c r="A1838" s="269"/>
      <c r="B1838" s="269"/>
      <c r="C1838" s="269"/>
      <c r="D1838" s="269"/>
      <c r="E1838" s="269"/>
      <c r="F1838" s="269"/>
      <c r="G1838" s="269"/>
      <c r="H1838" s="269"/>
      <c r="I1838" s="269"/>
      <c r="J1838" s="334"/>
      <c r="K1838" s="334"/>
      <c r="L1838" s="334"/>
      <c r="M1838" s="328"/>
      <c r="N1838" s="328"/>
      <c r="O1838" s="386"/>
      <c r="P1838" s="356"/>
      <c r="Q1838" s="380"/>
      <c r="S1838" s="336"/>
      <c r="T1838" s="62" ph="1"/>
      <c r="V1838" s="232"/>
      <c r="W1838" s="269"/>
      <c r="X1838" s="201"/>
      <c r="Y1838" s="269"/>
      <c r="Z1838" s="269"/>
      <c r="AA1838" s="269"/>
      <c r="AB1838" s="269"/>
      <c r="AC1838" s="269"/>
      <c r="AD1838" s="269"/>
      <c r="AE1838" s="269"/>
      <c r="AG1838" s="128"/>
    </row>
    <row r="1839" spans="1:33" ht="26.25">
      <c r="A1839" s="269"/>
      <c r="B1839" s="269"/>
      <c r="C1839" s="269"/>
      <c r="D1839" s="269"/>
      <c r="E1839" s="269"/>
      <c r="F1839" s="269"/>
      <c r="G1839" s="269"/>
      <c r="H1839" s="269"/>
      <c r="I1839" s="269"/>
      <c r="J1839" s="334"/>
      <c r="K1839" s="334"/>
      <c r="L1839" s="334"/>
      <c r="M1839" s="328"/>
      <c r="N1839" s="328"/>
      <c r="O1839" s="386"/>
      <c r="P1839" s="356"/>
      <c r="Q1839" s="380"/>
      <c r="S1839" s="336"/>
      <c r="T1839" s="62" ph="1"/>
      <c r="V1839" s="232"/>
      <c r="W1839" s="269"/>
      <c r="X1839" s="201"/>
      <c r="Y1839" s="269"/>
      <c r="Z1839" s="269"/>
      <c r="AA1839" s="269"/>
      <c r="AB1839" s="269"/>
      <c r="AC1839" s="269"/>
      <c r="AD1839" s="269"/>
      <c r="AE1839" s="269"/>
      <c r="AG1839" s="128"/>
    </row>
    <row r="1840" spans="1:33" ht="26.25">
      <c r="A1840" s="269"/>
      <c r="B1840" s="269"/>
      <c r="C1840" s="269"/>
      <c r="D1840" s="269"/>
      <c r="E1840" s="269"/>
      <c r="F1840" s="269"/>
      <c r="G1840" s="269"/>
      <c r="H1840" s="269"/>
      <c r="I1840" s="269"/>
      <c r="J1840" s="334"/>
      <c r="K1840" s="334"/>
      <c r="L1840" s="334"/>
      <c r="M1840" s="328"/>
      <c r="N1840" s="328"/>
      <c r="O1840" s="386"/>
      <c r="P1840" s="356"/>
      <c r="Q1840" s="380"/>
      <c r="S1840" s="336"/>
      <c r="T1840" s="62" ph="1"/>
      <c r="V1840" s="232"/>
      <c r="W1840" s="269"/>
      <c r="X1840" s="201"/>
      <c r="Y1840" s="269"/>
      <c r="Z1840" s="269"/>
      <c r="AA1840" s="269"/>
      <c r="AB1840" s="269"/>
      <c r="AC1840" s="269"/>
      <c r="AD1840" s="269"/>
      <c r="AE1840" s="269"/>
      <c r="AG1840" s="128"/>
    </row>
    <row r="1841" spans="1:33" ht="26.25">
      <c r="A1841" s="269"/>
      <c r="B1841" s="269"/>
      <c r="C1841" s="269"/>
      <c r="D1841" s="269"/>
      <c r="E1841" s="269"/>
      <c r="F1841" s="269"/>
      <c r="G1841" s="269"/>
      <c r="H1841" s="269"/>
      <c r="I1841" s="269"/>
      <c r="J1841" s="334"/>
      <c r="K1841" s="334"/>
      <c r="L1841" s="334"/>
      <c r="M1841" s="328"/>
      <c r="N1841" s="328"/>
      <c r="O1841" s="386"/>
      <c r="P1841" s="356"/>
      <c r="Q1841" s="380"/>
      <c r="S1841" s="336"/>
      <c r="T1841" s="62" ph="1"/>
      <c r="V1841" s="232"/>
      <c r="W1841" s="269"/>
      <c r="X1841" s="201"/>
      <c r="Y1841" s="269"/>
      <c r="Z1841" s="269"/>
      <c r="AA1841" s="269"/>
      <c r="AB1841" s="269"/>
      <c r="AC1841" s="269"/>
      <c r="AD1841" s="269"/>
      <c r="AE1841" s="269"/>
      <c r="AG1841" s="128"/>
    </row>
    <row r="1842" spans="1:33" ht="26.25">
      <c r="A1842" s="269"/>
      <c r="B1842" s="269"/>
      <c r="C1842" s="269"/>
      <c r="D1842" s="269"/>
      <c r="E1842" s="269"/>
      <c r="F1842" s="269"/>
      <c r="G1842" s="269"/>
      <c r="H1842" s="269"/>
      <c r="I1842" s="269"/>
      <c r="J1842" s="334"/>
      <c r="K1842" s="334"/>
      <c r="L1842" s="334"/>
      <c r="M1842" s="328"/>
      <c r="N1842" s="328"/>
      <c r="O1842" s="386"/>
      <c r="P1842" s="356"/>
      <c r="Q1842" s="380"/>
      <c r="S1842" s="336"/>
      <c r="T1842" s="62" ph="1"/>
      <c r="V1842" s="232"/>
      <c r="W1842" s="269"/>
      <c r="X1842" s="201"/>
      <c r="Y1842" s="269"/>
      <c r="Z1842" s="269"/>
      <c r="AA1842" s="269"/>
      <c r="AB1842" s="269"/>
      <c r="AC1842" s="269"/>
      <c r="AD1842" s="269"/>
      <c r="AE1842" s="269"/>
      <c r="AG1842" s="128"/>
    </row>
    <row r="1843" spans="1:33" ht="26.25">
      <c r="A1843" s="269"/>
      <c r="B1843" s="269"/>
      <c r="C1843" s="269"/>
      <c r="D1843" s="269"/>
      <c r="E1843" s="269"/>
      <c r="F1843" s="269"/>
      <c r="G1843" s="269"/>
      <c r="H1843" s="269"/>
      <c r="I1843" s="269"/>
      <c r="J1843" s="334"/>
      <c r="K1843" s="334"/>
      <c r="L1843" s="334"/>
      <c r="M1843" s="328"/>
      <c r="N1843" s="328"/>
      <c r="O1843" s="386"/>
      <c r="P1843" s="356"/>
      <c r="Q1843" s="380"/>
      <c r="S1843" s="336"/>
      <c r="T1843" s="62" ph="1"/>
      <c r="V1843" s="232"/>
      <c r="W1843" s="269"/>
      <c r="X1843" s="201"/>
      <c r="Y1843" s="269"/>
      <c r="Z1843" s="269"/>
      <c r="AA1843" s="269"/>
      <c r="AB1843" s="269"/>
      <c r="AC1843" s="269"/>
      <c r="AD1843" s="269"/>
      <c r="AE1843" s="269"/>
      <c r="AG1843" s="128"/>
    </row>
    <row r="1844" spans="1:33" ht="26.25">
      <c r="A1844" s="269"/>
      <c r="B1844" s="269"/>
      <c r="C1844" s="269"/>
      <c r="D1844" s="269"/>
      <c r="E1844" s="269"/>
      <c r="F1844" s="269"/>
      <c r="G1844" s="269"/>
      <c r="H1844" s="269"/>
      <c r="I1844" s="269"/>
      <c r="J1844" s="334"/>
      <c r="K1844" s="334"/>
      <c r="L1844" s="334"/>
      <c r="M1844" s="328"/>
      <c r="N1844" s="328"/>
      <c r="O1844" s="386"/>
      <c r="P1844" s="356"/>
      <c r="Q1844" s="380"/>
      <c r="S1844" s="336"/>
      <c r="T1844" s="62" ph="1"/>
      <c r="V1844" s="232"/>
      <c r="W1844" s="269"/>
      <c r="X1844" s="201"/>
      <c r="Y1844" s="269"/>
      <c r="Z1844" s="269"/>
      <c r="AA1844" s="269"/>
      <c r="AB1844" s="269"/>
      <c r="AC1844" s="269"/>
      <c r="AD1844" s="269"/>
      <c r="AE1844" s="269"/>
      <c r="AG1844" s="128"/>
    </row>
    <row r="1845" spans="1:33" ht="26.25">
      <c r="A1845" s="269"/>
      <c r="B1845" s="269"/>
      <c r="C1845" s="269"/>
      <c r="D1845" s="269"/>
      <c r="E1845" s="269"/>
      <c r="F1845" s="269"/>
      <c r="G1845" s="269"/>
      <c r="H1845" s="269"/>
      <c r="I1845" s="269"/>
      <c r="J1845" s="334"/>
      <c r="K1845" s="334"/>
      <c r="L1845" s="334"/>
      <c r="M1845" s="328"/>
      <c r="N1845" s="328"/>
      <c r="O1845" s="386"/>
      <c r="P1845" s="356"/>
      <c r="Q1845" s="380"/>
      <c r="S1845" s="336"/>
      <c r="T1845" s="62" ph="1"/>
      <c r="V1845" s="232"/>
      <c r="W1845" s="269"/>
      <c r="X1845" s="201"/>
      <c r="Y1845" s="269"/>
      <c r="Z1845" s="269"/>
      <c r="AA1845" s="269"/>
      <c r="AB1845" s="269"/>
      <c r="AC1845" s="269"/>
      <c r="AD1845" s="269"/>
      <c r="AE1845" s="269"/>
      <c r="AG1845" s="125"/>
    </row>
    <row r="1846" spans="1:33" ht="26.25">
      <c r="A1846" s="269"/>
      <c r="B1846" s="269"/>
      <c r="C1846" s="269"/>
      <c r="D1846" s="269"/>
      <c r="E1846" s="269"/>
      <c r="F1846" s="269"/>
      <c r="G1846" s="269"/>
      <c r="H1846" s="269"/>
      <c r="I1846" s="269"/>
      <c r="J1846" s="334"/>
      <c r="K1846" s="334"/>
      <c r="L1846" s="334"/>
      <c r="M1846" s="328"/>
      <c r="N1846" s="328"/>
      <c r="O1846" s="386"/>
      <c r="P1846" s="356"/>
      <c r="Q1846" s="380"/>
      <c r="S1846" s="336"/>
      <c r="T1846" s="62" ph="1"/>
      <c r="V1846" s="232"/>
      <c r="W1846" s="269"/>
      <c r="X1846" s="201"/>
      <c r="Y1846" s="269"/>
      <c r="Z1846" s="269"/>
      <c r="AA1846" s="269"/>
      <c r="AB1846" s="269"/>
      <c r="AC1846" s="269"/>
      <c r="AD1846" s="269"/>
      <c r="AE1846" s="269"/>
      <c r="AG1846" s="128"/>
    </row>
    <row r="1847" spans="1:33" ht="26.25">
      <c r="A1847" s="269"/>
      <c r="B1847" s="269"/>
      <c r="C1847" s="269"/>
      <c r="D1847" s="269"/>
      <c r="E1847" s="269"/>
      <c r="F1847" s="269"/>
      <c r="G1847" s="269"/>
      <c r="H1847" s="269"/>
      <c r="I1847" s="269"/>
      <c r="J1847" s="334"/>
      <c r="K1847" s="334"/>
      <c r="L1847" s="334"/>
      <c r="M1847" s="328"/>
      <c r="N1847" s="328"/>
      <c r="O1847" s="386"/>
      <c r="P1847" s="356"/>
      <c r="Q1847" s="380"/>
      <c r="S1847" s="336"/>
      <c r="T1847" s="62" ph="1"/>
      <c r="V1847" s="232"/>
      <c r="W1847" s="269"/>
      <c r="X1847" s="201"/>
      <c r="Y1847" s="269"/>
      <c r="Z1847" s="269"/>
      <c r="AA1847" s="269"/>
      <c r="AB1847" s="269"/>
      <c r="AC1847" s="269"/>
      <c r="AD1847" s="269"/>
      <c r="AE1847" s="269"/>
      <c r="AG1847" s="128"/>
    </row>
    <row r="1848" spans="1:33" ht="26.25">
      <c r="A1848" s="269"/>
      <c r="B1848" s="269"/>
      <c r="C1848" s="269"/>
      <c r="D1848" s="269"/>
      <c r="E1848" s="269"/>
      <c r="F1848" s="269"/>
      <c r="G1848" s="269"/>
      <c r="H1848" s="269"/>
      <c r="I1848" s="269"/>
      <c r="J1848" s="334"/>
      <c r="K1848" s="334"/>
      <c r="L1848" s="334"/>
      <c r="M1848" s="328"/>
      <c r="N1848" s="328"/>
      <c r="O1848" s="386"/>
      <c r="P1848" s="356"/>
      <c r="Q1848" s="380"/>
      <c r="S1848" s="336"/>
      <c r="T1848" s="62" ph="1"/>
      <c r="V1848" s="232"/>
      <c r="W1848" s="269"/>
      <c r="X1848" s="201"/>
      <c r="Y1848" s="269"/>
      <c r="Z1848" s="269"/>
      <c r="AA1848" s="269"/>
      <c r="AB1848" s="269"/>
      <c r="AC1848" s="269"/>
      <c r="AD1848" s="269"/>
      <c r="AE1848" s="269"/>
      <c r="AG1848" s="128"/>
    </row>
    <row r="1849" spans="1:33" ht="26.25">
      <c r="A1849" s="269"/>
      <c r="B1849" s="269"/>
      <c r="C1849" s="269"/>
      <c r="D1849" s="269"/>
      <c r="E1849" s="269"/>
      <c r="F1849" s="269"/>
      <c r="G1849" s="269"/>
      <c r="H1849" s="269"/>
      <c r="I1849" s="269"/>
      <c r="J1849" s="334"/>
      <c r="K1849" s="334"/>
      <c r="L1849" s="334"/>
      <c r="M1849" s="328"/>
      <c r="N1849" s="328"/>
      <c r="O1849" s="386"/>
      <c r="P1849" s="356"/>
      <c r="Q1849" s="380"/>
      <c r="S1849" s="336"/>
      <c r="T1849" s="62" ph="1"/>
      <c r="V1849" s="232"/>
      <c r="W1849" s="269"/>
      <c r="X1849" s="201"/>
      <c r="Y1849" s="269"/>
      <c r="Z1849" s="269"/>
      <c r="AA1849" s="269"/>
      <c r="AB1849" s="269"/>
      <c r="AC1849" s="269"/>
      <c r="AD1849" s="269"/>
      <c r="AE1849" s="269"/>
      <c r="AG1849" s="128"/>
    </row>
    <row r="1850" spans="1:33" ht="26.25">
      <c r="A1850" s="269"/>
      <c r="B1850" s="269"/>
      <c r="C1850" s="269"/>
      <c r="D1850" s="269"/>
      <c r="E1850" s="269"/>
      <c r="F1850" s="269"/>
      <c r="G1850" s="269"/>
      <c r="H1850" s="269"/>
      <c r="I1850" s="269"/>
      <c r="J1850" s="334"/>
      <c r="K1850" s="334"/>
      <c r="L1850" s="334"/>
      <c r="M1850" s="328"/>
      <c r="N1850" s="328"/>
      <c r="O1850" s="386"/>
      <c r="P1850" s="356"/>
      <c r="Q1850" s="380"/>
      <c r="S1850" s="336"/>
      <c r="T1850" s="62" ph="1"/>
      <c r="V1850" s="232"/>
      <c r="W1850" s="269"/>
      <c r="X1850" s="201"/>
      <c r="Y1850" s="269"/>
      <c r="Z1850" s="269"/>
      <c r="AA1850" s="269"/>
      <c r="AB1850" s="269"/>
      <c r="AC1850" s="269"/>
      <c r="AD1850" s="269"/>
      <c r="AE1850" s="269"/>
      <c r="AG1850" s="128"/>
    </row>
    <row r="1851" spans="1:33" ht="26.25">
      <c r="A1851" s="269"/>
      <c r="B1851" s="269"/>
      <c r="C1851" s="269"/>
      <c r="D1851" s="269"/>
      <c r="E1851" s="269"/>
      <c r="F1851" s="269"/>
      <c r="G1851" s="269"/>
      <c r="H1851" s="269"/>
      <c r="I1851" s="269"/>
      <c r="J1851" s="334"/>
      <c r="K1851" s="334"/>
      <c r="L1851" s="334"/>
      <c r="M1851" s="328"/>
      <c r="N1851" s="328"/>
      <c r="O1851" s="386"/>
      <c r="P1851" s="356"/>
      <c r="Q1851" s="380"/>
      <c r="S1851" s="336"/>
      <c r="T1851" s="62" ph="1"/>
      <c r="V1851" s="232"/>
      <c r="W1851" s="269"/>
      <c r="X1851" s="201"/>
      <c r="Y1851" s="269"/>
      <c r="Z1851" s="269"/>
      <c r="AA1851" s="269"/>
      <c r="AB1851" s="269"/>
      <c r="AC1851" s="269"/>
      <c r="AD1851" s="269"/>
      <c r="AE1851" s="269"/>
      <c r="AG1851" s="128"/>
    </row>
    <row r="1852" spans="1:33" ht="26.25">
      <c r="A1852" s="269"/>
      <c r="B1852" s="269"/>
      <c r="C1852" s="269"/>
      <c r="D1852" s="269"/>
      <c r="E1852" s="269"/>
      <c r="F1852" s="269"/>
      <c r="G1852" s="269"/>
      <c r="H1852" s="269"/>
      <c r="I1852" s="269"/>
      <c r="J1852" s="334"/>
      <c r="K1852" s="334"/>
      <c r="L1852" s="334"/>
      <c r="M1852" s="328"/>
      <c r="N1852" s="328"/>
      <c r="O1852" s="386"/>
      <c r="P1852" s="356"/>
      <c r="Q1852" s="380"/>
      <c r="S1852" s="336"/>
      <c r="T1852" s="62" ph="1"/>
      <c r="V1852" s="232"/>
      <c r="W1852" s="269"/>
      <c r="X1852" s="201"/>
      <c r="Y1852" s="269"/>
      <c r="Z1852" s="269"/>
      <c r="AA1852" s="269"/>
      <c r="AB1852" s="269"/>
      <c r="AC1852" s="269"/>
      <c r="AD1852" s="269"/>
      <c r="AE1852" s="269"/>
      <c r="AG1852" s="128"/>
    </row>
    <row r="1853" spans="1:33" ht="26.25">
      <c r="A1853" s="269"/>
      <c r="B1853" s="269"/>
      <c r="C1853" s="269"/>
      <c r="D1853" s="269"/>
      <c r="E1853" s="269"/>
      <c r="F1853" s="269"/>
      <c r="G1853" s="269"/>
      <c r="H1853" s="269"/>
      <c r="I1853" s="269"/>
      <c r="J1853" s="334"/>
      <c r="K1853" s="334"/>
      <c r="L1853" s="334"/>
      <c r="M1853" s="328"/>
      <c r="N1853" s="328"/>
      <c r="O1853" s="386"/>
      <c r="P1853" s="356"/>
      <c r="Q1853" s="380"/>
      <c r="S1853" s="336"/>
      <c r="T1853" s="62" ph="1"/>
      <c r="V1853" s="232"/>
      <c r="W1853" s="269"/>
      <c r="X1853" s="201"/>
      <c r="Y1853" s="269"/>
      <c r="Z1853" s="269"/>
      <c r="AA1853" s="269"/>
      <c r="AB1853" s="269"/>
      <c r="AC1853" s="269"/>
      <c r="AD1853" s="269"/>
      <c r="AE1853" s="269"/>
      <c r="AG1853" s="128"/>
    </row>
    <row r="1854" spans="1:33" ht="26.25">
      <c r="A1854" s="269"/>
      <c r="B1854" s="269"/>
      <c r="C1854" s="269"/>
      <c r="D1854" s="269"/>
      <c r="E1854" s="269"/>
      <c r="F1854" s="269"/>
      <c r="G1854" s="269"/>
      <c r="H1854" s="269"/>
      <c r="I1854" s="269"/>
      <c r="J1854" s="334"/>
      <c r="K1854" s="334"/>
      <c r="L1854" s="334"/>
      <c r="M1854" s="328"/>
      <c r="N1854" s="328"/>
      <c r="O1854" s="386"/>
      <c r="P1854" s="356"/>
      <c r="Q1854" s="380"/>
      <c r="S1854" s="336"/>
      <c r="T1854" s="62" ph="1"/>
      <c r="V1854" s="232"/>
      <c r="W1854" s="269"/>
      <c r="X1854" s="201"/>
      <c r="Y1854" s="269"/>
      <c r="Z1854" s="269"/>
      <c r="AA1854" s="269"/>
      <c r="AB1854" s="269"/>
      <c r="AC1854" s="269"/>
      <c r="AD1854" s="269"/>
      <c r="AE1854" s="269"/>
      <c r="AG1854" s="128"/>
    </row>
    <row r="1855" spans="1:33" ht="26.25">
      <c r="A1855" s="269"/>
      <c r="B1855" s="269"/>
      <c r="C1855" s="269"/>
      <c r="D1855" s="269"/>
      <c r="E1855" s="269"/>
      <c r="F1855" s="269"/>
      <c r="G1855" s="269"/>
      <c r="H1855" s="269"/>
      <c r="I1855" s="269"/>
      <c r="J1855" s="334"/>
      <c r="K1855" s="334"/>
      <c r="L1855" s="334"/>
      <c r="M1855" s="328"/>
      <c r="N1855" s="328"/>
      <c r="O1855" s="386"/>
      <c r="P1855" s="356"/>
      <c r="Q1855" s="380"/>
      <c r="S1855" s="336"/>
      <c r="T1855" s="62" ph="1"/>
      <c r="V1855" s="232"/>
      <c r="W1855" s="269"/>
      <c r="X1855" s="201"/>
      <c r="Y1855" s="269"/>
      <c r="Z1855" s="269"/>
      <c r="AA1855" s="269"/>
      <c r="AB1855" s="269"/>
      <c r="AC1855" s="269"/>
      <c r="AD1855" s="269"/>
      <c r="AE1855" s="269"/>
      <c r="AG1855" s="128"/>
    </row>
    <row r="1856" spans="1:33" ht="26.25">
      <c r="A1856" s="269"/>
      <c r="B1856" s="269"/>
      <c r="C1856" s="269"/>
      <c r="D1856" s="269"/>
      <c r="E1856" s="269"/>
      <c r="F1856" s="269"/>
      <c r="G1856" s="269"/>
      <c r="H1856" s="269"/>
      <c r="I1856" s="269"/>
      <c r="J1856" s="334"/>
      <c r="K1856" s="334"/>
      <c r="L1856" s="334"/>
      <c r="M1856" s="328"/>
      <c r="N1856" s="328"/>
      <c r="O1856" s="386"/>
      <c r="P1856" s="356"/>
      <c r="Q1856" s="380"/>
      <c r="S1856" s="336"/>
      <c r="T1856" s="62" ph="1"/>
      <c r="V1856" s="232"/>
      <c r="W1856" s="269"/>
      <c r="X1856" s="201"/>
      <c r="Y1856" s="269"/>
      <c r="Z1856" s="269"/>
      <c r="AA1856" s="269"/>
      <c r="AB1856" s="269"/>
      <c r="AC1856" s="269"/>
      <c r="AD1856" s="269"/>
      <c r="AE1856" s="269"/>
      <c r="AG1856" s="128"/>
    </row>
    <row r="1857" spans="1:33" ht="26.25">
      <c r="A1857" s="269"/>
      <c r="B1857" s="269"/>
      <c r="C1857" s="269"/>
      <c r="D1857" s="269"/>
      <c r="E1857" s="269"/>
      <c r="F1857" s="269"/>
      <c r="G1857" s="269"/>
      <c r="H1857" s="269"/>
      <c r="I1857" s="269"/>
      <c r="J1857" s="334"/>
      <c r="K1857" s="334"/>
      <c r="L1857" s="334"/>
      <c r="M1857" s="328"/>
      <c r="N1857" s="328"/>
      <c r="O1857" s="386"/>
      <c r="P1857" s="356"/>
      <c r="Q1857" s="380"/>
      <c r="S1857" s="336"/>
      <c r="T1857" s="62" ph="1"/>
      <c r="V1857" s="232"/>
      <c r="W1857" s="269"/>
      <c r="X1857" s="201"/>
      <c r="Y1857" s="269"/>
      <c r="Z1857" s="269"/>
      <c r="AA1857" s="269"/>
      <c r="AB1857" s="269"/>
      <c r="AC1857" s="269"/>
      <c r="AD1857" s="269"/>
      <c r="AE1857" s="269"/>
      <c r="AG1857" s="128"/>
    </row>
    <row r="1858" spans="1:33" ht="26.25">
      <c r="A1858" s="269"/>
      <c r="B1858" s="269"/>
      <c r="C1858" s="269"/>
      <c r="D1858" s="269"/>
      <c r="E1858" s="269"/>
      <c r="F1858" s="269"/>
      <c r="G1858" s="269"/>
      <c r="H1858" s="269"/>
      <c r="I1858" s="269"/>
      <c r="J1858" s="334"/>
      <c r="K1858" s="334"/>
      <c r="L1858" s="334"/>
      <c r="M1858" s="328"/>
      <c r="N1858" s="328"/>
      <c r="O1858" s="386"/>
      <c r="P1858" s="356"/>
      <c r="Q1858" s="380"/>
      <c r="S1858" s="336"/>
      <c r="T1858" s="62" ph="1"/>
      <c r="V1858" s="232"/>
      <c r="W1858" s="269"/>
      <c r="X1858" s="201"/>
      <c r="Y1858" s="269"/>
      <c r="Z1858" s="269"/>
      <c r="AA1858" s="269"/>
      <c r="AB1858" s="269"/>
      <c r="AC1858" s="269"/>
      <c r="AD1858" s="269"/>
      <c r="AE1858" s="269"/>
      <c r="AG1858" s="128"/>
    </row>
    <row r="1859" spans="1:33" ht="26.25">
      <c r="A1859" s="269"/>
      <c r="B1859" s="269"/>
      <c r="C1859" s="269"/>
      <c r="D1859" s="269"/>
      <c r="E1859" s="269"/>
      <c r="F1859" s="269"/>
      <c r="G1859" s="269"/>
      <c r="H1859" s="269"/>
      <c r="I1859" s="269"/>
      <c r="J1859" s="334"/>
      <c r="K1859" s="334"/>
      <c r="L1859" s="334"/>
      <c r="M1859" s="328"/>
      <c r="N1859" s="328"/>
      <c r="O1859" s="386"/>
      <c r="P1859" s="356"/>
      <c r="Q1859" s="380"/>
      <c r="S1859" s="336"/>
      <c r="T1859" s="62" ph="1"/>
      <c r="V1859" s="232"/>
      <c r="W1859" s="269"/>
      <c r="X1859" s="201"/>
      <c r="Y1859" s="269"/>
      <c r="Z1859" s="269"/>
      <c r="AA1859" s="269"/>
      <c r="AB1859" s="269"/>
      <c r="AC1859" s="269"/>
      <c r="AD1859" s="269"/>
      <c r="AE1859" s="269"/>
      <c r="AG1859" s="128"/>
    </row>
    <row r="1860" spans="1:33" ht="26.25">
      <c r="A1860" s="269"/>
      <c r="B1860" s="269"/>
      <c r="C1860" s="269"/>
      <c r="D1860" s="269"/>
      <c r="E1860" s="269"/>
      <c r="F1860" s="269"/>
      <c r="G1860" s="269"/>
      <c r="H1860" s="269"/>
      <c r="I1860" s="269"/>
      <c r="J1860" s="334"/>
      <c r="K1860" s="334"/>
      <c r="L1860" s="334"/>
      <c r="M1860" s="328"/>
      <c r="N1860" s="328"/>
      <c r="O1860" s="386"/>
      <c r="P1860" s="356"/>
      <c r="Q1860" s="380"/>
      <c r="S1860" s="336"/>
      <c r="T1860" s="62" ph="1"/>
      <c r="V1860" s="232"/>
      <c r="W1860" s="269"/>
      <c r="X1860" s="201"/>
      <c r="Y1860" s="269"/>
      <c r="Z1860" s="269"/>
      <c r="AA1860" s="269"/>
      <c r="AB1860" s="269"/>
      <c r="AC1860" s="269"/>
      <c r="AD1860" s="269"/>
      <c r="AE1860" s="269"/>
      <c r="AG1860" s="128"/>
    </row>
    <row r="1861" spans="1:33" ht="26.25">
      <c r="A1861" s="269"/>
      <c r="B1861" s="269"/>
      <c r="C1861" s="269"/>
      <c r="D1861" s="269"/>
      <c r="E1861" s="269"/>
      <c r="F1861" s="269"/>
      <c r="G1861" s="269"/>
      <c r="H1861" s="269"/>
      <c r="I1861" s="269"/>
      <c r="J1861" s="334"/>
      <c r="K1861" s="334"/>
      <c r="L1861" s="334"/>
      <c r="M1861" s="328"/>
      <c r="N1861" s="328"/>
      <c r="O1861" s="386"/>
      <c r="P1861" s="356"/>
      <c r="Q1861" s="380"/>
      <c r="S1861" s="336"/>
      <c r="T1861" s="62" ph="1"/>
      <c r="V1861" s="232"/>
      <c r="W1861" s="269"/>
      <c r="X1861" s="201"/>
      <c r="Y1861" s="269"/>
      <c r="Z1861" s="269"/>
      <c r="AA1861" s="269"/>
      <c r="AB1861" s="269"/>
      <c r="AC1861" s="269"/>
      <c r="AD1861" s="269"/>
      <c r="AE1861" s="269"/>
      <c r="AG1861" s="128"/>
    </row>
    <row r="1862" spans="1:33" ht="26.25">
      <c r="A1862" s="269"/>
      <c r="B1862" s="269"/>
      <c r="C1862" s="269"/>
      <c r="D1862" s="269"/>
      <c r="E1862" s="269"/>
      <c r="F1862" s="269"/>
      <c r="G1862" s="269"/>
      <c r="H1862" s="269"/>
      <c r="I1862" s="269"/>
      <c r="J1862" s="334"/>
      <c r="K1862" s="334"/>
      <c r="L1862" s="334"/>
      <c r="M1862" s="328"/>
      <c r="N1862" s="328"/>
      <c r="O1862" s="386"/>
      <c r="P1862" s="356"/>
      <c r="Q1862" s="380"/>
      <c r="S1862" s="336"/>
      <c r="T1862" s="62" ph="1"/>
      <c r="V1862" s="232"/>
      <c r="W1862" s="269"/>
      <c r="X1862" s="201"/>
      <c r="Y1862" s="269"/>
      <c r="Z1862" s="269"/>
      <c r="AA1862" s="269"/>
      <c r="AB1862" s="269"/>
      <c r="AC1862" s="269"/>
      <c r="AD1862" s="269"/>
      <c r="AE1862" s="269"/>
      <c r="AG1862" s="128"/>
    </row>
    <row r="1863" spans="1:33" ht="26.25">
      <c r="A1863" s="269"/>
      <c r="B1863" s="269"/>
      <c r="C1863" s="269"/>
      <c r="D1863" s="269"/>
      <c r="E1863" s="269"/>
      <c r="F1863" s="269"/>
      <c r="G1863" s="269"/>
      <c r="H1863" s="269"/>
      <c r="I1863" s="269"/>
      <c r="J1863" s="334"/>
      <c r="K1863" s="334"/>
      <c r="L1863" s="334"/>
      <c r="M1863" s="328"/>
      <c r="N1863" s="328"/>
      <c r="O1863" s="386"/>
      <c r="P1863" s="356"/>
      <c r="Q1863" s="380"/>
      <c r="S1863" s="336"/>
      <c r="T1863" s="62" ph="1"/>
      <c r="V1863" s="232"/>
      <c r="W1863" s="269"/>
      <c r="X1863" s="201"/>
      <c r="Y1863" s="269"/>
      <c r="Z1863" s="269"/>
      <c r="AA1863" s="269"/>
      <c r="AB1863" s="269"/>
      <c r="AC1863" s="269"/>
      <c r="AD1863" s="269"/>
      <c r="AE1863" s="269"/>
      <c r="AG1863" s="128"/>
    </row>
    <row r="1864" spans="1:33" ht="26.25">
      <c r="A1864" s="269"/>
      <c r="B1864" s="269"/>
      <c r="C1864" s="269"/>
      <c r="D1864" s="269"/>
      <c r="E1864" s="269"/>
      <c r="F1864" s="269"/>
      <c r="G1864" s="269"/>
      <c r="H1864" s="269"/>
      <c r="I1864" s="269"/>
      <c r="J1864" s="334"/>
      <c r="K1864" s="334"/>
      <c r="L1864" s="334"/>
      <c r="M1864" s="328"/>
      <c r="N1864" s="328"/>
      <c r="O1864" s="386"/>
      <c r="P1864" s="356"/>
      <c r="Q1864" s="380"/>
      <c r="S1864" s="336"/>
      <c r="T1864" s="62" ph="1"/>
      <c r="V1864" s="232"/>
      <c r="W1864" s="269"/>
      <c r="X1864" s="201"/>
      <c r="Y1864" s="269"/>
      <c r="Z1864" s="269"/>
      <c r="AA1864" s="269"/>
      <c r="AB1864" s="269"/>
      <c r="AC1864" s="269"/>
      <c r="AD1864" s="269"/>
      <c r="AE1864" s="269"/>
      <c r="AG1864" s="128"/>
    </row>
    <row r="1865" spans="1:33" ht="26.25">
      <c r="A1865" s="269"/>
      <c r="B1865" s="269"/>
      <c r="C1865" s="269"/>
      <c r="D1865" s="269"/>
      <c r="E1865" s="269"/>
      <c r="F1865" s="269"/>
      <c r="G1865" s="269"/>
      <c r="H1865" s="269"/>
      <c r="I1865" s="269"/>
      <c r="J1865" s="334"/>
      <c r="K1865" s="334"/>
      <c r="L1865" s="334"/>
      <c r="M1865" s="328"/>
      <c r="N1865" s="328"/>
      <c r="O1865" s="386"/>
      <c r="P1865" s="356"/>
      <c r="Q1865" s="380"/>
      <c r="S1865" s="336"/>
      <c r="T1865" s="62" ph="1"/>
      <c r="V1865" s="232"/>
      <c r="W1865" s="269"/>
      <c r="X1865" s="201"/>
      <c r="Y1865" s="269"/>
      <c r="Z1865" s="269"/>
      <c r="AA1865" s="269"/>
      <c r="AB1865" s="269"/>
      <c r="AC1865" s="269"/>
      <c r="AD1865" s="269"/>
      <c r="AE1865" s="269"/>
      <c r="AG1865" s="128"/>
    </row>
    <row r="1866" spans="1:33" ht="26.25">
      <c r="A1866" s="269"/>
      <c r="B1866" s="269"/>
      <c r="C1866" s="269"/>
      <c r="D1866" s="269"/>
      <c r="E1866" s="269"/>
      <c r="F1866" s="269"/>
      <c r="G1866" s="269"/>
      <c r="H1866" s="269"/>
      <c r="I1866" s="269"/>
      <c r="J1866" s="334"/>
      <c r="K1866" s="334"/>
      <c r="L1866" s="334"/>
      <c r="M1866" s="328"/>
      <c r="N1866" s="328"/>
      <c r="O1866" s="386"/>
      <c r="P1866" s="356"/>
      <c r="Q1866" s="380"/>
      <c r="S1866" s="336"/>
      <c r="T1866" s="62" ph="1"/>
      <c r="V1866" s="232"/>
      <c r="W1866" s="269"/>
      <c r="X1866" s="201"/>
      <c r="Y1866" s="269"/>
      <c r="Z1866" s="269"/>
      <c r="AA1866" s="269"/>
      <c r="AB1866" s="269"/>
      <c r="AC1866" s="269"/>
      <c r="AD1866" s="269"/>
      <c r="AE1866" s="269"/>
      <c r="AG1866" s="128"/>
    </row>
    <row r="1867" spans="1:33" ht="26.25">
      <c r="A1867" s="269"/>
      <c r="B1867" s="269"/>
      <c r="C1867" s="269"/>
      <c r="D1867" s="269"/>
      <c r="E1867" s="269"/>
      <c r="F1867" s="269"/>
      <c r="G1867" s="269"/>
      <c r="H1867" s="269"/>
      <c r="I1867" s="269"/>
      <c r="J1867" s="334"/>
      <c r="K1867" s="334"/>
      <c r="L1867" s="334"/>
      <c r="M1867" s="328"/>
      <c r="N1867" s="328"/>
      <c r="O1867" s="386"/>
      <c r="P1867" s="356"/>
      <c r="Q1867" s="380"/>
      <c r="S1867" s="336"/>
      <c r="T1867" s="62" ph="1"/>
      <c r="V1867" s="232"/>
      <c r="W1867" s="269"/>
      <c r="X1867" s="201"/>
      <c r="Y1867" s="269"/>
      <c r="Z1867" s="269"/>
      <c r="AA1867" s="269"/>
      <c r="AB1867" s="269"/>
      <c r="AC1867" s="269"/>
      <c r="AD1867" s="269"/>
      <c r="AE1867" s="269"/>
      <c r="AG1867" s="128"/>
    </row>
    <row r="1868" spans="1:33" ht="26.25">
      <c r="A1868" s="269"/>
      <c r="B1868" s="269"/>
      <c r="C1868" s="269"/>
      <c r="D1868" s="269"/>
      <c r="E1868" s="269"/>
      <c r="F1868" s="269"/>
      <c r="G1868" s="269"/>
      <c r="H1868" s="269"/>
      <c r="I1868" s="269"/>
      <c r="J1868" s="334"/>
      <c r="K1868" s="334"/>
      <c r="L1868" s="334"/>
      <c r="M1868" s="328"/>
      <c r="N1868" s="328"/>
      <c r="O1868" s="386"/>
      <c r="P1868" s="356"/>
      <c r="Q1868" s="380"/>
      <c r="S1868" s="336"/>
      <c r="T1868" s="62" ph="1"/>
      <c r="V1868" s="232"/>
      <c r="W1868" s="269"/>
      <c r="X1868" s="201"/>
      <c r="Y1868" s="269"/>
      <c r="Z1868" s="269"/>
      <c r="AA1868" s="269"/>
      <c r="AB1868" s="269"/>
      <c r="AC1868" s="269"/>
      <c r="AD1868" s="269"/>
      <c r="AE1868" s="269"/>
      <c r="AG1868" s="128"/>
    </row>
    <row r="1869" spans="1:33" ht="26.25">
      <c r="A1869" s="269"/>
      <c r="B1869" s="269"/>
      <c r="C1869" s="269"/>
      <c r="D1869" s="269"/>
      <c r="E1869" s="269"/>
      <c r="F1869" s="269"/>
      <c r="G1869" s="269"/>
      <c r="H1869" s="269"/>
      <c r="I1869" s="269"/>
      <c r="J1869" s="334"/>
      <c r="K1869" s="334"/>
      <c r="L1869" s="334"/>
      <c r="M1869" s="328"/>
      <c r="N1869" s="328"/>
      <c r="O1869" s="386"/>
      <c r="P1869" s="356"/>
      <c r="Q1869" s="380"/>
      <c r="S1869" s="336"/>
      <c r="T1869" s="62" ph="1"/>
      <c r="V1869" s="232"/>
      <c r="W1869" s="269"/>
      <c r="X1869" s="201"/>
      <c r="Y1869" s="269"/>
      <c r="Z1869" s="269"/>
      <c r="AA1869" s="269"/>
      <c r="AB1869" s="269"/>
      <c r="AC1869" s="269"/>
      <c r="AD1869" s="269"/>
      <c r="AE1869" s="269"/>
      <c r="AG1869" s="269"/>
    </row>
    <row r="1870" spans="1:33" ht="26.25">
      <c r="A1870" s="269"/>
      <c r="B1870" s="269"/>
      <c r="C1870" s="269"/>
      <c r="D1870" s="269"/>
      <c r="E1870" s="269"/>
      <c r="F1870" s="269"/>
      <c r="G1870" s="269"/>
      <c r="H1870" s="269"/>
      <c r="I1870" s="269"/>
      <c r="J1870" s="334"/>
      <c r="K1870" s="334"/>
      <c r="L1870" s="334"/>
      <c r="M1870" s="328"/>
      <c r="N1870" s="328"/>
      <c r="O1870" s="386"/>
      <c r="P1870" s="356"/>
      <c r="Q1870" s="380"/>
      <c r="S1870" s="336"/>
      <c r="T1870" s="62" ph="1"/>
      <c r="V1870" s="232"/>
      <c r="W1870" s="269"/>
      <c r="X1870" s="201"/>
      <c r="Y1870" s="269"/>
      <c r="Z1870" s="269"/>
      <c r="AA1870" s="269"/>
      <c r="AB1870" s="269"/>
      <c r="AC1870" s="269"/>
      <c r="AD1870" s="269"/>
      <c r="AE1870" s="269"/>
      <c r="AG1870" s="128"/>
    </row>
    <row r="1871" spans="1:33" ht="26.25">
      <c r="A1871" s="269"/>
      <c r="B1871" s="269"/>
      <c r="C1871" s="269"/>
      <c r="D1871" s="269"/>
      <c r="E1871" s="269"/>
      <c r="F1871" s="269"/>
      <c r="G1871" s="269"/>
      <c r="H1871" s="269"/>
      <c r="I1871" s="269"/>
      <c r="J1871" s="334"/>
      <c r="K1871" s="334"/>
      <c r="L1871" s="334"/>
      <c r="M1871" s="328"/>
      <c r="N1871" s="328"/>
      <c r="O1871" s="386"/>
      <c r="P1871" s="356"/>
      <c r="Q1871" s="380"/>
      <c r="S1871" s="336"/>
      <c r="T1871" s="62" ph="1"/>
      <c r="V1871" s="232"/>
      <c r="W1871" s="269"/>
      <c r="X1871" s="201"/>
      <c r="Y1871" s="269"/>
      <c r="Z1871" s="269"/>
      <c r="AA1871" s="269"/>
      <c r="AB1871" s="269"/>
      <c r="AC1871" s="269"/>
      <c r="AD1871" s="269"/>
      <c r="AE1871" s="269"/>
      <c r="AG1871" s="128"/>
    </row>
    <row r="1872" spans="1:33" ht="26.25">
      <c r="A1872" s="269"/>
      <c r="B1872" s="269"/>
      <c r="C1872" s="269"/>
      <c r="D1872" s="269"/>
      <c r="E1872" s="269"/>
      <c r="F1872" s="269"/>
      <c r="G1872" s="269"/>
      <c r="H1872" s="269"/>
      <c r="I1872" s="269"/>
      <c r="J1872" s="334"/>
      <c r="K1872" s="334"/>
      <c r="L1872" s="334"/>
      <c r="M1872" s="328"/>
      <c r="N1872" s="328"/>
      <c r="O1872" s="386"/>
      <c r="P1872" s="356"/>
      <c r="Q1872" s="380"/>
      <c r="S1872" s="336"/>
      <c r="T1872" s="62" ph="1"/>
      <c r="V1872" s="232"/>
      <c r="W1872" s="269"/>
      <c r="X1872" s="201"/>
      <c r="Y1872" s="269"/>
      <c r="Z1872" s="269"/>
      <c r="AA1872" s="269"/>
      <c r="AB1872" s="269"/>
      <c r="AC1872" s="269"/>
      <c r="AD1872" s="269"/>
      <c r="AE1872" s="269"/>
      <c r="AG1872" s="128"/>
    </row>
    <row r="1873" spans="1:33" ht="26.25">
      <c r="A1873" s="269"/>
      <c r="B1873" s="269"/>
      <c r="C1873" s="269"/>
      <c r="D1873" s="269"/>
      <c r="E1873" s="269"/>
      <c r="F1873" s="269"/>
      <c r="G1873" s="269"/>
      <c r="H1873" s="269"/>
      <c r="I1873" s="269"/>
      <c r="J1873" s="334"/>
      <c r="K1873" s="334"/>
      <c r="L1873" s="334"/>
      <c r="M1873" s="328"/>
      <c r="N1873" s="328"/>
      <c r="O1873" s="386"/>
      <c r="P1873" s="356"/>
      <c r="Q1873" s="380"/>
      <c r="S1873" s="336"/>
      <c r="T1873" s="62" ph="1"/>
      <c r="V1873" s="232"/>
      <c r="W1873" s="269"/>
      <c r="X1873" s="201"/>
      <c r="Y1873" s="269"/>
      <c r="Z1873" s="269"/>
      <c r="AA1873" s="269"/>
      <c r="AB1873" s="269"/>
      <c r="AC1873" s="269"/>
      <c r="AD1873" s="269"/>
      <c r="AE1873" s="269"/>
      <c r="AG1873" s="128"/>
    </row>
    <row r="1874" spans="1:33" ht="26.25">
      <c r="A1874" s="269"/>
      <c r="B1874" s="269"/>
      <c r="C1874" s="269"/>
      <c r="D1874" s="269"/>
      <c r="E1874" s="269"/>
      <c r="F1874" s="269"/>
      <c r="G1874" s="269"/>
      <c r="H1874" s="269"/>
      <c r="I1874" s="269"/>
      <c r="J1874" s="334"/>
      <c r="K1874" s="334"/>
      <c r="L1874" s="334"/>
      <c r="M1874" s="328"/>
      <c r="N1874" s="328"/>
      <c r="O1874" s="386"/>
      <c r="P1874" s="356"/>
      <c r="Q1874" s="380"/>
      <c r="S1874" s="336"/>
      <c r="T1874" s="62" ph="1"/>
      <c r="V1874" s="232"/>
      <c r="W1874" s="269"/>
      <c r="X1874" s="201"/>
      <c r="Y1874" s="269"/>
      <c r="Z1874" s="269"/>
      <c r="AA1874" s="269"/>
      <c r="AB1874" s="269"/>
      <c r="AC1874" s="269"/>
      <c r="AD1874" s="269"/>
      <c r="AE1874" s="269"/>
      <c r="AG1874" s="269"/>
    </row>
    <row r="1875" spans="1:33" ht="26.25">
      <c r="A1875" s="269"/>
      <c r="B1875" s="269"/>
      <c r="C1875" s="269"/>
      <c r="D1875" s="269"/>
      <c r="E1875" s="269"/>
      <c r="F1875" s="269"/>
      <c r="G1875" s="269"/>
      <c r="H1875" s="269"/>
      <c r="I1875" s="269"/>
      <c r="J1875" s="334"/>
      <c r="K1875" s="334"/>
      <c r="L1875" s="334"/>
      <c r="M1875" s="328"/>
      <c r="N1875" s="328"/>
      <c r="O1875" s="386"/>
      <c r="P1875" s="356"/>
      <c r="Q1875" s="380"/>
      <c r="S1875" s="336"/>
      <c r="T1875" s="62" ph="1"/>
      <c r="V1875" s="232"/>
      <c r="W1875" s="269"/>
      <c r="X1875" s="201"/>
      <c r="Y1875" s="269"/>
      <c r="Z1875" s="269"/>
      <c r="AA1875" s="269"/>
      <c r="AB1875" s="269"/>
      <c r="AC1875" s="269"/>
      <c r="AD1875" s="269"/>
      <c r="AE1875" s="269"/>
      <c r="AG1875" s="128"/>
    </row>
    <row r="1876" spans="1:33" ht="26.25">
      <c r="A1876" s="269"/>
      <c r="B1876" s="269"/>
      <c r="C1876" s="269"/>
      <c r="D1876" s="269"/>
      <c r="E1876" s="269"/>
      <c r="F1876" s="269"/>
      <c r="G1876" s="269"/>
      <c r="H1876" s="269"/>
      <c r="I1876" s="269"/>
      <c r="J1876" s="334"/>
      <c r="K1876" s="334"/>
      <c r="L1876" s="334"/>
      <c r="M1876" s="328"/>
      <c r="N1876" s="328"/>
      <c r="O1876" s="386"/>
      <c r="P1876" s="356"/>
      <c r="Q1876" s="380"/>
      <c r="S1876" s="336"/>
      <c r="T1876" s="62" ph="1"/>
      <c r="V1876" s="232"/>
      <c r="W1876" s="269"/>
      <c r="X1876" s="201"/>
      <c r="Y1876" s="269"/>
      <c r="Z1876" s="269"/>
      <c r="AA1876" s="269"/>
      <c r="AB1876" s="269"/>
      <c r="AC1876" s="269"/>
      <c r="AD1876" s="269"/>
      <c r="AE1876" s="269"/>
      <c r="AG1876" s="128"/>
    </row>
    <row r="1877" spans="1:33" ht="26.25">
      <c r="A1877" s="269"/>
      <c r="B1877" s="269"/>
      <c r="C1877" s="269"/>
      <c r="D1877" s="269"/>
      <c r="E1877" s="269"/>
      <c r="F1877" s="269"/>
      <c r="G1877" s="269"/>
      <c r="H1877" s="269"/>
      <c r="I1877" s="269"/>
      <c r="J1877" s="334"/>
      <c r="K1877" s="334"/>
      <c r="L1877" s="334"/>
      <c r="M1877" s="328"/>
      <c r="N1877" s="328"/>
      <c r="O1877" s="386"/>
      <c r="P1877" s="356"/>
      <c r="Q1877" s="380"/>
      <c r="S1877" s="336"/>
      <c r="T1877" s="62" ph="1"/>
      <c r="V1877" s="232"/>
      <c r="W1877" s="269"/>
      <c r="X1877" s="201"/>
      <c r="Y1877" s="269"/>
      <c r="Z1877" s="269"/>
      <c r="AA1877" s="269"/>
      <c r="AB1877" s="269"/>
      <c r="AC1877" s="269"/>
      <c r="AD1877" s="269"/>
      <c r="AE1877" s="269"/>
      <c r="AG1877" s="128"/>
    </row>
    <row r="1878" spans="1:33" ht="26.25">
      <c r="A1878" s="269"/>
      <c r="B1878" s="269"/>
      <c r="C1878" s="269"/>
      <c r="D1878" s="269"/>
      <c r="E1878" s="269"/>
      <c r="F1878" s="269"/>
      <c r="G1878" s="269"/>
      <c r="H1878" s="269"/>
      <c r="I1878" s="269"/>
      <c r="J1878" s="334"/>
      <c r="K1878" s="334"/>
      <c r="L1878" s="334"/>
      <c r="M1878" s="328"/>
      <c r="N1878" s="328"/>
      <c r="O1878" s="386"/>
      <c r="P1878" s="356"/>
      <c r="Q1878" s="380"/>
      <c r="S1878" s="336"/>
      <c r="T1878" s="62" ph="1"/>
      <c r="V1878" s="232"/>
      <c r="W1878" s="269"/>
      <c r="X1878" s="201"/>
      <c r="Y1878" s="269"/>
      <c r="Z1878" s="269"/>
      <c r="AA1878" s="269"/>
      <c r="AB1878" s="269"/>
      <c r="AC1878" s="269"/>
      <c r="AD1878" s="269"/>
      <c r="AE1878" s="269"/>
      <c r="AG1878" s="128"/>
    </row>
    <row r="1879" spans="1:33" ht="26.25">
      <c r="A1879" s="269"/>
      <c r="B1879" s="269"/>
      <c r="C1879" s="269"/>
      <c r="D1879" s="269"/>
      <c r="E1879" s="269"/>
      <c r="F1879" s="269"/>
      <c r="G1879" s="269"/>
      <c r="H1879" s="269"/>
      <c r="I1879" s="269"/>
      <c r="J1879" s="334"/>
      <c r="K1879" s="334"/>
      <c r="L1879" s="334"/>
      <c r="M1879" s="328"/>
      <c r="N1879" s="328"/>
      <c r="O1879" s="386"/>
      <c r="P1879" s="356"/>
      <c r="Q1879" s="380"/>
      <c r="S1879" s="336"/>
      <c r="T1879" s="62" ph="1"/>
      <c r="V1879" s="232"/>
      <c r="W1879" s="269"/>
      <c r="X1879" s="201"/>
      <c r="Y1879" s="269"/>
      <c r="Z1879" s="269"/>
      <c r="AA1879" s="269"/>
      <c r="AB1879" s="269"/>
      <c r="AC1879" s="269"/>
      <c r="AD1879" s="269"/>
      <c r="AE1879" s="269"/>
      <c r="AG1879" s="128"/>
    </row>
    <row r="1880" spans="1:33" ht="26.25">
      <c r="A1880" s="269"/>
      <c r="B1880" s="269"/>
      <c r="C1880" s="269"/>
      <c r="D1880" s="269"/>
      <c r="E1880" s="269"/>
      <c r="F1880" s="269"/>
      <c r="G1880" s="269"/>
      <c r="H1880" s="269"/>
      <c r="I1880" s="269"/>
      <c r="J1880" s="334"/>
      <c r="K1880" s="334"/>
      <c r="L1880" s="334"/>
      <c r="M1880" s="328"/>
      <c r="N1880" s="328"/>
      <c r="O1880" s="386"/>
      <c r="P1880" s="356"/>
      <c r="Q1880" s="380"/>
      <c r="S1880" s="336"/>
      <c r="T1880" s="62" ph="1"/>
      <c r="V1880" s="232"/>
      <c r="W1880" s="269"/>
      <c r="X1880" s="201"/>
      <c r="Y1880" s="269"/>
      <c r="Z1880" s="269"/>
      <c r="AA1880" s="269"/>
      <c r="AB1880" s="269"/>
      <c r="AC1880" s="269"/>
      <c r="AD1880" s="269"/>
      <c r="AE1880" s="269"/>
      <c r="AG1880" s="128"/>
    </row>
    <row r="1881" spans="1:33" ht="26.25">
      <c r="A1881" s="269"/>
      <c r="B1881" s="269"/>
      <c r="C1881" s="269"/>
      <c r="D1881" s="269"/>
      <c r="E1881" s="269"/>
      <c r="F1881" s="269"/>
      <c r="G1881" s="269"/>
      <c r="H1881" s="269"/>
      <c r="I1881" s="269"/>
      <c r="J1881" s="334"/>
      <c r="K1881" s="334"/>
      <c r="L1881" s="334"/>
      <c r="M1881" s="328"/>
      <c r="N1881" s="328"/>
      <c r="O1881" s="386"/>
      <c r="P1881" s="356"/>
      <c r="Q1881" s="380"/>
      <c r="S1881" s="336"/>
      <c r="T1881" s="62" ph="1"/>
      <c r="V1881" s="232"/>
      <c r="W1881" s="269"/>
      <c r="X1881" s="201"/>
      <c r="Y1881" s="269"/>
      <c r="Z1881" s="269"/>
      <c r="AA1881" s="269"/>
      <c r="AB1881" s="269"/>
      <c r="AC1881" s="269"/>
      <c r="AD1881" s="269"/>
      <c r="AE1881" s="269"/>
      <c r="AG1881" s="128"/>
    </row>
    <row r="1882" spans="1:33" ht="26.25">
      <c r="A1882" s="269"/>
      <c r="B1882" s="269"/>
      <c r="C1882" s="269"/>
      <c r="D1882" s="269"/>
      <c r="E1882" s="269"/>
      <c r="F1882" s="269"/>
      <c r="G1882" s="269"/>
      <c r="H1882" s="269"/>
      <c r="I1882" s="269"/>
      <c r="J1882" s="334"/>
      <c r="K1882" s="334"/>
      <c r="L1882" s="334"/>
      <c r="M1882" s="328"/>
      <c r="N1882" s="328"/>
      <c r="O1882" s="386"/>
      <c r="P1882" s="356"/>
      <c r="Q1882" s="380"/>
      <c r="S1882" s="336"/>
      <c r="T1882" s="62" ph="1"/>
      <c r="V1882" s="232"/>
      <c r="W1882" s="269"/>
      <c r="X1882" s="201"/>
      <c r="Y1882" s="269"/>
      <c r="Z1882" s="269"/>
      <c r="AA1882" s="269"/>
      <c r="AB1882" s="269"/>
      <c r="AC1882" s="269"/>
      <c r="AD1882" s="269"/>
      <c r="AE1882" s="269"/>
      <c r="AG1882" s="128"/>
    </row>
    <row r="1883" spans="1:33" ht="26.25">
      <c r="A1883" s="269"/>
      <c r="B1883" s="269"/>
      <c r="C1883" s="269"/>
      <c r="D1883" s="269"/>
      <c r="E1883" s="269"/>
      <c r="F1883" s="269"/>
      <c r="G1883" s="269"/>
      <c r="H1883" s="269"/>
      <c r="I1883" s="269"/>
      <c r="J1883" s="334"/>
      <c r="K1883" s="334"/>
      <c r="L1883" s="334"/>
      <c r="M1883" s="328"/>
      <c r="N1883" s="328"/>
      <c r="O1883" s="386"/>
      <c r="P1883" s="356"/>
      <c r="Q1883" s="380"/>
      <c r="S1883" s="336"/>
      <c r="T1883" s="62" ph="1"/>
      <c r="V1883" s="232"/>
      <c r="W1883" s="269"/>
      <c r="X1883" s="201"/>
      <c r="Y1883" s="269"/>
      <c r="Z1883" s="269"/>
      <c r="AA1883" s="269"/>
      <c r="AB1883" s="269"/>
      <c r="AC1883" s="269"/>
      <c r="AD1883" s="269"/>
      <c r="AE1883" s="269"/>
      <c r="AG1883" s="128"/>
    </row>
    <row r="1884" spans="1:33" ht="26.25">
      <c r="A1884" s="269"/>
      <c r="B1884" s="269"/>
      <c r="C1884" s="269"/>
      <c r="D1884" s="269"/>
      <c r="E1884" s="269"/>
      <c r="F1884" s="269"/>
      <c r="G1884" s="269"/>
      <c r="H1884" s="269"/>
      <c r="I1884" s="269"/>
      <c r="J1884" s="334"/>
      <c r="K1884" s="334"/>
      <c r="L1884" s="334"/>
      <c r="M1884" s="328"/>
      <c r="N1884" s="328"/>
      <c r="O1884" s="386"/>
      <c r="P1884" s="356"/>
      <c r="Q1884" s="380"/>
      <c r="S1884" s="336"/>
      <c r="T1884" s="62" ph="1"/>
      <c r="V1884" s="232"/>
      <c r="W1884" s="269"/>
      <c r="X1884" s="201"/>
      <c r="Y1884" s="269"/>
      <c r="Z1884" s="269"/>
      <c r="AA1884" s="269"/>
      <c r="AB1884" s="269"/>
      <c r="AC1884" s="269"/>
      <c r="AD1884" s="269"/>
      <c r="AE1884" s="269"/>
      <c r="AG1884" s="128"/>
    </row>
    <row r="1885" spans="1:33" ht="26.25">
      <c r="A1885" s="269"/>
      <c r="B1885" s="269"/>
      <c r="C1885" s="269"/>
      <c r="D1885" s="269"/>
      <c r="E1885" s="269"/>
      <c r="F1885" s="269"/>
      <c r="G1885" s="269"/>
      <c r="H1885" s="269"/>
      <c r="I1885" s="269"/>
      <c r="J1885" s="334"/>
      <c r="K1885" s="334"/>
      <c r="L1885" s="334"/>
      <c r="M1885" s="328"/>
      <c r="N1885" s="328"/>
      <c r="O1885" s="386"/>
      <c r="P1885" s="356"/>
      <c r="Q1885" s="380"/>
      <c r="S1885" s="336"/>
      <c r="T1885" s="62" ph="1"/>
      <c r="V1885" s="232"/>
      <c r="W1885" s="269"/>
      <c r="X1885" s="201"/>
      <c r="Y1885" s="269"/>
      <c r="Z1885" s="269"/>
      <c r="AA1885" s="269"/>
      <c r="AB1885" s="269"/>
      <c r="AC1885" s="269"/>
      <c r="AD1885" s="269"/>
      <c r="AE1885" s="269"/>
      <c r="AG1885" s="128"/>
    </row>
    <row r="1886" spans="1:33" ht="26.25">
      <c r="A1886" s="269"/>
      <c r="B1886" s="269"/>
      <c r="C1886" s="269"/>
      <c r="D1886" s="269"/>
      <c r="E1886" s="269"/>
      <c r="F1886" s="269"/>
      <c r="G1886" s="269"/>
      <c r="H1886" s="269"/>
      <c r="I1886" s="269"/>
      <c r="J1886" s="334"/>
      <c r="K1886" s="334"/>
      <c r="L1886" s="334"/>
      <c r="M1886" s="328"/>
      <c r="N1886" s="328"/>
      <c r="O1886" s="386"/>
      <c r="P1886" s="356"/>
      <c r="Q1886" s="380"/>
      <c r="S1886" s="336"/>
      <c r="T1886" s="62" ph="1"/>
      <c r="V1886" s="232"/>
      <c r="W1886" s="269"/>
      <c r="X1886" s="201"/>
      <c r="Y1886" s="269"/>
      <c r="Z1886" s="269"/>
      <c r="AA1886" s="269"/>
      <c r="AB1886" s="269"/>
      <c r="AC1886" s="269"/>
      <c r="AD1886" s="269"/>
      <c r="AE1886" s="269"/>
      <c r="AG1886" s="269"/>
    </row>
    <row r="1887" spans="1:33" ht="26.25">
      <c r="A1887" s="269"/>
      <c r="B1887" s="269"/>
      <c r="C1887" s="269"/>
      <c r="D1887" s="269"/>
      <c r="E1887" s="269"/>
      <c r="F1887" s="269"/>
      <c r="G1887" s="269"/>
      <c r="H1887" s="269"/>
      <c r="I1887" s="269"/>
      <c r="J1887" s="334"/>
      <c r="K1887" s="334"/>
      <c r="L1887" s="334"/>
      <c r="M1887" s="328"/>
      <c r="N1887" s="328"/>
      <c r="O1887" s="386"/>
      <c r="P1887" s="356"/>
      <c r="Q1887" s="380"/>
      <c r="S1887" s="336"/>
      <c r="T1887" s="62" ph="1"/>
      <c r="V1887" s="232"/>
      <c r="W1887" s="269"/>
      <c r="X1887" s="201"/>
      <c r="Y1887" s="269"/>
      <c r="Z1887" s="269"/>
      <c r="AA1887" s="269"/>
      <c r="AB1887" s="269"/>
      <c r="AC1887" s="269"/>
      <c r="AD1887" s="269"/>
      <c r="AE1887" s="269"/>
      <c r="AG1887" s="269"/>
    </row>
    <row r="1888" spans="1:33" ht="26.25">
      <c r="A1888" s="269"/>
      <c r="B1888" s="269"/>
      <c r="C1888" s="269"/>
      <c r="D1888" s="269"/>
      <c r="E1888" s="269"/>
      <c r="F1888" s="269"/>
      <c r="G1888" s="269"/>
      <c r="H1888" s="269"/>
      <c r="I1888" s="269"/>
      <c r="J1888" s="334"/>
      <c r="K1888" s="334"/>
      <c r="L1888" s="334"/>
      <c r="M1888" s="328"/>
      <c r="N1888" s="328"/>
      <c r="O1888" s="386"/>
      <c r="P1888" s="356"/>
      <c r="Q1888" s="380"/>
      <c r="S1888" s="336"/>
      <c r="T1888" s="62" ph="1"/>
      <c r="V1888" s="232"/>
      <c r="W1888" s="269"/>
      <c r="X1888" s="201"/>
      <c r="Y1888" s="269"/>
      <c r="Z1888" s="269"/>
      <c r="AA1888" s="269"/>
      <c r="AB1888" s="269"/>
      <c r="AC1888" s="269"/>
      <c r="AD1888" s="269"/>
      <c r="AE1888" s="269"/>
      <c r="AG1888" s="269"/>
    </row>
    <row r="1889" spans="1:33" ht="26.25">
      <c r="A1889" s="269"/>
      <c r="B1889" s="269"/>
      <c r="C1889" s="269"/>
      <c r="D1889" s="269"/>
      <c r="E1889" s="269"/>
      <c r="F1889" s="269"/>
      <c r="G1889" s="269"/>
      <c r="H1889" s="269"/>
      <c r="I1889" s="269"/>
      <c r="J1889" s="334"/>
      <c r="K1889" s="334"/>
      <c r="L1889" s="334"/>
      <c r="M1889" s="328"/>
      <c r="N1889" s="328"/>
      <c r="O1889" s="386"/>
      <c r="P1889" s="356"/>
      <c r="Q1889" s="380"/>
      <c r="S1889" s="336"/>
      <c r="T1889" s="62" ph="1"/>
      <c r="V1889" s="232"/>
      <c r="W1889" s="269"/>
      <c r="X1889" s="201"/>
      <c r="Y1889" s="269"/>
      <c r="Z1889" s="269"/>
      <c r="AA1889" s="269"/>
      <c r="AB1889" s="269"/>
      <c r="AC1889" s="269"/>
      <c r="AD1889" s="269"/>
      <c r="AE1889" s="269"/>
      <c r="AG1889" s="269"/>
    </row>
    <row r="1890" spans="1:33" ht="26.25">
      <c r="A1890" s="269"/>
      <c r="B1890" s="269"/>
      <c r="C1890" s="269"/>
      <c r="D1890" s="269"/>
      <c r="E1890" s="269"/>
      <c r="F1890" s="269"/>
      <c r="G1890" s="269"/>
      <c r="H1890" s="269"/>
      <c r="I1890" s="269"/>
      <c r="J1890" s="334"/>
      <c r="K1890" s="334"/>
      <c r="L1890" s="334"/>
      <c r="M1890" s="328"/>
      <c r="N1890" s="328"/>
      <c r="O1890" s="386"/>
      <c r="P1890" s="356"/>
      <c r="Q1890" s="380"/>
      <c r="S1890" s="336"/>
      <c r="T1890" s="62" ph="1"/>
      <c r="V1890" s="232"/>
      <c r="W1890" s="269"/>
      <c r="X1890" s="201"/>
      <c r="Y1890" s="269"/>
      <c r="Z1890" s="269"/>
      <c r="AA1890" s="269"/>
      <c r="AB1890" s="269"/>
      <c r="AC1890" s="269"/>
      <c r="AD1890" s="269"/>
      <c r="AE1890" s="269"/>
      <c r="AG1890" s="269"/>
    </row>
    <row r="1891" spans="1:33" ht="26.25">
      <c r="A1891" s="269"/>
      <c r="B1891" s="269"/>
      <c r="C1891" s="269"/>
      <c r="D1891" s="269"/>
      <c r="E1891" s="269"/>
      <c r="F1891" s="269"/>
      <c r="G1891" s="269"/>
      <c r="H1891" s="269"/>
      <c r="I1891" s="269"/>
      <c r="J1891" s="334"/>
      <c r="K1891" s="334"/>
      <c r="L1891" s="334"/>
      <c r="M1891" s="328"/>
      <c r="N1891" s="328"/>
      <c r="O1891" s="386"/>
      <c r="P1891" s="356"/>
      <c r="Q1891" s="380"/>
      <c r="S1891" s="336"/>
      <c r="T1891" s="62" ph="1"/>
      <c r="V1891" s="232"/>
      <c r="W1891" s="269"/>
      <c r="X1891" s="201"/>
      <c r="Y1891" s="269"/>
      <c r="Z1891" s="269"/>
      <c r="AA1891" s="269"/>
      <c r="AB1891" s="269"/>
      <c r="AC1891" s="269"/>
      <c r="AD1891" s="269"/>
      <c r="AE1891" s="269"/>
      <c r="AG1891" s="269"/>
    </row>
    <row r="1892" spans="1:33" ht="26.25">
      <c r="A1892" s="269"/>
      <c r="B1892" s="269"/>
      <c r="C1892" s="269"/>
      <c r="D1892" s="269"/>
      <c r="E1892" s="269"/>
      <c r="F1892" s="269"/>
      <c r="G1892" s="269"/>
      <c r="H1892" s="269"/>
      <c r="I1892" s="269"/>
      <c r="J1892" s="334"/>
      <c r="K1892" s="334"/>
      <c r="L1892" s="334"/>
      <c r="M1892" s="328"/>
      <c r="N1892" s="328"/>
      <c r="O1892" s="386"/>
      <c r="P1892" s="356"/>
      <c r="Q1892" s="380"/>
      <c r="S1892" s="336"/>
      <c r="T1892" s="62" ph="1"/>
      <c r="V1892" s="232"/>
      <c r="W1892" s="269"/>
      <c r="X1892" s="201"/>
      <c r="Y1892" s="269"/>
      <c r="Z1892" s="269"/>
      <c r="AA1892" s="269"/>
      <c r="AB1892" s="269"/>
      <c r="AC1892" s="269"/>
      <c r="AD1892" s="269"/>
      <c r="AE1892" s="269"/>
      <c r="AG1892" s="269"/>
    </row>
    <row r="1893" spans="1:33" ht="26.25">
      <c r="A1893" s="269"/>
      <c r="B1893" s="269"/>
      <c r="C1893" s="269"/>
      <c r="D1893" s="269"/>
      <c r="E1893" s="269"/>
      <c r="F1893" s="269"/>
      <c r="G1893" s="269"/>
      <c r="H1893" s="269"/>
      <c r="I1893" s="269"/>
      <c r="J1893" s="334"/>
      <c r="K1893" s="334"/>
      <c r="L1893" s="334"/>
      <c r="M1893" s="328"/>
      <c r="N1893" s="328"/>
      <c r="O1893" s="386"/>
      <c r="P1893" s="356"/>
      <c r="Q1893" s="380"/>
      <c r="S1893" s="336"/>
      <c r="T1893" s="62" ph="1"/>
      <c r="V1893" s="232"/>
      <c r="W1893" s="269"/>
      <c r="X1893" s="201"/>
      <c r="Y1893" s="269"/>
      <c r="Z1893" s="269"/>
      <c r="AA1893" s="269"/>
      <c r="AB1893" s="269"/>
      <c r="AC1893" s="269"/>
      <c r="AD1893" s="269"/>
      <c r="AE1893" s="269"/>
      <c r="AG1893" s="269"/>
    </row>
    <row r="1894" spans="1:33" ht="26.25">
      <c r="A1894" s="269"/>
      <c r="B1894" s="269"/>
      <c r="C1894" s="269"/>
      <c r="D1894" s="269"/>
      <c r="E1894" s="269"/>
      <c r="F1894" s="269"/>
      <c r="G1894" s="269"/>
      <c r="H1894" s="269"/>
      <c r="I1894" s="269"/>
      <c r="J1894" s="334"/>
      <c r="K1894" s="334"/>
      <c r="L1894" s="334"/>
      <c r="M1894" s="328"/>
      <c r="N1894" s="328"/>
      <c r="O1894" s="386"/>
      <c r="P1894" s="356"/>
      <c r="Q1894" s="380"/>
      <c r="S1894" s="336"/>
      <c r="T1894" s="62" ph="1"/>
      <c r="V1894" s="232"/>
      <c r="W1894" s="269"/>
      <c r="X1894" s="201"/>
      <c r="Y1894" s="269"/>
      <c r="Z1894" s="269"/>
      <c r="AA1894" s="269"/>
      <c r="AB1894" s="269"/>
      <c r="AC1894" s="269"/>
      <c r="AD1894" s="269"/>
      <c r="AE1894" s="269"/>
      <c r="AG1894" s="269"/>
    </row>
    <row r="1895" spans="1:33" ht="26.25">
      <c r="A1895" s="269"/>
      <c r="B1895" s="269"/>
      <c r="C1895" s="269"/>
      <c r="D1895" s="269"/>
      <c r="E1895" s="269"/>
      <c r="F1895" s="269"/>
      <c r="G1895" s="269"/>
      <c r="H1895" s="269"/>
      <c r="I1895" s="269"/>
      <c r="J1895" s="334"/>
      <c r="K1895" s="334"/>
      <c r="L1895" s="334"/>
      <c r="M1895" s="328"/>
      <c r="N1895" s="328"/>
      <c r="O1895" s="386"/>
      <c r="P1895" s="356"/>
      <c r="Q1895" s="380"/>
      <c r="S1895" s="336"/>
      <c r="T1895" s="62" ph="1"/>
      <c r="V1895" s="232"/>
      <c r="W1895" s="269"/>
      <c r="X1895" s="201"/>
      <c r="Y1895" s="269"/>
      <c r="Z1895" s="269"/>
      <c r="AA1895" s="269"/>
      <c r="AB1895" s="269"/>
      <c r="AC1895" s="269"/>
      <c r="AD1895" s="269"/>
      <c r="AE1895" s="269"/>
      <c r="AG1895" s="128"/>
    </row>
    <row r="1896" spans="1:33" ht="26.25">
      <c r="A1896" s="269"/>
      <c r="B1896" s="269"/>
      <c r="C1896" s="269"/>
      <c r="D1896" s="269"/>
      <c r="E1896" s="269"/>
      <c r="F1896" s="269"/>
      <c r="G1896" s="269"/>
      <c r="H1896" s="269"/>
      <c r="I1896" s="269"/>
      <c r="J1896" s="334"/>
      <c r="K1896" s="334"/>
      <c r="L1896" s="334"/>
      <c r="M1896" s="328"/>
      <c r="N1896" s="328"/>
      <c r="O1896" s="386"/>
      <c r="P1896" s="356"/>
      <c r="Q1896" s="380"/>
      <c r="S1896" s="336"/>
      <c r="T1896" s="62" ph="1"/>
      <c r="V1896" s="232"/>
      <c r="W1896" s="269"/>
      <c r="X1896" s="201"/>
      <c r="Y1896" s="269"/>
      <c r="Z1896" s="269"/>
      <c r="AA1896" s="269"/>
      <c r="AB1896" s="269"/>
      <c r="AC1896" s="269"/>
      <c r="AD1896" s="269"/>
      <c r="AE1896" s="269"/>
      <c r="AG1896" s="269"/>
    </row>
    <row r="1897" spans="1:33" ht="26.25">
      <c r="A1897" s="269"/>
      <c r="B1897" s="269"/>
      <c r="C1897" s="269"/>
      <c r="D1897" s="269"/>
      <c r="E1897" s="269"/>
      <c r="F1897" s="269"/>
      <c r="G1897" s="269"/>
      <c r="H1897" s="269"/>
      <c r="I1897" s="269"/>
      <c r="J1897" s="334"/>
      <c r="K1897" s="334"/>
      <c r="L1897" s="334"/>
      <c r="M1897" s="328"/>
      <c r="N1897" s="328"/>
      <c r="O1897" s="386"/>
      <c r="P1897" s="356"/>
      <c r="Q1897" s="380"/>
      <c r="S1897" s="336"/>
      <c r="T1897" s="62" ph="1"/>
      <c r="V1897" s="232"/>
      <c r="W1897" s="269"/>
      <c r="X1897" s="201"/>
      <c r="Y1897" s="269"/>
      <c r="Z1897" s="269"/>
      <c r="AA1897" s="269"/>
      <c r="AB1897" s="269"/>
      <c r="AC1897" s="269"/>
      <c r="AD1897" s="269"/>
      <c r="AE1897" s="269"/>
      <c r="AG1897" s="269"/>
    </row>
    <row r="1898" spans="1:33" ht="26.25">
      <c r="A1898" s="269"/>
      <c r="B1898" s="269"/>
      <c r="C1898" s="269"/>
      <c r="D1898" s="269"/>
      <c r="E1898" s="269"/>
      <c r="F1898" s="269"/>
      <c r="G1898" s="269"/>
      <c r="H1898" s="269"/>
      <c r="I1898" s="269"/>
      <c r="J1898" s="334"/>
      <c r="K1898" s="334"/>
      <c r="L1898" s="334"/>
      <c r="M1898" s="328"/>
      <c r="N1898" s="328"/>
      <c r="O1898" s="386"/>
      <c r="P1898" s="356"/>
      <c r="Q1898" s="380"/>
      <c r="S1898" s="336"/>
      <c r="T1898" s="62" ph="1"/>
      <c r="V1898" s="232"/>
      <c r="W1898" s="269"/>
      <c r="X1898" s="201"/>
      <c r="Y1898" s="269"/>
      <c r="Z1898" s="269"/>
      <c r="AA1898" s="269"/>
      <c r="AB1898" s="269"/>
      <c r="AC1898" s="269"/>
      <c r="AD1898" s="269"/>
      <c r="AE1898" s="269"/>
      <c r="AG1898" s="269"/>
    </row>
    <row r="1899" spans="1:33" ht="26.25">
      <c r="A1899" s="269"/>
      <c r="B1899" s="269"/>
      <c r="C1899" s="269"/>
      <c r="D1899" s="269"/>
      <c r="E1899" s="269"/>
      <c r="F1899" s="269"/>
      <c r="G1899" s="269"/>
      <c r="H1899" s="269"/>
      <c r="I1899" s="269"/>
      <c r="J1899" s="334"/>
      <c r="K1899" s="334"/>
      <c r="L1899" s="334"/>
      <c r="M1899" s="328"/>
      <c r="N1899" s="328"/>
      <c r="O1899" s="386"/>
      <c r="P1899" s="356"/>
      <c r="Q1899" s="380"/>
      <c r="S1899" s="336"/>
      <c r="T1899" s="62" ph="1"/>
      <c r="V1899" s="232"/>
      <c r="W1899" s="269"/>
      <c r="X1899" s="201"/>
      <c r="Y1899" s="269"/>
      <c r="Z1899" s="269"/>
      <c r="AA1899" s="269"/>
      <c r="AB1899" s="269"/>
      <c r="AC1899" s="269"/>
      <c r="AD1899" s="269"/>
      <c r="AE1899" s="269"/>
      <c r="AG1899" s="128"/>
    </row>
    <row r="1900" spans="1:33" ht="26.25">
      <c r="A1900" s="269"/>
      <c r="B1900" s="269"/>
      <c r="C1900" s="269"/>
      <c r="D1900" s="269"/>
      <c r="E1900" s="269"/>
      <c r="F1900" s="269"/>
      <c r="G1900" s="269"/>
      <c r="H1900" s="269"/>
      <c r="I1900" s="269"/>
      <c r="J1900" s="334"/>
      <c r="K1900" s="334"/>
      <c r="L1900" s="334"/>
      <c r="M1900" s="328"/>
      <c r="N1900" s="328"/>
      <c r="O1900" s="386"/>
      <c r="P1900" s="356"/>
      <c r="Q1900" s="380"/>
      <c r="S1900" s="336"/>
      <c r="T1900" s="62" ph="1"/>
      <c r="V1900" s="232"/>
      <c r="W1900" s="269"/>
      <c r="X1900" s="201"/>
      <c r="Y1900" s="269"/>
      <c r="Z1900" s="269"/>
      <c r="AA1900" s="269"/>
      <c r="AB1900" s="269"/>
      <c r="AC1900" s="269"/>
      <c r="AD1900" s="269"/>
      <c r="AE1900" s="269"/>
      <c r="AG1900" s="269"/>
    </row>
    <row r="1901" spans="1:33" ht="26.25">
      <c r="A1901" s="269"/>
      <c r="B1901" s="269"/>
      <c r="C1901" s="269"/>
      <c r="D1901" s="269"/>
      <c r="E1901" s="269"/>
      <c r="F1901" s="269"/>
      <c r="G1901" s="269"/>
      <c r="H1901" s="269"/>
      <c r="I1901" s="269"/>
      <c r="J1901" s="334"/>
      <c r="K1901" s="334"/>
      <c r="L1901" s="334"/>
      <c r="M1901" s="328"/>
      <c r="N1901" s="328"/>
      <c r="O1901" s="386"/>
      <c r="P1901" s="356"/>
      <c r="Q1901" s="380"/>
      <c r="S1901" s="336"/>
      <c r="T1901" s="62" ph="1"/>
      <c r="V1901" s="232"/>
      <c r="W1901" s="269"/>
      <c r="X1901" s="201"/>
      <c r="Y1901" s="269"/>
      <c r="Z1901" s="269"/>
      <c r="AA1901" s="269"/>
      <c r="AB1901" s="269"/>
      <c r="AC1901" s="269"/>
      <c r="AD1901" s="269"/>
      <c r="AE1901" s="269"/>
      <c r="AG1901" s="269"/>
    </row>
    <row r="1902" spans="1:33" ht="26.25">
      <c r="A1902" s="269"/>
      <c r="B1902" s="269"/>
      <c r="C1902" s="269"/>
      <c r="D1902" s="269"/>
      <c r="E1902" s="269"/>
      <c r="F1902" s="269"/>
      <c r="G1902" s="269"/>
      <c r="H1902" s="269"/>
      <c r="I1902" s="269"/>
      <c r="J1902" s="334"/>
      <c r="K1902" s="334"/>
      <c r="L1902" s="334"/>
      <c r="M1902" s="328"/>
      <c r="N1902" s="328"/>
      <c r="O1902" s="386"/>
      <c r="P1902" s="356"/>
      <c r="Q1902" s="380"/>
      <c r="S1902" s="336"/>
      <c r="T1902" s="62" ph="1"/>
      <c r="V1902" s="232"/>
      <c r="W1902" s="269"/>
      <c r="X1902" s="201"/>
      <c r="Y1902" s="269"/>
      <c r="Z1902" s="269"/>
      <c r="AA1902" s="269"/>
      <c r="AB1902" s="269"/>
      <c r="AC1902" s="269"/>
      <c r="AD1902" s="269"/>
      <c r="AE1902" s="269"/>
      <c r="AG1902" s="128"/>
    </row>
    <row r="1903" spans="1:33" ht="26.25">
      <c r="A1903" s="269"/>
      <c r="B1903" s="269"/>
      <c r="C1903" s="269"/>
      <c r="D1903" s="269"/>
      <c r="E1903" s="269"/>
      <c r="F1903" s="269"/>
      <c r="G1903" s="269"/>
      <c r="H1903" s="269"/>
      <c r="I1903" s="269"/>
      <c r="J1903" s="334"/>
      <c r="K1903" s="334"/>
      <c r="L1903" s="334"/>
      <c r="M1903" s="328"/>
      <c r="N1903" s="328"/>
      <c r="O1903" s="386"/>
      <c r="P1903" s="356"/>
      <c r="Q1903" s="380"/>
      <c r="S1903" s="336"/>
      <c r="T1903" s="62" ph="1"/>
      <c r="V1903" s="232"/>
      <c r="W1903" s="269"/>
      <c r="X1903" s="201"/>
      <c r="Y1903" s="269"/>
      <c r="Z1903" s="269"/>
      <c r="AA1903" s="269"/>
      <c r="AB1903" s="269"/>
      <c r="AC1903" s="269"/>
      <c r="AD1903" s="269"/>
      <c r="AE1903" s="269"/>
      <c r="AG1903" s="128"/>
    </row>
    <row r="1904" spans="1:33" ht="26.25">
      <c r="A1904" s="269"/>
      <c r="B1904" s="269"/>
      <c r="C1904" s="269"/>
      <c r="D1904" s="269"/>
      <c r="E1904" s="269"/>
      <c r="F1904" s="269"/>
      <c r="G1904" s="269"/>
      <c r="H1904" s="269"/>
      <c r="I1904" s="269"/>
      <c r="J1904" s="334"/>
      <c r="K1904" s="334"/>
      <c r="L1904" s="334"/>
      <c r="M1904" s="328"/>
      <c r="N1904" s="328"/>
      <c r="O1904" s="386"/>
      <c r="P1904" s="356"/>
      <c r="Q1904" s="380"/>
      <c r="S1904" s="336"/>
      <c r="T1904" s="62" ph="1"/>
      <c r="V1904" s="232"/>
      <c r="W1904" s="269"/>
      <c r="X1904" s="201"/>
      <c r="Y1904" s="269"/>
      <c r="Z1904" s="269"/>
      <c r="AA1904" s="269"/>
      <c r="AB1904" s="269"/>
      <c r="AC1904" s="269"/>
      <c r="AD1904" s="269"/>
      <c r="AE1904" s="269"/>
    </row>
    <row r="1905" spans="1:31" ht="26.25">
      <c r="A1905" s="269"/>
      <c r="B1905" s="269"/>
      <c r="C1905" s="269"/>
      <c r="D1905" s="269"/>
      <c r="E1905" s="269"/>
      <c r="F1905" s="269"/>
      <c r="G1905" s="269"/>
      <c r="H1905" s="269"/>
      <c r="I1905" s="269"/>
      <c r="J1905" s="334"/>
      <c r="K1905" s="334"/>
      <c r="L1905" s="334"/>
      <c r="M1905" s="328"/>
      <c r="N1905" s="328"/>
      <c r="O1905" s="386"/>
      <c r="P1905" s="356"/>
      <c r="Q1905" s="380"/>
      <c r="S1905" s="336"/>
      <c r="T1905" s="62" ph="1"/>
      <c r="V1905" s="232"/>
      <c r="W1905" s="269"/>
      <c r="X1905" s="201"/>
      <c r="Y1905" s="269"/>
      <c r="Z1905" s="269"/>
      <c r="AA1905" s="269"/>
      <c r="AB1905" s="269"/>
      <c r="AC1905" s="269"/>
      <c r="AD1905" s="269"/>
      <c r="AE1905" s="269"/>
    </row>
    <row r="1906" spans="1:31" ht="26.25">
      <c r="A1906" s="269"/>
      <c r="B1906" s="269"/>
      <c r="C1906" s="269"/>
      <c r="D1906" s="269"/>
      <c r="E1906" s="269"/>
      <c r="F1906" s="269"/>
      <c r="G1906" s="269"/>
      <c r="H1906" s="269"/>
      <c r="I1906" s="269"/>
      <c r="J1906" s="334"/>
      <c r="K1906" s="334"/>
      <c r="L1906" s="334"/>
      <c r="M1906" s="328"/>
      <c r="N1906" s="328"/>
      <c r="O1906" s="386"/>
      <c r="P1906" s="356"/>
      <c r="Q1906" s="380"/>
      <c r="S1906" s="336"/>
      <c r="T1906" s="62" ph="1"/>
      <c r="V1906" s="232"/>
      <c r="W1906" s="269"/>
      <c r="X1906" s="201"/>
      <c r="Y1906" s="269"/>
      <c r="Z1906" s="269"/>
      <c r="AA1906" s="269"/>
      <c r="AB1906" s="269"/>
      <c r="AC1906" s="269"/>
      <c r="AD1906" s="269"/>
      <c r="AE1906" s="269"/>
    </row>
    <row r="1907" spans="1:31" ht="26.25">
      <c r="A1907" s="269"/>
      <c r="B1907" s="269"/>
      <c r="C1907" s="269"/>
      <c r="D1907" s="269"/>
      <c r="E1907" s="269"/>
      <c r="F1907" s="269"/>
      <c r="G1907" s="269"/>
      <c r="H1907" s="269"/>
      <c r="I1907" s="269"/>
      <c r="J1907" s="334"/>
      <c r="K1907" s="334"/>
      <c r="L1907" s="334"/>
      <c r="M1907" s="328"/>
      <c r="N1907" s="328"/>
      <c r="O1907" s="386"/>
      <c r="P1907" s="356"/>
      <c r="Q1907" s="380"/>
      <c r="S1907" s="336"/>
      <c r="T1907" s="62" ph="1"/>
      <c r="V1907" s="232"/>
      <c r="W1907" s="269"/>
      <c r="X1907" s="201"/>
      <c r="Y1907" s="269"/>
      <c r="Z1907" s="269"/>
      <c r="AA1907" s="269"/>
      <c r="AB1907" s="269"/>
      <c r="AC1907" s="269"/>
      <c r="AD1907" s="269"/>
      <c r="AE1907" s="269"/>
    </row>
    <row r="1908" spans="1:31" ht="26.25">
      <c r="A1908" s="269"/>
      <c r="B1908" s="269"/>
      <c r="C1908" s="269"/>
      <c r="D1908" s="269"/>
      <c r="E1908" s="269"/>
      <c r="F1908" s="269"/>
      <c r="G1908" s="269"/>
      <c r="H1908" s="269"/>
      <c r="I1908" s="269"/>
      <c r="J1908" s="334"/>
      <c r="K1908" s="334"/>
      <c r="L1908" s="334"/>
      <c r="M1908" s="328"/>
      <c r="N1908" s="328"/>
      <c r="O1908" s="386"/>
      <c r="P1908" s="356"/>
      <c r="Q1908" s="380"/>
      <c r="S1908" s="336"/>
      <c r="T1908" s="62" ph="1"/>
      <c r="V1908" s="232"/>
      <c r="W1908" s="269"/>
      <c r="X1908" s="201"/>
      <c r="Y1908" s="269"/>
      <c r="Z1908" s="269"/>
      <c r="AA1908" s="269"/>
      <c r="AB1908" s="269"/>
      <c r="AC1908" s="269"/>
      <c r="AD1908" s="269"/>
      <c r="AE1908" s="269"/>
    </row>
    <row r="1909" spans="1:31" ht="26.25">
      <c r="A1909" s="269"/>
      <c r="B1909" s="269"/>
      <c r="C1909" s="269"/>
      <c r="D1909" s="269"/>
      <c r="E1909" s="269"/>
      <c r="F1909" s="269"/>
      <c r="G1909" s="269"/>
      <c r="H1909" s="269"/>
      <c r="I1909" s="269"/>
      <c r="J1909" s="334"/>
      <c r="K1909" s="334"/>
      <c r="L1909" s="334"/>
      <c r="M1909" s="328"/>
      <c r="N1909" s="328"/>
      <c r="O1909" s="386"/>
      <c r="P1909" s="356"/>
      <c r="Q1909" s="380"/>
      <c r="S1909" s="336"/>
      <c r="T1909" s="62" ph="1"/>
      <c r="V1909" s="232"/>
      <c r="W1909" s="269"/>
      <c r="X1909" s="201"/>
      <c r="Y1909" s="269"/>
      <c r="Z1909" s="269"/>
      <c r="AA1909" s="269"/>
      <c r="AB1909" s="269"/>
      <c r="AC1909" s="269"/>
      <c r="AD1909" s="269"/>
      <c r="AE1909" s="269"/>
    </row>
    <row r="1910" spans="1:31" ht="26.25">
      <c r="A1910" s="269"/>
      <c r="B1910" s="269"/>
      <c r="C1910" s="269"/>
      <c r="D1910" s="269"/>
      <c r="E1910" s="269"/>
      <c r="F1910" s="269"/>
      <c r="G1910" s="269"/>
      <c r="H1910" s="269"/>
      <c r="I1910" s="269"/>
      <c r="J1910" s="334"/>
      <c r="K1910" s="334"/>
      <c r="L1910" s="334"/>
      <c r="M1910" s="328"/>
      <c r="N1910" s="328"/>
      <c r="O1910" s="386"/>
      <c r="P1910" s="356"/>
      <c r="Q1910" s="380"/>
      <c r="S1910" s="336"/>
      <c r="T1910" s="62" ph="1"/>
      <c r="V1910" s="232"/>
      <c r="W1910" s="269"/>
      <c r="X1910" s="201"/>
      <c r="Y1910" s="269"/>
      <c r="Z1910" s="269"/>
      <c r="AA1910" s="269"/>
      <c r="AB1910" s="269"/>
      <c r="AC1910" s="269"/>
      <c r="AD1910" s="269"/>
      <c r="AE1910" s="269"/>
    </row>
    <row r="1911" spans="1:31" ht="26.25">
      <c r="A1911" s="269"/>
      <c r="B1911" s="269"/>
      <c r="C1911" s="269"/>
      <c r="D1911" s="269"/>
      <c r="E1911" s="269"/>
      <c r="F1911" s="269"/>
      <c r="G1911" s="269"/>
      <c r="H1911" s="269"/>
      <c r="I1911" s="269"/>
      <c r="J1911" s="334"/>
      <c r="K1911" s="334"/>
      <c r="L1911" s="334"/>
      <c r="M1911" s="328"/>
      <c r="N1911" s="328"/>
      <c r="O1911" s="386"/>
      <c r="P1911" s="356"/>
      <c r="Q1911" s="380"/>
      <c r="S1911" s="336"/>
      <c r="T1911" s="62" ph="1"/>
      <c r="V1911" s="232"/>
      <c r="W1911" s="269"/>
      <c r="X1911" s="201"/>
      <c r="Y1911" s="269"/>
      <c r="Z1911" s="269"/>
      <c r="AA1911" s="269"/>
      <c r="AB1911" s="269"/>
      <c r="AC1911" s="269"/>
      <c r="AD1911" s="269"/>
      <c r="AE1911" s="269"/>
    </row>
    <row r="1912" spans="1:31" ht="26.25">
      <c r="A1912" s="269"/>
      <c r="B1912" s="269"/>
      <c r="C1912" s="269"/>
      <c r="D1912" s="269"/>
      <c r="E1912" s="269"/>
      <c r="F1912" s="269"/>
      <c r="G1912" s="269"/>
      <c r="H1912" s="269"/>
      <c r="I1912" s="269"/>
      <c r="J1912" s="334"/>
      <c r="K1912" s="334"/>
      <c r="L1912" s="334"/>
      <c r="M1912" s="328"/>
      <c r="N1912" s="328"/>
      <c r="O1912" s="386"/>
      <c r="P1912" s="356"/>
      <c r="Q1912" s="380"/>
      <c r="S1912" s="336"/>
      <c r="T1912" s="62" ph="1"/>
      <c r="V1912" s="232"/>
      <c r="W1912" s="269"/>
      <c r="X1912" s="201"/>
      <c r="Y1912" s="269"/>
      <c r="Z1912" s="269"/>
      <c r="AA1912" s="269"/>
      <c r="AB1912" s="269"/>
      <c r="AC1912" s="269"/>
      <c r="AD1912" s="269"/>
      <c r="AE1912" s="269"/>
    </row>
    <row r="1913" spans="1:31" ht="26.25">
      <c r="A1913" s="269"/>
      <c r="B1913" s="269"/>
      <c r="C1913" s="269"/>
      <c r="D1913" s="269"/>
      <c r="E1913" s="269"/>
      <c r="F1913" s="269"/>
      <c r="G1913" s="269"/>
      <c r="H1913" s="269"/>
      <c r="I1913" s="269"/>
      <c r="J1913" s="334"/>
      <c r="K1913" s="334"/>
      <c r="L1913" s="334"/>
      <c r="M1913" s="328"/>
      <c r="N1913" s="328"/>
      <c r="O1913" s="386"/>
      <c r="P1913" s="356"/>
      <c r="Q1913" s="380"/>
      <c r="S1913" s="336"/>
      <c r="T1913" s="62" ph="1"/>
      <c r="V1913" s="232"/>
      <c r="W1913" s="269"/>
      <c r="X1913" s="201"/>
      <c r="Y1913" s="269"/>
      <c r="Z1913" s="269"/>
      <c r="AA1913" s="269"/>
      <c r="AB1913" s="269"/>
      <c r="AC1913" s="269"/>
      <c r="AD1913" s="269"/>
      <c r="AE1913" s="269"/>
    </row>
    <row r="1914" spans="1:31" ht="26.25">
      <c r="A1914" s="269"/>
      <c r="B1914" s="269"/>
      <c r="C1914" s="269"/>
      <c r="D1914" s="269"/>
      <c r="E1914" s="269"/>
      <c r="F1914" s="269"/>
      <c r="G1914" s="269"/>
      <c r="H1914" s="269"/>
      <c r="I1914" s="269"/>
      <c r="J1914" s="334"/>
      <c r="K1914" s="334"/>
      <c r="L1914" s="334"/>
      <c r="M1914" s="328"/>
      <c r="N1914" s="328"/>
      <c r="O1914" s="386"/>
      <c r="P1914" s="356"/>
      <c r="Q1914" s="380"/>
      <c r="S1914" s="336"/>
      <c r="T1914" s="62" ph="1"/>
      <c r="V1914" s="232"/>
      <c r="W1914" s="269"/>
      <c r="X1914" s="201"/>
      <c r="Y1914" s="269"/>
      <c r="Z1914" s="269"/>
      <c r="AA1914" s="269"/>
      <c r="AB1914" s="269"/>
      <c r="AC1914" s="269"/>
      <c r="AD1914" s="269"/>
      <c r="AE1914" s="269"/>
    </row>
    <row r="1915" spans="1:31" ht="26.25">
      <c r="A1915" s="269"/>
      <c r="B1915" s="269"/>
      <c r="C1915" s="269"/>
      <c r="D1915" s="269"/>
      <c r="E1915" s="269"/>
      <c r="F1915" s="269"/>
      <c r="G1915" s="269"/>
      <c r="H1915" s="269"/>
      <c r="I1915" s="269"/>
      <c r="J1915" s="334"/>
      <c r="K1915" s="334"/>
      <c r="L1915" s="334"/>
      <c r="M1915" s="328"/>
      <c r="N1915" s="328"/>
      <c r="O1915" s="386"/>
      <c r="P1915" s="356"/>
      <c r="Q1915" s="380"/>
      <c r="S1915" s="336"/>
      <c r="T1915" s="62" ph="1"/>
      <c r="V1915" s="232"/>
      <c r="W1915" s="269"/>
      <c r="X1915" s="201"/>
      <c r="Y1915" s="269"/>
      <c r="Z1915" s="269"/>
      <c r="AA1915" s="269"/>
      <c r="AB1915" s="269"/>
      <c r="AC1915" s="269"/>
      <c r="AD1915" s="269"/>
      <c r="AE1915" s="269"/>
    </row>
    <row r="1916" spans="1:31" ht="26.25">
      <c r="A1916" s="269"/>
      <c r="B1916" s="269"/>
      <c r="C1916" s="269"/>
      <c r="D1916" s="269"/>
      <c r="E1916" s="269"/>
      <c r="F1916" s="269"/>
      <c r="G1916" s="269"/>
      <c r="H1916" s="269"/>
      <c r="I1916" s="269"/>
      <c r="J1916" s="334"/>
      <c r="K1916" s="334"/>
      <c r="L1916" s="334"/>
      <c r="M1916" s="328"/>
      <c r="N1916" s="328"/>
      <c r="O1916" s="386"/>
      <c r="P1916" s="356"/>
      <c r="Q1916" s="380"/>
      <c r="S1916" s="336"/>
      <c r="T1916" s="62" ph="1"/>
      <c r="V1916" s="232"/>
      <c r="W1916" s="269"/>
      <c r="X1916" s="201"/>
      <c r="Y1916" s="269"/>
      <c r="Z1916" s="269"/>
      <c r="AA1916" s="269"/>
      <c r="AB1916" s="269"/>
      <c r="AC1916" s="269"/>
      <c r="AD1916" s="269"/>
      <c r="AE1916" s="269"/>
    </row>
    <row r="1917" spans="1:31" ht="26.25">
      <c r="A1917" s="269"/>
      <c r="B1917" s="269"/>
      <c r="C1917" s="269"/>
      <c r="D1917" s="269"/>
      <c r="E1917" s="269"/>
      <c r="F1917" s="269"/>
      <c r="G1917" s="269"/>
      <c r="H1917" s="269"/>
      <c r="I1917" s="269"/>
      <c r="J1917" s="334"/>
      <c r="K1917" s="334"/>
      <c r="L1917" s="334"/>
      <c r="M1917" s="328"/>
      <c r="N1917" s="328"/>
      <c r="O1917" s="386"/>
      <c r="P1917" s="356"/>
      <c r="Q1917" s="380"/>
      <c r="S1917" s="336"/>
      <c r="T1917" s="62" ph="1"/>
      <c r="V1917" s="232"/>
      <c r="W1917" s="269"/>
      <c r="X1917" s="201"/>
      <c r="Y1917" s="269"/>
      <c r="Z1917" s="269"/>
      <c r="AA1917" s="269"/>
      <c r="AB1917" s="269"/>
      <c r="AC1917" s="269"/>
      <c r="AD1917" s="269"/>
      <c r="AE1917" s="269"/>
    </row>
    <row r="1918" spans="1:31" ht="26.25">
      <c r="A1918" s="269"/>
      <c r="B1918" s="269"/>
      <c r="C1918" s="269"/>
      <c r="D1918" s="269"/>
      <c r="E1918" s="269"/>
      <c r="F1918" s="269"/>
      <c r="G1918" s="269"/>
      <c r="H1918" s="269"/>
      <c r="I1918" s="269"/>
      <c r="J1918" s="334"/>
      <c r="K1918" s="334"/>
      <c r="L1918" s="334"/>
      <c r="M1918" s="328"/>
      <c r="N1918" s="328"/>
      <c r="O1918" s="386"/>
      <c r="P1918" s="356"/>
      <c r="Q1918" s="380"/>
      <c r="S1918" s="336"/>
      <c r="T1918" s="62" ph="1"/>
      <c r="V1918" s="232"/>
      <c r="W1918" s="269"/>
      <c r="X1918" s="201"/>
      <c r="Y1918" s="269"/>
      <c r="Z1918" s="269"/>
      <c r="AA1918" s="269"/>
      <c r="AB1918" s="269"/>
      <c r="AC1918" s="269"/>
      <c r="AD1918" s="269"/>
      <c r="AE1918" s="269"/>
    </row>
    <row r="1919" spans="1:31" ht="26.25">
      <c r="A1919" s="269"/>
      <c r="B1919" s="269"/>
      <c r="C1919" s="269"/>
      <c r="D1919" s="269"/>
      <c r="E1919" s="269"/>
      <c r="F1919" s="269"/>
      <c r="G1919" s="269"/>
      <c r="H1919" s="269"/>
      <c r="I1919" s="269"/>
      <c r="J1919" s="334"/>
      <c r="K1919" s="334"/>
      <c r="L1919" s="334"/>
      <c r="M1919" s="328"/>
      <c r="N1919" s="328"/>
      <c r="O1919" s="386"/>
      <c r="P1919" s="356"/>
      <c r="Q1919" s="380"/>
      <c r="S1919" s="336"/>
      <c r="T1919" s="62" ph="1"/>
      <c r="V1919" s="232"/>
      <c r="W1919" s="269"/>
      <c r="X1919" s="201"/>
      <c r="Y1919" s="269"/>
      <c r="Z1919" s="269"/>
      <c r="AA1919" s="269"/>
      <c r="AB1919" s="269"/>
      <c r="AC1919" s="269"/>
      <c r="AD1919" s="269"/>
      <c r="AE1919" s="269"/>
    </row>
    <row r="1920" spans="1:31" ht="26.25">
      <c r="A1920" s="269"/>
      <c r="B1920" s="269"/>
      <c r="C1920" s="269"/>
      <c r="D1920" s="269"/>
      <c r="E1920" s="269"/>
      <c r="F1920" s="269"/>
      <c r="G1920" s="269"/>
      <c r="H1920" s="269"/>
      <c r="I1920" s="269"/>
      <c r="J1920" s="334"/>
      <c r="K1920" s="334"/>
      <c r="L1920" s="334"/>
      <c r="M1920" s="328"/>
      <c r="N1920" s="328"/>
      <c r="O1920" s="386"/>
      <c r="P1920" s="356"/>
      <c r="Q1920" s="380"/>
      <c r="S1920" s="336"/>
      <c r="T1920" s="62" ph="1"/>
      <c r="V1920" s="232"/>
      <c r="W1920" s="269"/>
      <c r="X1920" s="201"/>
      <c r="Y1920" s="269"/>
      <c r="Z1920" s="269"/>
      <c r="AA1920" s="269"/>
      <c r="AB1920" s="269"/>
      <c r="AC1920" s="269"/>
      <c r="AD1920" s="269"/>
      <c r="AE1920" s="269"/>
    </row>
    <row r="1921" spans="1:31" ht="26.25">
      <c r="A1921" s="269"/>
      <c r="B1921" s="269"/>
      <c r="C1921" s="269"/>
      <c r="D1921" s="269"/>
      <c r="E1921" s="269"/>
      <c r="F1921" s="269"/>
      <c r="G1921" s="269"/>
      <c r="H1921" s="269"/>
      <c r="I1921" s="269"/>
      <c r="J1921" s="334"/>
      <c r="K1921" s="334"/>
      <c r="L1921" s="334"/>
      <c r="M1921" s="328"/>
      <c r="N1921" s="328"/>
      <c r="O1921" s="386"/>
      <c r="P1921" s="356"/>
      <c r="Q1921" s="380"/>
      <c r="S1921" s="336"/>
      <c r="T1921" s="62" ph="1"/>
      <c r="V1921" s="232"/>
      <c r="W1921" s="269"/>
      <c r="X1921" s="201"/>
      <c r="Y1921" s="269"/>
      <c r="Z1921" s="269"/>
      <c r="AA1921" s="269"/>
      <c r="AB1921" s="269"/>
      <c r="AC1921" s="269"/>
      <c r="AD1921" s="269"/>
      <c r="AE1921" s="269"/>
    </row>
    <row r="1922" spans="1:31" ht="26.25">
      <c r="A1922" s="269"/>
      <c r="B1922" s="269"/>
      <c r="C1922" s="269"/>
      <c r="D1922" s="269"/>
      <c r="E1922" s="269"/>
      <c r="F1922" s="269"/>
      <c r="G1922" s="269"/>
      <c r="H1922" s="269"/>
      <c r="I1922" s="269"/>
      <c r="J1922" s="334"/>
      <c r="K1922" s="334"/>
      <c r="L1922" s="334"/>
      <c r="M1922" s="328"/>
      <c r="N1922" s="328"/>
      <c r="O1922" s="386"/>
      <c r="P1922" s="356"/>
      <c r="Q1922" s="380"/>
      <c r="S1922" s="336"/>
      <c r="T1922" s="62" ph="1"/>
      <c r="V1922" s="232"/>
      <c r="W1922" s="269"/>
      <c r="X1922" s="201"/>
      <c r="Y1922" s="269"/>
      <c r="Z1922" s="269"/>
      <c r="AA1922" s="269"/>
      <c r="AB1922" s="269"/>
      <c r="AC1922" s="269"/>
      <c r="AD1922" s="269"/>
      <c r="AE1922" s="269"/>
    </row>
    <row r="1923" spans="1:31" ht="26.25">
      <c r="A1923" s="269"/>
      <c r="B1923" s="269"/>
      <c r="C1923" s="269"/>
      <c r="D1923" s="269"/>
      <c r="E1923" s="269"/>
      <c r="F1923" s="269"/>
      <c r="G1923" s="269"/>
      <c r="H1923" s="269"/>
      <c r="I1923" s="269"/>
      <c r="J1923" s="334"/>
      <c r="K1923" s="334"/>
      <c r="L1923" s="334"/>
      <c r="M1923" s="328"/>
      <c r="N1923" s="328"/>
      <c r="O1923" s="386"/>
      <c r="P1923" s="356"/>
      <c r="Q1923" s="380"/>
      <c r="S1923" s="336"/>
      <c r="T1923" s="62" ph="1"/>
      <c r="V1923" s="232"/>
      <c r="W1923" s="269"/>
      <c r="X1923" s="201"/>
      <c r="Y1923" s="269"/>
      <c r="Z1923" s="269"/>
      <c r="AA1923" s="269"/>
      <c r="AB1923" s="269"/>
      <c r="AC1923" s="269"/>
      <c r="AD1923" s="269"/>
      <c r="AE1923" s="269"/>
    </row>
    <row r="1924" spans="1:31" ht="26.25">
      <c r="A1924" s="269"/>
      <c r="B1924" s="269"/>
      <c r="C1924" s="269"/>
      <c r="D1924" s="269"/>
      <c r="E1924" s="269"/>
      <c r="F1924" s="269"/>
      <c r="G1924" s="269"/>
      <c r="H1924" s="269"/>
      <c r="I1924" s="269"/>
      <c r="J1924" s="334"/>
      <c r="K1924" s="334"/>
      <c r="L1924" s="334"/>
      <c r="M1924" s="328"/>
      <c r="N1924" s="328"/>
      <c r="O1924" s="386"/>
      <c r="P1924" s="356"/>
      <c r="Q1924" s="380"/>
      <c r="S1924" s="336"/>
      <c r="T1924" s="62" ph="1"/>
      <c r="V1924" s="232"/>
      <c r="W1924" s="269"/>
      <c r="X1924" s="201"/>
      <c r="Y1924" s="269"/>
      <c r="Z1924" s="269"/>
      <c r="AA1924" s="269"/>
      <c r="AB1924" s="269"/>
      <c r="AC1924" s="269"/>
      <c r="AD1924" s="269"/>
      <c r="AE1924" s="269"/>
    </row>
    <row r="1925" spans="1:31" ht="26.25">
      <c r="A1925" s="269"/>
      <c r="B1925" s="269"/>
      <c r="C1925" s="269"/>
      <c r="D1925" s="269"/>
      <c r="E1925" s="269"/>
      <c r="F1925" s="269"/>
      <c r="G1925" s="269"/>
      <c r="H1925" s="269"/>
      <c r="I1925" s="269"/>
      <c r="J1925" s="334"/>
      <c r="K1925" s="334"/>
      <c r="L1925" s="334"/>
      <c r="M1925" s="328"/>
      <c r="N1925" s="328"/>
      <c r="O1925" s="386"/>
      <c r="P1925" s="356"/>
      <c r="Q1925" s="380"/>
      <c r="S1925" s="336"/>
      <c r="T1925" s="62" ph="1"/>
      <c r="V1925" s="232"/>
      <c r="W1925" s="269"/>
      <c r="X1925" s="201"/>
      <c r="Y1925" s="269"/>
      <c r="Z1925" s="269"/>
      <c r="AA1925" s="269"/>
      <c r="AB1925" s="269"/>
      <c r="AC1925" s="269"/>
      <c r="AD1925" s="269"/>
      <c r="AE1925" s="269"/>
    </row>
    <row r="1926" spans="1:31" ht="26.25">
      <c r="A1926" s="269"/>
      <c r="B1926" s="269"/>
      <c r="C1926" s="269"/>
      <c r="D1926" s="269"/>
      <c r="E1926" s="269"/>
      <c r="F1926" s="269"/>
      <c r="G1926" s="269"/>
      <c r="H1926" s="269"/>
      <c r="I1926" s="269"/>
      <c r="J1926" s="334"/>
      <c r="K1926" s="334"/>
      <c r="L1926" s="334"/>
      <c r="M1926" s="328"/>
      <c r="N1926" s="328"/>
      <c r="O1926" s="386"/>
      <c r="P1926" s="356"/>
      <c r="Q1926" s="380"/>
      <c r="S1926" s="336"/>
      <c r="T1926" s="62" ph="1"/>
      <c r="V1926" s="232"/>
      <c r="W1926" s="269"/>
      <c r="X1926" s="201"/>
      <c r="Y1926" s="269"/>
      <c r="Z1926" s="269"/>
      <c r="AA1926" s="269"/>
      <c r="AB1926" s="269"/>
      <c r="AC1926" s="269"/>
      <c r="AD1926" s="269"/>
      <c r="AE1926" s="269"/>
    </row>
    <row r="1927" spans="1:31" ht="26.25">
      <c r="A1927" s="269"/>
      <c r="B1927" s="269"/>
      <c r="C1927" s="269"/>
      <c r="D1927" s="269"/>
      <c r="E1927" s="269"/>
      <c r="F1927" s="269"/>
      <c r="G1927" s="269"/>
      <c r="H1927" s="269"/>
      <c r="I1927" s="269"/>
      <c r="J1927" s="334"/>
      <c r="K1927" s="334"/>
      <c r="L1927" s="334"/>
      <c r="M1927" s="328"/>
      <c r="N1927" s="328"/>
      <c r="O1927" s="386"/>
      <c r="P1927" s="356"/>
      <c r="Q1927" s="380"/>
      <c r="S1927" s="336"/>
      <c r="T1927" s="62" ph="1"/>
      <c r="V1927" s="232"/>
      <c r="W1927" s="269"/>
      <c r="X1927" s="201"/>
      <c r="Y1927" s="269"/>
      <c r="Z1927" s="269"/>
      <c r="AA1927" s="269"/>
      <c r="AB1927" s="269"/>
      <c r="AC1927" s="269"/>
      <c r="AD1927" s="269"/>
      <c r="AE1927" s="269"/>
    </row>
    <row r="1928" spans="1:31" ht="26.25">
      <c r="A1928" s="269"/>
      <c r="B1928" s="269"/>
      <c r="C1928" s="269"/>
      <c r="D1928" s="269"/>
      <c r="E1928" s="269"/>
      <c r="F1928" s="269"/>
      <c r="G1928" s="269"/>
      <c r="H1928" s="269"/>
      <c r="I1928" s="269"/>
      <c r="J1928" s="334"/>
      <c r="K1928" s="334"/>
      <c r="L1928" s="334"/>
      <c r="M1928" s="328"/>
      <c r="N1928" s="328"/>
      <c r="O1928" s="386"/>
      <c r="P1928" s="356"/>
      <c r="Q1928" s="380"/>
      <c r="S1928" s="336"/>
      <c r="T1928" s="62" ph="1"/>
      <c r="V1928" s="232"/>
      <c r="W1928" s="269"/>
      <c r="X1928" s="201"/>
      <c r="Y1928" s="269"/>
      <c r="Z1928" s="269"/>
      <c r="AA1928" s="269"/>
      <c r="AB1928" s="269"/>
      <c r="AC1928" s="269"/>
      <c r="AD1928" s="269"/>
      <c r="AE1928" s="269"/>
    </row>
    <row r="1929" spans="1:31" ht="26.25">
      <c r="A1929" s="269"/>
      <c r="B1929" s="269"/>
      <c r="C1929" s="269"/>
      <c r="D1929" s="269"/>
      <c r="E1929" s="269"/>
      <c r="F1929" s="269"/>
      <c r="G1929" s="269"/>
      <c r="H1929" s="269"/>
      <c r="I1929" s="269"/>
      <c r="J1929" s="334"/>
      <c r="K1929" s="334"/>
      <c r="L1929" s="334"/>
      <c r="M1929" s="328"/>
      <c r="N1929" s="328"/>
      <c r="O1929" s="386"/>
      <c r="P1929" s="356"/>
      <c r="Q1929" s="380"/>
      <c r="S1929" s="336"/>
      <c r="T1929" s="62" ph="1"/>
      <c r="V1929" s="232"/>
      <c r="W1929" s="269"/>
      <c r="X1929" s="201"/>
      <c r="Y1929" s="269"/>
      <c r="Z1929" s="269"/>
      <c r="AA1929" s="269"/>
      <c r="AB1929" s="269"/>
      <c r="AC1929" s="269"/>
      <c r="AD1929" s="269"/>
      <c r="AE1929" s="269"/>
    </row>
    <row r="1930" spans="1:31" ht="26.25">
      <c r="A1930" s="269"/>
      <c r="B1930" s="269"/>
      <c r="C1930" s="269"/>
      <c r="D1930" s="269"/>
      <c r="E1930" s="269"/>
      <c r="F1930" s="269"/>
      <c r="G1930" s="269"/>
      <c r="H1930" s="269"/>
      <c r="I1930" s="269"/>
      <c r="J1930" s="334"/>
      <c r="K1930" s="334"/>
      <c r="L1930" s="334"/>
      <c r="M1930" s="328"/>
      <c r="N1930" s="328"/>
      <c r="O1930" s="386"/>
      <c r="P1930" s="356"/>
      <c r="Q1930" s="380"/>
      <c r="S1930" s="336"/>
      <c r="T1930" s="62" ph="1"/>
      <c r="V1930" s="232"/>
      <c r="W1930" s="269"/>
      <c r="X1930" s="201"/>
      <c r="Y1930" s="269"/>
      <c r="Z1930" s="269"/>
      <c r="AA1930" s="269"/>
      <c r="AB1930" s="269"/>
      <c r="AC1930" s="269"/>
      <c r="AD1930" s="269"/>
      <c r="AE1930" s="269"/>
    </row>
    <row r="1931" spans="1:31" ht="26.25">
      <c r="A1931" s="269"/>
      <c r="B1931" s="269"/>
      <c r="C1931" s="269"/>
      <c r="D1931" s="269"/>
      <c r="E1931" s="269"/>
      <c r="F1931" s="269"/>
      <c r="G1931" s="269"/>
      <c r="H1931" s="269"/>
      <c r="I1931" s="269"/>
      <c r="J1931" s="334"/>
      <c r="K1931" s="334"/>
      <c r="L1931" s="334"/>
      <c r="M1931" s="328"/>
      <c r="N1931" s="328"/>
      <c r="O1931" s="386"/>
      <c r="P1931" s="356"/>
      <c r="Q1931" s="380"/>
      <c r="S1931" s="336"/>
      <c r="T1931" s="62" ph="1"/>
      <c r="V1931" s="232"/>
      <c r="W1931" s="269"/>
      <c r="X1931" s="201"/>
      <c r="Y1931" s="269"/>
      <c r="Z1931" s="269"/>
      <c r="AA1931" s="269"/>
      <c r="AB1931" s="269"/>
      <c r="AC1931" s="269"/>
      <c r="AD1931" s="269"/>
      <c r="AE1931" s="269"/>
    </row>
    <row r="1932" spans="1:31" ht="26.25">
      <c r="A1932" s="269"/>
      <c r="B1932" s="269"/>
      <c r="C1932" s="269"/>
      <c r="D1932" s="269"/>
      <c r="E1932" s="269"/>
      <c r="F1932" s="269"/>
      <c r="G1932" s="269"/>
      <c r="H1932" s="269"/>
      <c r="I1932" s="269"/>
      <c r="J1932" s="334"/>
      <c r="K1932" s="334"/>
      <c r="L1932" s="334"/>
      <c r="M1932" s="328"/>
      <c r="N1932" s="328"/>
      <c r="O1932" s="386"/>
      <c r="P1932" s="356"/>
      <c r="Q1932" s="380"/>
      <c r="S1932" s="336"/>
      <c r="T1932" s="62" ph="1"/>
      <c r="V1932" s="232"/>
      <c r="W1932" s="269"/>
      <c r="X1932" s="201"/>
      <c r="Y1932" s="269"/>
      <c r="Z1932" s="269"/>
      <c r="AA1932" s="269"/>
      <c r="AB1932" s="269"/>
      <c r="AC1932" s="269"/>
      <c r="AD1932" s="269"/>
      <c r="AE1932" s="269"/>
    </row>
    <row r="1933" spans="1:31" ht="26.25">
      <c r="A1933" s="269"/>
      <c r="B1933" s="269"/>
      <c r="C1933" s="269"/>
      <c r="D1933" s="269"/>
      <c r="E1933" s="269"/>
      <c r="F1933" s="269"/>
      <c r="G1933" s="269"/>
      <c r="H1933" s="269"/>
      <c r="I1933" s="269"/>
      <c r="J1933" s="334"/>
      <c r="K1933" s="334"/>
      <c r="L1933" s="334"/>
      <c r="M1933" s="328"/>
      <c r="N1933" s="328"/>
      <c r="O1933" s="386"/>
      <c r="P1933" s="356"/>
      <c r="Q1933" s="380"/>
      <c r="S1933" s="336"/>
      <c r="T1933" s="62" ph="1"/>
      <c r="V1933" s="232"/>
      <c r="W1933" s="269"/>
      <c r="X1933" s="201"/>
      <c r="Y1933" s="269"/>
      <c r="Z1933" s="269"/>
      <c r="AA1933" s="269"/>
      <c r="AB1933" s="269"/>
      <c r="AC1933" s="269"/>
      <c r="AD1933" s="269"/>
      <c r="AE1933" s="269"/>
    </row>
    <row r="1934" spans="1:31" ht="26.25">
      <c r="A1934" s="269"/>
      <c r="B1934" s="269"/>
      <c r="C1934" s="269"/>
      <c r="D1934" s="269"/>
      <c r="E1934" s="269"/>
      <c r="F1934" s="269"/>
      <c r="G1934" s="269"/>
      <c r="H1934" s="269"/>
      <c r="I1934" s="269"/>
      <c r="J1934" s="334"/>
      <c r="K1934" s="334"/>
      <c r="L1934" s="334"/>
      <c r="M1934" s="328"/>
      <c r="N1934" s="328"/>
      <c r="O1934" s="386"/>
      <c r="P1934" s="356"/>
      <c r="Q1934" s="380"/>
      <c r="S1934" s="336"/>
      <c r="T1934" s="62" ph="1"/>
      <c r="V1934" s="232"/>
      <c r="W1934" s="269"/>
      <c r="X1934" s="201"/>
      <c r="Y1934" s="269"/>
      <c r="Z1934" s="269"/>
      <c r="AA1934" s="269"/>
      <c r="AB1934" s="269"/>
      <c r="AC1934" s="269"/>
      <c r="AD1934" s="269"/>
      <c r="AE1934" s="269"/>
    </row>
    <row r="1935" spans="1:31" ht="26.25">
      <c r="A1935" s="269"/>
      <c r="B1935" s="269"/>
      <c r="C1935" s="269"/>
      <c r="D1935" s="269"/>
      <c r="E1935" s="269"/>
      <c r="F1935" s="269"/>
      <c r="G1935" s="269"/>
      <c r="H1935" s="269"/>
      <c r="I1935" s="269"/>
      <c r="J1935" s="334"/>
      <c r="K1935" s="334"/>
      <c r="L1935" s="334"/>
      <c r="M1935" s="328"/>
      <c r="N1935" s="328"/>
      <c r="O1935" s="386"/>
      <c r="P1935" s="356"/>
      <c r="Q1935" s="380"/>
      <c r="S1935" s="336"/>
      <c r="T1935" s="62" ph="1"/>
      <c r="V1935" s="232"/>
      <c r="W1935" s="269"/>
      <c r="X1935" s="201"/>
      <c r="Y1935" s="269"/>
      <c r="Z1935" s="269"/>
      <c r="AA1935" s="269"/>
      <c r="AB1935" s="269"/>
      <c r="AC1935" s="269"/>
      <c r="AD1935" s="269"/>
      <c r="AE1935" s="269"/>
    </row>
    <row r="1936" spans="1:31" ht="26.25">
      <c r="A1936" s="269"/>
      <c r="B1936" s="269"/>
      <c r="C1936" s="269"/>
      <c r="D1936" s="269"/>
      <c r="E1936" s="269"/>
      <c r="F1936" s="269"/>
      <c r="G1936" s="269"/>
      <c r="H1936" s="269"/>
      <c r="I1936" s="269"/>
      <c r="J1936" s="334"/>
      <c r="K1936" s="334"/>
      <c r="L1936" s="334"/>
      <c r="M1936" s="328"/>
      <c r="N1936" s="328"/>
      <c r="O1936" s="386"/>
      <c r="P1936" s="356"/>
      <c r="Q1936" s="380"/>
      <c r="S1936" s="336"/>
      <c r="T1936" s="62" ph="1"/>
      <c r="V1936" s="232"/>
      <c r="W1936" s="269"/>
      <c r="X1936" s="201"/>
      <c r="Y1936" s="269"/>
      <c r="Z1936" s="269"/>
      <c r="AA1936" s="269"/>
      <c r="AB1936" s="269"/>
      <c r="AC1936" s="269"/>
      <c r="AD1936" s="269"/>
      <c r="AE1936" s="269"/>
    </row>
    <row r="1937" spans="1:31" ht="26.25">
      <c r="A1937" s="269"/>
      <c r="B1937" s="269"/>
      <c r="C1937" s="269"/>
      <c r="D1937" s="269"/>
      <c r="E1937" s="269"/>
      <c r="F1937" s="269"/>
      <c r="G1937" s="269"/>
      <c r="H1937" s="269"/>
      <c r="I1937" s="269"/>
      <c r="J1937" s="334"/>
      <c r="K1937" s="334"/>
      <c r="L1937" s="334"/>
      <c r="M1937" s="328"/>
      <c r="N1937" s="328"/>
      <c r="O1937" s="386"/>
      <c r="P1937" s="356"/>
      <c r="Q1937" s="380"/>
      <c r="S1937" s="336"/>
      <c r="T1937" s="62" ph="1"/>
      <c r="V1937" s="232"/>
      <c r="W1937" s="269"/>
      <c r="X1937" s="201"/>
      <c r="Y1937" s="269"/>
      <c r="Z1937" s="269"/>
      <c r="AA1937" s="269"/>
      <c r="AB1937" s="269"/>
      <c r="AC1937" s="269"/>
      <c r="AD1937" s="269"/>
      <c r="AE1937" s="269"/>
    </row>
    <row r="1938" spans="1:31" ht="26.25">
      <c r="A1938" s="269"/>
      <c r="B1938" s="269"/>
      <c r="C1938" s="269"/>
      <c r="D1938" s="269"/>
      <c r="E1938" s="269"/>
      <c r="F1938" s="269"/>
      <c r="G1938" s="269"/>
      <c r="H1938" s="269"/>
      <c r="I1938" s="269"/>
      <c r="J1938" s="334"/>
      <c r="K1938" s="334"/>
      <c r="L1938" s="334"/>
      <c r="M1938" s="328"/>
      <c r="N1938" s="328"/>
      <c r="O1938" s="386"/>
      <c r="P1938" s="356"/>
      <c r="Q1938" s="380"/>
      <c r="S1938" s="336"/>
      <c r="T1938" s="62" ph="1"/>
      <c r="V1938" s="232"/>
      <c r="W1938" s="269"/>
      <c r="X1938" s="201"/>
      <c r="Y1938" s="269"/>
      <c r="Z1938" s="269"/>
      <c r="AA1938" s="269"/>
      <c r="AB1938" s="269"/>
      <c r="AC1938" s="269"/>
      <c r="AD1938" s="269"/>
      <c r="AE1938" s="269"/>
    </row>
    <row r="1939" spans="1:31" ht="26.25">
      <c r="A1939" s="269"/>
      <c r="B1939" s="269"/>
      <c r="C1939" s="269"/>
      <c r="D1939" s="269"/>
      <c r="E1939" s="269"/>
      <c r="F1939" s="269"/>
      <c r="G1939" s="269"/>
      <c r="H1939" s="269"/>
      <c r="I1939" s="269"/>
      <c r="J1939" s="334"/>
      <c r="K1939" s="334"/>
      <c r="L1939" s="334"/>
      <c r="M1939" s="328"/>
      <c r="N1939" s="328"/>
      <c r="O1939" s="386"/>
      <c r="P1939" s="356"/>
      <c r="Q1939" s="380"/>
      <c r="S1939" s="336"/>
      <c r="T1939" s="62" ph="1"/>
      <c r="V1939" s="232"/>
      <c r="W1939" s="269"/>
      <c r="X1939" s="201"/>
      <c r="Y1939" s="269"/>
      <c r="Z1939" s="269"/>
      <c r="AA1939" s="269"/>
      <c r="AB1939" s="269"/>
      <c r="AC1939" s="269"/>
      <c r="AD1939" s="269"/>
      <c r="AE1939" s="269"/>
    </row>
    <row r="1940" spans="1:31" ht="26.25">
      <c r="A1940" s="269"/>
      <c r="B1940" s="269"/>
      <c r="C1940" s="269"/>
      <c r="D1940" s="269"/>
      <c r="E1940" s="269"/>
      <c r="F1940" s="269"/>
      <c r="G1940" s="269"/>
      <c r="H1940" s="269"/>
      <c r="I1940" s="269"/>
      <c r="J1940" s="334"/>
      <c r="K1940" s="334"/>
      <c r="L1940" s="334"/>
      <c r="M1940" s="328"/>
      <c r="N1940" s="328"/>
      <c r="O1940" s="386"/>
      <c r="P1940" s="356"/>
      <c r="Q1940" s="380"/>
      <c r="S1940" s="336"/>
      <c r="T1940" s="62" ph="1"/>
      <c r="V1940" s="232"/>
      <c r="W1940" s="269"/>
      <c r="X1940" s="201"/>
      <c r="Y1940" s="269"/>
      <c r="Z1940" s="269"/>
      <c r="AA1940" s="269"/>
      <c r="AB1940" s="269"/>
      <c r="AC1940" s="269"/>
      <c r="AD1940" s="269"/>
      <c r="AE1940" s="269"/>
    </row>
    <row r="1941" spans="1:31" ht="26.25">
      <c r="A1941" s="269"/>
      <c r="B1941" s="269"/>
      <c r="C1941" s="269"/>
      <c r="D1941" s="269"/>
      <c r="E1941" s="269"/>
      <c r="F1941" s="269"/>
      <c r="G1941" s="269"/>
      <c r="H1941" s="269"/>
      <c r="I1941" s="269"/>
      <c r="J1941" s="334"/>
      <c r="K1941" s="334"/>
      <c r="L1941" s="334"/>
      <c r="M1941" s="328"/>
      <c r="N1941" s="328"/>
      <c r="O1941" s="386"/>
      <c r="P1941" s="356"/>
      <c r="Q1941" s="380"/>
      <c r="S1941" s="336"/>
      <c r="T1941" s="62" ph="1"/>
      <c r="V1941" s="232"/>
      <c r="W1941" s="269"/>
      <c r="X1941" s="201"/>
      <c r="Y1941" s="269"/>
      <c r="Z1941" s="269"/>
      <c r="AA1941" s="269"/>
      <c r="AB1941" s="269"/>
      <c r="AC1941" s="269"/>
      <c r="AD1941" s="269"/>
      <c r="AE1941" s="269"/>
    </row>
    <row r="1942" spans="1:31" ht="26.25">
      <c r="A1942" s="269"/>
      <c r="B1942" s="269"/>
      <c r="C1942" s="269"/>
      <c r="D1942" s="269"/>
      <c r="E1942" s="269"/>
      <c r="F1942" s="269"/>
      <c r="G1942" s="269"/>
      <c r="H1942" s="269"/>
      <c r="I1942" s="269"/>
      <c r="J1942" s="334"/>
      <c r="K1942" s="334"/>
      <c r="L1942" s="334"/>
      <c r="M1942" s="328"/>
      <c r="N1942" s="328"/>
      <c r="O1942" s="386"/>
      <c r="P1942" s="356"/>
      <c r="Q1942" s="380"/>
      <c r="S1942" s="336"/>
      <c r="T1942" s="62" ph="1"/>
      <c r="V1942" s="232"/>
      <c r="W1942" s="269"/>
      <c r="X1942" s="201"/>
      <c r="Y1942" s="269"/>
      <c r="Z1942" s="269"/>
      <c r="AA1942" s="269"/>
      <c r="AB1942" s="269"/>
      <c r="AC1942" s="269"/>
      <c r="AD1942" s="269"/>
      <c r="AE1942" s="269"/>
    </row>
    <row r="1943" spans="1:31" ht="26.25">
      <c r="A1943" s="269"/>
      <c r="B1943" s="269"/>
      <c r="C1943" s="269"/>
      <c r="D1943" s="269"/>
      <c r="E1943" s="269"/>
      <c r="F1943" s="269"/>
      <c r="G1943" s="269"/>
      <c r="H1943" s="269"/>
      <c r="I1943" s="269"/>
      <c r="J1943" s="334"/>
      <c r="K1943" s="334"/>
      <c r="L1943" s="334"/>
      <c r="M1943" s="328"/>
      <c r="N1943" s="328"/>
      <c r="O1943" s="386"/>
      <c r="P1943" s="356"/>
      <c r="Q1943" s="380"/>
      <c r="S1943" s="336"/>
      <c r="T1943" s="62" ph="1"/>
      <c r="V1943" s="232"/>
      <c r="W1943" s="269"/>
      <c r="X1943" s="201"/>
      <c r="Y1943" s="269"/>
      <c r="Z1943" s="269"/>
      <c r="AA1943" s="269"/>
      <c r="AB1943" s="269"/>
      <c r="AC1943" s="269"/>
      <c r="AD1943" s="269"/>
      <c r="AE1943" s="269"/>
    </row>
    <row r="1944" spans="1:31" ht="26.25">
      <c r="A1944" s="269"/>
      <c r="B1944" s="269"/>
      <c r="C1944" s="269"/>
      <c r="D1944" s="269"/>
      <c r="E1944" s="269"/>
      <c r="F1944" s="269"/>
      <c r="G1944" s="269"/>
      <c r="H1944" s="269"/>
      <c r="I1944" s="269"/>
      <c r="J1944" s="334"/>
      <c r="K1944" s="334"/>
      <c r="L1944" s="334"/>
      <c r="M1944" s="328"/>
      <c r="N1944" s="328"/>
      <c r="O1944" s="386"/>
      <c r="P1944" s="356"/>
      <c r="Q1944" s="380"/>
      <c r="S1944" s="336"/>
      <c r="T1944" s="62" ph="1"/>
      <c r="V1944" s="232"/>
      <c r="W1944" s="269"/>
      <c r="X1944" s="201"/>
      <c r="Y1944" s="269"/>
      <c r="Z1944" s="269"/>
      <c r="AA1944" s="269"/>
      <c r="AB1944" s="269"/>
      <c r="AC1944" s="269"/>
      <c r="AD1944" s="269"/>
      <c r="AE1944" s="269"/>
    </row>
    <row r="1945" spans="1:31" ht="26.25">
      <c r="A1945" s="269"/>
      <c r="B1945" s="269"/>
      <c r="C1945" s="269"/>
      <c r="D1945" s="269"/>
      <c r="E1945" s="269"/>
      <c r="F1945" s="269"/>
      <c r="G1945" s="269"/>
      <c r="H1945" s="269"/>
      <c r="I1945" s="269"/>
      <c r="J1945" s="334"/>
      <c r="K1945" s="334"/>
      <c r="L1945" s="334"/>
      <c r="M1945" s="328"/>
      <c r="N1945" s="328"/>
      <c r="O1945" s="386"/>
      <c r="P1945" s="356"/>
      <c r="Q1945" s="380"/>
      <c r="S1945" s="336"/>
      <c r="T1945" s="62" ph="1"/>
      <c r="V1945" s="232"/>
      <c r="W1945" s="269"/>
      <c r="X1945" s="201"/>
      <c r="Y1945" s="269"/>
      <c r="Z1945" s="269"/>
      <c r="AA1945" s="269"/>
      <c r="AB1945" s="269"/>
      <c r="AC1945" s="269"/>
      <c r="AD1945" s="269"/>
      <c r="AE1945" s="269"/>
    </row>
    <row r="1946" spans="1:31" ht="26.25">
      <c r="A1946" s="269"/>
      <c r="B1946" s="269"/>
      <c r="C1946" s="269"/>
      <c r="D1946" s="269"/>
      <c r="E1946" s="269"/>
      <c r="F1946" s="269"/>
      <c r="G1946" s="269"/>
      <c r="H1946" s="269"/>
      <c r="I1946" s="269"/>
      <c r="J1946" s="334"/>
      <c r="K1946" s="334"/>
      <c r="L1946" s="334"/>
      <c r="M1946" s="328"/>
      <c r="N1946" s="328"/>
      <c r="O1946" s="386"/>
      <c r="P1946" s="356"/>
      <c r="Q1946" s="380"/>
      <c r="S1946" s="336"/>
      <c r="T1946" s="62" ph="1"/>
      <c r="V1946" s="232"/>
      <c r="W1946" s="269"/>
      <c r="X1946" s="201"/>
      <c r="Y1946" s="269"/>
      <c r="Z1946" s="269"/>
      <c r="AA1946" s="269"/>
      <c r="AB1946" s="269"/>
      <c r="AC1946" s="269"/>
      <c r="AD1946" s="269"/>
      <c r="AE1946" s="269"/>
    </row>
    <row r="1947" spans="1:31" ht="26.25">
      <c r="A1947" s="269"/>
      <c r="B1947" s="269"/>
      <c r="C1947" s="269"/>
      <c r="D1947" s="269"/>
      <c r="E1947" s="269"/>
      <c r="F1947" s="269"/>
      <c r="G1947" s="269"/>
      <c r="H1947" s="269"/>
      <c r="I1947" s="269"/>
      <c r="J1947" s="334"/>
      <c r="K1947" s="334"/>
      <c r="L1947" s="334"/>
      <c r="M1947" s="328"/>
      <c r="N1947" s="328"/>
      <c r="O1947" s="386"/>
      <c r="P1947" s="356"/>
      <c r="Q1947" s="380"/>
      <c r="S1947" s="336"/>
      <c r="T1947" s="62" ph="1"/>
      <c r="V1947" s="232"/>
      <c r="W1947" s="269"/>
      <c r="X1947" s="201"/>
      <c r="Y1947" s="269"/>
      <c r="Z1947" s="269"/>
      <c r="AA1947" s="269"/>
      <c r="AB1947" s="269"/>
      <c r="AC1947" s="269"/>
      <c r="AD1947" s="269"/>
      <c r="AE1947" s="269"/>
    </row>
    <row r="1948" spans="1:31" ht="26.25">
      <c r="A1948" s="269"/>
      <c r="B1948" s="269"/>
      <c r="C1948" s="269"/>
      <c r="D1948" s="269"/>
      <c r="E1948" s="269"/>
      <c r="F1948" s="269"/>
      <c r="G1948" s="269"/>
      <c r="H1948" s="269"/>
      <c r="I1948" s="269"/>
      <c r="J1948" s="334"/>
      <c r="K1948" s="334"/>
      <c r="L1948" s="334"/>
      <c r="M1948" s="328"/>
      <c r="N1948" s="328"/>
      <c r="O1948" s="386"/>
      <c r="P1948" s="356"/>
      <c r="Q1948" s="380"/>
      <c r="S1948" s="336"/>
      <c r="T1948" s="62" ph="1"/>
      <c r="V1948" s="232"/>
      <c r="W1948" s="269"/>
      <c r="X1948" s="201"/>
      <c r="Y1948" s="269"/>
      <c r="Z1948" s="269"/>
      <c r="AA1948" s="269"/>
      <c r="AB1948" s="269"/>
      <c r="AC1948" s="269"/>
      <c r="AD1948" s="269"/>
      <c r="AE1948" s="269"/>
    </row>
    <row r="1949" spans="1:31" ht="26.25">
      <c r="A1949" s="269"/>
      <c r="B1949" s="269"/>
      <c r="C1949" s="269"/>
      <c r="D1949" s="269"/>
      <c r="E1949" s="269"/>
      <c r="F1949" s="269"/>
      <c r="G1949" s="269"/>
      <c r="H1949" s="269"/>
      <c r="I1949" s="269"/>
      <c r="J1949" s="334"/>
      <c r="K1949" s="334"/>
      <c r="L1949" s="334"/>
      <c r="M1949" s="328"/>
      <c r="N1949" s="328"/>
      <c r="O1949" s="386"/>
      <c r="P1949" s="356"/>
      <c r="Q1949" s="380"/>
      <c r="S1949" s="336"/>
      <c r="T1949" s="62" ph="1"/>
      <c r="V1949" s="232"/>
      <c r="W1949" s="269"/>
      <c r="X1949" s="201"/>
      <c r="Y1949" s="269"/>
      <c r="Z1949" s="269"/>
      <c r="AA1949" s="269"/>
      <c r="AB1949" s="269"/>
      <c r="AC1949" s="269"/>
      <c r="AD1949" s="269"/>
      <c r="AE1949" s="269"/>
    </row>
    <row r="1950" spans="1:31" ht="26.25">
      <c r="A1950" s="269"/>
      <c r="B1950" s="269"/>
      <c r="C1950" s="269"/>
      <c r="D1950" s="269"/>
      <c r="E1950" s="269"/>
      <c r="F1950" s="269"/>
      <c r="G1950" s="269"/>
      <c r="H1950" s="269"/>
      <c r="I1950" s="269"/>
      <c r="J1950" s="334"/>
      <c r="K1950" s="334"/>
      <c r="L1950" s="334"/>
      <c r="M1950" s="328"/>
      <c r="N1950" s="328"/>
      <c r="O1950" s="386"/>
      <c r="P1950" s="356"/>
      <c r="Q1950" s="380"/>
      <c r="S1950" s="336"/>
      <c r="T1950" s="62" ph="1"/>
      <c r="V1950" s="232"/>
      <c r="W1950" s="269"/>
      <c r="X1950" s="201"/>
      <c r="Y1950" s="269"/>
      <c r="Z1950" s="269"/>
      <c r="AA1950" s="269"/>
      <c r="AB1950" s="269"/>
      <c r="AC1950" s="269"/>
      <c r="AD1950" s="269"/>
      <c r="AE1950" s="269"/>
    </row>
    <row r="1951" spans="1:31" ht="26.25">
      <c r="A1951" s="269"/>
      <c r="B1951" s="269"/>
      <c r="C1951" s="269"/>
      <c r="D1951" s="269"/>
      <c r="E1951" s="269"/>
      <c r="F1951" s="269"/>
      <c r="G1951" s="269"/>
      <c r="H1951" s="269"/>
      <c r="I1951" s="269"/>
      <c r="J1951" s="334"/>
      <c r="K1951" s="334"/>
      <c r="L1951" s="334"/>
      <c r="M1951" s="328"/>
      <c r="N1951" s="328"/>
      <c r="O1951" s="386"/>
      <c r="P1951" s="356"/>
      <c r="Q1951" s="380"/>
      <c r="S1951" s="336"/>
      <c r="T1951" s="62" ph="1"/>
      <c r="V1951" s="232"/>
      <c r="W1951" s="269"/>
      <c r="X1951" s="201"/>
      <c r="Y1951" s="269"/>
      <c r="Z1951" s="269"/>
      <c r="AA1951" s="269"/>
      <c r="AB1951" s="269"/>
      <c r="AC1951" s="269"/>
      <c r="AD1951" s="269"/>
      <c r="AE1951" s="269"/>
    </row>
    <row r="1952" spans="1:31" ht="26.25">
      <c r="A1952" s="269"/>
      <c r="B1952" s="269"/>
      <c r="C1952" s="269"/>
      <c r="D1952" s="269"/>
      <c r="E1952" s="269"/>
      <c r="F1952" s="269"/>
      <c r="G1952" s="269"/>
      <c r="H1952" s="269"/>
      <c r="I1952" s="269"/>
      <c r="J1952" s="334"/>
      <c r="K1952" s="334"/>
      <c r="L1952" s="334"/>
      <c r="M1952" s="328"/>
      <c r="N1952" s="328"/>
      <c r="O1952" s="386"/>
      <c r="P1952" s="356"/>
      <c r="Q1952" s="380"/>
      <c r="S1952" s="336"/>
      <c r="T1952" s="62" ph="1"/>
      <c r="V1952" s="232"/>
      <c r="W1952" s="269"/>
      <c r="X1952" s="201"/>
      <c r="Y1952" s="269"/>
      <c r="Z1952" s="269"/>
      <c r="AA1952" s="269"/>
      <c r="AB1952" s="269"/>
      <c r="AC1952" s="269"/>
      <c r="AD1952" s="269"/>
      <c r="AE1952" s="269"/>
    </row>
    <row r="1953" spans="1:31" ht="26.25">
      <c r="A1953" s="269"/>
      <c r="B1953" s="269"/>
      <c r="C1953" s="269"/>
      <c r="D1953" s="269"/>
      <c r="E1953" s="269"/>
      <c r="F1953" s="269"/>
      <c r="G1953" s="269"/>
      <c r="H1953" s="269"/>
      <c r="I1953" s="269"/>
      <c r="J1953" s="334"/>
      <c r="K1953" s="334"/>
      <c r="L1953" s="334"/>
      <c r="M1953" s="328"/>
      <c r="N1953" s="328"/>
      <c r="O1953" s="386"/>
      <c r="P1953" s="356"/>
      <c r="Q1953" s="380"/>
      <c r="S1953" s="336"/>
      <c r="T1953" s="62" ph="1"/>
      <c r="V1953" s="232"/>
      <c r="W1953" s="269"/>
      <c r="X1953" s="201"/>
      <c r="Y1953" s="269"/>
      <c r="Z1953" s="269"/>
      <c r="AA1953" s="269"/>
      <c r="AB1953" s="269"/>
      <c r="AC1953" s="269"/>
      <c r="AD1953" s="269"/>
      <c r="AE1953" s="269"/>
    </row>
    <row r="1954" spans="1:31" ht="26.25">
      <c r="A1954" s="269"/>
      <c r="B1954" s="269"/>
      <c r="C1954" s="269"/>
      <c r="D1954" s="269"/>
      <c r="E1954" s="269"/>
      <c r="F1954" s="269"/>
      <c r="G1954" s="269"/>
      <c r="H1954" s="269"/>
      <c r="I1954" s="269"/>
      <c r="J1954" s="334"/>
      <c r="K1954" s="334"/>
      <c r="L1954" s="334"/>
      <c r="M1954" s="328"/>
      <c r="N1954" s="328"/>
      <c r="O1954" s="386"/>
      <c r="P1954" s="356"/>
      <c r="Q1954" s="380"/>
      <c r="S1954" s="336"/>
      <c r="T1954" s="62" ph="1"/>
      <c r="V1954" s="232"/>
      <c r="W1954" s="269"/>
      <c r="X1954" s="201"/>
      <c r="Y1954" s="269"/>
      <c r="Z1954" s="269"/>
      <c r="AA1954" s="269"/>
      <c r="AB1954" s="269"/>
      <c r="AC1954" s="269"/>
      <c r="AD1954" s="269"/>
      <c r="AE1954" s="269"/>
    </row>
    <row r="1955" spans="1:31" ht="26.25">
      <c r="A1955" s="269"/>
      <c r="B1955" s="269"/>
      <c r="C1955" s="269"/>
      <c r="D1955" s="269"/>
      <c r="E1955" s="269"/>
      <c r="F1955" s="269"/>
      <c r="G1955" s="269"/>
      <c r="H1955" s="269"/>
      <c r="I1955" s="269"/>
      <c r="J1955" s="334"/>
      <c r="K1955" s="334"/>
      <c r="L1955" s="334"/>
      <c r="M1955" s="328"/>
      <c r="N1955" s="328"/>
      <c r="O1955" s="386"/>
      <c r="P1955" s="356"/>
      <c r="Q1955" s="380"/>
      <c r="S1955" s="336"/>
      <c r="T1955" s="62" ph="1"/>
      <c r="V1955" s="232"/>
      <c r="W1955" s="269"/>
      <c r="X1955" s="201"/>
      <c r="Y1955" s="269"/>
      <c r="Z1955" s="269"/>
      <c r="AA1955" s="269"/>
      <c r="AB1955" s="269"/>
      <c r="AC1955" s="269"/>
      <c r="AD1955" s="269"/>
      <c r="AE1955" s="269"/>
    </row>
    <row r="1956" spans="1:31" ht="26.25">
      <c r="A1956" s="269"/>
      <c r="B1956" s="269"/>
      <c r="C1956" s="269"/>
      <c r="D1956" s="269"/>
      <c r="E1956" s="269"/>
      <c r="F1956" s="269"/>
      <c r="G1956" s="269"/>
      <c r="H1956" s="269"/>
      <c r="I1956" s="269"/>
      <c r="J1956" s="334"/>
      <c r="K1956" s="334"/>
      <c r="L1956" s="334"/>
      <c r="M1956" s="328"/>
      <c r="N1956" s="328"/>
      <c r="O1956" s="386"/>
      <c r="P1956" s="356"/>
      <c r="Q1956" s="380"/>
      <c r="S1956" s="336"/>
      <c r="T1956" s="62" ph="1"/>
      <c r="V1956" s="232"/>
      <c r="W1956" s="269"/>
      <c r="X1956" s="201"/>
      <c r="Y1956" s="269"/>
      <c r="Z1956" s="269"/>
      <c r="AA1956" s="269"/>
      <c r="AB1956" s="269"/>
      <c r="AC1956" s="269"/>
      <c r="AD1956" s="269"/>
      <c r="AE1956" s="269"/>
    </row>
    <row r="1957" spans="1:31" ht="26.25">
      <c r="A1957" s="269"/>
      <c r="B1957" s="269"/>
      <c r="C1957" s="269"/>
      <c r="D1957" s="269"/>
      <c r="E1957" s="269"/>
      <c r="F1957" s="269"/>
      <c r="G1957" s="269"/>
      <c r="H1957" s="269"/>
      <c r="I1957" s="269"/>
      <c r="J1957" s="334"/>
      <c r="K1957" s="334"/>
      <c r="L1957" s="334"/>
      <c r="M1957" s="328"/>
      <c r="N1957" s="328"/>
      <c r="O1957" s="386"/>
      <c r="P1957" s="356"/>
      <c r="Q1957" s="380"/>
      <c r="S1957" s="336"/>
      <c r="T1957" s="62" ph="1"/>
      <c r="V1957" s="232"/>
      <c r="W1957" s="269"/>
      <c r="X1957" s="201"/>
      <c r="Y1957" s="269"/>
      <c r="Z1957" s="269"/>
      <c r="AA1957" s="269"/>
      <c r="AB1957" s="269"/>
      <c r="AC1957" s="269"/>
      <c r="AD1957" s="269"/>
      <c r="AE1957" s="269"/>
    </row>
    <row r="1958" spans="1:31" ht="26.25">
      <c r="A1958" s="269"/>
      <c r="B1958" s="269"/>
      <c r="C1958" s="269"/>
      <c r="D1958" s="269"/>
      <c r="E1958" s="269"/>
      <c r="F1958" s="269"/>
      <c r="G1958" s="269"/>
      <c r="H1958" s="269"/>
      <c r="I1958" s="269"/>
      <c r="J1958" s="334"/>
      <c r="K1958" s="334"/>
      <c r="L1958" s="334"/>
      <c r="M1958" s="328"/>
      <c r="N1958" s="328"/>
      <c r="O1958" s="386"/>
      <c r="P1958" s="356"/>
      <c r="Q1958" s="380"/>
      <c r="S1958" s="336"/>
      <c r="T1958" s="62" ph="1"/>
      <c r="V1958" s="232"/>
      <c r="W1958" s="269"/>
      <c r="X1958" s="201"/>
      <c r="Y1958" s="269"/>
      <c r="Z1958" s="269"/>
      <c r="AA1958" s="269"/>
      <c r="AB1958" s="269"/>
      <c r="AC1958" s="269"/>
      <c r="AD1958" s="269"/>
      <c r="AE1958" s="269"/>
    </row>
    <row r="1959" spans="1:31" ht="26.25">
      <c r="A1959" s="269"/>
      <c r="B1959" s="269"/>
      <c r="C1959" s="269"/>
      <c r="D1959" s="269"/>
      <c r="E1959" s="269"/>
      <c r="F1959" s="269"/>
      <c r="G1959" s="269"/>
      <c r="H1959" s="269"/>
      <c r="I1959" s="269"/>
      <c r="J1959" s="334"/>
      <c r="K1959" s="334"/>
      <c r="L1959" s="334"/>
      <c r="M1959" s="328"/>
      <c r="N1959" s="328"/>
      <c r="O1959" s="386"/>
      <c r="P1959" s="356"/>
      <c r="Q1959" s="380"/>
      <c r="S1959" s="336"/>
      <c r="T1959" s="62" ph="1"/>
      <c r="V1959" s="232"/>
      <c r="W1959" s="269"/>
      <c r="X1959" s="201"/>
      <c r="Y1959" s="269"/>
      <c r="Z1959" s="269"/>
      <c r="AA1959" s="269"/>
      <c r="AB1959" s="269"/>
      <c r="AC1959" s="269"/>
      <c r="AD1959" s="269"/>
      <c r="AE1959" s="269"/>
    </row>
    <row r="1960" spans="1:31" ht="26.25">
      <c r="A1960" s="269"/>
      <c r="B1960" s="269"/>
      <c r="C1960" s="269"/>
      <c r="D1960" s="269"/>
      <c r="E1960" s="269"/>
      <c r="F1960" s="269"/>
      <c r="G1960" s="269"/>
      <c r="H1960" s="269"/>
      <c r="I1960" s="269"/>
      <c r="J1960" s="334"/>
      <c r="K1960" s="334"/>
      <c r="L1960" s="334"/>
      <c r="M1960" s="328"/>
      <c r="N1960" s="328"/>
      <c r="O1960" s="386"/>
      <c r="P1960" s="356"/>
      <c r="Q1960" s="380"/>
      <c r="S1960" s="336"/>
      <c r="T1960" s="62" ph="1"/>
      <c r="V1960" s="232"/>
      <c r="W1960" s="269"/>
      <c r="X1960" s="201"/>
      <c r="Y1960" s="269"/>
      <c r="Z1960" s="269"/>
      <c r="AA1960" s="269"/>
      <c r="AB1960" s="269"/>
      <c r="AC1960" s="269"/>
      <c r="AD1960" s="269"/>
      <c r="AE1960" s="269"/>
    </row>
    <row r="1961" spans="1:31" ht="26.25">
      <c r="A1961" s="269"/>
      <c r="B1961" s="269"/>
      <c r="C1961" s="269"/>
      <c r="D1961" s="269"/>
      <c r="E1961" s="269"/>
      <c r="F1961" s="269"/>
      <c r="G1961" s="269"/>
      <c r="H1961" s="269"/>
      <c r="I1961" s="269"/>
      <c r="J1961" s="334"/>
      <c r="K1961" s="334"/>
      <c r="L1961" s="334"/>
      <c r="M1961" s="328"/>
      <c r="N1961" s="328"/>
      <c r="O1961" s="386"/>
      <c r="P1961" s="356"/>
      <c r="Q1961" s="380"/>
      <c r="S1961" s="336"/>
      <c r="T1961" s="62" ph="1"/>
      <c r="V1961" s="232"/>
      <c r="W1961" s="269"/>
      <c r="X1961" s="201"/>
      <c r="Y1961" s="269"/>
      <c r="Z1961" s="269"/>
      <c r="AA1961" s="269"/>
      <c r="AB1961" s="269"/>
      <c r="AC1961" s="269"/>
      <c r="AD1961" s="269"/>
      <c r="AE1961" s="269"/>
    </row>
    <row r="1962" spans="1:31" ht="26.25">
      <c r="A1962" s="269"/>
      <c r="B1962" s="269"/>
      <c r="C1962" s="269"/>
      <c r="D1962" s="269"/>
      <c r="E1962" s="269"/>
      <c r="F1962" s="269"/>
      <c r="G1962" s="269"/>
      <c r="H1962" s="269"/>
      <c r="I1962" s="269"/>
      <c r="J1962" s="334"/>
      <c r="K1962" s="334"/>
      <c r="L1962" s="334"/>
      <c r="M1962" s="328"/>
      <c r="N1962" s="328"/>
      <c r="O1962" s="386"/>
      <c r="P1962" s="356"/>
      <c r="Q1962" s="380"/>
      <c r="S1962" s="336"/>
      <c r="T1962" s="62" ph="1"/>
      <c r="V1962" s="232"/>
      <c r="W1962" s="269"/>
      <c r="X1962" s="201"/>
      <c r="Y1962" s="269"/>
      <c r="Z1962" s="269"/>
      <c r="AA1962" s="269"/>
      <c r="AB1962" s="269"/>
      <c r="AC1962" s="269"/>
      <c r="AD1962" s="269"/>
      <c r="AE1962" s="269"/>
    </row>
    <row r="1963" spans="1:31" ht="26.25">
      <c r="A1963" s="269"/>
      <c r="B1963" s="269"/>
      <c r="C1963" s="269"/>
      <c r="D1963" s="269"/>
      <c r="E1963" s="269"/>
      <c r="F1963" s="269"/>
      <c r="G1963" s="269"/>
      <c r="H1963" s="269"/>
      <c r="I1963" s="269"/>
      <c r="J1963" s="334"/>
      <c r="K1963" s="334"/>
      <c r="L1963" s="334"/>
      <c r="M1963" s="328"/>
      <c r="N1963" s="328"/>
      <c r="O1963" s="386"/>
      <c r="P1963" s="356"/>
      <c r="Q1963" s="380"/>
      <c r="S1963" s="336"/>
      <c r="T1963" s="62" ph="1"/>
      <c r="V1963" s="232"/>
      <c r="W1963" s="269"/>
      <c r="X1963" s="201"/>
      <c r="Y1963" s="269"/>
      <c r="Z1963" s="269"/>
      <c r="AA1963" s="269"/>
      <c r="AB1963" s="269"/>
      <c r="AC1963" s="269"/>
      <c r="AD1963" s="269"/>
      <c r="AE1963" s="269"/>
    </row>
    <row r="1964" spans="1:31" ht="26.25">
      <c r="A1964" s="269"/>
      <c r="B1964" s="269"/>
      <c r="C1964" s="269"/>
      <c r="D1964" s="269"/>
      <c r="E1964" s="269"/>
      <c r="F1964" s="269"/>
      <c r="G1964" s="269"/>
      <c r="H1964" s="269"/>
      <c r="I1964" s="269"/>
      <c r="J1964" s="334"/>
      <c r="K1964" s="334"/>
      <c r="L1964" s="334"/>
      <c r="M1964" s="328"/>
      <c r="N1964" s="328"/>
      <c r="O1964" s="386"/>
      <c r="P1964" s="356"/>
      <c r="Q1964" s="380"/>
      <c r="S1964" s="336"/>
      <c r="T1964" s="62" ph="1"/>
      <c r="V1964" s="232"/>
      <c r="W1964" s="269"/>
      <c r="X1964" s="201"/>
      <c r="Y1964" s="269"/>
      <c r="Z1964" s="269"/>
      <c r="AA1964" s="269"/>
      <c r="AB1964" s="269"/>
      <c r="AC1964" s="269"/>
      <c r="AD1964" s="269"/>
      <c r="AE1964" s="269"/>
    </row>
    <row r="1965" spans="1:31" ht="26.25">
      <c r="A1965" s="269"/>
      <c r="B1965" s="269"/>
      <c r="C1965" s="269"/>
      <c r="D1965" s="269"/>
      <c r="E1965" s="269"/>
      <c r="F1965" s="269"/>
      <c r="G1965" s="269"/>
      <c r="H1965" s="269"/>
      <c r="I1965" s="269"/>
      <c r="J1965" s="334"/>
      <c r="K1965" s="334"/>
      <c r="L1965" s="334"/>
      <c r="M1965" s="328"/>
      <c r="N1965" s="328"/>
      <c r="O1965" s="386"/>
      <c r="P1965" s="356"/>
      <c r="Q1965" s="380"/>
      <c r="S1965" s="336"/>
      <c r="T1965" s="62" ph="1"/>
      <c r="V1965" s="232"/>
      <c r="W1965" s="269"/>
      <c r="X1965" s="201"/>
      <c r="Y1965" s="269"/>
      <c r="Z1965" s="269"/>
      <c r="AA1965" s="269"/>
      <c r="AB1965" s="269"/>
      <c r="AC1965" s="269"/>
      <c r="AD1965" s="269"/>
      <c r="AE1965" s="269"/>
    </row>
    <row r="1966" spans="1:31" ht="26.25">
      <c r="A1966" s="269"/>
      <c r="B1966" s="269"/>
      <c r="C1966" s="269"/>
      <c r="D1966" s="269"/>
      <c r="E1966" s="269"/>
      <c r="F1966" s="269"/>
      <c r="G1966" s="269"/>
      <c r="H1966" s="269"/>
      <c r="I1966" s="269"/>
      <c r="J1966" s="334"/>
      <c r="K1966" s="334"/>
      <c r="L1966" s="334"/>
      <c r="M1966" s="328"/>
      <c r="N1966" s="328"/>
      <c r="O1966" s="386"/>
      <c r="P1966" s="356"/>
      <c r="Q1966" s="380"/>
      <c r="S1966" s="336"/>
      <c r="T1966" s="62" ph="1"/>
      <c r="V1966" s="232"/>
      <c r="W1966" s="269"/>
      <c r="X1966" s="201"/>
      <c r="Y1966" s="269"/>
      <c r="Z1966" s="269"/>
      <c r="AA1966" s="269"/>
      <c r="AB1966" s="269"/>
      <c r="AC1966" s="269"/>
      <c r="AD1966" s="269"/>
      <c r="AE1966" s="269"/>
    </row>
    <row r="1967" spans="1:31" ht="26.25">
      <c r="A1967" s="269"/>
      <c r="B1967" s="269"/>
      <c r="C1967" s="269"/>
      <c r="D1967" s="269"/>
      <c r="E1967" s="269"/>
      <c r="F1967" s="269"/>
      <c r="G1967" s="269"/>
      <c r="H1967" s="269"/>
      <c r="I1967" s="269"/>
      <c r="J1967" s="334"/>
      <c r="K1967" s="334"/>
      <c r="L1967" s="334"/>
      <c r="M1967" s="328"/>
      <c r="N1967" s="328"/>
      <c r="O1967" s="386"/>
      <c r="P1967" s="356"/>
      <c r="Q1967" s="380"/>
      <c r="S1967" s="336"/>
      <c r="T1967" s="62" ph="1"/>
      <c r="V1967" s="232"/>
      <c r="W1967" s="269"/>
      <c r="X1967" s="201"/>
      <c r="Y1967" s="269"/>
      <c r="Z1967" s="269"/>
      <c r="AA1967" s="269"/>
      <c r="AB1967" s="269"/>
      <c r="AC1967" s="269"/>
      <c r="AD1967" s="269"/>
      <c r="AE1967" s="269"/>
    </row>
    <row r="1968" spans="1:31" ht="26.25">
      <c r="A1968" s="269"/>
      <c r="B1968" s="269"/>
      <c r="C1968" s="269"/>
      <c r="D1968" s="269"/>
      <c r="E1968" s="269"/>
      <c r="F1968" s="269"/>
      <c r="G1968" s="269"/>
      <c r="H1968" s="269"/>
      <c r="I1968" s="269"/>
      <c r="J1968" s="334"/>
      <c r="K1968" s="334"/>
      <c r="L1968" s="334"/>
      <c r="M1968" s="328"/>
      <c r="N1968" s="328"/>
      <c r="O1968" s="386"/>
      <c r="P1968" s="356"/>
      <c r="Q1968" s="380"/>
      <c r="S1968" s="336"/>
      <c r="T1968" s="62" ph="1"/>
      <c r="V1968" s="232"/>
      <c r="W1968" s="269"/>
      <c r="X1968" s="201"/>
      <c r="Y1968" s="269"/>
      <c r="Z1968" s="269"/>
      <c r="AA1968" s="269"/>
      <c r="AB1968" s="269"/>
      <c r="AC1968" s="269"/>
      <c r="AD1968" s="269"/>
      <c r="AE1968" s="269"/>
    </row>
    <row r="1969" spans="1:31" ht="26.25">
      <c r="A1969" s="269"/>
      <c r="B1969" s="269"/>
      <c r="C1969" s="269"/>
      <c r="D1969" s="269"/>
      <c r="E1969" s="269"/>
      <c r="F1969" s="269"/>
      <c r="G1969" s="269"/>
      <c r="H1969" s="269"/>
      <c r="I1969" s="269"/>
      <c r="J1969" s="334"/>
      <c r="K1969" s="334"/>
      <c r="L1969" s="334"/>
      <c r="M1969" s="328"/>
      <c r="N1969" s="328"/>
      <c r="O1969" s="386"/>
      <c r="P1969" s="356"/>
      <c r="Q1969" s="380"/>
      <c r="S1969" s="336"/>
      <c r="T1969" s="62" ph="1"/>
      <c r="V1969" s="232"/>
      <c r="W1969" s="269"/>
      <c r="X1969" s="201"/>
      <c r="Y1969" s="269"/>
      <c r="Z1969" s="269"/>
      <c r="AA1969" s="269"/>
      <c r="AB1969" s="269"/>
      <c r="AC1969" s="269"/>
      <c r="AD1969" s="269"/>
      <c r="AE1969" s="269"/>
    </row>
    <row r="1970" spans="1:31" ht="26.25">
      <c r="A1970" s="269"/>
      <c r="B1970" s="269"/>
      <c r="C1970" s="269"/>
      <c r="D1970" s="269"/>
      <c r="E1970" s="269"/>
      <c r="F1970" s="269"/>
      <c r="G1970" s="269"/>
      <c r="H1970" s="269"/>
      <c r="I1970" s="269"/>
      <c r="J1970" s="334"/>
      <c r="K1970" s="334"/>
      <c r="L1970" s="334"/>
      <c r="M1970" s="328"/>
      <c r="N1970" s="328"/>
      <c r="O1970" s="386"/>
      <c r="P1970" s="356"/>
      <c r="Q1970" s="380"/>
      <c r="S1970" s="336"/>
      <c r="T1970" s="62" ph="1"/>
      <c r="V1970" s="232"/>
      <c r="W1970" s="269"/>
      <c r="X1970" s="201"/>
      <c r="Y1970" s="269"/>
      <c r="Z1970" s="269"/>
      <c r="AA1970" s="269"/>
      <c r="AB1970" s="269"/>
      <c r="AC1970" s="269"/>
      <c r="AD1970" s="269"/>
      <c r="AE1970" s="269"/>
    </row>
    <row r="1971" spans="1:31" ht="26.25">
      <c r="A1971" s="269"/>
      <c r="B1971" s="269"/>
      <c r="C1971" s="269"/>
      <c r="D1971" s="269"/>
      <c r="E1971" s="269"/>
      <c r="F1971" s="269"/>
      <c r="G1971" s="269"/>
      <c r="H1971" s="269"/>
      <c r="I1971" s="269"/>
      <c r="J1971" s="334"/>
      <c r="K1971" s="334"/>
      <c r="L1971" s="334"/>
      <c r="M1971" s="328"/>
      <c r="N1971" s="328"/>
      <c r="O1971" s="386"/>
      <c r="P1971" s="356"/>
      <c r="Q1971" s="380"/>
      <c r="S1971" s="336"/>
      <c r="T1971" s="62" ph="1"/>
      <c r="V1971" s="232"/>
      <c r="W1971" s="269"/>
      <c r="X1971" s="201"/>
      <c r="Y1971" s="269"/>
      <c r="Z1971" s="269"/>
      <c r="AA1971" s="269"/>
      <c r="AB1971" s="269"/>
      <c r="AC1971" s="269"/>
      <c r="AD1971" s="269"/>
      <c r="AE1971" s="269"/>
    </row>
    <row r="1972" spans="1:31" ht="26.25">
      <c r="A1972" s="269"/>
      <c r="B1972" s="269"/>
      <c r="C1972" s="269"/>
      <c r="D1972" s="269"/>
      <c r="E1972" s="269"/>
      <c r="F1972" s="269"/>
      <c r="G1972" s="269"/>
      <c r="H1972" s="269"/>
      <c r="I1972" s="269"/>
      <c r="J1972" s="334"/>
      <c r="K1972" s="334"/>
      <c r="L1972" s="334"/>
      <c r="M1972" s="328"/>
      <c r="N1972" s="328"/>
      <c r="O1972" s="386"/>
      <c r="P1972" s="356"/>
      <c r="Q1972" s="380"/>
      <c r="S1972" s="336"/>
      <c r="T1972" s="62" ph="1"/>
      <c r="V1972" s="232"/>
      <c r="W1972" s="269"/>
      <c r="X1972" s="201"/>
      <c r="Y1972" s="269"/>
      <c r="Z1972" s="269"/>
      <c r="AA1972" s="269"/>
      <c r="AB1972" s="269"/>
      <c r="AC1972" s="269"/>
      <c r="AD1972" s="269"/>
      <c r="AE1972" s="269"/>
    </row>
    <row r="1973" spans="1:31" ht="26.25">
      <c r="A1973" s="269"/>
      <c r="B1973" s="269"/>
      <c r="C1973" s="269"/>
      <c r="D1973" s="269"/>
      <c r="E1973" s="269"/>
      <c r="F1973" s="269"/>
      <c r="G1973" s="269"/>
      <c r="H1973" s="269"/>
      <c r="I1973" s="269"/>
      <c r="J1973" s="334"/>
      <c r="K1973" s="334"/>
      <c r="L1973" s="334"/>
      <c r="M1973" s="328"/>
      <c r="N1973" s="328"/>
      <c r="O1973" s="386"/>
      <c r="P1973" s="356"/>
      <c r="Q1973" s="380"/>
      <c r="S1973" s="336"/>
      <c r="T1973" s="62" ph="1"/>
      <c r="V1973" s="232"/>
      <c r="W1973" s="269"/>
      <c r="X1973" s="201"/>
      <c r="Y1973" s="269"/>
      <c r="Z1973" s="269"/>
      <c r="AA1973" s="269"/>
      <c r="AB1973" s="269"/>
      <c r="AC1973" s="269"/>
      <c r="AD1973" s="269"/>
      <c r="AE1973" s="269"/>
    </row>
    <row r="1974" spans="1:31" ht="26.25">
      <c r="A1974" s="269"/>
      <c r="B1974" s="269"/>
      <c r="C1974" s="269"/>
      <c r="D1974" s="269"/>
      <c r="E1974" s="269"/>
      <c r="F1974" s="269"/>
      <c r="G1974" s="269"/>
      <c r="H1974" s="269"/>
      <c r="I1974" s="269"/>
      <c r="J1974" s="334"/>
      <c r="K1974" s="334"/>
      <c r="L1974" s="334"/>
      <c r="M1974" s="328"/>
      <c r="N1974" s="328"/>
      <c r="O1974" s="386"/>
      <c r="P1974" s="356"/>
      <c r="Q1974" s="380"/>
      <c r="S1974" s="336"/>
      <c r="T1974" s="62" ph="1"/>
      <c r="V1974" s="232"/>
      <c r="W1974" s="269"/>
      <c r="X1974" s="201"/>
      <c r="Y1974" s="269"/>
      <c r="Z1974" s="269"/>
      <c r="AA1974" s="269"/>
      <c r="AB1974" s="269"/>
      <c r="AC1974" s="269"/>
      <c r="AD1974" s="269"/>
      <c r="AE1974" s="269"/>
    </row>
    <row r="1975" spans="1:31" ht="26.25">
      <c r="A1975" s="269"/>
      <c r="B1975" s="269"/>
      <c r="C1975" s="269"/>
      <c r="D1975" s="269"/>
      <c r="E1975" s="269"/>
      <c r="F1975" s="269"/>
      <c r="G1975" s="269"/>
      <c r="H1975" s="269"/>
      <c r="I1975" s="269"/>
      <c r="J1975" s="334"/>
      <c r="K1975" s="334"/>
      <c r="L1975" s="334"/>
      <c r="M1975" s="328"/>
      <c r="N1975" s="328"/>
      <c r="O1975" s="386"/>
      <c r="P1975" s="356"/>
      <c r="Q1975" s="380"/>
      <c r="S1975" s="336"/>
      <c r="T1975" s="62" ph="1"/>
      <c r="V1975" s="232"/>
      <c r="W1975" s="269"/>
      <c r="X1975" s="201"/>
      <c r="Y1975" s="269"/>
      <c r="Z1975" s="269"/>
      <c r="AA1975" s="269"/>
      <c r="AB1975" s="269"/>
      <c r="AC1975" s="269"/>
      <c r="AD1975" s="269"/>
      <c r="AE1975" s="269"/>
    </row>
    <row r="1976" spans="1:31" ht="26.25">
      <c r="A1976" s="269"/>
      <c r="B1976" s="269"/>
      <c r="C1976" s="269"/>
      <c r="D1976" s="269"/>
      <c r="E1976" s="269"/>
      <c r="F1976" s="269"/>
      <c r="G1976" s="269"/>
      <c r="H1976" s="269"/>
      <c r="I1976" s="269"/>
      <c r="J1976" s="334"/>
      <c r="K1976" s="334"/>
      <c r="L1976" s="334"/>
      <c r="M1976" s="328"/>
      <c r="N1976" s="328"/>
      <c r="O1976" s="386"/>
      <c r="P1976" s="356"/>
      <c r="Q1976" s="380"/>
      <c r="S1976" s="336"/>
      <c r="T1976" s="62" ph="1"/>
      <c r="V1976" s="232"/>
      <c r="W1976" s="269"/>
      <c r="X1976" s="201"/>
      <c r="Y1976" s="269"/>
      <c r="Z1976" s="269"/>
      <c r="AA1976" s="269"/>
      <c r="AB1976" s="269"/>
      <c r="AC1976" s="269"/>
      <c r="AD1976" s="269"/>
      <c r="AE1976" s="269"/>
    </row>
    <row r="1977" spans="1:31" ht="26.25">
      <c r="A1977" s="269"/>
      <c r="B1977" s="269"/>
      <c r="C1977" s="269"/>
      <c r="D1977" s="269"/>
      <c r="E1977" s="269"/>
      <c r="F1977" s="269"/>
      <c r="G1977" s="269"/>
      <c r="H1977" s="269"/>
      <c r="I1977" s="269"/>
      <c r="J1977" s="334"/>
      <c r="K1977" s="334"/>
      <c r="L1977" s="334"/>
      <c r="M1977" s="328"/>
      <c r="N1977" s="328"/>
      <c r="O1977" s="386"/>
      <c r="P1977" s="356"/>
      <c r="Q1977" s="380"/>
      <c r="S1977" s="336"/>
      <c r="T1977" s="62" ph="1"/>
      <c r="V1977" s="232"/>
      <c r="W1977" s="269"/>
      <c r="X1977" s="201"/>
      <c r="Y1977" s="269"/>
      <c r="Z1977" s="269"/>
      <c r="AA1977" s="269"/>
      <c r="AB1977" s="269"/>
      <c r="AC1977" s="269"/>
      <c r="AD1977" s="269"/>
      <c r="AE1977" s="269"/>
    </row>
    <row r="1978" spans="1:31" ht="26.25">
      <c r="A1978" s="269"/>
      <c r="B1978" s="269"/>
      <c r="C1978" s="269"/>
      <c r="D1978" s="269"/>
      <c r="E1978" s="269"/>
      <c r="F1978" s="269"/>
      <c r="G1978" s="269"/>
      <c r="H1978" s="269"/>
      <c r="I1978" s="269"/>
      <c r="J1978" s="334"/>
      <c r="K1978" s="334"/>
      <c r="L1978" s="334"/>
      <c r="M1978" s="328"/>
      <c r="N1978" s="328"/>
      <c r="O1978" s="386"/>
      <c r="P1978" s="356"/>
      <c r="Q1978" s="380"/>
      <c r="S1978" s="336"/>
      <c r="T1978" s="62" ph="1"/>
      <c r="V1978" s="232"/>
      <c r="W1978" s="269"/>
      <c r="X1978" s="201"/>
      <c r="Y1978" s="269"/>
      <c r="Z1978" s="269"/>
      <c r="AA1978" s="269"/>
      <c r="AB1978" s="269"/>
      <c r="AC1978" s="269"/>
      <c r="AD1978" s="269"/>
      <c r="AE1978" s="269"/>
    </row>
    <row r="1979" spans="1:31" ht="26.25">
      <c r="A1979" s="269"/>
      <c r="B1979" s="269"/>
      <c r="C1979" s="269"/>
      <c r="D1979" s="269"/>
      <c r="E1979" s="269"/>
      <c r="F1979" s="269"/>
      <c r="G1979" s="269"/>
      <c r="H1979" s="269"/>
      <c r="I1979" s="269"/>
      <c r="J1979" s="334"/>
      <c r="K1979" s="334"/>
      <c r="L1979" s="334"/>
      <c r="M1979" s="328"/>
      <c r="N1979" s="328"/>
      <c r="O1979" s="386"/>
      <c r="P1979" s="356"/>
      <c r="Q1979" s="380"/>
      <c r="S1979" s="336"/>
      <c r="T1979" s="62" ph="1"/>
      <c r="V1979" s="232"/>
      <c r="W1979" s="269"/>
      <c r="X1979" s="201"/>
      <c r="Y1979" s="269"/>
      <c r="Z1979" s="269"/>
      <c r="AA1979" s="269"/>
      <c r="AB1979" s="269"/>
      <c r="AC1979" s="269"/>
      <c r="AD1979" s="269"/>
      <c r="AE1979" s="269"/>
    </row>
    <row r="1980" spans="1:31" ht="26.25">
      <c r="A1980" s="269"/>
      <c r="B1980" s="269"/>
      <c r="C1980" s="269"/>
      <c r="D1980" s="269"/>
      <c r="E1980" s="269"/>
      <c r="F1980" s="269"/>
      <c r="G1980" s="269"/>
      <c r="H1980" s="269"/>
      <c r="I1980" s="269"/>
      <c r="J1980" s="334"/>
      <c r="K1980" s="334"/>
      <c r="L1980" s="334"/>
      <c r="M1980" s="328"/>
      <c r="N1980" s="328"/>
      <c r="O1980" s="386"/>
      <c r="P1980" s="356"/>
      <c r="Q1980" s="380"/>
      <c r="S1980" s="336"/>
      <c r="T1980" s="62" ph="1"/>
      <c r="V1980" s="232"/>
      <c r="W1980" s="269"/>
      <c r="X1980" s="201"/>
      <c r="Y1980" s="269"/>
      <c r="Z1980" s="269"/>
      <c r="AA1980" s="269"/>
      <c r="AB1980" s="269"/>
      <c r="AC1980" s="269"/>
      <c r="AD1980" s="269"/>
      <c r="AE1980" s="269"/>
    </row>
    <row r="1981" spans="1:31" ht="26.25">
      <c r="A1981" s="269"/>
      <c r="B1981" s="269"/>
      <c r="C1981" s="269"/>
      <c r="D1981" s="269"/>
      <c r="E1981" s="269"/>
      <c r="F1981" s="269"/>
      <c r="G1981" s="269"/>
      <c r="H1981" s="269"/>
      <c r="I1981" s="269"/>
      <c r="J1981" s="334"/>
      <c r="K1981" s="334"/>
      <c r="L1981" s="334"/>
      <c r="M1981" s="328"/>
      <c r="N1981" s="328"/>
      <c r="O1981" s="386"/>
      <c r="P1981" s="356"/>
      <c r="Q1981" s="380"/>
      <c r="S1981" s="336"/>
      <c r="T1981" s="62" ph="1"/>
      <c r="V1981" s="232"/>
      <c r="W1981" s="269"/>
      <c r="X1981" s="201"/>
      <c r="Y1981" s="269"/>
      <c r="Z1981" s="269"/>
      <c r="AA1981" s="269"/>
      <c r="AB1981" s="269"/>
      <c r="AC1981" s="269"/>
      <c r="AD1981" s="269"/>
      <c r="AE1981" s="269"/>
    </row>
    <row r="1982" spans="1:31" ht="26.25">
      <c r="A1982" s="269"/>
      <c r="B1982" s="269"/>
      <c r="C1982" s="269"/>
      <c r="D1982" s="269"/>
      <c r="E1982" s="269"/>
      <c r="F1982" s="269"/>
      <c r="G1982" s="269"/>
      <c r="H1982" s="269"/>
      <c r="I1982" s="269"/>
      <c r="J1982" s="334"/>
      <c r="K1982" s="334"/>
      <c r="L1982" s="334"/>
      <c r="M1982" s="328"/>
      <c r="N1982" s="328"/>
      <c r="O1982" s="386"/>
      <c r="P1982" s="356"/>
      <c r="Q1982" s="380"/>
      <c r="S1982" s="336"/>
      <c r="T1982" s="62" ph="1"/>
      <c r="V1982" s="232"/>
      <c r="W1982" s="269"/>
      <c r="X1982" s="201"/>
      <c r="Y1982" s="269"/>
      <c r="Z1982" s="269"/>
      <c r="AA1982" s="269"/>
      <c r="AB1982" s="269"/>
      <c r="AC1982" s="269"/>
      <c r="AD1982" s="269"/>
      <c r="AE1982" s="269"/>
    </row>
    <row r="1983" spans="1:31" ht="26.25">
      <c r="A1983" s="269"/>
      <c r="B1983" s="269"/>
      <c r="C1983" s="269"/>
      <c r="D1983" s="269"/>
      <c r="E1983" s="269"/>
      <c r="F1983" s="269"/>
      <c r="G1983" s="269"/>
      <c r="H1983" s="269"/>
      <c r="I1983" s="269"/>
      <c r="J1983" s="334"/>
      <c r="K1983" s="334"/>
      <c r="L1983" s="334"/>
      <c r="M1983" s="328"/>
      <c r="N1983" s="328"/>
      <c r="O1983" s="386"/>
      <c r="P1983" s="356"/>
      <c r="Q1983" s="380"/>
      <c r="S1983" s="336"/>
      <c r="T1983" s="62" ph="1"/>
      <c r="V1983" s="232"/>
      <c r="W1983" s="269"/>
      <c r="X1983" s="201"/>
      <c r="Y1983" s="269"/>
      <c r="Z1983" s="269"/>
      <c r="AA1983" s="269"/>
      <c r="AB1983" s="269"/>
      <c r="AC1983" s="269"/>
      <c r="AD1983" s="269"/>
      <c r="AE1983" s="269"/>
    </row>
    <row r="1984" spans="1:31" ht="26.25">
      <c r="A1984" s="269"/>
      <c r="B1984" s="269"/>
      <c r="C1984" s="269"/>
      <c r="D1984" s="269"/>
      <c r="E1984" s="269"/>
      <c r="F1984" s="269"/>
      <c r="G1984" s="269"/>
      <c r="H1984" s="269"/>
      <c r="I1984" s="269"/>
      <c r="J1984" s="334"/>
      <c r="K1984" s="334"/>
      <c r="L1984" s="334"/>
      <c r="M1984" s="328"/>
      <c r="N1984" s="328"/>
      <c r="O1984" s="386"/>
      <c r="P1984" s="356"/>
      <c r="Q1984" s="380"/>
      <c r="S1984" s="336"/>
      <c r="T1984" s="62" ph="1"/>
      <c r="V1984" s="232"/>
      <c r="W1984" s="269"/>
      <c r="X1984" s="201"/>
      <c r="Y1984" s="269"/>
      <c r="Z1984" s="269"/>
      <c r="AA1984" s="269"/>
      <c r="AB1984" s="269"/>
      <c r="AC1984" s="269"/>
      <c r="AD1984" s="269"/>
      <c r="AE1984" s="269"/>
    </row>
    <row r="1985" spans="1:31" ht="26.25">
      <c r="A1985" s="269"/>
      <c r="B1985" s="269"/>
      <c r="C1985" s="269"/>
      <c r="D1985" s="269"/>
      <c r="E1985" s="269"/>
      <c r="F1985" s="269"/>
      <c r="G1985" s="269"/>
      <c r="H1985" s="269"/>
      <c r="I1985" s="269"/>
      <c r="J1985" s="334"/>
      <c r="K1985" s="334"/>
      <c r="L1985" s="334"/>
      <c r="M1985" s="328"/>
      <c r="N1985" s="328"/>
      <c r="O1985" s="386"/>
      <c r="P1985" s="356"/>
      <c r="Q1985" s="380"/>
      <c r="S1985" s="336"/>
      <c r="T1985" s="62" ph="1"/>
      <c r="V1985" s="232"/>
      <c r="W1985" s="269"/>
      <c r="X1985" s="201"/>
      <c r="Y1985" s="269"/>
      <c r="Z1985" s="269"/>
      <c r="AA1985" s="269"/>
      <c r="AB1985" s="269"/>
      <c r="AC1985" s="269"/>
      <c r="AD1985" s="269"/>
      <c r="AE1985" s="269"/>
    </row>
    <row r="1986" spans="1:31" ht="26.25">
      <c r="A1986" s="269"/>
      <c r="B1986" s="269"/>
      <c r="C1986" s="269"/>
      <c r="D1986" s="269"/>
      <c r="E1986" s="269"/>
      <c r="F1986" s="269"/>
      <c r="G1986" s="269"/>
      <c r="H1986" s="269"/>
      <c r="I1986" s="269"/>
      <c r="J1986" s="334"/>
      <c r="K1986" s="334"/>
      <c r="L1986" s="334"/>
      <c r="M1986" s="328"/>
      <c r="N1986" s="328"/>
      <c r="O1986" s="386"/>
      <c r="P1986" s="356"/>
      <c r="Q1986" s="380"/>
      <c r="S1986" s="336"/>
      <c r="T1986" s="62" ph="1"/>
      <c r="V1986" s="232"/>
      <c r="W1986" s="269"/>
      <c r="X1986" s="201"/>
      <c r="Y1986" s="269"/>
      <c r="Z1986" s="269"/>
      <c r="AA1986" s="269"/>
      <c r="AB1986" s="269"/>
      <c r="AC1986" s="269"/>
      <c r="AD1986" s="269"/>
      <c r="AE1986" s="269"/>
    </row>
    <row r="1987" spans="1:31" ht="26.25">
      <c r="A1987" s="269"/>
      <c r="B1987" s="269"/>
      <c r="C1987" s="269"/>
      <c r="D1987" s="269"/>
      <c r="E1987" s="269"/>
      <c r="F1987" s="269"/>
      <c r="G1987" s="269"/>
      <c r="H1987" s="269"/>
      <c r="I1987" s="269"/>
      <c r="J1987" s="334"/>
      <c r="K1987" s="334"/>
      <c r="L1987" s="334"/>
      <c r="M1987" s="328"/>
      <c r="N1987" s="328"/>
      <c r="O1987" s="386"/>
      <c r="P1987" s="356"/>
      <c r="Q1987" s="380"/>
      <c r="S1987" s="336"/>
      <c r="T1987" s="62" ph="1"/>
      <c r="V1987" s="232"/>
      <c r="W1987" s="269"/>
      <c r="X1987" s="201"/>
      <c r="Y1987" s="269"/>
      <c r="Z1987" s="269"/>
      <c r="AA1987" s="269"/>
      <c r="AB1987" s="269"/>
      <c r="AC1987" s="269"/>
      <c r="AD1987" s="269"/>
      <c r="AE1987" s="269"/>
    </row>
    <row r="1988" spans="1:31" ht="26.25">
      <c r="A1988" s="269"/>
      <c r="B1988" s="269"/>
      <c r="C1988" s="269"/>
      <c r="D1988" s="269"/>
      <c r="E1988" s="269"/>
      <c r="F1988" s="269"/>
      <c r="G1988" s="269"/>
      <c r="H1988" s="269"/>
      <c r="I1988" s="269"/>
      <c r="J1988" s="334"/>
      <c r="K1988" s="334"/>
      <c r="L1988" s="334"/>
      <c r="M1988" s="328"/>
      <c r="N1988" s="328"/>
      <c r="O1988" s="386"/>
      <c r="P1988" s="356"/>
      <c r="Q1988" s="380"/>
      <c r="S1988" s="336"/>
      <c r="T1988" s="62" ph="1"/>
      <c r="V1988" s="232"/>
      <c r="W1988" s="269"/>
      <c r="X1988" s="201"/>
      <c r="Y1988" s="269"/>
      <c r="Z1988" s="269"/>
      <c r="AA1988" s="269"/>
      <c r="AB1988" s="269"/>
      <c r="AC1988" s="269"/>
      <c r="AD1988" s="269"/>
      <c r="AE1988" s="269"/>
    </row>
    <row r="1989" spans="1:31" ht="26.25">
      <c r="A1989" s="269"/>
      <c r="B1989" s="269"/>
      <c r="C1989" s="269"/>
      <c r="D1989" s="269"/>
      <c r="E1989" s="269"/>
      <c r="F1989" s="269"/>
      <c r="G1989" s="269"/>
      <c r="H1989" s="269"/>
      <c r="I1989" s="269"/>
      <c r="J1989" s="334"/>
      <c r="K1989" s="334"/>
      <c r="L1989" s="334"/>
      <c r="M1989" s="328"/>
      <c r="N1989" s="328"/>
      <c r="O1989" s="386"/>
      <c r="P1989" s="356"/>
      <c r="Q1989" s="380"/>
      <c r="S1989" s="336"/>
      <c r="T1989" s="62" ph="1"/>
      <c r="V1989" s="232"/>
      <c r="W1989" s="269"/>
      <c r="X1989" s="201"/>
      <c r="Y1989" s="269"/>
      <c r="Z1989" s="269"/>
      <c r="AA1989" s="269"/>
      <c r="AB1989" s="269"/>
      <c r="AC1989" s="269"/>
      <c r="AD1989" s="269"/>
      <c r="AE1989" s="269"/>
    </row>
    <row r="1990" spans="1:31" ht="26.25">
      <c r="A1990" s="269"/>
      <c r="B1990" s="269"/>
      <c r="C1990" s="269"/>
      <c r="D1990" s="269"/>
      <c r="E1990" s="269"/>
      <c r="F1990" s="269"/>
      <c r="G1990" s="269"/>
      <c r="H1990" s="269"/>
      <c r="I1990" s="269"/>
      <c r="J1990" s="334"/>
      <c r="K1990" s="334"/>
      <c r="L1990" s="334"/>
      <c r="M1990" s="328"/>
      <c r="N1990" s="328"/>
      <c r="O1990" s="386"/>
      <c r="P1990" s="356"/>
      <c r="Q1990" s="380"/>
      <c r="S1990" s="336"/>
      <c r="T1990" s="62" ph="1"/>
      <c r="V1990" s="232"/>
      <c r="W1990" s="269"/>
      <c r="X1990" s="201"/>
      <c r="Y1990" s="269"/>
      <c r="Z1990" s="269"/>
      <c r="AA1990" s="269"/>
      <c r="AB1990" s="269"/>
      <c r="AC1990" s="269"/>
      <c r="AD1990" s="269"/>
      <c r="AE1990" s="269"/>
    </row>
    <row r="1991" spans="1:31" ht="26.25">
      <c r="A1991" s="269"/>
      <c r="B1991" s="269"/>
      <c r="C1991" s="269"/>
      <c r="D1991" s="269"/>
      <c r="E1991" s="269"/>
      <c r="F1991" s="269"/>
      <c r="G1991" s="269"/>
      <c r="H1991" s="269"/>
      <c r="I1991" s="269"/>
      <c r="J1991" s="334"/>
      <c r="K1991" s="334"/>
      <c r="L1991" s="334"/>
      <c r="M1991" s="328"/>
      <c r="N1991" s="328"/>
      <c r="O1991" s="386"/>
      <c r="P1991" s="356"/>
      <c r="Q1991" s="380"/>
      <c r="S1991" s="336"/>
      <c r="T1991" s="62" ph="1"/>
      <c r="V1991" s="232"/>
      <c r="W1991" s="269"/>
      <c r="X1991" s="201"/>
      <c r="Y1991" s="269"/>
      <c r="Z1991" s="269"/>
      <c r="AA1991" s="269"/>
      <c r="AB1991" s="269"/>
      <c r="AC1991" s="269"/>
      <c r="AD1991" s="269"/>
      <c r="AE1991" s="269"/>
    </row>
    <row r="1992" spans="1:31" ht="26.25">
      <c r="A1992" s="269"/>
      <c r="B1992" s="269"/>
      <c r="C1992" s="269"/>
      <c r="D1992" s="269"/>
      <c r="E1992" s="269"/>
      <c r="F1992" s="269"/>
      <c r="G1992" s="269"/>
      <c r="H1992" s="269"/>
      <c r="I1992" s="269"/>
      <c r="J1992" s="334"/>
      <c r="K1992" s="334"/>
      <c r="L1992" s="334"/>
      <c r="M1992" s="328"/>
      <c r="N1992" s="328"/>
      <c r="O1992" s="386"/>
      <c r="P1992" s="356"/>
      <c r="Q1992" s="380"/>
      <c r="S1992" s="336"/>
      <c r="T1992" s="62" ph="1"/>
      <c r="V1992" s="232"/>
      <c r="W1992" s="269"/>
      <c r="X1992" s="201"/>
      <c r="Y1992" s="269"/>
      <c r="Z1992" s="269"/>
      <c r="AA1992" s="269"/>
      <c r="AB1992" s="269"/>
      <c r="AC1992" s="269"/>
      <c r="AD1992" s="269"/>
      <c r="AE1992" s="269"/>
    </row>
    <row r="1993" spans="1:31" ht="26.25">
      <c r="A1993" s="269"/>
      <c r="B1993" s="269"/>
      <c r="C1993" s="269"/>
      <c r="D1993" s="269"/>
      <c r="E1993" s="269"/>
      <c r="F1993" s="269"/>
      <c r="G1993" s="269"/>
      <c r="H1993" s="269"/>
      <c r="I1993" s="269"/>
      <c r="J1993" s="334"/>
      <c r="K1993" s="334"/>
      <c r="L1993" s="334"/>
      <c r="M1993" s="328"/>
      <c r="N1993" s="328"/>
      <c r="O1993" s="386"/>
      <c r="P1993" s="356"/>
      <c r="Q1993" s="380"/>
      <c r="S1993" s="336"/>
      <c r="T1993" s="62" ph="1"/>
      <c r="V1993" s="232"/>
      <c r="W1993" s="269"/>
      <c r="X1993" s="201"/>
      <c r="Y1993" s="269"/>
      <c r="Z1993" s="269"/>
      <c r="AA1993" s="269"/>
      <c r="AB1993" s="269"/>
      <c r="AC1993" s="269"/>
      <c r="AD1993" s="269"/>
      <c r="AE1993" s="269"/>
    </row>
    <row r="1994" spans="1:31" ht="26.25">
      <c r="A1994" s="269"/>
      <c r="B1994" s="269"/>
      <c r="C1994" s="269"/>
      <c r="D1994" s="269"/>
      <c r="E1994" s="269"/>
      <c r="F1994" s="269"/>
      <c r="G1994" s="269"/>
      <c r="H1994" s="269"/>
      <c r="I1994" s="269"/>
      <c r="J1994" s="334"/>
      <c r="K1994" s="334"/>
      <c r="L1994" s="334"/>
      <c r="M1994" s="328"/>
      <c r="N1994" s="328"/>
      <c r="O1994" s="386"/>
      <c r="P1994" s="356"/>
      <c r="Q1994" s="380"/>
      <c r="S1994" s="336"/>
      <c r="T1994" s="62" ph="1"/>
      <c r="V1994" s="232"/>
      <c r="W1994" s="269"/>
      <c r="X1994" s="201"/>
      <c r="Y1994" s="269"/>
      <c r="Z1994" s="269"/>
      <c r="AA1994" s="269"/>
      <c r="AB1994" s="269"/>
      <c r="AC1994" s="269"/>
      <c r="AD1994" s="269"/>
      <c r="AE1994" s="269"/>
    </row>
    <row r="1995" spans="1:31" ht="26.25">
      <c r="A1995" s="269"/>
      <c r="B1995" s="269"/>
      <c r="C1995" s="269"/>
      <c r="D1995" s="269"/>
      <c r="E1995" s="269"/>
      <c r="F1995" s="269"/>
      <c r="G1995" s="269"/>
      <c r="H1995" s="269"/>
      <c r="I1995" s="269"/>
      <c r="J1995" s="334"/>
      <c r="K1995" s="334"/>
      <c r="L1995" s="334"/>
      <c r="M1995" s="328"/>
      <c r="N1995" s="328"/>
      <c r="O1995" s="386"/>
      <c r="P1995" s="356"/>
      <c r="Q1995" s="380"/>
      <c r="S1995" s="336"/>
      <c r="T1995" s="62" ph="1"/>
      <c r="V1995" s="232"/>
      <c r="W1995" s="269"/>
      <c r="X1995" s="201"/>
      <c r="Y1995" s="269"/>
      <c r="Z1995" s="269"/>
      <c r="AA1995" s="269"/>
      <c r="AB1995" s="269"/>
      <c r="AC1995" s="269"/>
      <c r="AD1995" s="269"/>
      <c r="AE1995" s="269"/>
    </row>
    <row r="1996" spans="1:31" ht="26.25">
      <c r="A1996" s="269"/>
      <c r="B1996" s="269"/>
      <c r="C1996" s="269"/>
      <c r="D1996" s="269"/>
      <c r="E1996" s="269"/>
      <c r="F1996" s="269"/>
      <c r="G1996" s="269"/>
      <c r="H1996" s="269"/>
      <c r="I1996" s="269"/>
      <c r="J1996" s="334"/>
      <c r="K1996" s="334"/>
      <c r="L1996" s="334"/>
      <c r="M1996" s="328"/>
      <c r="N1996" s="328"/>
      <c r="O1996" s="386"/>
      <c r="P1996" s="356"/>
      <c r="Q1996" s="380"/>
      <c r="S1996" s="336"/>
      <c r="T1996" s="62" ph="1"/>
      <c r="V1996" s="232"/>
      <c r="W1996" s="269"/>
      <c r="X1996" s="201"/>
      <c r="Y1996" s="269"/>
      <c r="Z1996" s="269"/>
      <c r="AA1996" s="269"/>
      <c r="AB1996" s="269"/>
      <c r="AC1996" s="269"/>
      <c r="AD1996" s="269"/>
      <c r="AE1996" s="269"/>
    </row>
    <row r="1997" spans="1:31" ht="26.25">
      <c r="A1997" s="269"/>
      <c r="B1997" s="269"/>
      <c r="C1997" s="269"/>
      <c r="D1997" s="269"/>
      <c r="E1997" s="269"/>
      <c r="F1997" s="269"/>
      <c r="G1997" s="269"/>
      <c r="H1997" s="269"/>
      <c r="I1997" s="269"/>
      <c r="J1997" s="334"/>
      <c r="K1997" s="334"/>
      <c r="L1997" s="334"/>
      <c r="M1997" s="328"/>
      <c r="N1997" s="328"/>
      <c r="O1997" s="386"/>
      <c r="P1997" s="356"/>
      <c r="Q1997" s="380"/>
      <c r="S1997" s="336"/>
      <c r="T1997" s="62" ph="1"/>
      <c r="V1997" s="232"/>
      <c r="W1997" s="269"/>
      <c r="X1997" s="201"/>
      <c r="Y1997" s="269"/>
      <c r="Z1997" s="269"/>
      <c r="AA1997" s="269"/>
      <c r="AB1997" s="269"/>
      <c r="AC1997" s="269"/>
      <c r="AD1997" s="269"/>
      <c r="AE1997" s="269"/>
    </row>
    <row r="1998" spans="1:31" ht="26.25">
      <c r="A1998" s="269"/>
      <c r="B1998" s="269"/>
      <c r="C1998" s="269"/>
      <c r="D1998" s="269"/>
      <c r="E1998" s="269"/>
      <c r="F1998" s="269"/>
      <c r="G1998" s="269"/>
      <c r="H1998" s="269"/>
      <c r="I1998" s="269"/>
      <c r="J1998" s="334"/>
      <c r="K1998" s="334"/>
      <c r="L1998" s="334"/>
      <c r="M1998" s="328"/>
      <c r="N1998" s="328"/>
      <c r="O1998" s="386"/>
      <c r="P1998" s="356"/>
      <c r="Q1998" s="380"/>
      <c r="S1998" s="336"/>
      <c r="T1998" s="62" ph="1"/>
      <c r="V1998" s="232"/>
      <c r="W1998" s="269"/>
      <c r="X1998" s="201"/>
      <c r="Y1998" s="269"/>
      <c r="Z1998" s="269"/>
      <c r="AA1998" s="269"/>
      <c r="AB1998" s="269"/>
      <c r="AC1998" s="269"/>
      <c r="AD1998" s="269"/>
      <c r="AE1998" s="269"/>
    </row>
    <row r="1999" spans="1:31" ht="26.25">
      <c r="A1999" s="269"/>
      <c r="B1999" s="269"/>
      <c r="C1999" s="269"/>
      <c r="D1999" s="269"/>
      <c r="E1999" s="269"/>
      <c r="F1999" s="269"/>
      <c r="G1999" s="269"/>
      <c r="H1999" s="269"/>
      <c r="I1999" s="269"/>
      <c r="J1999" s="334"/>
      <c r="K1999" s="334"/>
      <c r="L1999" s="334"/>
      <c r="M1999" s="328"/>
      <c r="N1999" s="328"/>
      <c r="O1999" s="386"/>
      <c r="P1999" s="356"/>
      <c r="Q1999" s="380"/>
      <c r="S1999" s="336"/>
      <c r="T1999" s="62" ph="1"/>
      <c r="V1999" s="232"/>
      <c r="W1999" s="269"/>
      <c r="X1999" s="201"/>
      <c r="Y1999" s="269"/>
      <c r="Z1999" s="269"/>
      <c r="AA1999" s="269"/>
      <c r="AB1999" s="269"/>
      <c r="AC1999" s="269"/>
      <c r="AD1999" s="269"/>
      <c r="AE1999" s="269"/>
    </row>
    <row r="2000" spans="1:31" ht="26.25">
      <c r="A2000" s="269"/>
      <c r="B2000" s="269"/>
      <c r="C2000" s="269"/>
      <c r="D2000" s="269"/>
      <c r="E2000" s="269"/>
      <c r="F2000" s="269"/>
      <c r="G2000" s="269"/>
      <c r="H2000" s="269"/>
      <c r="I2000" s="269"/>
      <c r="J2000" s="334"/>
      <c r="K2000" s="334"/>
      <c r="L2000" s="334"/>
      <c r="M2000" s="328"/>
      <c r="N2000" s="328"/>
      <c r="O2000" s="386"/>
      <c r="P2000" s="356"/>
      <c r="Q2000" s="380"/>
      <c r="S2000" s="336"/>
      <c r="T2000" s="62" ph="1"/>
      <c r="V2000" s="232"/>
      <c r="W2000" s="269"/>
      <c r="X2000" s="201"/>
      <c r="Y2000" s="269"/>
      <c r="Z2000" s="269"/>
      <c r="AA2000" s="269"/>
      <c r="AB2000" s="269"/>
      <c r="AC2000" s="269"/>
      <c r="AD2000" s="269"/>
      <c r="AE2000" s="269"/>
    </row>
    <row r="2001" spans="1:31" ht="26.25">
      <c r="A2001" s="269"/>
      <c r="B2001" s="269"/>
      <c r="C2001" s="269"/>
      <c r="D2001" s="269"/>
      <c r="E2001" s="269"/>
      <c r="F2001" s="269"/>
      <c r="G2001" s="269"/>
      <c r="H2001" s="269"/>
      <c r="I2001" s="269"/>
      <c r="J2001" s="334"/>
      <c r="K2001" s="334"/>
      <c r="L2001" s="334"/>
      <c r="M2001" s="328"/>
      <c r="N2001" s="328"/>
      <c r="O2001" s="386"/>
      <c r="P2001" s="356"/>
      <c r="Q2001" s="380"/>
      <c r="S2001" s="336"/>
      <c r="T2001" s="62" ph="1"/>
      <c r="V2001" s="232"/>
      <c r="W2001" s="269"/>
      <c r="X2001" s="201"/>
      <c r="Y2001" s="269"/>
      <c r="Z2001" s="269"/>
      <c r="AA2001" s="269"/>
      <c r="AB2001" s="269"/>
      <c r="AC2001" s="269"/>
      <c r="AD2001" s="269"/>
      <c r="AE2001" s="269"/>
    </row>
    <row r="2002" spans="1:31" ht="26.25">
      <c r="A2002" s="269"/>
      <c r="B2002" s="269"/>
      <c r="C2002" s="269"/>
      <c r="D2002" s="269"/>
      <c r="E2002" s="269"/>
      <c r="F2002" s="269"/>
      <c r="G2002" s="269"/>
      <c r="H2002" s="269"/>
      <c r="I2002" s="269"/>
      <c r="J2002" s="334"/>
      <c r="K2002" s="334"/>
      <c r="L2002" s="334"/>
      <c r="M2002" s="328"/>
      <c r="N2002" s="328"/>
      <c r="O2002" s="386"/>
      <c r="P2002" s="356"/>
      <c r="Q2002" s="380"/>
      <c r="S2002" s="336"/>
      <c r="T2002" s="62" ph="1"/>
      <c r="V2002" s="232"/>
      <c r="W2002" s="269"/>
      <c r="X2002" s="201"/>
      <c r="Y2002" s="269"/>
      <c r="Z2002" s="269"/>
      <c r="AA2002" s="269"/>
      <c r="AB2002" s="269"/>
      <c r="AC2002" s="269"/>
      <c r="AD2002" s="269"/>
      <c r="AE2002" s="269"/>
    </row>
    <row r="2003" spans="1:31" ht="26.25">
      <c r="A2003" s="269"/>
      <c r="B2003" s="269"/>
      <c r="C2003" s="269"/>
      <c r="D2003" s="269"/>
      <c r="E2003" s="269"/>
      <c r="F2003" s="269"/>
      <c r="G2003" s="269"/>
      <c r="H2003" s="269"/>
      <c r="I2003" s="269"/>
      <c r="J2003" s="334"/>
      <c r="K2003" s="334"/>
      <c r="L2003" s="334"/>
      <c r="M2003" s="328"/>
      <c r="N2003" s="328"/>
      <c r="O2003" s="386"/>
      <c r="P2003" s="356"/>
      <c r="Q2003" s="380"/>
      <c r="S2003" s="336"/>
      <c r="T2003" s="62" ph="1"/>
      <c r="V2003" s="232"/>
      <c r="W2003" s="269"/>
      <c r="X2003" s="201"/>
      <c r="Y2003" s="269"/>
      <c r="Z2003" s="269"/>
      <c r="AA2003" s="269"/>
      <c r="AB2003" s="269"/>
      <c r="AC2003" s="269"/>
      <c r="AD2003" s="269"/>
      <c r="AE2003" s="269"/>
    </row>
    <row r="2004" spans="1:31" ht="26.25">
      <c r="A2004" s="269"/>
      <c r="B2004" s="269"/>
      <c r="C2004" s="269"/>
      <c r="D2004" s="269"/>
      <c r="E2004" s="269"/>
      <c r="F2004" s="269"/>
      <c r="G2004" s="269"/>
      <c r="H2004" s="269"/>
      <c r="I2004" s="269"/>
      <c r="J2004" s="334"/>
      <c r="K2004" s="334"/>
      <c r="L2004" s="334"/>
      <c r="M2004" s="328"/>
      <c r="N2004" s="328"/>
      <c r="O2004" s="386"/>
      <c r="P2004" s="356"/>
      <c r="Q2004" s="380"/>
      <c r="S2004" s="336"/>
      <c r="T2004" s="62" ph="1"/>
      <c r="V2004" s="232"/>
      <c r="W2004" s="269"/>
      <c r="X2004" s="201"/>
      <c r="Y2004" s="269"/>
      <c r="Z2004" s="269"/>
      <c r="AA2004" s="269"/>
      <c r="AB2004" s="269"/>
      <c r="AC2004" s="269"/>
      <c r="AD2004" s="269"/>
      <c r="AE2004" s="269"/>
    </row>
    <row r="2005" spans="1:31" ht="26.25">
      <c r="A2005" s="269"/>
      <c r="B2005" s="269"/>
      <c r="C2005" s="269"/>
      <c r="D2005" s="269"/>
      <c r="E2005" s="269"/>
      <c r="F2005" s="269"/>
      <c r="G2005" s="269"/>
      <c r="H2005" s="269"/>
      <c r="I2005" s="269"/>
      <c r="J2005" s="334"/>
      <c r="K2005" s="334"/>
      <c r="L2005" s="334"/>
      <c r="M2005" s="328"/>
      <c r="N2005" s="328"/>
      <c r="O2005" s="386"/>
      <c r="P2005" s="356"/>
      <c r="Q2005" s="380"/>
      <c r="S2005" s="336"/>
      <c r="T2005" s="62" ph="1"/>
      <c r="V2005" s="232"/>
      <c r="W2005" s="269"/>
      <c r="X2005" s="201"/>
      <c r="Y2005" s="269"/>
      <c r="Z2005" s="269"/>
      <c r="AA2005" s="269"/>
      <c r="AB2005" s="269"/>
      <c r="AC2005" s="269"/>
      <c r="AD2005" s="269"/>
      <c r="AE2005" s="269"/>
    </row>
    <row r="2006" spans="1:31" ht="26.25">
      <c r="A2006" s="269"/>
      <c r="B2006" s="269"/>
      <c r="C2006" s="269"/>
      <c r="D2006" s="269"/>
      <c r="E2006" s="269"/>
      <c r="F2006" s="269"/>
      <c r="G2006" s="269"/>
      <c r="H2006" s="269"/>
      <c r="I2006" s="269"/>
      <c r="J2006" s="334"/>
      <c r="K2006" s="334"/>
      <c r="L2006" s="334"/>
      <c r="M2006" s="328"/>
      <c r="N2006" s="328"/>
      <c r="O2006" s="386"/>
      <c r="P2006" s="356"/>
      <c r="Q2006" s="380"/>
      <c r="S2006" s="336"/>
      <c r="T2006" s="62" ph="1"/>
      <c r="V2006" s="232"/>
      <c r="W2006" s="269"/>
      <c r="X2006" s="201"/>
      <c r="Y2006" s="269"/>
      <c r="Z2006" s="269"/>
      <c r="AA2006" s="269"/>
      <c r="AB2006" s="269"/>
      <c r="AC2006" s="269"/>
      <c r="AD2006" s="269"/>
      <c r="AE2006" s="269"/>
    </row>
    <row r="2007" spans="1:31" ht="26.25">
      <c r="A2007" s="269"/>
      <c r="B2007" s="269"/>
      <c r="C2007" s="269"/>
      <c r="D2007" s="269"/>
      <c r="E2007" s="269"/>
      <c r="F2007" s="269"/>
      <c r="G2007" s="269"/>
      <c r="H2007" s="269"/>
      <c r="I2007" s="269"/>
      <c r="J2007" s="334"/>
      <c r="K2007" s="334"/>
      <c r="L2007" s="334"/>
      <c r="M2007" s="328"/>
      <c r="N2007" s="328"/>
      <c r="O2007" s="386"/>
      <c r="P2007" s="356"/>
      <c r="Q2007" s="380"/>
      <c r="S2007" s="336"/>
      <c r="T2007" s="62" ph="1"/>
      <c r="V2007" s="232"/>
      <c r="W2007" s="269"/>
      <c r="X2007" s="201"/>
      <c r="Y2007" s="269"/>
      <c r="Z2007" s="269"/>
      <c r="AA2007" s="269"/>
      <c r="AB2007" s="269"/>
      <c r="AC2007" s="269"/>
      <c r="AD2007" s="269"/>
      <c r="AE2007" s="269"/>
    </row>
    <row r="2008" spans="1:31" ht="26.25">
      <c r="A2008" s="269"/>
      <c r="B2008" s="269"/>
      <c r="C2008" s="269"/>
      <c r="D2008" s="269"/>
      <c r="E2008" s="269"/>
      <c r="F2008" s="269"/>
      <c r="G2008" s="269"/>
      <c r="H2008" s="269"/>
      <c r="I2008" s="269"/>
      <c r="J2008" s="334"/>
      <c r="K2008" s="334"/>
      <c r="L2008" s="334"/>
      <c r="M2008" s="328"/>
      <c r="N2008" s="328"/>
      <c r="O2008" s="386"/>
      <c r="P2008" s="356"/>
      <c r="Q2008" s="380"/>
      <c r="S2008" s="336"/>
      <c r="T2008" s="62" ph="1"/>
      <c r="V2008" s="232"/>
      <c r="W2008" s="269"/>
      <c r="X2008" s="201"/>
      <c r="Y2008" s="269"/>
      <c r="Z2008" s="269"/>
      <c r="AA2008" s="269"/>
      <c r="AB2008" s="269"/>
      <c r="AC2008" s="269"/>
      <c r="AD2008" s="269"/>
      <c r="AE2008" s="269"/>
    </row>
    <row r="2009" spans="1:31" ht="26.25">
      <c r="A2009" s="269"/>
      <c r="B2009" s="269"/>
      <c r="C2009" s="269"/>
      <c r="D2009" s="269"/>
      <c r="E2009" s="269"/>
      <c r="F2009" s="269"/>
      <c r="G2009" s="269"/>
      <c r="H2009" s="269"/>
      <c r="I2009" s="269"/>
      <c r="J2009" s="334"/>
      <c r="K2009" s="334"/>
      <c r="L2009" s="334"/>
      <c r="M2009" s="328"/>
      <c r="N2009" s="328"/>
      <c r="O2009" s="386"/>
      <c r="P2009" s="356"/>
      <c r="Q2009" s="380"/>
      <c r="S2009" s="336"/>
      <c r="T2009" s="62" ph="1"/>
      <c r="V2009" s="232"/>
      <c r="W2009" s="269"/>
      <c r="X2009" s="201"/>
      <c r="Y2009" s="269"/>
      <c r="Z2009" s="269"/>
      <c r="AA2009" s="269"/>
      <c r="AB2009" s="269"/>
      <c r="AC2009" s="269"/>
      <c r="AD2009" s="269"/>
      <c r="AE2009" s="269"/>
    </row>
    <row r="2010" spans="1:31" ht="26.25">
      <c r="A2010" s="269"/>
      <c r="B2010" s="269"/>
      <c r="C2010" s="269"/>
      <c r="D2010" s="269"/>
      <c r="E2010" s="269"/>
      <c r="F2010" s="269"/>
      <c r="G2010" s="269"/>
      <c r="H2010" s="269"/>
      <c r="I2010" s="269"/>
      <c r="J2010" s="334"/>
      <c r="K2010" s="334"/>
      <c r="L2010" s="334"/>
      <c r="M2010" s="328"/>
      <c r="N2010" s="328"/>
      <c r="O2010" s="386"/>
      <c r="P2010" s="356"/>
      <c r="Q2010" s="380"/>
      <c r="S2010" s="336"/>
      <c r="T2010" s="62" ph="1"/>
      <c r="V2010" s="232"/>
      <c r="W2010" s="269"/>
      <c r="X2010" s="201"/>
      <c r="Y2010" s="269"/>
      <c r="Z2010" s="269"/>
      <c r="AA2010" s="269"/>
      <c r="AB2010" s="269"/>
      <c r="AC2010" s="269"/>
      <c r="AD2010" s="269"/>
      <c r="AE2010" s="269"/>
    </row>
    <row r="2011" spans="1:31" ht="26.25">
      <c r="A2011" s="269"/>
      <c r="B2011" s="269"/>
      <c r="C2011" s="269"/>
      <c r="D2011" s="269"/>
      <c r="E2011" s="269"/>
      <c r="F2011" s="269"/>
      <c r="G2011" s="269"/>
      <c r="H2011" s="269"/>
      <c r="I2011" s="269"/>
      <c r="J2011" s="334"/>
      <c r="K2011" s="334"/>
      <c r="L2011" s="334"/>
      <c r="M2011" s="328"/>
      <c r="N2011" s="328"/>
      <c r="O2011" s="386"/>
      <c r="P2011" s="356"/>
      <c r="Q2011" s="380"/>
      <c r="S2011" s="336"/>
      <c r="T2011" s="62" ph="1"/>
      <c r="V2011" s="232"/>
      <c r="W2011" s="269"/>
      <c r="X2011" s="201"/>
      <c r="Y2011" s="269"/>
      <c r="Z2011" s="269"/>
      <c r="AA2011" s="269"/>
      <c r="AB2011" s="269"/>
      <c r="AC2011" s="269"/>
      <c r="AD2011" s="269"/>
      <c r="AE2011" s="269"/>
    </row>
    <row r="2012" spans="1:31" ht="26.25">
      <c r="A2012" s="269"/>
      <c r="B2012" s="269"/>
      <c r="C2012" s="269"/>
      <c r="D2012" s="269"/>
      <c r="E2012" s="269"/>
      <c r="F2012" s="269"/>
      <c r="G2012" s="269"/>
      <c r="H2012" s="269"/>
      <c r="I2012" s="269"/>
      <c r="J2012" s="334"/>
      <c r="K2012" s="334"/>
      <c r="L2012" s="334"/>
      <c r="M2012" s="328"/>
      <c r="N2012" s="328"/>
      <c r="O2012" s="386"/>
      <c r="P2012" s="356"/>
      <c r="Q2012" s="380"/>
      <c r="S2012" s="336"/>
      <c r="T2012" s="62" ph="1"/>
      <c r="V2012" s="232"/>
      <c r="W2012" s="269"/>
      <c r="X2012" s="201"/>
      <c r="Y2012" s="269"/>
      <c r="Z2012" s="269"/>
      <c r="AA2012" s="269"/>
      <c r="AB2012" s="269"/>
      <c r="AC2012" s="269"/>
      <c r="AD2012" s="269"/>
      <c r="AE2012" s="269"/>
    </row>
    <row r="2013" spans="1:31" ht="26.25">
      <c r="A2013" s="269"/>
      <c r="B2013" s="269"/>
      <c r="C2013" s="269"/>
      <c r="D2013" s="269"/>
      <c r="E2013" s="269"/>
      <c r="F2013" s="269"/>
      <c r="G2013" s="269"/>
      <c r="H2013" s="269"/>
      <c r="I2013" s="269"/>
      <c r="J2013" s="334"/>
      <c r="K2013" s="334"/>
      <c r="L2013" s="334"/>
      <c r="M2013" s="328"/>
      <c r="N2013" s="328"/>
      <c r="O2013" s="386"/>
      <c r="P2013" s="356"/>
      <c r="Q2013" s="380"/>
      <c r="S2013" s="336"/>
      <c r="T2013" s="62" ph="1"/>
      <c r="V2013" s="232"/>
      <c r="W2013" s="269"/>
      <c r="X2013" s="201"/>
      <c r="Y2013" s="269"/>
      <c r="Z2013" s="269"/>
      <c r="AA2013" s="269"/>
      <c r="AB2013" s="269"/>
      <c r="AC2013" s="269"/>
      <c r="AD2013" s="269"/>
      <c r="AE2013" s="269"/>
    </row>
    <row r="2014" spans="1:31" ht="26.25">
      <c r="A2014" s="269"/>
      <c r="B2014" s="269"/>
      <c r="C2014" s="269"/>
      <c r="D2014" s="269"/>
      <c r="E2014" s="269"/>
      <c r="F2014" s="269"/>
      <c r="G2014" s="269"/>
      <c r="H2014" s="269"/>
      <c r="I2014" s="269"/>
      <c r="J2014" s="334"/>
      <c r="K2014" s="334"/>
      <c r="L2014" s="334"/>
      <c r="M2014" s="328"/>
      <c r="N2014" s="328"/>
      <c r="O2014" s="386"/>
      <c r="P2014" s="356"/>
      <c r="Q2014" s="380"/>
      <c r="S2014" s="336"/>
      <c r="T2014" s="62" ph="1"/>
      <c r="V2014" s="232"/>
      <c r="W2014" s="269"/>
      <c r="X2014" s="201"/>
      <c r="Y2014" s="269"/>
      <c r="Z2014" s="269"/>
      <c r="AA2014" s="269"/>
      <c r="AB2014" s="269"/>
      <c r="AC2014" s="269"/>
      <c r="AD2014" s="269"/>
      <c r="AE2014" s="269"/>
    </row>
    <row r="2015" spans="1:31" ht="26.25">
      <c r="A2015" s="269"/>
      <c r="B2015" s="269"/>
      <c r="C2015" s="269"/>
      <c r="D2015" s="269"/>
      <c r="E2015" s="269"/>
      <c r="F2015" s="269"/>
      <c r="G2015" s="269"/>
      <c r="H2015" s="269"/>
      <c r="I2015" s="269"/>
      <c r="J2015" s="334"/>
      <c r="K2015" s="334"/>
      <c r="L2015" s="334"/>
      <c r="M2015" s="328"/>
      <c r="N2015" s="328"/>
      <c r="O2015" s="386"/>
      <c r="P2015" s="356"/>
      <c r="Q2015" s="380"/>
      <c r="S2015" s="336"/>
      <c r="T2015" s="62" ph="1"/>
      <c r="V2015" s="232"/>
      <c r="W2015" s="269"/>
      <c r="X2015" s="201"/>
      <c r="Y2015" s="269"/>
      <c r="Z2015" s="269"/>
      <c r="AA2015" s="269"/>
      <c r="AB2015" s="269"/>
      <c r="AC2015" s="269"/>
      <c r="AD2015" s="269"/>
      <c r="AE2015" s="269"/>
    </row>
    <row r="2016" spans="1:31" ht="26.25">
      <c r="A2016" s="269"/>
      <c r="B2016" s="269"/>
      <c r="C2016" s="269"/>
      <c r="D2016" s="269"/>
      <c r="E2016" s="269"/>
      <c r="F2016" s="269"/>
      <c r="G2016" s="269"/>
      <c r="H2016" s="269"/>
      <c r="I2016" s="269"/>
      <c r="J2016" s="334"/>
      <c r="K2016" s="334"/>
      <c r="L2016" s="334"/>
      <c r="M2016" s="328"/>
      <c r="N2016" s="328"/>
      <c r="O2016" s="386"/>
      <c r="P2016" s="356"/>
      <c r="Q2016" s="380"/>
      <c r="S2016" s="336"/>
      <c r="T2016" s="62" ph="1"/>
      <c r="V2016" s="232"/>
      <c r="W2016" s="269"/>
      <c r="X2016" s="201"/>
      <c r="Y2016" s="269"/>
      <c r="Z2016" s="269"/>
      <c r="AA2016" s="269"/>
      <c r="AB2016" s="269"/>
      <c r="AC2016" s="269"/>
      <c r="AD2016" s="269"/>
      <c r="AE2016" s="269"/>
    </row>
    <row r="2017" spans="1:31" ht="26.25">
      <c r="A2017" s="269"/>
      <c r="B2017" s="269"/>
      <c r="C2017" s="269"/>
      <c r="D2017" s="269"/>
      <c r="E2017" s="269"/>
      <c r="F2017" s="269"/>
      <c r="G2017" s="269"/>
      <c r="H2017" s="269"/>
      <c r="I2017" s="269"/>
      <c r="J2017" s="334"/>
      <c r="K2017" s="334"/>
      <c r="L2017" s="334"/>
      <c r="M2017" s="328"/>
      <c r="N2017" s="328"/>
      <c r="O2017" s="386"/>
      <c r="P2017" s="356"/>
      <c r="Q2017" s="380"/>
      <c r="S2017" s="336"/>
      <c r="T2017" s="62" ph="1"/>
      <c r="V2017" s="232"/>
      <c r="W2017" s="269"/>
      <c r="X2017" s="201"/>
      <c r="Y2017" s="269"/>
      <c r="Z2017" s="269"/>
      <c r="AA2017" s="269"/>
      <c r="AB2017" s="269"/>
      <c r="AC2017" s="269"/>
      <c r="AD2017" s="269"/>
      <c r="AE2017" s="269"/>
    </row>
    <row r="2018" spans="1:31" ht="26.25">
      <c r="A2018" s="269"/>
      <c r="B2018" s="269"/>
      <c r="C2018" s="269"/>
      <c r="D2018" s="269"/>
      <c r="E2018" s="269"/>
      <c r="F2018" s="269"/>
      <c r="G2018" s="269"/>
      <c r="H2018" s="269"/>
      <c r="I2018" s="269"/>
      <c r="J2018" s="334"/>
      <c r="K2018" s="334"/>
      <c r="L2018" s="334"/>
      <c r="M2018" s="328"/>
      <c r="N2018" s="328"/>
      <c r="O2018" s="386"/>
      <c r="P2018" s="356"/>
      <c r="Q2018" s="380"/>
      <c r="S2018" s="336"/>
      <c r="T2018" s="62" ph="1"/>
      <c r="V2018" s="232"/>
      <c r="W2018" s="269"/>
      <c r="X2018" s="201"/>
      <c r="Y2018" s="269"/>
      <c r="Z2018" s="269"/>
      <c r="AA2018" s="269"/>
      <c r="AB2018" s="269"/>
      <c r="AC2018" s="269"/>
      <c r="AD2018" s="269"/>
      <c r="AE2018" s="269"/>
    </row>
    <row r="2019" spans="1:31" ht="26.25">
      <c r="A2019" s="269"/>
      <c r="B2019" s="269"/>
      <c r="C2019" s="269"/>
      <c r="D2019" s="269"/>
      <c r="E2019" s="269"/>
      <c r="F2019" s="269"/>
      <c r="G2019" s="269"/>
      <c r="H2019" s="269"/>
      <c r="I2019" s="269"/>
      <c r="J2019" s="334"/>
      <c r="K2019" s="334"/>
      <c r="L2019" s="334"/>
      <c r="M2019" s="328"/>
      <c r="N2019" s="328"/>
      <c r="O2019" s="386"/>
      <c r="P2019" s="356"/>
      <c r="Q2019" s="380"/>
      <c r="S2019" s="336"/>
      <c r="T2019" s="62" ph="1"/>
      <c r="V2019" s="232"/>
      <c r="W2019" s="269"/>
      <c r="X2019" s="201"/>
      <c r="Y2019" s="269"/>
      <c r="Z2019" s="269"/>
      <c r="AA2019" s="269"/>
      <c r="AB2019" s="269"/>
      <c r="AC2019" s="269"/>
      <c r="AD2019" s="269"/>
      <c r="AE2019" s="269"/>
    </row>
    <row r="2020" spans="1:31" ht="26.25">
      <c r="A2020" s="269"/>
      <c r="B2020" s="269"/>
      <c r="C2020" s="269"/>
      <c r="D2020" s="269"/>
      <c r="E2020" s="269"/>
      <c r="F2020" s="269"/>
      <c r="G2020" s="269"/>
      <c r="H2020" s="269"/>
      <c r="I2020" s="269"/>
      <c r="J2020" s="334"/>
      <c r="K2020" s="334"/>
      <c r="L2020" s="334"/>
      <c r="M2020" s="328"/>
      <c r="N2020" s="328"/>
      <c r="O2020" s="386"/>
      <c r="P2020" s="356"/>
      <c r="Q2020" s="380"/>
      <c r="S2020" s="336"/>
      <c r="T2020" s="62" ph="1"/>
      <c r="V2020" s="232"/>
      <c r="W2020" s="269"/>
      <c r="X2020" s="201"/>
      <c r="Y2020" s="269"/>
      <c r="Z2020" s="269"/>
      <c r="AA2020" s="269"/>
      <c r="AB2020" s="269"/>
      <c r="AC2020" s="269"/>
      <c r="AD2020" s="269"/>
      <c r="AE2020" s="269"/>
    </row>
    <row r="2021" spans="1:31" ht="26.25">
      <c r="A2021" s="269"/>
      <c r="B2021" s="269"/>
      <c r="C2021" s="269"/>
      <c r="D2021" s="269"/>
      <c r="E2021" s="269"/>
      <c r="F2021" s="269"/>
      <c r="G2021" s="269"/>
      <c r="H2021" s="269"/>
      <c r="I2021" s="269"/>
      <c r="J2021" s="334"/>
      <c r="K2021" s="334"/>
      <c r="L2021" s="334"/>
      <c r="M2021" s="328"/>
      <c r="N2021" s="328"/>
      <c r="O2021" s="386"/>
      <c r="P2021" s="356"/>
      <c r="Q2021" s="380"/>
      <c r="S2021" s="336"/>
      <c r="T2021" s="62" ph="1"/>
      <c r="V2021" s="232"/>
      <c r="W2021" s="269"/>
      <c r="X2021" s="201"/>
      <c r="Y2021" s="269"/>
      <c r="Z2021" s="269"/>
      <c r="AA2021" s="269"/>
      <c r="AB2021" s="269"/>
      <c r="AC2021" s="269"/>
      <c r="AD2021" s="269"/>
      <c r="AE2021" s="269"/>
    </row>
    <row r="2022" spans="1:31" ht="26.25">
      <c r="A2022" s="269"/>
      <c r="B2022" s="269"/>
      <c r="C2022" s="269"/>
      <c r="D2022" s="269"/>
      <c r="E2022" s="269"/>
      <c r="F2022" s="269"/>
      <c r="G2022" s="269"/>
      <c r="H2022" s="269"/>
      <c r="I2022" s="269"/>
      <c r="J2022" s="334"/>
      <c r="K2022" s="334"/>
      <c r="L2022" s="334"/>
      <c r="M2022" s="328"/>
      <c r="N2022" s="328"/>
      <c r="O2022" s="386"/>
      <c r="P2022" s="356"/>
      <c r="Q2022" s="380"/>
      <c r="S2022" s="336"/>
      <c r="T2022" s="62" ph="1"/>
      <c r="V2022" s="232"/>
      <c r="W2022" s="269"/>
      <c r="X2022" s="201"/>
      <c r="Y2022" s="269"/>
      <c r="Z2022" s="269"/>
      <c r="AA2022" s="269"/>
      <c r="AB2022" s="269"/>
      <c r="AC2022" s="269"/>
      <c r="AD2022" s="269"/>
      <c r="AE2022" s="269"/>
    </row>
    <row r="2023" spans="1:31" ht="26.25">
      <c r="A2023" s="269"/>
      <c r="B2023" s="269"/>
      <c r="C2023" s="269"/>
      <c r="D2023" s="269"/>
      <c r="E2023" s="269"/>
      <c r="F2023" s="269"/>
      <c r="G2023" s="269"/>
      <c r="H2023" s="269"/>
      <c r="I2023" s="269"/>
      <c r="J2023" s="334"/>
      <c r="K2023" s="334"/>
      <c r="L2023" s="334"/>
      <c r="M2023" s="328"/>
      <c r="N2023" s="328"/>
      <c r="O2023" s="386"/>
      <c r="P2023" s="356"/>
      <c r="Q2023" s="380"/>
      <c r="S2023" s="336"/>
      <c r="T2023" s="62" ph="1"/>
      <c r="V2023" s="232"/>
      <c r="W2023" s="269"/>
      <c r="X2023" s="201"/>
      <c r="Y2023" s="269"/>
      <c r="Z2023" s="269"/>
      <c r="AA2023" s="269"/>
      <c r="AB2023" s="269"/>
      <c r="AC2023" s="269"/>
      <c r="AD2023" s="269"/>
      <c r="AE2023" s="269"/>
    </row>
    <row r="2024" spans="1:31" ht="26.25">
      <c r="A2024" s="269"/>
      <c r="B2024" s="269"/>
      <c r="C2024" s="269"/>
      <c r="D2024" s="269"/>
      <c r="E2024" s="269"/>
      <c r="F2024" s="269"/>
      <c r="G2024" s="269"/>
      <c r="H2024" s="269"/>
      <c r="I2024" s="269"/>
      <c r="J2024" s="334"/>
      <c r="K2024" s="334"/>
      <c r="L2024" s="334"/>
      <c r="M2024" s="328"/>
      <c r="N2024" s="328"/>
      <c r="O2024" s="386"/>
      <c r="P2024" s="356"/>
      <c r="Q2024" s="380"/>
      <c r="S2024" s="336"/>
      <c r="T2024" s="62" ph="1"/>
      <c r="V2024" s="232"/>
      <c r="W2024" s="269"/>
      <c r="X2024" s="201"/>
      <c r="Y2024" s="269"/>
      <c r="Z2024" s="269"/>
      <c r="AA2024" s="269"/>
      <c r="AB2024" s="269"/>
      <c r="AC2024" s="269"/>
      <c r="AD2024" s="269"/>
      <c r="AE2024" s="269"/>
    </row>
    <row r="2025" spans="1:31" ht="26.25">
      <c r="A2025" s="269"/>
      <c r="B2025" s="269"/>
      <c r="C2025" s="269"/>
      <c r="D2025" s="269"/>
      <c r="E2025" s="269"/>
      <c r="F2025" s="269"/>
      <c r="G2025" s="269"/>
      <c r="H2025" s="269"/>
      <c r="I2025" s="269"/>
      <c r="J2025" s="334"/>
      <c r="K2025" s="334"/>
      <c r="L2025" s="334"/>
      <c r="M2025" s="328"/>
      <c r="N2025" s="328"/>
      <c r="O2025" s="386"/>
      <c r="P2025" s="356"/>
      <c r="Q2025" s="380"/>
      <c r="S2025" s="336"/>
      <c r="T2025" s="62" ph="1"/>
      <c r="V2025" s="232"/>
      <c r="W2025" s="269"/>
      <c r="X2025" s="201"/>
      <c r="Y2025" s="269"/>
      <c r="Z2025" s="269"/>
      <c r="AA2025" s="269"/>
      <c r="AB2025" s="269"/>
      <c r="AC2025" s="269"/>
      <c r="AD2025" s="269"/>
      <c r="AE2025" s="269"/>
    </row>
    <row r="2026" spans="1:31" ht="26.25">
      <c r="A2026" s="269"/>
      <c r="B2026" s="269"/>
      <c r="C2026" s="269"/>
      <c r="D2026" s="269"/>
      <c r="E2026" s="269"/>
      <c r="F2026" s="269"/>
      <c r="G2026" s="269"/>
      <c r="H2026" s="269"/>
      <c r="I2026" s="269"/>
      <c r="J2026" s="334"/>
      <c r="K2026" s="334"/>
      <c r="L2026" s="334"/>
      <c r="M2026" s="328"/>
      <c r="N2026" s="328"/>
      <c r="O2026" s="386"/>
      <c r="P2026" s="356"/>
      <c r="Q2026" s="380"/>
      <c r="S2026" s="336"/>
      <c r="T2026" s="62" ph="1"/>
      <c r="V2026" s="232"/>
      <c r="W2026" s="269"/>
      <c r="X2026" s="201"/>
      <c r="Y2026" s="269"/>
      <c r="Z2026" s="269"/>
      <c r="AA2026" s="269"/>
      <c r="AB2026" s="269"/>
      <c r="AC2026" s="269"/>
      <c r="AD2026" s="269"/>
      <c r="AE2026" s="269"/>
    </row>
    <row r="2027" spans="1:31" ht="26.25">
      <c r="A2027" s="269"/>
      <c r="B2027" s="269"/>
      <c r="C2027" s="269"/>
      <c r="D2027" s="269"/>
      <c r="E2027" s="269"/>
      <c r="F2027" s="269"/>
      <c r="G2027" s="269"/>
      <c r="H2027" s="269"/>
      <c r="I2027" s="269"/>
      <c r="J2027" s="334"/>
      <c r="K2027" s="334"/>
      <c r="L2027" s="334"/>
      <c r="M2027" s="328"/>
      <c r="N2027" s="328"/>
      <c r="O2027" s="386"/>
      <c r="P2027" s="356"/>
      <c r="Q2027" s="380"/>
      <c r="S2027" s="336"/>
      <c r="T2027" s="62" ph="1"/>
      <c r="V2027" s="232"/>
      <c r="W2027" s="269"/>
      <c r="X2027" s="201"/>
      <c r="Y2027" s="269"/>
      <c r="Z2027" s="269"/>
      <c r="AA2027" s="269"/>
      <c r="AB2027" s="269"/>
      <c r="AC2027" s="269"/>
      <c r="AD2027" s="269"/>
      <c r="AE2027" s="269"/>
    </row>
    <row r="2028" spans="1:31" ht="26.25">
      <c r="A2028" s="269"/>
      <c r="B2028" s="269"/>
      <c r="C2028" s="269"/>
      <c r="D2028" s="269"/>
      <c r="E2028" s="269"/>
      <c r="F2028" s="269"/>
      <c r="G2028" s="269"/>
      <c r="H2028" s="269"/>
      <c r="I2028" s="269"/>
      <c r="J2028" s="334"/>
      <c r="K2028" s="334"/>
      <c r="L2028" s="334"/>
      <c r="M2028" s="328"/>
      <c r="N2028" s="328"/>
      <c r="O2028" s="386"/>
      <c r="P2028" s="356"/>
      <c r="Q2028" s="380"/>
      <c r="S2028" s="336"/>
      <c r="T2028" s="62" ph="1"/>
      <c r="V2028" s="232"/>
      <c r="W2028" s="269"/>
      <c r="X2028" s="201"/>
      <c r="Y2028" s="269"/>
      <c r="Z2028" s="269"/>
      <c r="AA2028" s="269"/>
      <c r="AB2028" s="269"/>
      <c r="AC2028" s="269"/>
      <c r="AD2028" s="269"/>
      <c r="AE2028" s="269"/>
    </row>
    <row r="2029" spans="1:31" ht="26.25">
      <c r="A2029" s="269"/>
      <c r="B2029" s="269"/>
      <c r="C2029" s="269"/>
      <c r="D2029" s="269"/>
      <c r="E2029" s="269"/>
      <c r="F2029" s="269"/>
      <c r="G2029" s="269"/>
      <c r="H2029" s="269"/>
      <c r="I2029" s="269"/>
      <c r="J2029" s="334"/>
      <c r="K2029" s="334"/>
      <c r="L2029" s="334"/>
      <c r="M2029" s="328"/>
      <c r="N2029" s="328"/>
      <c r="O2029" s="386"/>
      <c r="P2029" s="356"/>
      <c r="Q2029" s="380"/>
      <c r="S2029" s="336"/>
      <c r="T2029" s="62" ph="1"/>
      <c r="V2029" s="232"/>
      <c r="W2029" s="269"/>
      <c r="X2029" s="201"/>
      <c r="Y2029" s="269"/>
      <c r="Z2029" s="269"/>
      <c r="AA2029" s="269"/>
      <c r="AB2029" s="269"/>
      <c r="AC2029" s="269"/>
      <c r="AD2029" s="269"/>
      <c r="AE2029" s="269"/>
    </row>
    <row r="2030" spans="1:31" ht="26.25">
      <c r="A2030" s="269"/>
      <c r="B2030" s="269"/>
      <c r="C2030" s="269"/>
      <c r="D2030" s="269"/>
      <c r="E2030" s="269"/>
      <c r="F2030" s="269"/>
      <c r="G2030" s="269"/>
      <c r="H2030" s="269"/>
      <c r="I2030" s="269"/>
      <c r="J2030" s="334"/>
      <c r="K2030" s="334"/>
      <c r="L2030" s="334"/>
      <c r="M2030" s="328"/>
      <c r="N2030" s="328"/>
      <c r="O2030" s="386"/>
      <c r="P2030" s="356"/>
      <c r="Q2030" s="380"/>
      <c r="S2030" s="336"/>
      <c r="T2030" s="62" ph="1"/>
      <c r="V2030" s="232"/>
      <c r="W2030" s="269"/>
      <c r="X2030" s="201"/>
      <c r="Y2030" s="269"/>
      <c r="Z2030" s="269"/>
      <c r="AA2030" s="269"/>
      <c r="AB2030" s="269"/>
      <c r="AC2030" s="269"/>
      <c r="AD2030" s="269"/>
      <c r="AE2030" s="269"/>
    </row>
    <row r="2031" spans="1:31" ht="26.25">
      <c r="A2031" s="269"/>
      <c r="B2031" s="269"/>
      <c r="C2031" s="269"/>
      <c r="D2031" s="269"/>
      <c r="E2031" s="269"/>
      <c r="F2031" s="269"/>
      <c r="G2031" s="269"/>
      <c r="H2031" s="269"/>
      <c r="I2031" s="269"/>
      <c r="J2031" s="334"/>
      <c r="K2031" s="334"/>
      <c r="L2031" s="334"/>
      <c r="M2031" s="328"/>
      <c r="N2031" s="328"/>
      <c r="O2031" s="386"/>
      <c r="P2031" s="356"/>
      <c r="Q2031" s="380"/>
      <c r="S2031" s="336"/>
      <c r="T2031" s="62" ph="1"/>
      <c r="V2031" s="232"/>
      <c r="W2031" s="269"/>
      <c r="X2031" s="201"/>
      <c r="Y2031" s="269"/>
      <c r="Z2031" s="269"/>
      <c r="AA2031" s="269"/>
      <c r="AB2031" s="269"/>
      <c r="AC2031" s="269"/>
      <c r="AD2031" s="269"/>
      <c r="AE2031" s="269"/>
    </row>
    <row r="2032" spans="1:31" ht="26.25">
      <c r="A2032" s="269"/>
      <c r="B2032" s="269"/>
      <c r="C2032" s="269"/>
      <c r="D2032" s="269"/>
      <c r="E2032" s="269"/>
      <c r="F2032" s="269"/>
      <c r="G2032" s="269"/>
      <c r="H2032" s="269"/>
      <c r="I2032" s="269"/>
      <c r="J2032" s="334"/>
      <c r="K2032" s="334"/>
      <c r="L2032" s="334"/>
      <c r="M2032" s="328"/>
      <c r="N2032" s="328"/>
      <c r="O2032" s="386"/>
      <c r="P2032" s="356"/>
      <c r="Q2032" s="380"/>
      <c r="S2032" s="336"/>
      <c r="T2032" s="62" ph="1"/>
      <c r="V2032" s="232"/>
      <c r="W2032" s="269"/>
      <c r="X2032" s="201"/>
      <c r="Y2032" s="269"/>
      <c r="Z2032" s="269"/>
      <c r="AA2032" s="269"/>
      <c r="AB2032" s="269"/>
      <c r="AC2032" s="269"/>
      <c r="AD2032" s="269"/>
      <c r="AE2032" s="269"/>
    </row>
    <row r="2033" spans="1:31" ht="26.25">
      <c r="A2033" s="269"/>
      <c r="B2033" s="269"/>
      <c r="C2033" s="269"/>
      <c r="D2033" s="269"/>
      <c r="E2033" s="269"/>
      <c r="F2033" s="269"/>
      <c r="G2033" s="269"/>
      <c r="H2033" s="269"/>
      <c r="I2033" s="269"/>
      <c r="J2033" s="334"/>
      <c r="K2033" s="334"/>
      <c r="L2033" s="334"/>
      <c r="M2033" s="328"/>
      <c r="N2033" s="328"/>
      <c r="O2033" s="386"/>
      <c r="P2033" s="356"/>
      <c r="Q2033" s="380"/>
      <c r="S2033" s="336"/>
      <c r="T2033" s="62" ph="1"/>
      <c r="V2033" s="232"/>
      <c r="W2033" s="269"/>
      <c r="X2033" s="201"/>
      <c r="Y2033" s="269"/>
      <c r="Z2033" s="269"/>
      <c r="AA2033" s="269"/>
      <c r="AB2033" s="269"/>
      <c r="AC2033" s="269"/>
      <c r="AD2033" s="269"/>
      <c r="AE2033" s="269"/>
    </row>
    <row r="2034" spans="1:31" ht="26.25">
      <c r="A2034" s="269"/>
      <c r="B2034" s="269"/>
      <c r="C2034" s="269"/>
      <c r="D2034" s="269"/>
      <c r="E2034" s="269"/>
      <c r="F2034" s="269"/>
      <c r="G2034" s="269"/>
      <c r="H2034" s="269"/>
      <c r="I2034" s="269"/>
      <c r="J2034" s="334"/>
      <c r="K2034" s="334"/>
      <c r="L2034" s="334"/>
      <c r="M2034" s="328"/>
      <c r="N2034" s="328"/>
      <c r="O2034" s="386"/>
      <c r="P2034" s="356"/>
      <c r="Q2034" s="380"/>
      <c r="S2034" s="336"/>
      <c r="T2034" s="62" ph="1"/>
      <c r="V2034" s="232"/>
      <c r="W2034" s="269"/>
      <c r="X2034" s="201"/>
      <c r="Y2034" s="269"/>
      <c r="Z2034" s="269"/>
      <c r="AA2034" s="269"/>
      <c r="AB2034" s="269"/>
      <c r="AC2034" s="269"/>
      <c r="AD2034" s="269"/>
      <c r="AE2034" s="269"/>
    </row>
    <row r="2035" spans="1:31" ht="26.25">
      <c r="A2035" s="269"/>
      <c r="B2035" s="269"/>
      <c r="C2035" s="269"/>
      <c r="D2035" s="269"/>
      <c r="E2035" s="269"/>
      <c r="F2035" s="269"/>
      <c r="G2035" s="269"/>
      <c r="H2035" s="269"/>
      <c r="I2035" s="269"/>
      <c r="J2035" s="334"/>
      <c r="K2035" s="334"/>
      <c r="L2035" s="334"/>
      <c r="M2035" s="328"/>
      <c r="N2035" s="328"/>
      <c r="O2035" s="386"/>
      <c r="P2035" s="356"/>
      <c r="Q2035" s="380"/>
      <c r="S2035" s="336"/>
      <c r="T2035" s="62" ph="1"/>
      <c r="V2035" s="232"/>
      <c r="W2035" s="269"/>
      <c r="X2035" s="201"/>
      <c r="Y2035" s="269"/>
      <c r="Z2035" s="269"/>
      <c r="AA2035" s="269"/>
      <c r="AB2035" s="269"/>
      <c r="AC2035" s="269"/>
      <c r="AD2035" s="269"/>
      <c r="AE2035" s="269"/>
    </row>
    <row r="2036" spans="1:31" ht="26.25">
      <c r="A2036" s="269"/>
      <c r="B2036" s="269"/>
      <c r="C2036" s="269"/>
      <c r="D2036" s="269"/>
      <c r="E2036" s="269"/>
      <c r="F2036" s="269"/>
      <c r="G2036" s="269"/>
      <c r="H2036" s="269"/>
      <c r="I2036" s="269"/>
      <c r="J2036" s="334"/>
      <c r="K2036" s="334"/>
      <c r="L2036" s="334"/>
      <c r="M2036" s="328"/>
      <c r="N2036" s="328"/>
      <c r="O2036" s="386"/>
      <c r="P2036" s="356"/>
      <c r="Q2036" s="380"/>
      <c r="S2036" s="336"/>
      <c r="T2036" s="62" ph="1"/>
      <c r="V2036" s="232"/>
      <c r="W2036" s="269"/>
      <c r="X2036" s="201"/>
      <c r="Y2036" s="269"/>
      <c r="Z2036" s="269"/>
      <c r="AA2036" s="269"/>
      <c r="AB2036" s="269"/>
      <c r="AC2036" s="269"/>
      <c r="AD2036" s="269"/>
      <c r="AE2036" s="269"/>
    </row>
    <row r="2037" spans="1:31" ht="26.25">
      <c r="A2037" s="269"/>
      <c r="B2037" s="269"/>
      <c r="C2037" s="269"/>
      <c r="D2037" s="269"/>
      <c r="E2037" s="269"/>
      <c r="F2037" s="269"/>
      <c r="G2037" s="269"/>
      <c r="H2037" s="269"/>
      <c r="I2037" s="269"/>
      <c r="J2037" s="334"/>
      <c r="K2037" s="334"/>
      <c r="L2037" s="334"/>
      <c r="M2037" s="328"/>
      <c r="N2037" s="328"/>
      <c r="O2037" s="386"/>
      <c r="P2037" s="356"/>
      <c r="Q2037" s="380"/>
      <c r="S2037" s="336"/>
      <c r="T2037" s="62" ph="1"/>
      <c r="V2037" s="232"/>
      <c r="W2037" s="269"/>
      <c r="X2037" s="201"/>
      <c r="Y2037" s="269"/>
      <c r="Z2037" s="269"/>
      <c r="AA2037" s="269"/>
      <c r="AB2037" s="269"/>
      <c r="AC2037" s="269"/>
      <c r="AD2037" s="269"/>
      <c r="AE2037" s="269"/>
    </row>
    <row r="2038" spans="1:31" ht="26.25">
      <c r="A2038" s="269"/>
      <c r="B2038" s="269"/>
      <c r="C2038" s="269"/>
      <c r="D2038" s="269"/>
      <c r="E2038" s="269"/>
      <c r="F2038" s="269"/>
      <c r="G2038" s="269"/>
      <c r="H2038" s="269"/>
      <c r="I2038" s="269"/>
      <c r="J2038" s="334"/>
      <c r="K2038" s="334"/>
      <c r="L2038" s="334"/>
      <c r="M2038" s="328"/>
      <c r="N2038" s="328"/>
      <c r="O2038" s="386"/>
      <c r="P2038" s="356"/>
      <c r="Q2038" s="380"/>
      <c r="S2038" s="336"/>
      <c r="T2038" s="62" ph="1"/>
      <c r="V2038" s="232"/>
      <c r="W2038" s="269"/>
      <c r="X2038" s="201"/>
      <c r="Y2038" s="269"/>
      <c r="Z2038" s="269"/>
      <c r="AA2038" s="269"/>
      <c r="AB2038" s="269"/>
      <c r="AC2038" s="269"/>
      <c r="AD2038" s="269"/>
      <c r="AE2038" s="269"/>
    </row>
    <row r="2039" spans="1:31" ht="26.25">
      <c r="A2039" s="269"/>
      <c r="B2039" s="269"/>
      <c r="C2039" s="269"/>
      <c r="D2039" s="269"/>
      <c r="E2039" s="269"/>
      <c r="F2039" s="269"/>
      <c r="G2039" s="269"/>
      <c r="H2039" s="269"/>
      <c r="I2039" s="269"/>
      <c r="J2039" s="334"/>
      <c r="K2039" s="334"/>
      <c r="L2039" s="334"/>
      <c r="M2039" s="328"/>
      <c r="N2039" s="328"/>
      <c r="O2039" s="386"/>
      <c r="P2039" s="356"/>
      <c r="Q2039" s="380"/>
      <c r="S2039" s="336"/>
      <c r="T2039" s="62" ph="1"/>
      <c r="V2039" s="232"/>
      <c r="W2039" s="269"/>
      <c r="X2039" s="201"/>
      <c r="Y2039" s="269"/>
      <c r="Z2039" s="269"/>
      <c r="AA2039" s="269"/>
      <c r="AB2039" s="269"/>
      <c r="AC2039" s="269"/>
      <c r="AD2039" s="269"/>
      <c r="AE2039" s="269"/>
    </row>
    <row r="2040" spans="1:31" ht="26.25">
      <c r="A2040" s="269"/>
      <c r="B2040" s="269"/>
      <c r="C2040" s="269"/>
      <c r="D2040" s="269"/>
      <c r="E2040" s="269"/>
      <c r="F2040" s="269"/>
      <c r="G2040" s="269"/>
      <c r="H2040" s="269"/>
      <c r="I2040" s="269"/>
      <c r="J2040" s="334"/>
      <c r="K2040" s="334"/>
      <c r="L2040" s="334"/>
      <c r="M2040" s="328"/>
      <c r="N2040" s="328"/>
      <c r="O2040" s="386"/>
      <c r="P2040" s="356"/>
      <c r="Q2040" s="380"/>
      <c r="S2040" s="336"/>
      <c r="T2040" s="62" ph="1"/>
      <c r="V2040" s="232"/>
      <c r="W2040" s="269"/>
      <c r="X2040" s="201"/>
      <c r="Y2040" s="269"/>
      <c r="Z2040" s="269"/>
      <c r="AA2040" s="269"/>
      <c r="AB2040" s="269"/>
      <c r="AC2040" s="269"/>
      <c r="AD2040" s="269"/>
      <c r="AE2040" s="269"/>
    </row>
    <row r="2041" spans="1:31" ht="26.25">
      <c r="A2041" s="269"/>
      <c r="B2041" s="269"/>
      <c r="C2041" s="269"/>
      <c r="D2041" s="269"/>
      <c r="E2041" s="269"/>
      <c r="F2041" s="269"/>
      <c r="G2041" s="269"/>
      <c r="H2041" s="269"/>
      <c r="I2041" s="269"/>
      <c r="J2041" s="334"/>
      <c r="K2041" s="334"/>
      <c r="L2041" s="334"/>
      <c r="M2041" s="328"/>
      <c r="N2041" s="328"/>
      <c r="O2041" s="386"/>
      <c r="P2041" s="356"/>
      <c r="Q2041" s="380"/>
      <c r="S2041" s="336"/>
      <c r="T2041" s="62" ph="1"/>
      <c r="V2041" s="232"/>
      <c r="W2041" s="269"/>
      <c r="X2041" s="201"/>
      <c r="Y2041" s="269"/>
      <c r="Z2041" s="269"/>
      <c r="AA2041" s="269"/>
      <c r="AB2041" s="269"/>
      <c r="AC2041" s="269"/>
      <c r="AD2041" s="269"/>
      <c r="AE2041" s="269"/>
    </row>
    <row r="2042" spans="1:31" ht="26.25">
      <c r="A2042" s="269"/>
      <c r="B2042" s="269"/>
      <c r="C2042" s="269"/>
      <c r="D2042" s="269"/>
      <c r="E2042" s="269"/>
      <c r="F2042" s="269"/>
      <c r="G2042" s="269"/>
      <c r="H2042" s="269"/>
      <c r="I2042" s="269"/>
      <c r="J2042" s="334"/>
      <c r="K2042" s="334"/>
      <c r="L2042" s="334"/>
      <c r="M2042" s="328"/>
      <c r="N2042" s="328"/>
      <c r="O2042" s="386"/>
      <c r="P2042" s="356"/>
      <c r="Q2042" s="380"/>
      <c r="S2042" s="336"/>
      <c r="T2042" s="62" ph="1"/>
      <c r="V2042" s="232"/>
      <c r="W2042" s="269"/>
      <c r="X2042" s="201"/>
      <c r="Y2042" s="269"/>
      <c r="Z2042" s="269"/>
      <c r="AA2042" s="269"/>
      <c r="AB2042" s="269"/>
      <c r="AC2042" s="269"/>
      <c r="AD2042" s="269"/>
      <c r="AE2042" s="269"/>
    </row>
    <row r="2043" spans="1:31" ht="26.25">
      <c r="A2043" s="269"/>
      <c r="B2043" s="269"/>
      <c r="C2043" s="269"/>
      <c r="D2043" s="269"/>
      <c r="E2043" s="269"/>
      <c r="F2043" s="269"/>
      <c r="G2043" s="269"/>
      <c r="H2043" s="269"/>
      <c r="I2043" s="269"/>
      <c r="J2043" s="334"/>
      <c r="K2043" s="334"/>
      <c r="L2043" s="334"/>
      <c r="M2043" s="328"/>
      <c r="N2043" s="328"/>
      <c r="O2043" s="386"/>
      <c r="P2043" s="356"/>
      <c r="Q2043" s="380"/>
      <c r="S2043" s="336"/>
      <c r="T2043" s="62" ph="1"/>
      <c r="V2043" s="232"/>
      <c r="W2043" s="269"/>
      <c r="X2043" s="201"/>
      <c r="Y2043" s="269"/>
      <c r="Z2043" s="269"/>
      <c r="AA2043" s="269"/>
      <c r="AB2043" s="269"/>
      <c r="AC2043" s="269"/>
      <c r="AD2043" s="269"/>
      <c r="AE2043" s="269"/>
    </row>
    <row r="2044" spans="1:31" ht="26.25">
      <c r="A2044" s="269"/>
      <c r="B2044" s="269"/>
      <c r="C2044" s="269"/>
      <c r="D2044" s="269"/>
      <c r="E2044" s="269"/>
      <c r="F2044" s="269"/>
      <c r="G2044" s="269"/>
      <c r="H2044" s="269"/>
      <c r="I2044" s="269"/>
      <c r="J2044" s="334"/>
      <c r="K2044" s="334"/>
      <c r="L2044" s="334"/>
      <c r="M2044" s="328"/>
      <c r="N2044" s="328"/>
      <c r="O2044" s="386"/>
      <c r="P2044" s="356"/>
      <c r="Q2044" s="380"/>
      <c r="S2044" s="336"/>
      <c r="T2044" s="62" ph="1"/>
      <c r="V2044" s="232"/>
      <c r="W2044" s="269"/>
      <c r="X2044" s="201"/>
      <c r="Y2044" s="269"/>
      <c r="Z2044" s="269"/>
      <c r="AA2044" s="269"/>
      <c r="AB2044" s="269"/>
      <c r="AC2044" s="269"/>
      <c r="AD2044" s="269"/>
      <c r="AE2044" s="269"/>
    </row>
    <row r="2045" spans="1:31" ht="26.25">
      <c r="A2045" s="269"/>
      <c r="B2045" s="269"/>
      <c r="C2045" s="269"/>
      <c r="D2045" s="269"/>
      <c r="E2045" s="269"/>
      <c r="F2045" s="269"/>
      <c r="G2045" s="269"/>
      <c r="H2045" s="269"/>
      <c r="I2045" s="269"/>
      <c r="J2045" s="334"/>
      <c r="K2045" s="334"/>
      <c r="L2045" s="334"/>
      <c r="M2045" s="328"/>
      <c r="N2045" s="328"/>
      <c r="O2045" s="386"/>
      <c r="P2045" s="356"/>
      <c r="Q2045" s="380"/>
      <c r="S2045" s="336"/>
      <c r="T2045" s="62" ph="1"/>
      <c r="V2045" s="232"/>
      <c r="W2045" s="269"/>
      <c r="X2045" s="201"/>
      <c r="Y2045" s="269"/>
      <c r="Z2045" s="269"/>
      <c r="AA2045" s="269"/>
      <c r="AB2045" s="269"/>
      <c r="AC2045" s="269"/>
      <c r="AD2045" s="269"/>
      <c r="AE2045" s="269"/>
    </row>
    <row r="2046" spans="1:31" ht="26.25">
      <c r="A2046" s="269"/>
      <c r="B2046" s="269"/>
      <c r="C2046" s="269"/>
      <c r="D2046" s="269"/>
      <c r="E2046" s="269"/>
      <c r="F2046" s="269"/>
      <c r="G2046" s="269"/>
      <c r="H2046" s="269"/>
      <c r="I2046" s="269"/>
      <c r="J2046" s="334"/>
      <c r="K2046" s="334"/>
      <c r="L2046" s="334"/>
      <c r="M2046" s="328"/>
      <c r="N2046" s="328"/>
      <c r="O2046" s="386"/>
      <c r="P2046" s="356"/>
      <c r="Q2046" s="380"/>
      <c r="S2046" s="336"/>
      <c r="T2046" s="62" ph="1"/>
      <c r="V2046" s="232"/>
      <c r="W2046" s="269"/>
      <c r="X2046" s="201"/>
      <c r="Y2046" s="269"/>
      <c r="Z2046" s="269"/>
      <c r="AA2046" s="269"/>
      <c r="AB2046" s="269"/>
      <c r="AC2046" s="269"/>
      <c r="AD2046" s="269"/>
      <c r="AE2046" s="269"/>
    </row>
    <row r="2047" spans="1:31" ht="26.25">
      <c r="A2047" s="269"/>
      <c r="B2047" s="269"/>
      <c r="C2047" s="269"/>
      <c r="D2047" s="269"/>
      <c r="E2047" s="269"/>
      <c r="F2047" s="269"/>
      <c r="G2047" s="269"/>
      <c r="H2047" s="269"/>
      <c r="I2047" s="269"/>
      <c r="J2047" s="334"/>
      <c r="K2047" s="334"/>
      <c r="L2047" s="334"/>
      <c r="M2047" s="328"/>
      <c r="N2047" s="328"/>
      <c r="O2047" s="386"/>
      <c r="P2047" s="356"/>
      <c r="Q2047" s="380"/>
      <c r="S2047" s="336"/>
      <c r="T2047" s="62" ph="1"/>
      <c r="V2047" s="232"/>
      <c r="W2047" s="269"/>
      <c r="X2047" s="201"/>
      <c r="Y2047" s="269"/>
      <c r="Z2047" s="269"/>
      <c r="AA2047" s="269"/>
      <c r="AB2047" s="269"/>
      <c r="AC2047" s="269"/>
      <c r="AD2047" s="269"/>
      <c r="AE2047" s="269"/>
    </row>
    <row r="2048" spans="1:31" ht="26.25">
      <c r="A2048" s="269"/>
      <c r="B2048" s="269"/>
      <c r="C2048" s="269"/>
      <c r="D2048" s="269"/>
      <c r="E2048" s="269"/>
      <c r="F2048" s="269"/>
      <c r="G2048" s="269"/>
      <c r="H2048" s="269"/>
      <c r="I2048" s="269"/>
      <c r="J2048" s="334"/>
      <c r="K2048" s="334"/>
      <c r="L2048" s="334"/>
      <c r="M2048" s="328"/>
      <c r="N2048" s="328"/>
      <c r="O2048" s="386"/>
      <c r="P2048" s="356"/>
      <c r="Q2048" s="380"/>
      <c r="S2048" s="336"/>
      <c r="T2048" s="62" ph="1"/>
      <c r="V2048" s="232"/>
      <c r="W2048" s="269"/>
      <c r="X2048" s="201"/>
      <c r="Y2048" s="269"/>
      <c r="Z2048" s="269"/>
      <c r="AA2048" s="269"/>
      <c r="AB2048" s="269"/>
      <c r="AC2048" s="269"/>
      <c r="AD2048" s="269"/>
      <c r="AE2048" s="269"/>
    </row>
    <row r="2049" spans="1:31" ht="26.25">
      <c r="A2049" s="269"/>
      <c r="B2049" s="269"/>
      <c r="C2049" s="269"/>
      <c r="D2049" s="269"/>
      <c r="E2049" s="269"/>
      <c r="F2049" s="269"/>
      <c r="G2049" s="269"/>
      <c r="H2049" s="269"/>
      <c r="I2049" s="269"/>
      <c r="J2049" s="334"/>
      <c r="K2049" s="334"/>
      <c r="L2049" s="334"/>
      <c r="M2049" s="328"/>
      <c r="N2049" s="328"/>
      <c r="O2049" s="386"/>
      <c r="P2049" s="356"/>
      <c r="Q2049" s="380"/>
      <c r="S2049" s="336"/>
      <c r="T2049" s="62" ph="1"/>
      <c r="V2049" s="232"/>
      <c r="W2049" s="269"/>
      <c r="X2049" s="201"/>
      <c r="Y2049" s="269"/>
      <c r="Z2049" s="269"/>
      <c r="AA2049" s="269"/>
      <c r="AB2049" s="269"/>
      <c r="AC2049" s="269"/>
      <c r="AD2049" s="269"/>
      <c r="AE2049" s="269"/>
    </row>
    <row r="2050" spans="1:31" ht="26.25">
      <c r="A2050" s="269"/>
      <c r="B2050" s="269"/>
      <c r="C2050" s="269"/>
      <c r="D2050" s="269"/>
      <c r="E2050" s="269"/>
      <c r="F2050" s="269"/>
      <c r="G2050" s="269"/>
      <c r="H2050" s="269"/>
      <c r="I2050" s="269"/>
      <c r="J2050" s="334"/>
      <c r="K2050" s="334"/>
      <c r="L2050" s="334"/>
      <c r="M2050" s="328"/>
      <c r="N2050" s="328"/>
      <c r="O2050" s="386"/>
      <c r="P2050" s="356"/>
      <c r="Q2050" s="380"/>
      <c r="S2050" s="336"/>
      <c r="T2050" s="62" ph="1"/>
      <c r="V2050" s="232"/>
      <c r="W2050" s="269"/>
      <c r="X2050" s="201"/>
      <c r="Y2050" s="269"/>
      <c r="Z2050" s="269"/>
      <c r="AA2050" s="269"/>
      <c r="AB2050" s="269"/>
      <c r="AC2050" s="269"/>
      <c r="AD2050" s="269"/>
      <c r="AE2050" s="269"/>
    </row>
    <row r="2051" spans="1:31" ht="26.25">
      <c r="A2051" s="269"/>
      <c r="B2051" s="269"/>
      <c r="C2051" s="269"/>
      <c r="D2051" s="269"/>
      <c r="E2051" s="269"/>
      <c r="F2051" s="269"/>
      <c r="G2051" s="269"/>
      <c r="H2051" s="269"/>
      <c r="I2051" s="269"/>
      <c r="J2051" s="334"/>
      <c r="K2051" s="334"/>
      <c r="L2051" s="334"/>
      <c r="M2051" s="328"/>
      <c r="N2051" s="328"/>
      <c r="O2051" s="386"/>
      <c r="P2051" s="356"/>
      <c r="Q2051" s="380"/>
      <c r="S2051" s="336"/>
      <c r="T2051" s="62" ph="1"/>
      <c r="V2051" s="232"/>
      <c r="W2051" s="269"/>
      <c r="X2051" s="201"/>
      <c r="Y2051" s="269"/>
      <c r="Z2051" s="269"/>
      <c r="AA2051" s="269"/>
      <c r="AB2051" s="269"/>
      <c r="AC2051" s="269"/>
      <c r="AD2051" s="269"/>
      <c r="AE2051" s="269"/>
    </row>
    <row r="2052" spans="1:31" ht="26.25">
      <c r="A2052" s="269"/>
      <c r="B2052" s="269"/>
      <c r="C2052" s="269"/>
      <c r="D2052" s="269"/>
      <c r="E2052" s="269"/>
      <c r="F2052" s="269"/>
      <c r="G2052" s="269"/>
      <c r="H2052" s="269"/>
      <c r="I2052" s="269"/>
      <c r="J2052" s="334"/>
      <c r="K2052" s="334"/>
      <c r="L2052" s="334"/>
      <c r="M2052" s="328"/>
      <c r="N2052" s="328"/>
      <c r="O2052" s="386"/>
      <c r="P2052" s="356"/>
      <c r="Q2052" s="380"/>
      <c r="S2052" s="336"/>
      <c r="T2052" s="62" ph="1"/>
      <c r="V2052" s="232"/>
      <c r="W2052" s="269"/>
      <c r="X2052" s="201"/>
      <c r="Y2052" s="269"/>
      <c r="Z2052" s="269"/>
      <c r="AA2052" s="269"/>
      <c r="AB2052" s="269"/>
      <c r="AC2052" s="269"/>
      <c r="AD2052" s="269"/>
      <c r="AE2052" s="269"/>
    </row>
    <row r="2053" spans="1:31" ht="26.25">
      <c r="A2053" s="269"/>
      <c r="B2053" s="269"/>
      <c r="C2053" s="269"/>
      <c r="D2053" s="269"/>
      <c r="E2053" s="269"/>
      <c r="F2053" s="269"/>
      <c r="G2053" s="269"/>
      <c r="H2053" s="269"/>
      <c r="I2053" s="269"/>
      <c r="J2053" s="334"/>
      <c r="K2053" s="334"/>
      <c r="L2053" s="334"/>
      <c r="M2053" s="328"/>
      <c r="N2053" s="328"/>
      <c r="O2053" s="386"/>
      <c r="P2053" s="356"/>
      <c r="Q2053" s="380"/>
      <c r="S2053" s="336"/>
      <c r="T2053" s="62" ph="1"/>
      <c r="V2053" s="232"/>
      <c r="W2053" s="269"/>
      <c r="X2053" s="201"/>
      <c r="Y2053" s="269"/>
      <c r="Z2053" s="269"/>
      <c r="AA2053" s="269"/>
      <c r="AB2053" s="269"/>
      <c r="AC2053" s="269"/>
      <c r="AD2053" s="269"/>
      <c r="AE2053" s="269"/>
    </row>
    <row r="2054" spans="1:31" ht="26.25">
      <c r="A2054" s="269"/>
      <c r="B2054" s="269"/>
      <c r="C2054" s="269"/>
      <c r="D2054" s="269"/>
      <c r="E2054" s="269"/>
      <c r="F2054" s="269"/>
      <c r="G2054" s="269"/>
      <c r="H2054" s="269"/>
      <c r="I2054" s="269"/>
      <c r="J2054" s="334"/>
      <c r="K2054" s="334"/>
      <c r="L2054" s="334"/>
      <c r="M2054" s="328"/>
      <c r="N2054" s="328"/>
      <c r="O2054" s="386"/>
      <c r="P2054" s="356"/>
      <c r="Q2054" s="380"/>
      <c r="S2054" s="336"/>
      <c r="T2054" s="62" ph="1"/>
      <c r="V2054" s="232"/>
      <c r="W2054" s="269"/>
      <c r="X2054" s="201"/>
      <c r="Y2054" s="269"/>
      <c r="Z2054" s="269"/>
      <c r="AA2054" s="269"/>
      <c r="AB2054" s="269"/>
      <c r="AC2054" s="269"/>
      <c r="AD2054" s="269"/>
      <c r="AE2054" s="269"/>
    </row>
    <row r="2055" spans="1:31" ht="26.25">
      <c r="A2055" s="269"/>
      <c r="B2055" s="269"/>
      <c r="C2055" s="269"/>
      <c r="D2055" s="269"/>
      <c r="E2055" s="269"/>
      <c r="F2055" s="269"/>
      <c r="G2055" s="269"/>
      <c r="H2055" s="269"/>
      <c r="I2055" s="269"/>
      <c r="J2055" s="334"/>
      <c r="K2055" s="334"/>
      <c r="L2055" s="334"/>
      <c r="M2055" s="328"/>
      <c r="N2055" s="328"/>
      <c r="O2055" s="386"/>
      <c r="P2055" s="356"/>
      <c r="Q2055" s="380"/>
      <c r="S2055" s="336"/>
      <c r="T2055" s="62" ph="1"/>
      <c r="V2055" s="232"/>
      <c r="W2055" s="269"/>
      <c r="X2055" s="201"/>
      <c r="Y2055" s="269"/>
      <c r="Z2055" s="269"/>
      <c r="AA2055" s="269"/>
      <c r="AB2055" s="269"/>
      <c r="AC2055" s="269"/>
      <c r="AD2055" s="269"/>
      <c r="AE2055" s="269"/>
    </row>
    <row r="2056" spans="1:31" ht="26.25">
      <c r="A2056" s="269"/>
      <c r="B2056" s="269"/>
      <c r="C2056" s="269"/>
      <c r="D2056" s="269"/>
      <c r="E2056" s="269"/>
      <c r="F2056" s="269"/>
      <c r="G2056" s="269"/>
      <c r="H2056" s="269"/>
      <c r="I2056" s="269"/>
      <c r="J2056" s="334"/>
      <c r="K2056" s="334"/>
      <c r="L2056" s="334"/>
      <c r="M2056" s="328"/>
      <c r="N2056" s="328"/>
      <c r="O2056" s="386"/>
      <c r="P2056" s="356"/>
      <c r="Q2056" s="380"/>
      <c r="S2056" s="336"/>
      <c r="T2056" s="62" ph="1"/>
      <c r="V2056" s="232"/>
      <c r="W2056" s="269"/>
      <c r="X2056" s="201"/>
      <c r="Y2056" s="269"/>
      <c r="Z2056" s="269"/>
      <c r="AA2056" s="269"/>
      <c r="AB2056" s="269"/>
      <c r="AC2056" s="269"/>
      <c r="AD2056" s="269"/>
      <c r="AE2056" s="269"/>
    </row>
    <row r="2057" spans="1:31" ht="26.25">
      <c r="A2057" s="269"/>
      <c r="B2057" s="269"/>
      <c r="C2057" s="269"/>
      <c r="D2057" s="269"/>
      <c r="E2057" s="269"/>
      <c r="F2057" s="269"/>
      <c r="G2057" s="269"/>
      <c r="H2057" s="269"/>
      <c r="I2057" s="269"/>
      <c r="J2057" s="334"/>
      <c r="K2057" s="334"/>
      <c r="L2057" s="334"/>
      <c r="M2057" s="328"/>
      <c r="N2057" s="328"/>
      <c r="O2057" s="386"/>
      <c r="P2057" s="356"/>
      <c r="Q2057" s="380"/>
      <c r="S2057" s="336"/>
      <c r="T2057" s="62" ph="1"/>
      <c r="V2057" s="232"/>
      <c r="W2057" s="269"/>
      <c r="X2057" s="201"/>
      <c r="Y2057" s="269"/>
      <c r="Z2057" s="269"/>
      <c r="AA2057" s="269"/>
      <c r="AB2057" s="269"/>
      <c r="AC2057" s="269"/>
      <c r="AD2057" s="269"/>
      <c r="AE2057" s="269"/>
    </row>
    <row r="2058" spans="1:31" ht="26.25">
      <c r="A2058" s="269"/>
      <c r="B2058" s="269"/>
      <c r="C2058" s="269"/>
      <c r="D2058" s="269"/>
      <c r="E2058" s="269"/>
      <c r="F2058" s="269"/>
      <c r="G2058" s="269"/>
      <c r="H2058" s="269"/>
      <c r="I2058" s="269"/>
      <c r="J2058" s="334"/>
      <c r="K2058" s="334"/>
      <c r="L2058" s="334"/>
      <c r="M2058" s="328"/>
      <c r="N2058" s="328"/>
      <c r="O2058" s="386"/>
      <c r="P2058" s="356"/>
      <c r="Q2058" s="380"/>
      <c r="S2058" s="336"/>
      <c r="T2058" s="62" ph="1"/>
      <c r="V2058" s="232"/>
      <c r="W2058" s="269"/>
      <c r="X2058" s="201"/>
      <c r="Y2058" s="269"/>
      <c r="Z2058" s="269"/>
      <c r="AA2058" s="269"/>
      <c r="AB2058" s="269"/>
      <c r="AC2058" s="269"/>
      <c r="AD2058" s="269"/>
      <c r="AE2058" s="269"/>
    </row>
    <row r="2059" spans="1:31" ht="26.25">
      <c r="A2059" s="269"/>
      <c r="B2059" s="269"/>
      <c r="C2059" s="269"/>
      <c r="D2059" s="269"/>
      <c r="E2059" s="269"/>
      <c r="F2059" s="269"/>
      <c r="G2059" s="269"/>
      <c r="H2059" s="269"/>
      <c r="I2059" s="269"/>
      <c r="J2059" s="334"/>
      <c r="K2059" s="334"/>
      <c r="L2059" s="334"/>
      <c r="M2059" s="328"/>
      <c r="N2059" s="328"/>
      <c r="O2059" s="386"/>
      <c r="P2059" s="356"/>
      <c r="Q2059" s="380"/>
      <c r="S2059" s="336"/>
      <c r="T2059" s="62" ph="1"/>
      <c r="V2059" s="232"/>
      <c r="W2059" s="269"/>
      <c r="X2059" s="201"/>
      <c r="Y2059" s="269"/>
      <c r="Z2059" s="269"/>
      <c r="AA2059" s="269"/>
      <c r="AB2059" s="269"/>
      <c r="AC2059" s="269"/>
      <c r="AD2059" s="269"/>
      <c r="AE2059" s="269"/>
    </row>
    <row r="2060" spans="1:31" ht="26.25">
      <c r="A2060" s="269"/>
      <c r="B2060" s="269"/>
      <c r="C2060" s="269"/>
      <c r="D2060" s="269"/>
      <c r="E2060" s="269"/>
      <c r="F2060" s="269"/>
      <c r="G2060" s="269"/>
      <c r="H2060" s="269"/>
      <c r="I2060" s="269"/>
      <c r="J2060" s="334"/>
      <c r="K2060" s="334"/>
      <c r="L2060" s="334"/>
      <c r="M2060" s="328"/>
      <c r="N2060" s="328"/>
      <c r="O2060" s="386"/>
      <c r="P2060" s="356"/>
      <c r="Q2060" s="380"/>
      <c r="S2060" s="336"/>
      <c r="T2060" s="62" ph="1"/>
      <c r="V2060" s="232"/>
      <c r="W2060" s="269"/>
      <c r="X2060" s="201"/>
      <c r="Y2060" s="269"/>
      <c r="Z2060" s="269"/>
      <c r="AA2060" s="269"/>
      <c r="AB2060" s="269"/>
      <c r="AC2060" s="269"/>
      <c r="AD2060" s="269"/>
      <c r="AE2060" s="269"/>
    </row>
    <row r="2061" spans="1:31" ht="26.25">
      <c r="A2061" s="269"/>
      <c r="B2061" s="269"/>
      <c r="C2061" s="269"/>
      <c r="D2061" s="269"/>
      <c r="E2061" s="269"/>
      <c r="F2061" s="269"/>
      <c r="G2061" s="269"/>
      <c r="H2061" s="269"/>
      <c r="I2061" s="269"/>
      <c r="J2061" s="334"/>
      <c r="K2061" s="334"/>
      <c r="L2061" s="334"/>
      <c r="M2061" s="328"/>
      <c r="N2061" s="328"/>
      <c r="O2061" s="386"/>
      <c r="P2061" s="356"/>
      <c r="Q2061" s="380"/>
      <c r="S2061" s="336"/>
      <c r="T2061" s="62" ph="1"/>
      <c r="V2061" s="232"/>
      <c r="W2061" s="269"/>
      <c r="X2061" s="201"/>
      <c r="Y2061" s="269"/>
      <c r="Z2061" s="269"/>
      <c r="AA2061" s="269"/>
      <c r="AB2061" s="269"/>
      <c r="AC2061" s="269"/>
      <c r="AD2061" s="269"/>
      <c r="AE2061" s="269"/>
    </row>
    <row r="2062" spans="1:31" ht="26.25">
      <c r="A2062" s="269"/>
      <c r="B2062" s="269"/>
      <c r="C2062" s="269"/>
      <c r="D2062" s="269"/>
      <c r="E2062" s="269"/>
      <c r="F2062" s="269"/>
      <c r="G2062" s="269"/>
      <c r="H2062" s="269"/>
      <c r="I2062" s="269"/>
      <c r="J2062" s="334"/>
      <c r="K2062" s="334"/>
      <c r="L2062" s="334"/>
      <c r="M2062" s="328"/>
      <c r="N2062" s="328"/>
      <c r="O2062" s="386"/>
      <c r="P2062" s="356"/>
      <c r="Q2062" s="380"/>
      <c r="S2062" s="336"/>
      <c r="T2062" s="62" ph="1"/>
      <c r="V2062" s="232"/>
      <c r="W2062" s="269"/>
      <c r="X2062" s="201"/>
      <c r="Y2062" s="269"/>
      <c r="Z2062" s="269"/>
      <c r="AA2062" s="269"/>
      <c r="AB2062" s="269"/>
      <c r="AC2062" s="269"/>
      <c r="AD2062" s="269"/>
      <c r="AE2062" s="269"/>
    </row>
    <row r="2063" spans="1:31" ht="26.25">
      <c r="A2063" s="269"/>
      <c r="B2063" s="269"/>
      <c r="C2063" s="269"/>
      <c r="D2063" s="269"/>
      <c r="E2063" s="269"/>
      <c r="F2063" s="269"/>
      <c r="G2063" s="269"/>
      <c r="H2063" s="269"/>
      <c r="I2063" s="269"/>
      <c r="J2063" s="334"/>
      <c r="K2063" s="334"/>
      <c r="L2063" s="334"/>
      <c r="M2063" s="328"/>
      <c r="N2063" s="328"/>
      <c r="O2063" s="386"/>
      <c r="P2063" s="356"/>
      <c r="Q2063" s="380"/>
      <c r="S2063" s="336"/>
      <c r="T2063" s="62" ph="1"/>
      <c r="V2063" s="232"/>
      <c r="W2063" s="269"/>
      <c r="X2063" s="201"/>
      <c r="Y2063" s="269"/>
      <c r="Z2063" s="269"/>
      <c r="AA2063" s="269"/>
      <c r="AB2063" s="269"/>
      <c r="AC2063" s="269"/>
      <c r="AD2063" s="269"/>
      <c r="AE2063" s="269"/>
    </row>
    <row r="2064" spans="1:31" ht="26.25">
      <c r="A2064" s="269"/>
      <c r="B2064" s="269"/>
      <c r="C2064" s="269"/>
      <c r="D2064" s="269"/>
      <c r="E2064" s="269"/>
      <c r="F2064" s="269"/>
      <c r="G2064" s="269"/>
      <c r="H2064" s="269"/>
      <c r="I2064" s="269"/>
      <c r="J2064" s="334"/>
      <c r="K2064" s="334"/>
      <c r="L2064" s="334"/>
      <c r="M2064" s="328"/>
      <c r="N2064" s="328"/>
      <c r="O2064" s="386"/>
      <c r="P2064" s="356"/>
      <c r="Q2064" s="380"/>
      <c r="S2064" s="336"/>
      <c r="T2064" s="62" ph="1"/>
      <c r="V2064" s="232"/>
      <c r="W2064" s="269"/>
      <c r="X2064" s="201"/>
      <c r="Y2064" s="269"/>
      <c r="Z2064" s="269"/>
      <c r="AA2064" s="269"/>
      <c r="AB2064" s="269"/>
      <c r="AC2064" s="269"/>
      <c r="AD2064" s="269"/>
      <c r="AE2064" s="269"/>
    </row>
    <row r="2065" spans="1:31" ht="26.25">
      <c r="A2065" s="269"/>
      <c r="B2065" s="269"/>
      <c r="C2065" s="269"/>
      <c r="D2065" s="269"/>
      <c r="E2065" s="269"/>
      <c r="F2065" s="269"/>
      <c r="G2065" s="269"/>
      <c r="H2065" s="269"/>
      <c r="I2065" s="269"/>
      <c r="J2065" s="334"/>
      <c r="K2065" s="334"/>
      <c r="L2065" s="334"/>
      <c r="M2065" s="328"/>
      <c r="N2065" s="328"/>
      <c r="O2065" s="386"/>
      <c r="P2065" s="356"/>
      <c r="Q2065" s="380"/>
      <c r="S2065" s="336"/>
      <c r="T2065" s="62" ph="1"/>
      <c r="V2065" s="232"/>
      <c r="W2065" s="269"/>
      <c r="X2065" s="201"/>
      <c r="Y2065" s="269"/>
      <c r="Z2065" s="269"/>
      <c r="AA2065" s="269"/>
      <c r="AB2065" s="269"/>
      <c r="AC2065" s="269"/>
      <c r="AD2065" s="269"/>
      <c r="AE2065" s="269"/>
    </row>
    <row r="2066" spans="1:31" ht="26.25">
      <c r="A2066" s="269"/>
      <c r="B2066" s="269"/>
      <c r="C2066" s="269"/>
      <c r="D2066" s="269"/>
      <c r="E2066" s="269"/>
      <c r="F2066" s="269"/>
      <c r="G2066" s="269"/>
      <c r="H2066" s="269"/>
      <c r="I2066" s="269"/>
      <c r="J2066" s="334"/>
      <c r="K2066" s="334"/>
      <c r="L2066" s="334"/>
      <c r="M2066" s="328"/>
      <c r="N2066" s="328"/>
      <c r="O2066" s="386"/>
      <c r="P2066" s="356"/>
      <c r="Q2066" s="380"/>
      <c r="S2066" s="336"/>
      <c r="T2066" s="62" ph="1"/>
      <c r="V2066" s="232"/>
      <c r="W2066" s="269"/>
      <c r="X2066" s="201"/>
      <c r="Y2066" s="269"/>
      <c r="Z2066" s="269"/>
      <c r="AA2066" s="269"/>
      <c r="AB2066" s="269"/>
      <c r="AC2066" s="269"/>
      <c r="AD2066" s="269"/>
      <c r="AE2066" s="269"/>
    </row>
    <row r="2067" spans="1:31" ht="26.25">
      <c r="A2067" s="269"/>
      <c r="B2067" s="269"/>
      <c r="C2067" s="269"/>
      <c r="D2067" s="269"/>
      <c r="E2067" s="269"/>
      <c r="F2067" s="269"/>
      <c r="G2067" s="269"/>
      <c r="H2067" s="269"/>
      <c r="I2067" s="269"/>
      <c r="J2067" s="334"/>
      <c r="K2067" s="334"/>
      <c r="L2067" s="334"/>
      <c r="M2067" s="328"/>
      <c r="N2067" s="328"/>
      <c r="O2067" s="386"/>
      <c r="P2067" s="356"/>
      <c r="Q2067" s="380"/>
      <c r="S2067" s="336"/>
      <c r="T2067" s="62" ph="1"/>
      <c r="V2067" s="232"/>
      <c r="W2067" s="269"/>
      <c r="X2067" s="201"/>
      <c r="Y2067" s="269"/>
      <c r="Z2067" s="269"/>
      <c r="AA2067" s="269"/>
      <c r="AB2067" s="269"/>
      <c r="AC2067" s="269"/>
      <c r="AD2067" s="269"/>
      <c r="AE2067" s="269"/>
    </row>
    <row r="2068" spans="1:31" ht="26.25">
      <c r="A2068" s="269"/>
      <c r="B2068" s="269"/>
      <c r="C2068" s="269"/>
      <c r="D2068" s="269"/>
      <c r="E2068" s="269"/>
      <c r="F2068" s="269"/>
      <c r="G2068" s="269"/>
      <c r="H2068" s="269"/>
      <c r="I2068" s="269"/>
      <c r="J2068" s="334"/>
      <c r="K2068" s="334"/>
      <c r="L2068" s="334"/>
      <c r="M2068" s="328"/>
      <c r="N2068" s="328"/>
      <c r="O2068" s="386"/>
      <c r="P2068" s="356"/>
      <c r="Q2068" s="380"/>
      <c r="S2068" s="336"/>
      <c r="T2068" s="62" ph="1"/>
      <c r="V2068" s="232"/>
      <c r="W2068" s="269"/>
      <c r="X2068" s="201"/>
      <c r="Y2068" s="269"/>
      <c r="Z2068" s="269"/>
      <c r="AA2068" s="269"/>
      <c r="AB2068" s="269"/>
      <c r="AC2068" s="269"/>
      <c r="AD2068" s="269"/>
      <c r="AE2068" s="269"/>
    </row>
    <row r="2069" spans="1:31" ht="26.25">
      <c r="A2069" s="269"/>
      <c r="B2069" s="269"/>
      <c r="C2069" s="269"/>
      <c r="D2069" s="269"/>
      <c r="E2069" s="269"/>
      <c r="F2069" s="269"/>
      <c r="G2069" s="269"/>
      <c r="H2069" s="269"/>
      <c r="I2069" s="269"/>
      <c r="J2069" s="334"/>
      <c r="K2069" s="334"/>
      <c r="L2069" s="334"/>
      <c r="M2069" s="328"/>
      <c r="N2069" s="328"/>
      <c r="O2069" s="386"/>
      <c r="P2069" s="356"/>
      <c r="Q2069" s="380"/>
      <c r="S2069" s="336"/>
      <c r="T2069" s="62" ph="1"/>
      <c r="V2069" s="232"/>
      <c r="W2069" s="269"/>
      <c r="X2069" s="201"/>
      <c r="Y2069" s="269"/>
      <c r="Z2069" s="269"/>
      <c r="AA2069" s="269"/>
      <c r="AB2069" s="269"/>
      <c r="AC2069" s="269"/>
      <c r="AD2069" s="269"/>
      <c r="AE2069" s="269"/>
    </row>
    <row r="2070" spans="1:31" ht="26.25">
      <c r="A2070" s="269"/>
      <c r="B2070" s="269"/>
      <c r="C2070" s="269"/>
      <c r="D2070" s="269"/>
      <c r="E2070" s="269"/>
      <c r="F2070" s="269"/>
      <c r="G2070" s="269"/>
      <c r="H2070" s="269"/>
      <c r="I2070" s="269"/>
      <c r="J2070" s="334"/>
      <c r="K2070" s="334"/>
      <c r="L2070" s="334"/>
      <c r="M2070" s="328"/>
      <c r="N2070" s="328"/>
      <c r="O2070" s="386"/>
      <c r="P2070" s="356"/>
      <c r="Q2070" s="380"/>
      <c r="S2070" s="336"/>
      <c r="T2070" s="62" ph="1"/>
      <c r="V2070" s="232"/>
      <c r="W2070" s="269"/>
      <c r="X2070" s="201"/>
      <c r="Y2070" s="269"/>
      <c r="Z2070" s="269"/>
      <c r="AA2070" s="269"/>
      <c r="AB2070" s="269"/>
      <c r="AC2070" s="269"/>
      <c r="AD2070" s="269"/>
      <c r="AE2070" s="269"/>
    </row>
    <row r="2071" spans="1:31" ht="26.25">
      <c r="A2071" s="269"/>
      <c r="B2071" s="269"/>
      <c r="C2071" s="269"/>
      <c r="D2071" s="269"/>
      <c r="E2071" s="269"/>
      <c r="F2071" s="269"/>
      <c r="G2071" s="269"/>
      <c r="H2071" s="269"/>
      <c r="I2071" s="269"/>
      <c r="J2071" s="334"/>
      <c r="K2071" s="334"/>
      <c r="L2071" s="334"/>
      <c r="M2071" s="328"/>
      <c r="N2071" s="328"/>
      <c r="O2071" s="386"/>
      <c r="P2071" s="356"/>
      <c r="Q2071" s="380"/>
      <c r="S2071" s="336"/>
      <c r="T2071" s="62" ph="1"/>
      <c r="V2071" s="232"/>
      <c r="W2071" s="269"/>
      <c r="X2071" s="201"/>
      <c r="Y2071" s="269"/>
      <c r="Z2071" s="269"/>
      <c r="AA2071" s="269"/>
      <c r="AB2071" s="269"/>
      <c r="AC2071" s="269"/>
      <c r="AD2071" s="269"/>
      <c r="AE2071" s="269"/>
    </row>
    <row r="2072" spans="1:31" ht="26.25">
      <c r="A2072" s="269"/>
      <c r="B2072" s="269"/>
      <c r="C2072" s="269"/>
      <c r="D2072" s="269"/>
      <c r="E2072" s="269"/>
      <c r="F2072" s="269"/>
      <c r="G2072" s="269"/>
      <c r="H2072" s="269"/>
      <c r="I2072" s="269"/>
      <c r="J2072" s="334"/>
      <c r="K2072" s="334"/>
      <c r="L2072" s="334"/>
      <c r="M2072" s="328"/>
      <c r="N2072" s="328"/>
      <c r="O2072" s="386"/>
      <c r="P2072" s="356"/>
      <c r="Q2072" s="380"/>
      <c r="S2072" s="336"/>
      <c r="T2072" s="62" ph="1"/>
      <c r="V2072" s="232"/>
      <c r="W2072" s="269"/>
      <c r="X2072" s="201"/>
      <c r="Y2072" s="269"/>
      <c r="Z2072" s="269"/>
      <c r="AA2072" s="269"/>
      <c r="AB2072" s="269"/>
      <c r="AC2072" s="269"/>
      <c r="AD2072" s="269"/>
      <c r="AE2072" s="269"/>
    </row>
    <row r="2073" spans="1:31" ht="26.25">
      <c r="A2073" s="269"/>
      <c r="B2073" s="269"/>
      <c r="C2073" s="269"/>
      <c r="D2073" s="269"/>
      <c r="E2073" s="269"/>
      <c r="F2073" s="269"/>
      <c r="G2073" s="269"/>
      <c r="H2073" s="269"/>
      <c r="I2073" s="269"/>
      <c r="J2073" s="334"/>
      <c r="K2073" s="334"/>
      <c r="L2073" s="334"/>
      <c r="M2073" s="328"/>
      <c r="N2073" s="328"/>
      <c r="O2073" s="386"/>
      <c r="P2073" s="356"/>
      <c r="Q2073" s="380"/>
      <c r="S2073" s="336"/>
      <c r="T2073" s="62" ph="1"/>
      <c r="V2073" s="232"/>
      <c r="W2073" s="269"/>
      <c r="X2073" s="201"/>
      <c r="Y2073" s="269"/>
      <c r="Z2073" s="269"/>
      <c r="AA2073" s="269"/>
      <c r="AB2073" s="269"/>
      <c r="AC2073" s="269"/>
      <c r="AD2073" s="269"/>
      <c r="AE2073" s="269"/>
    </row>
    <row r="2074" spans="1:31" ht="26.25">
      <c r="A2074" s="269"/>
      <c r="B2074" s="269"/>
      <c r="C2074" s="269"/>
      <c r="D2074" s="269"/>
      <c r="E2074" s="269"/>
      <c r="F2074" s="269"/>
      <c r="G2074" s="269"/>
      <c r="H2074" s="269"/>
      <c r="I2074" s="269"/>
      <c r="J2074" s="334"/>
      <c r="K2074" s="334"/>
      <c r="L2074" s="334"/>
      <c r="M2074" s="328"/>
      <c r="N2074" s="328"/>
      <c r="O2074" s="386"/>
      <c r="P2074" s="356"/>
      <c r="Q2074" s="380"/>
      <c r="S2074" s="336"/>
      <c r="T2074" s="62" ph="1"/>
      <c r="V2074" s="232"/>
      <c r="W2074" s="269"/>
      <c r="X2074" s="201"/>
      <c r="Y2074" s="269"/>
      <c r="Z2074" s="269"/>
      <c r="AA2074" s="269"/>
      <c r="AB2074" s="269"/>
      <c r="AC2074" s="269"/>
      <c r="AD2074" s="269"/>
      <c r="AE2074" s="269"/>
    </row>
    <row r="2075" spans="1:31" ht="26.25">
      <c r="A2075" s="269"/>
      <c r="B2075" s="269"/>
      <c r="C2075" s="269"/>
      <c r="D2075" s="269"/>
      <c r="E2075" s="269"/>
      <c r="F2075" s="269"/>
      <c r="G2075" s="269"/>
      <c r="H2075" s="269"/>
      <c r="I2075" s="269"/>
      <c r="J2075" s="334"/>
      <c r="K2075" s="334"/>
      <c r="L2075" s="334"/>
      <c r="M2075" s="328"/>
      <c r="N2075" s="328"/>
      <c r="O2075" s="386"/>
      <c r="P2075" s="356"/>
      <c r="Q2075" s="380"/>
      <c r="S2075" s="336"/>
      <c r="T2075" s="62" ph="1"/>
      <c r="V2075" s="232"/>
      <c r="W2075" s="269"/>
      <c r="X2075" s="201"/>
      <c r="Y2075" s="269"/>
      <c r="Z2075" s="269"/>
      <c r="AA2075" s="269"/>
      <c r="AB2075" s="269"/>
      <c r="AC2075" s="269"/>
      <c r="AD2075" s="269"/>
      <c r="AE2075" s="269"/>
    </row>
    <row r="2076" spans="1:31" ht="26.25">
      <c r="A2076" s="269"/>
      <c r="B2076" s="269"/>
      <c r="C2076" s="269"/>
      <c r="D2076" s="269"/>
      <c r="E2076" s="269"/>
      <c r="F2076" s="269"/>
      <c r="G2076" s="269"/>
      <c r="H2076" s="269"/>
      <c r="I2076" s="269"/>
      <c r="J2076" s="334"/>
      <c r="K2076" s="334"/>
      <c r="L2076" s="334"/>
      <c r="M2076" s="328"/>
      <c r="N2076" s="328"/>
      <c r="O2076" s="386"/>
      <c r="P2076" s="356"/>
      <c r="Q2076" s="380"/>
      <c r="S2076" s="336"/>
      <c r="T2076" s="62" ph="1"/>
      <c r="V2076" s="232"/>
      <c r="W2076" s="269"/>
      <c r="X2076" s="201"/>
      <c r="Y2076" s="269"/>
      <c r="Z2076" s="269"/>
      <c r="AA2076" s="269"/>
      <c r="AB2076" s="269"/>
      <c r="AC2076" s="269"/>
      <c r="AD2076" s="269"/>
      <c r="AE2076" s="269"/>
    </row>
    <row r="2077" spans="1:31" ht="26.25">
      <c r="A2077" s="269"/>
      <c r="B2077" s="269"/>
      <c r="C2077" s="269"/>
      <c r="D2077" s="269"/>
      <c r="E2077" s="269"/>
      <c r="F2077" s="269"/>
      <c r="G2077" s="269"/>
      <c r="H2077" s="269"/>
      <c r="I2077" s="269"/>
      <c r="J2077" s="334"/>
      <c r="K2077" s="334"/>
      <c r="L2077" s="334"/>
      <c r="M2077" s="328"/>
      <c r="N2077" s="328"/>
      <c r="O2077" s="386"/>
      <c r="P2077" s="356"/>
      <c r="Q2077" s="380"/>
      <c r="S2077" s="336"/>
      <c r="T2077" s="62" ph="1"/>
      <c r="V2077" s="232"/>
      <c r="W2077" s="269"/>
      <c r="X2077" s="201"/>
      <c r="Y2077" s="269"/>
      <c r="Z2077" s="269"/>
      <c r="AA2077" s="269"/>
      <c r="AB2077" s="269"/>
      <c r="AC2077" s="269"/>
      <c r="AD2077" s="269"/>
      <c r="AE2077" s="269"/>
    </row>
    <row r="2078" spans="1:31" ht="26.25">
      <c r="A2078" s="269"/>
      <c r="B2078" s="269"/>
      <c r="C2078" s="269"/>
      <c r="D2078" s="269"/>
      <c r="E2078" s="269"/>
      <c r="F2078" s="269"/>
      <c r="G2078" s="269"/>
      <c r="H2078" s="269"/>
      <c r="I2078" s="269"/>
      <c r="J2078" s="334"/>
      <c r="K2078" s="334"/>
      <c r="L2078" s="334"/>
      <c r="M2078" s="328"/>
      <c r="N2078" s="328"/>
      <c r="O2078" s="386"/>
      <c r="P2078" s="356"/>
      <c r="Q2078" s="380"/>
      <c r="S2078" s="336"/>
      <c r="T2078" s="62" ph="1"/>
      <c r="V2078" s="232"/>
      <c r="W2078" s="269"/>
      <c r="X2078" s="201"/>
      <c r="Y2078" s="269"/>
      <c r="Z2078" s="269"/>
      <c r="AA2078" s="269"/>
      <c r="AB2078" s="269"/>
      <c r="AC2078" s="269"/>
      <c r="AD2078" s="269"/>
      <c r="AE2078" s="269"/>
    </row>
    <row r="2079" spans="1:31" ht="26.25">
      <c r="A2079" s="269"/>
      <c r="B2079" s="269"/>
      <c r="C2079" s="269"/>
      <c r="D2079" s="269"/>
      <c r="E2079" s="269"/>
      <c r="F2079" s="269"/>
      <c r="G2079" s="269"/>
      <c r="H2079" s="269"/>
      <c r="I2079" s="269"/>
      <c r="J2079" s="334"/>
      <c r="K2079" s="334"/>
      <c r="L2079" s="334"/>
      <c r="M2079" s="328"/>
      <c r="N2079" s="328"/>
      <c r="O2079" s="386"/>
      <c r="P2079" s="356"/>
      <c r="Q2079" s="380"/>
      <c r="S2079" s="336"/>
      <c r="T2079" s="62" ph="1"/>
      <c r="V2079" s="232"/>
      <c r="W2079" s="269"/>
      <c r="X2079" s="201"/>
      <c r="Y2079" s="269"/>
      <c r="Z2079" s="269"/>
      <c r="AA2079" s="269"/>
      <c r="AB2079" s="269"/>
      <c r="AC2079" s="269"/>
      <c r="AD2079" s="269"/>
      <c r="AE2079" s="269"/>
    </row>
    <row r="2080" spans="1:31" ht="26.25">
      <c r="A2080" s="269"/>
      <c r="B2080" s="269"/>
      <c r="C2080" s="269"/>
      <c r="D2080" s="269"/>
      <c r="E2080" s="269"/>
      <c r="F2080" s="269"/>
      <c r="G2080" s="269"/>
      <c r="H2080" s="269"/>
      <c r="I2080" s="269"/>
      <c r="J2080" s="334"/>
      <c r="K2080" s="334"/>
      <c r="L2080" s="334"/>
      <c r="M2080" s="328"/>
      <c r="N2080" s="328"/>
      <c r="O2080" s="386"/>
      <c r="P2080" s="356"/>
      <c r="Q2080" s="380"/>
      <c r="S2080" s="336"/>
      <c r="T2080" s="62" ph="1"/>
      <c r="V2080" s="232"/>
      <c r="W2080" s="269"/>
      <c r="X2080" s="201"/>
      <c r="Y2080" s="269"/>
      <c r="Z2080" s="269"/>
      <c r="AA2080" s="269"/>
      <c r="AB2080" s="269"/>
      <c r="AC2080" s="269"/>
      <c r="AD2080" s="269"/>
      <c r="AE2080" s="269"/>
    </row>
    <row r="2081" spans="1:31" ht="26.25">
      <c r="A2081" s="269"/>
      <c r="B2081" s="269"/>
      <c r="C2081" s="269"/>
      <c r="D2081" s="269"/>
      <c r="E2081" s="269"/>
      <c r="F2081" s="269"/>
      <c r="G2081" s="269"/>
      <c r="H2081" s="269"/>
      <c r="I2081" s="269"/>
      <c r="J2081" s="334"/>
      <c r="K2081" s="334"/>
      <c r="L2081" s="334"/>
      <c r="M2081" s="328"/>
      <c r="N2081" s="328"/>
      <c r="O2081" s="386"/>
      <c r="P2081" s="356"/>
      <c r="Q2081" s="380"/>
      <c r="S2081" s="336"/>
      <c r="T2081" s="62" ph="1"/>
      <c r="V2081" s="232"/>
      <c r="W2081" s="269"/>
      <c r="X2081" s="201"/>
      <c r="Y2081" s="269"/>
      <c r="Z2081" s="269"/>
      <c r="AA2081" s="269"/>
      <c r="AB2081" s="269"/>
      <c r="AC2081" s="269"/>
      <c r="AD2081" s="269"/>
      <c r="AE2081" s="269"/>
    </row>
    <row r="2082" spans="1:31" ht="26.25">
      <c r="A2082" s="269"/>
      <c r="B2082" s="269"/>
      <c r="C2082" s="269"/>
      <c r="D2082" s="269"/>
      <c r="E2082" s="269"/>
      <c r="F2082" s="269"/>
      <c r="G2082" s="269"/>
      <c r="H2082" s="269"/>
      <c r="I2082" s="269"/>
      <c r="J2082" s="334"/>
      <c r="K2082" s="334"/>
      <c r="L2082" s="334"/>
      <c r="M2082" s="328"/>
      <c r="N2082" s="328"/>
      <c r="O2082" s="386"/>
      <c r="P2082" s="356"/>
      <c r="Q2082" s="380"/>
      <c r="S2082" s="336"/>
      <c r="T2082" s="62" ph="1"/>
      <c r="V2082" s="232"/>
      <c r="W2082" s="269"/>
      <c r="X2082" s="201"/>
      <c r="Y2082" s="269"/>
      <c r="Z2082" s="269"/>
      <c r="AA2082" s="269"/>
      <c r="AB2082" s="269"/>
      <c r="AC2082" s="269"/>
      <c r="AD2082" s="269"/>
      <c r="AE2082" s="269"/>
    </row>
    <row r="2083" spans="1:31" ht="26.25">
      <c r="A2083" s="269"/>
      <c r="B2083" s="269"/>
      <c r="C2083" s="269"/>
      <c r="D2083" s="269"/>
      <c r="E2083" s="269"/>
      <c r="F2083" s="269"/>
      <c r="G2083" s="269"/>
      <c r="H2083" s="269"/>
      <c r="I2083" s="269"/>
      <c r="J2083" s="334"/>
      <c r="K2083" s="334"/>
      <c r="L2083" s="334"/>
      <c r="M2083" s="328"/>
      <c r="N2083" s="328"/>
      <c r="O2083" s="386"/>
      <c r="P2083" s="356"/>
      <c r="Q2083" s="380"/>
      <c r="S2083" s="336"/>
      <c r="T2083" s="62" ph="1"/>
      <c r="V2083" s="232"/>
      <c r="W2083" s="269"/>
      <c r="X2083" s="201"/>
      <c r="Y2083" s="269"/>
      <c r="Z2083" s="269"/>
      <c r="AA2083" s="269"/>
      <c r="AB2083" s="269"/>
      <c r="AC2083" s="269"/>
      <c r="AD2083" s="269"/>
      <c r="AE2083" s="269"/>
    </row>
    <row r="2084" spans="1:31" ht="26.25">
      <c r="A2084" s="269"/>
      <c r="B2084" s="269"/>
      <c r="C2084" s="269"/>
      <c r="D2084" s="269"/>
      <c r="E2084" s="269"/>
      <c r="F2084" s="269"/>
      <c r="G2084" s="269"/>
      <c r="H2084" s="269"/>
      <c r="I2084" s="269"/>
      <c r="J2084" s="334"/>
      <c r="K2084" s="334"/>
      <c r="L2084" s="334"/>
      <c r="M2084" s="328"/>
      <c r="N2084" s="328"/>
      <c r="O2084" s="386"/>
      <c r="P2084" s="356"/>
      <c r="Q2084" s="380"/>
      <c r="S2084" s="336"/>
      <c r="T2084" s="62" ph="1"/>
      <c r="V2084" s="232"/>
      <c r="W2084" s="269"/>
      <c r="X2084" s="201"/>
      <c r="Y2084" s="269"/>
      <c r="Z2084" s="269"/>
      <c r="AA2084" s="269"/>
      <c r="AB2084" s="269"/>
      <c r="AC2084" s="269"/>
      <c r="AD2084" s="269"/>
      <c r="AE2084" s="269"/>
    </row>
    <row r="2085" spans="1:31" ht="26.25">
      <c r="A2085" s="269"/>
      <c r="B2085" s="269"/>
      <c r="C2085" s="269"/>
      <c r="D2085" s="269"/>
      <c r="E2085" s="269"/>
      <c r="F2085" s="269"/>
      <c r="G2085" s="269"/>
      <c r="H2085" s="269"/>
      <c r="I2085" s="269"/>
      <c r="J2085" s="334"/>
      <c r="K2085" s="334"/>
      <c r="L2085" s="334"/>
      <c r="M2085" s="328"/>
      <c r="N2085" s="328"/>
      <c r="O2085" s="386"/>
      <c r="P2085" s="356"/>
      <c r="Q2085" s="380"/>
      <c r="S2085" s="336"/>
      <c r="T2085" s="62" ph="1"/>
      <c r="V2085" s="232"/>
      <c r="W2085" s="269"/>
      <c r="X2085" s="201"/>
      <c r="Y2085" s="269"/>
      <c r="Z2085" s="269"/>
      <c r="AA2085" s="269"/>
      <c r="AB2085" s="269"/>
      <c r="AC2085" s="269"/>
      <c r="AD2085" s="269"/>
      <c r="AE2085" s="269"/>
    </row>
    <row r="2086" spans="1:31" ht="26.25">
      <c r="A2086" s="269"/>
      <c r="B2086" s="269"/>
      <c r="C2086" s="269"/>
      <c r="D2086" s="269"/>
      <c r="E2086" s="269"/>
      <c r="F2086" s="269"/>
      <c r="G2086" s="269"/>
      <c r="H2086" s="269"/>
      <c r="I2086" s="269"/>
      <c r="J2086" s="334"/>
      <c r="K2086" s="334"/>
      <c r="L2086" s="334"/>
      <c r="M2086" s="328"/>
      <c r="N2086" s="328"/>
      <c r="O2086" s="386"/>
      <c r="P2086" s="356"/>
      <c r="Q2086" s="380"/>
      <c r="S2086" s="336"/>
      <c r="T2086" s="62" ph="1"/>
      <c r="V2086" s="232"/>
      <c r="W2086" s="269"/>
      <c r="X2086" s="201"/>
      <c r="Y2086" s="269"/>
      <c r="Z2086" s="269"/>
      <c r="AA2086" s="269"/>
      <c r="AB2086" s="269"/>
      <c r="AC2086" s="269"/>
      <c r="AD2086" s="269"/>
      <c r="AE2086" s="269"/>
    </row>
    <row r="2087" spans="1:31" ht="26.25">
      <c r="A2087" s="269"/>
      <c r="B2087" s="269"/>
      <c r="C2087" s="269"/>
      <c r="D2087" s="269"/>
      <c r="E2087" s="269"/>
      <c r="F2087" s="269"/>
      <c r="G2087" s="269"/>
      <c r="H2087" s="269"/>
      <c r="I2087" s="269"/>
      <c r="J2087" s="334"/>
      <c r="K2087" s="334"/>
      <c r="L2087" s="334"/>
      <c r="M2087" s="328"/>
      <c r="N2087" s="328"/>
      <c r="O2087" s="386"/>
      <c r="P2087" s="356"/>
      <c r="Q2087" s="380"/>
      <c r="S2087" s="336"/>
      <c r="T2087" s="62" ph="1"/>
      <c r="V2087" s="232"/>
      <c r="W2087" s="269"/>
      <c r="X2087" s="201"/>
      <c r="Y2087" s="269"/>
      <c r="Z2087" s="269"/>
      <c r="AA2087" s="269"/>
      <c r="AB2087" s="269"/>
      <c r="AC2087" s="269"/>
      <c r="AD2087" s="269"/>
      <c r="AE2087" s="269"/>
    </row>
    <row r="2088" spans="1:31" ht="26.25">
      <c r="A2088" s="269"/>
      <c r="B2088" s="269"/>
      <c r="C2088" s="269"/>
      <c r="D2088" s="269"/>
      <c r="E2088" s="269"/>
      <c r="F2088" s="269"/>
      <c r="G2088" s="269"/>
      <c r="H2088" s="269"/>
      <c r="I2088" s="269"/>
      <c r="J2088" s="334"/>
      <c r="K2088" s="334"/>
      <c r="L2088" s="334"/>
      <c r="M2088" s="328"/>
      <c r="N2088" s="328"/>
      <c r="O2088" s="386"/>
      <c r="P2088" s="356"/>
      <c r="Q2088" s="380"/>
      <c r="S2088" s="336"/>
      <c r="T2088" s="62" ph="1"/>
      <c r="V2088" s="232"/>
      <c r="W2088" s="269"/>
      <c r="X2088" s="201"/>
      <c r="Y2088" s="269"/>
      <c r="Z2088" s="269"/>
      <c r="AA2088" s="269"/>
      <c r="AB2088" s="269"/>
      <c r="AC2088" s="269"/>
      <c r="AD2088" s="269"/>
      <c r="AE2088" s="269"/>
    </row>
    <row r="2089" spans="1:31" ht="26.25">
      <c r="A2089" s="269"/>
      <c r="B2089" s="269"/>
      <c r="C2089" s="269"/>
      <c r="D2089" s="269"/>
      <c r="E2089" s="269"/>
      <c r="F2089" s="269"/>
      <c r="G2089" s="269"/>
      <c r="H2089" s="269"/>
      <c r="I2089" s="269"/>
      <c r="J2089" s="334"/>
      <c r="K2089" s="334"/>
      <c r="L2089" s="334"/>
      <c r="M2089" s="328"/>
      <c r="N2089" s="328"/>
      <c r="O2089" s="386"/>
      <c r="P2089" s="356"/>
      <c r="Q2089" s="380"/>
      <c r="S2089" s="336"/>
      <c r="T2089" s="62" ph="1"/>
      <c r="V2089" s="232"/>
      <c r="W2089" s="269"/>
      <c r="X2089" s="201"/>
      <c r="Y2089" s="269"/>
      <c r="Z2089" s="269"/>
      <c r="AA2089" s="269"/>
      <c r="AB2089" s="269"/>
      <c r="AC2089" s="269"/>
      <c r="AD2089" s="269"/>
      <c r="AE2089" s="269"/>
    </row>
    <row r="2090" spans="1:31" ht="26.25">
      <c r="A2090" s="269"/>
      <c r="B2090" s="269"/>
      <c r="C2090" s="269"/>
      <c r="D2090" s="269"/>
      <c r="E2090" s="269"/>
      <c r="F2090" s="269"/>
      <c r="G2090" s="269"/>
      <c r="H2090" s="269"/>
      <c r="I2090" s="269"/>
      <c r="J2090" s="334"/>
      <c r="K2090" s="334"/>
      <c r="L2090" s="334"/>
      <c r="M2090" s="328"/>
      <c r="N2090" s="328"/>
      <c r="O2090" s="386"/>
      <c r="P2090" s="356"/>
      <c r="Q2090" s="380"/>
      <c r="S2090" s="336"/>
      <c r="T2090" s="62" ph="1"/>
      <c r="V2090" s="232"/>
      <c r="W2090" s="269"/>
      <c r="X2090" s="201"/>
      <c r="Y2090" s="269"/>
      <c r="Z2090" s="269"/>
      <c r="AA2090" s="269"/>
      <c r="AB2090" s="269"/>
      <c r="AC2090" s="269"/>
      <c r="AD2090" s="269"/>
      <c r="AE2090" s="269"/>
    </row>
    <row r="2091" spans="1:31" ht="26.25">
      <c r="A2091" s="269"/>
      <c r="B2091" s="269"/>
      <c r="C2091" s="269"/>
      <c r="D2091" s="269"/>
      <c r="E2091" s="269"/>
      <c r="F2091" s="269"/>
      <c r="G2091" s="269"/>
      <c r="H2091" s="269"/>
      <c r="I2091" s="269"/>
      <c r="J2091" s="334"/>
      <c r="K2091" s="334"/>
      <c r="L2091" s="334"/>
      <c r="M2091" s="328"/>
      <c r="N2091" s="328"/>
      <c r="O2091" s="386"/>
      <c r="P2091" s="356"/>
      <c r="Q2091" s="380"/>
      <c r="S2091" s="336"/>
      <c r="T2091" s="62" ph="1"/>
      <c r="V2091" s="232"/>
      <c r="W2091" s="269"/>
      <c r="X2091" s="201"/>
      <c r="Y2091" s="269"/>
      <c r="Z2091" s="269"/>
      <c r="AA2091" s="269"/>
      <c r="AB2091" s="269"/>
      <c r="AC2091" s="269"/>
      <c r="AD2091" s="269"/>
      <c r="AE2091" s="269"/>
    </row>
    <row r="2092" spans="1:31" ht="26.25">
      <c r="A2092" s="269"/>
      <c r="B2092" s="269"/>
      <c r="C2092" s="269"/>
      <c r="D2092" s="269"/>
      <c r="E2092" s="269"/>
      <c r="F2092" s="269"/>
      <c r="G2092" s="269"/>
      <c r="H2092" s="269"/>
      <c r="I2092" s="269"/>
      <c r="J2092" s="334"/>
      <c r="K2092" s="334"/>
      <c r="L2092" s="334"/>
      <c r="M2092" s="328"/>
      <c r="N2092" s="328"/>
      <c r="O2092" s="386"/>
      <c r="P2092" s="356"/>
      <c r="Q2092" s="380"/>
      <c r="S2092" s="336"/>
      <c r="T2092" s="62" ph="1"/>
      <c r="V2092" s="232"/>
      <c r="W2092" s="269"/>
      <c r="X2092" s="201"/>
      <c r="Y2092" s="269"/>
      <c r="Z2092" s="269"/>
      <c r="AA2092" s="269"/>
      <c r="AB2092" s="269"/>
      <c r="AC2092" s="269"/>
      <c r="AD2092" s="269"/>
      <c r="AE2092" s="269"/>
    </row>
    <row r="2093" spans="1:31" ht="26.25">
      <c r="A2093" s="269"/>
      <c r="B2093" s="269"/>
      <c r="C2093" s="269"/>
      <c r="D2093" s="269"/>
      <c r="E2093" s="269"/>
      <c r="F2093" s="269"/>
      <c r="G2093" s="269"/>
      <c r="H2093" s="269"/>
      <c r="I2093" s="269"/>
      <c r="J2093" s="334"/>
      <c r="K2093" s="334"/>
      <c r="L2093" s="334"/>
      <c r="M2093" s="328"/>
      <c r="N2093" s="328"/>
      <c r="O2093" s="386"/>
      <c r="P2093" s="356"/>
      <c r="Q2093" s="380"/>
      <c r="S2093" s="336"/>
      <c r="T2093" s="62" ph="1"/>
      <c r="V2093" s="232"/>
      <c r="W2093" s="269"/>
      <c r="X2093" s="201"/>
      <c r="Y2093" s="269"/>
      <c r="Z2093" s="269"/>
      <c r="AA2093" s="269"/>
      <c r="AB2093" s="269"/>
      <c r="AC2093" s="269"/>
      <c r="AD2093" s="269"/>
      <c r="AE2093" s="269"/>
    </row>
    <row r="2094" spans="1:31" ht="26.25">
      <c r="A2094" s="269"/>
      <c r="B2094" s="269"/>
      <c r="C2094" s="269"/>
      <c r="D2094" s="269"/>
      <c r="E2094" s="269"/>
      <c r="F2094" s="269"/>
      <c r="G2094" s="269"/>
      <c r="H2094" s="269"/>
      <c r="I2094" s="269"/>
      <c r="J2094" s="334"/>
      <c r="K2094" s="334"/>
      <c r="L2094" s="334"/>
      <c r="M2094" s="328"/>
      <c r="N2094" s="328"/>
      <c r="O2094" s="386"/>
      <c r="P2094" s="356"/>
      <c r="Q2094" s="380"/>
      <c r="S2094" s="336"/>
      <c r="T2094" s="62" ph="1"/>
      <c r="V2094" s="232"/>
      <c r="W2094" s="269"/>
      <c r="X2094" s="201"/>
      <c r="Y2094" s="269"/>
      <c r="Z2094" s="269"/>
      <c r="AA2094" s="269"/>
      <c r="AB2094" s="269"/>
      <c r="AC2094" s="269"/>
      <c r="AD2094" s="269"/>
      <c r="AE2094" s="269"/>
    </row>
    <row r="2095" spans="1:31" ht="26.25">
      <c r="A2095" s="269"/>
      <c r="B2095" s="269"/>
      <c r="C2095" s="269"/>
      <c r="D2095" s="269"/>
      <c r="E2095" s="269"/>
      <c r="F2095" s="269"/>
      <c r="G2095" s="269"/>
      <c r="H2095" s="269"/>
      <c r="I2095" s="269"/>
      <c r="J2095" s="334"/>
      <c r="K2095" s="334"/>
      <c r="L2095" s="334"/>
      <c r="M2095" s="328"/>
      <c r="N2095" s="328"/>
      <c r="O2095" s="386"/>
      <c r="P2095" s="356"/>
      <c r="Q2095" s="380"/>
      <c r="S2095" s="336"/>
      <c r="T2095" s="62" ph="1"/>
      <c r="V2095" s="232"/>
      <c r="W2095" s="269"/>
      <c r="X2095" s="201"/>
      <c r="Y2095" s="269"/>
      <c r="Z2095" s="269"/>
      <c r="AA2095" s="269"/>
      <c r="AB2095" s="269"/>
      <c r="AC2095" s="269"/>
      <c r="AD2095" s="269"/>
      <c r="AE2095" s="269"/>
    </row>
    <row r="2096" spans="1:31" ht="26.25">
      <c r="A2096" s="269"/>
      <c r="B2096" s="269"/>
      <c r="C2096" s="269"/>
      <c r="D2096" s="269"/>
      <c r="E2096" s="269"/>
      <c r="F2096" s="269"/>
      <c r="G2096" s="269"/>
      <c r="H2096" s="269"/>
      <c r="I2096" s="269"/>
      <c r="J2096" s="334"/>
      <c r="K2096" s="334"/>
      <c r="L2096" s="334"/>
      <c r="M2096" s="328"/>
      <c r="N2096" s="328"/>
      <c r="O2096" s="386"/>
      <c r="P2096" s="356"/>
      <c r="Q2096" s="380"/>
      <c r="S2096" s="336"/>
      <c r="T2096" s="62" ph="1"/>
      <c r="V2096" s="232"/>
      <c r="W2096" s="269"/>
      <c r="X2096" s="201"/>
      <c r="Y2096" s="269"/>
      <c r="Z2096" s="269"/>
      <c r="AA2096" s="269"/>
      <c r="AB2096" s="269"/>
      <c r="AC2096" s="269"/>
      <c r="AD2096" s="269"/>
      <c r="AE2096" s="269"/>
    </row>
    <row r="2097" spans="1:31" ht="26.25">
      <c r="A2097" s="269"/>
      <c r="B2097" s="269"/>
      <c r="C2097" s="269"/>
      <c r="D2097" s="269"/>
      <c r="E2097" s="269"/>
      <c r="F2097" s="269"/>
      <c r="G2097" s="269"/>
      <c r="H2097" s="269"/>
      <c r="I2097" s="269"/>
      <c r="J2097" s="334"/>
      <c r="K2097" s="334"/>
      <c r="L2097" s="334"/>
      <c r="M2097" s="328"/>
      <c r="N2097" s="328"/>
      <c r="O2097" s="386"/>
      <c r="P2097" s="356"/>
      <c r="Q2097" s="380"/>
      <c r="S2097" s="336"/>
      <c r="T2097" s="62" ph="1"/>
      <c r="V2097" s="232"/>
      <c r="W2097" s="269"/>
      <c r="X2097" s="201"/>
      <c r="Y2097" s="269"/>
      <c r="Z2097" s="269"/>
      <c r="AA2097" s="269"/>
      <c r="AB2097" s="269"/>
      <c r="AC2097" s="269"/>
      <c r="AD2097" s="269"/>
      <c r="AE2097" s="269"/>
    </row>
    <row r="2098" spans="1:31" ht="26.25">
      <c r="A2098" s="269"/>
      <c r="B2098" s="269"/>
      <c r="C2098" s="269"/>
      <c r="D2098" s="269"/>
      <c r="E2098" s="269"/>
      <c r="F2098" s="269"/>
      <c r="G2098" s="269"/>
      <c r="H2098" s="269"/>
      <c r="I2098" s="269"/>
      <c r="J2098" s="334"/>
      <c r="K2098" s="334"/>
      <c r="L2098" s="334"/>
      <c r="M2098" s="328"/>
      <c r="N2098" s="328"/>
      <c r="O2098" s="386"/>
      <c r="P2098" s="356"/>
      <c r="Q2098" s="380"/>
      <c r="S2098" s="336"/>
      <c r="T2098" s="62" ph="1"/>
      <c r="V2098" s="232"/>
      <c r="W2098" s="269"/>
      <c r="X2098" s="201"/>
      <c r="Y2098" s="269"/>
      <c r="Z2098" s="269"/>
      <c r="AA2098" s="269"/>
      <c r="AB2098" s="269"/>
      <c r="AC2098" s="269"/>
      <c r="AD2098" s="269"/>
      <c r="AE2098" s="269"/>
    </row>
    <row r="2099" spans="1:31" ht="26.25">
      <c r="A2099" s="269"/>
      <c r="B2099" s="269"/>
      <c r="C2099" s="269"/>
      <c r="D2099" s="269"/>
      <c r="E2099" s="269"/>
      <c r="F2099" s="269"/>
      <c r="G2099" s="269"/>
      <c r="H2099" s="269"/>
      <c r="I2099" s="269"/>
      <c r="J2099" s="334"/>
      <c r="K2099" s="334"/>
      <c r="L2099" s="334"/>
      <c r="M2099" s="328"/>
      <c r="N2099" s="328"/>
      <c r="O2099" s="386"/>
      <c r="P2099" s="356"/>
      <c r="Q2099" s="380"/>
      <c r="S2099" s="336"/>
      <c r="T2099" s="62" ph="1"/>
      <c r="V2099" s="232"/>
      <c r="W2099" s="269"/>
      <c r="X2099" s="201"/>
      <c r="Y2099" s="269"/>
      <c r="Z2099" s="269"/>
      <c r="AA2099" s="269"/>
      <c r="AB2099" s="269"/>
      <c r="AC2099" s="269"/>
      <c r="AD2099" s="269"/>
      <c r="AE2099" s="269"/>
    </row>
    <row r="2100" spans="1:31" ht="26.25">
      <c r="A2100" s="269"/>
      <c r="B2100" s="269"/>
      <c r="C2100" s="269"/>
      <c r="D2100" s="269"/>
      <c r="E2100" s="269"/>
      <c r="F2100" s="269"/>
      <c r="G2100" s="269"/>
      <c r="H2100" s="269"/>
      <c r="I2100" s="269"/>
      <c r="J2100" s="334"/>
      <c r="K2100" s="334"/>
      <c r="L2100" s="334"/>
      <c r="M2100" s="328"/>
      <c r="N2100" s="328"/>
      <c r="O2100" s="386"/>
      <c r="P2100" s="356"/>
      <c r="Q2100" s="380"/>
      <c r="S2100" s="336"/>
      <c r="T2100" s="62" ph="1"/>
      <c r="V2100" s="232"/>
      <c r="W2100" s="269"/>
      <c r="X2100" s="201"/>
      <c r="Y2100" s="269"/>
      <c r="Z2100" s="269"/>
      <c r="AA2100" s="269"/>
      <c r="AB2100" s="269"/>
      <c r="AC2100" s="269"/>
      <c r="AD2100" s="269"/>
      <c r="AE2100" s="269"/>
    </row>
    <row r="2101" spans="1:31" ht="26.25">
      <c r="A2101" s="269"/>
      <c r="B2101" s="269"/>
      <c r="C2101" s="269"/>
      <c r="D2101" s="269"/>
      <c r="E2101" s="269"/>
      <c r="F2101" s="269"/>
      <c r="G2101" s="269"/>
      <c r="H2101" s="269"/>
      <c r="I2101" s="269"/>
      <c r="J2101" s="334"/>
      <c r="K2101" s="334"/>
      <c r="L2101" s="334"/>
      <c r="M2101" s="328"/>
      <c r="N2101" s="328"/>
      <c r="O2101" s="386"/>
      <c r="P2101" s="356"/>
      <c r="Q2101" s="380"/>
      <c r="S2101" s="336"/>
      <c r="T2101" s="62" ph="1"/>
      <c r="V2101" s="232"/>
      <c r="W2101" s="269"/>
      <c r="X2101" s="201"/>
      <c r="Y2101" s="269"/>
      <c r="Z2101" s="269"/>
      <c r="AA2101" s="269"/>
      <c r="AB2101" s="269"/>
      <c r="AC2101" s="269"/>
      <c r="AD2101" s="269"/>
      <c r="AE2101" s="269"/>
    </row>
    <row r="2102" spans="1:31" ht="26.25">
      <c r="A2102" s="269"/>
      <c r="B2102" s="269"/>
      <c r="C2102" s="269"/>
      <c r="D2102" s="269"/>
      <c r="E2102" s="269"/>
      <c r="F2102" s="269"/>
      <c r="G2102" s="269"/>
      <c r="H2102" s="269"/>
      <c r="I2102" s="269"/>
      <c r="J2102" s="334"/>
      <c r="K2102" s="334"/>
      <c r="L2102" s="334"/>
      <c r="M2102" s="328"/>
      <c r="N2102" s="328"/>
      <c r="O2102" s="386"/>
      <c r="P2102" s="356"/>
      <c r="Q2102" s="380"/>
      <c r="S2102" s="336"/>
      <c r="T2102" s="62" ph="1"/>
      <c r="V2102" s="232"/>
      <c r="W2102" s="269"/>
      <c r="X2102" s="201"/>
      <c r="Y2102" s="269"/>
      <c r="Z2102" s="269"/>
      <c r="AA2102" s="269"/>
      <c r="AB2102" s="269"/>
      <c r="AC2102" s="269"/>
      <c r="AD2102" s="269"/>
      <c r="AE2102" s="269"/>
    </row>
    <row r="2103" spans="1:31" ht="26.25">
      <c r="A2103" s="269"/>
      <c r="B2103" s="269"/>
      <c r="C2103" s="269"/>
      <c r="D2103" s="269"/>
      <c r="E2103" s="269"/>
      <c r="F2103" s="269"/>
      <c r="G2103" s="269"/>
      <c r="H2103" s="269"/>
      <c r="I2103" s="269"/>
      <c r="J2103" s="334"/>
      <c r="K2103" s="334"/>
      <c r="L2103" s="334"/>
      <c r="M2103" s="328"/>
      <c r="N2103" s="328"/>
      <c r="O2103" s="386"/>
      <c r="P2103" s="356"/>
      <c r="Q2103" s="380"/>
      <c r="S2103" s="336"/>
      <c r="T2103" s="62" ph="1"/>
      <c r="V2103" s="232"/>
      <c r="W2103" s="269"/>
      <c r="X2103" s="201"/>
      <c r="Y2103" s="269"/>
      <c r="Z2103" s="269"/>
      <c r="AA2103" s="269"/>
      <c r="AB2103" s="269"/>
      <c r="AC2103" s="269"/>
      <c r="AD2103" s="269"/>
      <c r="AE2103" s="269"/>
    </row>
    <row r="2104" spans="1:31" ht="26.25">
      <c r="A2104" s="269"/>
      <c r="B2104" s="269"/>
      <c r="C2104" s="269"/>
      <c r="D2104" s="269"/>
      <c r="E2104" s="269"/>
      <c r="F2104" s="269"/>
      <c r="G2104" s="269"/>
      <c r="H2104" s="269"/>
      <c r="I2104" s="269"/>
      <c r="J2104" s="334"/>
      <c r="K2104" s="334"/>
      <c r="L2104" s="334"/>
      <c r="M2104" s="328"/>
      <c r="N2104" s="328"/>
      <c r="O2104" s="386"/>
      <c r="P2104" s="356"/>
      <c r="Q2104" s="380"/>
      <c r="S2104" s="336"/>
      <c r="T2104" s="62" ph="1"/>
      <c r="V2104" s="232"/>
      <c r="W2104" s="269"/>
      <c r="X2104" s="201"/>
      <c r="Y2104" s="269"/>
      <c r="Z2104" s="269"/>
      <c r="AA2104" s="269"/>
      <c r="AB2104" s="269"/>
      <c r="AC2104" s="269"/>
      <c r="AD2104" s="269"/>
      <c r="AE2104" s="269"/>
    </row>
    <row r="2105" spans="1:31" ht="26.25">
      <c r="A2105" s="269"/>
      <c r="B2105" s="269"/>
      <c r="C2105" s="269"/>
      <c r="D2105" s="269"/>
      <c r="E2105" s="269"/>
      <c r="F2105" s="269"/>
      <c r="G2105" s="269"/>
      <c r="H2105" s="269"/>
      <c r="I2105" s="269"/>
      <c r="J2105" s="334"/>
      <c r="K2105" s="334"/>
      <c r="L2105" s="334"/>
      <c r="M2105" s="328"/>
      <c r="N2105" s="328"/>
      <c r="O2105" s="386"/>
      <c r="P2105" s="356"/>
      <c r="Q2105" s="380"/>
      <c r="S2105" s="336"/>
      <c r="T2105" s="62" ph="1"/>
      <c r="V2105" s="232"/>
      <c r="W2105" s="269"/>
      <c r="X2105" s="201"/>
      <c r="Y2105" s="269"/>
      <c r="Z2105" s="269"/>
      <c r="AA2105" s="269"/>
      <c r="AB2105" s="269"/>
      <c r="AC2105" s="269"/>
      <c r="AD2105" s="269"/>
      <c r="AE2105" s="269"/>
    </row>
    <row r="2106" spans="1:31" ht="26.25">
      <c r="A2106" s="269"/>
      <c r="B2106" s="269"/>
      <c r="C2106" s="269"/>
      <c r="D2106" s="269"/>
      <c r="E2106" s="269"/>
      <c r="F2106" s="269"/>
      <c r="G2106" s="269"/>
      <c r="H2106" s="269"/>
      <c r="I2106" s="269"/>
      <c r="J2106" s="334"/>
      <c r="K2106" s="334"/>
      <c r="L2106" s="334"/>
      <c r="M2106" s="328"/>
      <c r="N2106" s="328"/>
      <c r="O2106" s="386"/>
      <c r="P2106" s="356"/>
      <c r="Q2106" s="380"/>
      <c r="S2106" s="336"/>
      <c r="T2106" s="62" ph="1"/>
      <c r="V2106" s="232"/>
      <c r="W2106" s="269"/>
      <c r="X2106" s="201"/>
      <c r="Y2106" s="269"/>
      <c r="Z2106" s="269"/>
      <c r="AA2106" s="269"/>
      <c r="AB2106" s="269"/>
      <c r="AC2106" s="269"/>
      <c r="AD2106" s="269"/>
      <c r="AE2106" s="269"/>
    </row>
    <row r="2107" spans="1:31" ht="26.25">
      <c r="A2107" s="269"/>
      <c r="B2107" s="269"/>
      <c r="C2107" s="269"/>
      <c r="D2107" s="269"/>
      <c r="E2107" s="269"/>
      <c r="F2107" s="269"/>
      <c r="G2107" s="269"/>
      <c r="H2107" s="269"/>
      <c r="I2107" s="269"/>
      <c r="J2107" s="334"/>
      <c r="K2107" s="334"/>
      <c r="L2107" s="334"/>
      <c r="M2107" s="328"/>
      <c r="N2107" s="328"/>
      <c r="O2107" s="386"/>
      <c r="P2107" s="356"/>
      <c r="Q2107" s="380"/>
      <c r="S2107" s="336"/>
      <c r="T2107" s="62" ph="1"/>
      <c r="V2107" s="232"/>
      <c r="W2107" s="269"/>
      <c r="X2107" s="201"/>
      <c r="Y2107" s="269"/>
      <c r="Z2107" s="269"/>
      <c r="AA2107" s="269"/>
      <c r="AB2107" s="269"/>
      <c r="AC2107" s="269"/>
      <c r="AD2107" s="269"/>
      <c r="AE2107" s="269"/>
    </row>
    <row r="2108" spans="1:31" ht="26.25">
      <c r="A2108" s="269"/>
      <c r="B2108" s="269"/>
      <c r="C2108" s="269"/>
      <c r="D2108" s="269"/>
      <c r="E2108" s="269"/>
      <c r="F2108" s="269"/>
      <c r="G2108" s="269"/>
      <c r="H2108" s="269"/>
      <c r="I2108" s="269"/>
      <c r="J2108" s="334"/>
      <c r="K2108" s="334"/>
      <c r="L2108" s="334"/>
      <c r="M2108" s="328"/>
      <c r="N2108" s="328"/>
      <c r="O2108" s="386"/>
      <c r="P2108" s="356"/>
      <c r="Q2108" s="380"/>
      <c r="S2108" s="336"/>
      <c r="T2108" s="62" ph="1"/>
      <c r="V2108" s="232"/>
      <c r="W2108" s="269"/>
      <c r="X2108" s="201"/>
      <c r="Y2108" s="269"/>
      <c r="Z2108" s="269"/>
      <c r="AA2108" s="269"/>
      <c r="AB2108" s="269"/>
      <c r="AC2108" s="269"/>
      <c r="AD2108" s="269"/>
      <c r="AE2108" s="269"/>
    </row>
    <row r="2109" spans="1:31" ht="26.25">
      <c r="A2109" s="269"/>
      <c r="B2109" s="269"/>
      <c r="C2109" s="269"/>
      <c r="D2109" s="269"/>
      <c r="E2109" s="269"/>
      <c r="F2109" s="269"/>
      <c r="G2109" s="269"/>
      <c r="H2109" s="269"/>
      <c r="I2109" s="269"/>
      <c r="J2109" s="334"/>
      <c r="K2109" s="334"/>
      <c r="L2109" s="334"/>
      <c r="M2109" s="328"/>
      <c r="N2109" s="328"/>
      <c r="O2109" s="386"/>
      <c r="P2109" s="356"/>
      <c r="Q2109" s="380"/>
      <c r="S2109" s="336"/>
      <c r="T2109" s="62" ph="1"/>
      <c r="V2109" s="232"/>
      <c r="W2109" s="269"/>
      <c r="X2109" s="201"/>
      <c r="Y2109" s="269"/>
      <c r="Z2109" s="269"/>
      <c r="AA2109" s="269"/>
      <c r="AB2109" s="269"/>
      <c r="AC2109" s="269"/>
      <c r="AD2109" s="269"/>
      <c r="AE2109" s="269"/>
    </row>
    <row r="2110" spans="1:31" ht="26.25">
      <c r="A2110" s="269"/>
      <c r="B2110" s="269"/>
      <c r="C2110" s="269"/>
      <c r="D2110" s="269"/>
      <c r="E2110" s="269"/>
      <c r="F2110" s="269"/>
      <c r="G2110" s="269"/>
      <c r="H2110" s="269"/>
      <c r="I2110" s="269"/>
      <c r="J2110" s="334"/>
      <c r="K2110" s="334"/>
      <c r="L2110" s="334"/>
      <c r="M2110" s="328"/>
      <c r="N2110" s="328"/>
      <c r="O2110" s="386"/>
      <c r="P2110" s="356"/>
      <c r="Q2110" s="380"/>
      <c r="S2110" s="336"/>
      <c r="T2110" s="62" ph="1"/>
      <c r="V2110" s="232"/>
      <c r="W2110" s="269"/>
      <c r="X2110" s="201"/>
      <c r="Y2110" s="269"/>
      <c r="Z2110" s="269"/>
      <c r="AA2110" s="269"/>
      <c r="AB2110" s="269"/>
      <c r="AC2110" s="269"/>
      <c r="AD2110" s="269"/>
      <c r="AE2110" s="269"/>
    </row>
    <row r="2111" spans="1:31" ht="26.25">
      <c r="A2111" s="269"/>
      <c r="B2111" s="269"/>
      <c r="C2111" s="269"/>
      <c r="D2111" s="269"/>
      <c r="E2111" s="269"/>
      <c r="F2111" s="269"/>
      <c r="G2111" s="269"/>
      <c r="H2111" s="269"/>
      <c r="I2111" s="269"/>
      <c r="J2111" s="334"/>
      <c r="K2111" s="334"/>
      <c r="L2111" s="334"/>
      <c r="M2111" s="328"/>
      <c r="N2111" s="328"/>
      <c r="O2111" s="386"/>
      <c r="P2111" s="356"/>
      <c r="Q2111" s="380"/>
      <c r="S2111" s="336"/>
      <c r="T2111" s="62" ph="1"/>
      <c r="V2111" s="232"/>
      <c r="W2111" s="269"/>
      <c r="X2111" s="201"/>
      <c r="Y2111" s="269"/>
      <c r="Z2111" s="269"/>
      <c r="AA2111" s="269"/>
      <c r="AB2111" s="269"/>
      <c r="AC2111" s="269"/>
      <c r="AD2111" s="269"/>
      <c r="AE2111" s="269"/>
    </row>
    <row r="2112" spans="1:31" ht="26.25">
      <c r="A2112" s="269"/>
      <c r="B2112" s="269"/>
      <c r="C2112" s="269"/>
      <c r="D2112" s="269"/>
      <c r="E2112" s="269"/>
      <c r="F2112" s="269"/>
      <c r="G2112" s="269"/>
      <c r="H2112" s="269"/>
      <c r="I2112" s="269"/>
      <c r="J2112" s="334"/>
      <c r="K2112" s="334"/>
      <c r="L2112" s="334"/>
      <c r="M2112" s="328"/>
      <c r="N2112" s="328"/>
      <c r="O2112" s="386"/>
      <c r="P2112" s="356"/>
      <c r="Q2112" s="380"/>
      <c r="S2112" s="336"/>
      <c r="T2112" s="62" ph="1"/>
      <c r="V2112" s="232"/>
      <c r="W2112" s="269"/>
      <c r="X2112" s="201"/>
      <c r="Y2112" s="269"/>
      <c r="Z2112" s="269"/>
      <c r="AA2112" s="269"/>
      <c r="AB2112" s="269"/>
      <c r="AC2112" s="269"/>
      <c r="AD2112" s="269"/>
      <c r="AE2112" s="269"/>
    </row>
    <row r="2113" spans="1:31" ht="26.25">
      <c r="A2113" s="269"/>
      <c r="B2113" s="269"/>
      <c r="C2113" s="269"/>
      <c r="D2113" s="269"/>
      <c r="E2113" s="269"/>
      <c r="F2113" s="269"/>
      <c r="G2113" s="269"/>
      <c r="H2113" s="269"/>
      <c r="I2113" s="269"/>
      <c r="J2113" s="334"/>
      <c r="K2113" s="334"/>
      <c r="L2113" s="334"/>
      <c r="M2113" s="328"/>
      <c r="N2113" s="328"/>
      <c r="O2113" s="386"/>
      <c r="P2113" s="356"/>
      <c r="Q2113" s="380"/>
      <c r="S2113" s="336"/>
      <c r="T2113" s="62" ph="1"/>
      <c r="V2113" s="232"/>
      <c r="W2113" s="269"/>
      <c r="X2113" s="201"/>
      <c r="Y2113" s="269"/>
      <c r="Z2113" s="269"/>
      <c r="AA2113" s="269"/>
      <c r="AB2113" s="269"/>
      <c r="AC2113" s="269"/>
      <c r="AD2113" s="269"/>
      <c r="AE2113" s="269"/>
    </row>
    <row r="2114" spans="1:31" ht="26.25">
      <c r="A2114" s="269"/>
      <c r="B2114" s="269"/>
      <c r="C2114" s="269"/>
      <c r="D2114" s="269"/>
      <c r="E2114" s="269"/>
      <c r="F2114" s="269"/>
      <c r="G2114" s="269"/>
      <c r="H2114" s="269"/>
      <c r="I2114" s="269"/>
      <c r="J2114" s="334"/>
      <c r="K2114" s="334"/>
      <c r="L2114" s="334"/>
      <c r="M2114" s="328"/>
      <c r="N2114" s="328"/>
      <c r="O2114" s="386"/>
      <c r="P2114" s="356"/>
      <c r="Q2114" s="380"/>
      <c r="S2114" s="336"/>
      <c r="T2114" s="62" ph="1"/>
      <c r="V2114" s="232"/>
      <c r="W2114" s="269"/>
      <c r="X2114" s="201"/>
      <c r="Y2114" s="269"/>
      <c r="Z2114" s="269"/>
      <c r="AA2114" s="269"/>
      <c r="AB2114" s="269"/>
      <c r="AC2114" s="269"/>
      <c r="AD2114" s="269"/>
      <c r="AE2114" s="269"/>
    </row>
    <row r="2115" spans="1:31" ht="26.25">
      <c r="A2115" s="269"/>
      <c r="B2115" s="269"/>
      <c r="C2115" s="269"/>
      <c r="D2115" s="269"/>
      <c r="E2115" s="269"/>
      <c r="F2115" s="269"/>
      <c r="G2115" s="269"/>
      <c r="H2115" s="269"/>
      <c r="I2115" s="269"/>
      <c r="J2115" s="334"/>
      <c r="K2115" s="334"/>
      <c r="L2115" s="334"/>
      <c r="M2115" s="328"/>
      <c r="N2115" s="328"/>
      <c r="O2115" s="386"/>
      <c r="P2115" s="356"/>
      <c r="Q2115" s="380"/>
      <c r="S2115" s="336"/>
      <c r="T2115" s="62" ph="1"/>
      <c r="V2115" s="232"/>
      <c r="W2115" s="269"/>
      <c r="X2115" s="201"/>
      <c r="Y2115" s="269"/>
      <c r="Z2115" s="269"/>
      <c r="AA2115" s="269"/>
      <c r="AB2115" s="269"/>
      <c r="AC2115" s="269"/>
      <c r="AD2115" s="269"/>
      <c r="AE2115" s="269"/>
    </row>
    <row r="2116" spans="1:31" ht="26.25">
      <c r="A2116" s="269"/>
      <c r="B2116" s="269"/>
      <c r="C2116" s="269"/>
      <c r="D2116" s="269"/>
      <c r="E2116" s="269"/>
      <c r="F2116" s="269"/>
      <c r="G2116" s="269"/>
      <c r="H2116" s="269"/>
      <c r="I2116" s="269"/>
      <c r="J2116" s="334"/>
      <c r="K2116" s="334"/>
      <c r="L2116" s="334"/>
      <c r="M2116" s="328"/>
      <c r="N2116" s="328"/>
      <c r="O2116" s="386"/>
      <c r="P2116" s="356"/>
      <c r="Q2116" s="380"/>
      <c r="S2116" s="336"/>
      <c r="T2116" s="62" ph="1"/>
      <c r="V2116" s="232"/>
      <c r="W2116" s="269"/>
      <c r="X2116" s="201"/>
      <c r="Y2116" s="269"/>
      <c r="Z2116" s="269"/>
      <c r="AA2116" s="269"/>
      <c r="AB2116" s="269"/>
      <c r="AC2116" s="269"/>
      <c r="AD2116" s="269"/>
      <c r="AE2116" s="269"/>
    </row>
    <row r="2117" spans="1:31" ht="26.25">
      <c r="A2117" s="269"/>
      <c r="B2117" s="269"/>
      <c r="C2117" s="269"/>
      <c r="D2117" s="269"/>
      <c r="E2117" s="269"/>
      <c r="F2117" s="269"/>
      <c r="G2117" s="269"/>
      <c r="H2117" s="269"/>
      <c r="I2117" s="269"/>
      <c r="J2117" s="334"/>
      <c r="K2117" s="334"/>
      <c r="L2117" s="334"/>
      <c r="M2117" s="328"/>
      <c r="N2117" s="328"/>
      <c r="O2117" s="386"/>
      <c r="P2117" s="356"/>
      <c r="Q2117" s="380"/>
      <c r="S2117" s="336"/>
      <c r="T2117" s="62" ph="1"/>
      <c r="V2117" s="232"/>
      <c r="W2117" s="269"/>
      <c r="X2117" s="201"/>
      <c r="Y2117" s="269"/>
      <c r="Z2117" s="269"/>
      <c r="AA2117" s="269"/>
      <c r="AB2117" s="269"/>
      <c r="AC2117" s="269"/>
      <c r="AD2117" s="269"/>
      <c r="AE2117" s="269"/>
    </row>
    <row r="2118" spans="1:31" ht="26.25">
      <c r="A2118" s="269"/>
      <c r="B2118" s="269"/>
      <c r="C2118" s="269"/>
      <c r="D2118" s="269"/>
      <c r="E2118" s="269"/>
      <c r="F2118" s="269"/>
      <c r="G2118" s="269"/>
      <c r="H2118" s="269"/>
      <c r="I2118" s="269"/>
      <c r="J2118" s="334"/>
      <c r="K2118" s="334"/>
      <c r="L2118" s="334"/>
      <c r="M2118" s="328"/>
      <c r="N2118" s="328"/>
      <c r="O2118" s="386"/>
      <c r="P2118" s="356"/>
      <c r="Q2118" s="380"/>
      <c r="S2118" s="336"/>
      <c r="T2118" s="62" ph="1"/>
      <c r="V2118" s="232"/>
      <c r="W2118" s="269"/>
      <c r="X2118" s="201"/>
      <c r="Y2118" s="269"/>
      <c r="Z2118" s="269"/>
      <c r="AA2118" s="269"/>
      <c r="AB2118" s="269"/>
      <c r="AC2118" s="269"/>
      <c r="AD2118" s="269"/>
      <c r="AE2118" s="269"/>
    </row>
    <row r="2119" spans="1:31" ht="26.25">
      <c r="A2119" s="269"/>
      <c r="B2119" s="269"/>
      <c r="C2119" s="269"/>
      <c r="D2119" s="269"/>
      <c r="E2119" s="269"/>
      <c r="F2119" s="269"/>
      <c r="G2119" s="269"/>
      <c r="H2119" s="269"/>
      <c r="I2119" s="269"/>
      <c r="J2119" s="334"/>
      <c r="K2119" s="334"/>
      <c r="L2119" s="334"/>
      <c r="M2119" s="328"/>
      <c r="N2119" s="328"/>
      <c r="O2119" s="386"/>
      <c r="P2119" s="356"/>
      <c r="Q2119" s="380"/>
      <c r="S2119" s="336"/>
      <c r="T2119" s="62" ph="1"/>
      <c r="V2119" s="232"/>
      <c r="W2119" s="269"/>
      <c r="X2119" s="201"/>
      <c r="Y2119" s="269"/>
      <c r="Z2119" s="269"/>
      <c r="AA2119" s="269"/>
      <c r="AB2119" s="269"/>
      <c r="AC2119" s="269"/>
      <c r="AD2119" s="269"/>
      <c r="AE2119" s="269"/>
    </row>
    <row r="2120" spans="1:31" ht="26.25">
      <c r="A2120" s="269"/>
      <c r="B2120" s="269"/>
      <c r="C2120" s="269"/>
      <c r="D2120" s="269"/>
      <c r="E2120" s="269"/>
      <c r="F2120" s="269"/>
      <c r="G2120" s="269"/>
      <c r="H2120" s="269"/>
      <c r="I2120" s="269"/>
      <c r="J2120" s="334"/>
      <c r="K2120" s="334"/>
      <c r="L2120" s="334"/>
      <c r="M2120" s="328"/>
      <c r="N2120" s="328"/>
      <c r="O2120" s="386"/>
      <c r="P2120" s="356"/>
      <c r="Q2120" s="380"/>
      <c r="S2120" s="336"/>
      <c r="T2120" s="62" ph="1"/>
      <c r="V2120" s="232"/>
      <c r="W2120" s="269"/>
      <c r="X2120" s="201"/>
      <c r="Y2120" s="269"/>
      <c r="Z2120" s="269"/>
      <c r="AA2120" s="269"/>
      <c r="AB2120" s="269"/>
      <c r="AC2120" s="269"/>
      <c r="AD2120" s="269"/>
      <c r="AE2120" s="269"/>
    </row>
    <row r="2121" spans="1:31" ht="26.25">
      <c r="A2121" s="269"/>
      <c r="B2121" s="269"/>
      <c r="C2121" s="269"/>
      <c r="D2121" s="269"/>
      <c r="E2121" s="269"/>
      <c r="F2121" s="269"/>
      <c r="G2121" s="269"/>
      <c r="H2121" s="269"/>
      <c r="I2121" s="269"/>
      <c r="J2121" s="334"/>
      <c r="K2121" s="334"/>
      <c r="L2121" s="334"/>
      <c r="M2121" s="328"/>
      <c r="N2121" s="328"/>
      <c r="O2121" s="386"/>
      <c r="P2121" s="356"/>
      <c r="Q2121" s="380"/>
      <c r="S2121" s="336"/>
      <c r="T2121" s="62" ph="1"/>
      <c r="V2121" s="232"/>
      <c r="W2121" s="269"/>
      <c r="X2121" s="201"/>
      <c r="Y2121" s="269"/>
      <c r="Z2121" s="269"/>
      <c r="AA2121" s="269"/>
      <c r="AB2121" s="269"/>
      <c r="AC2121" s="269"/>
      <c r="AD2121" s="269"/>
      <c r="AE2121" s="269"/>
    </row>
    <row r="2122" spans="1:31" ht="26.25">
      <c r="A2122" s="269"/>
      <c r="B2122" s="269"/>
      <c r="C2122" s="269"/>
      <c r="D2122" s="269"/>
      <c r="E2122" s="269"/>
      <c r="F2122" s="269"/>
      <c r="G2122" s="269"/>
      <c r="H2122" s="269"/>
      <c r="I2122" s="269"/>
      <c r="J2122" s="334"/>
      <c r="K2122" s="334"/>
      <c r="L2122" s="334"/>
      <c r="M2122" s="328"/>
      <c r="N2122" s="328"/>
      <c r="O2122" s="386"/>
      <c r="P2122" s="356"/>
      <c r="Q2122" s="380"/>
      <c r="S2122" s="336"/>
      <c r="T2122" s="62" ph="1"/>
      <c r="V2122" s="232"/>
      <c r="W2122" s="269"/>
      <c r="X2122" s="201"/>
      <c r="Y2122" s="269"/>
      <c r="Z2122" s="269"/>
      <c r="AA2122" s="269"/>
      <c r="AB2122" s="269"/>
      <c r="AC2122" s="269"/>
      <c r="AD2122" s="269"/>
      <c r="AE2122" s="269"/>
    </row>
    <row r="2123" spans="1:31" ht="26.25">
      <c r="A2123" s="269"/>
      <c r="B2123" s="269"/>
      <c r="C2123" s="269"/>
      <c r="D2123" s="269"/>
      <c r="E2123" s="269"/>
      <c r="F2123" s="269"/>
      <c r="G2123" s="269"/>
      <c r="H2123" s="269"/>
      <c r="I2123" s="269"/>
      <c r="J2123" s="334"/>
      <c r="K2123" s="334"/>
      <c r="L2123" s="334"/>
      <c r="M2123" s="328"/>
      <c r="N2123" s="328"/>
      <c r="O2123" s="386"/>
      <c r="P2123" s="356"/>
      <c r="Q2123" s="380"/>
      <c r="S2123" s="336"/>
      <c r="T2123" s="62" ph="1"/>
      <c r="V2123" s="232"/>
      <c r="W2123" s="269"/>
      <c r="X2123" s="201"/>
      <c r="Y2123" s="269"/>
      <c r="Z2123" s="269"/>
      <c r="AA2123" s="269"/>
      <c r="AB2123" s="269"/>
      <c r="AC2123" s="269"/>
      <c r="AD2123" s="269"/>
      <c r="AE2123" s="269"/>
    </row>
    <row r="2124" spans="1:31" ht="26.25">
      <c r="A2124" s="269"/>
      <c r="B2124" s="269"/>
      <c r="C2124" s="269"/>
      <c r="D2124" s="269"/>
      <c r="E2124" s="269"/>
      <c r="F2124" s="269"/>
      <c r="G2124" s="269"/>
      <c r="H2124" s="269"/>
      <c r="I2124" s="269"/>
      <c r="J2124" s="334"/>
      <c r="K2124" s="334"/>
      <c r="L2124" s="334"/>
      <c r="M2124" s="328"/>
      <c r="N2124" s="328"/>
      <c r="O2124" s="386"/>
      <c r="P2124" s="356"/>
      <c r="Q2124" s="380"/>
      <c r="S2124" s="336"/>
      <c r="T2124" s="62" ph="1"/>
      <c r="V2124" s="232"/>
      <c r="W2124" s="269"/>
      <c r="X2124" s="201"/>
      <c r="Y2124" s="269"/>
      <c r="Z2124" s="269"/>
      <c r="AA2124" s="269"/>
      <c r="AB2124" s="269"/>
      <c r="AC2124" s="269"/>
      <c r="AD2124" s="269"/>
      <c r="AE2124" s="269"/>
    </row>
    <row r="2125" spans="1:31" ht="26.25">
      <c r="A2125" s="269"/>
      <c r="B2125" s="269"/>
      <c r="C2125" s="269"/>
      <c r="D2125" s="269"/>
      <c r="E2125" s="269"/>
      <c r="F2125" s="269"/>
      <c r="G2125" s="269"/>
      <c r="H2125" s="269"/>
      <c r="I2125" s="269"/>
      <c r="J2125" s="334"/>
      <c r="K2125" s="334"/>
      <c r="L2125" s="334"/>
      <c r="M2125" s="328"/>
      <c r="N2125" s="328"/>
      <c r="O2125" s="386"/>
      <c r="P2125" s="356"/>
      <c r="Q2125" s="380"/>
      <c r="S2125" s="336"/>
      <c r="T2125" s="62" ph="1"/>
      <c r="V2125" s="232"/>
      <c r="W2125" s="269"/>
      <c r="X2125" s="201"/>
      <c r="Y2125" s="269"/>
      <c r="Z2125" s="269"/>
      <c r="AA2125" s="269"/>
      <c r="AB2125" s="269"/>
      <c r="AC2125" s="269"/>
      <c r="AD2125" s="269"/>
      <c r="AE2125" s="269"/>
    </row>
    <row r="2126" spans="1:31" ht="26.25">
      <c r="A2126" s="269"/>
      <c r="B2126" s="269"/>
      <c r="C2126" s="269"/>
      <c r="D2126" s="269"/>
      <c r="E2126" s="269"/>
      <c r="F2126" s="269"/>
      <c r="G2126" s="269"/>
      <c r="H2126" s="269"/>
      <c r="I2126" s="269"/>
      <c r="J2126" s="334"/>
      <c r="K2126" s="334"/>
      <c r="L2126" s="334"/>
      <c r="M2126" s="328"/>
      <c r="N2126" s="328"/>
      <c r="O2126" s="386"/>
      <c r="P2126" s="356"/>
      <c r="Q2126" s="380"/>
      <c r="S2126" s="336"/>
      <c r="T2126" s="62" ph="1"/>
      <c r="V2126" s="232"/>
      <c r="W2126" s="269"/>
      <c r="X2126" s="201"/>
      <c r="Y2126" s="269"/>
      <c r="Z2126" s="269"/>
      <c r="AA2126" s="269"/>
      <c r="AB2126" s="269"/>
      <c r="AC2126" s="269"/>
      <c r="AD2126" s="269"/>
      <c r="AE2126" s="269"/>
    </row>
    <row r="2127" spans="1:31" ht="26.25">
      <c r="A2127" s="269"/>
      <c r="B2127" s="269"/>
      <c r="C2127" s="269"/>
      <c r="D2127" s="269"/>
      <c r="E2127" s="269"/>
      <c r="F2127" s="269"/>
      <c r="G2127" s="269"/>
      <c r="H2127" s="269"/>
      <c r="I2127" s="269"/>
      <c r="J2127" s="334"/>
      <c r="K2127" s="334"/>
      <c r="L2127" s="334"/>
      <c r="M2127" s="328"/>
      <c r="N2127" s="328"/>
      <c r="O2127" s="386"/>
      <c r="P2127" s="356"/>
      <c r="Q2127" s="380"/>
      <c r="S2127" s="336"/>
      <c r="T2127" s="62" ph="1"/>
      <c r="V2127" s="232"/>
      <c r="W2127" s="269"/>
      <c r="X2127" s="201"/>
      <c r="Y2127" s="269"/>
      <c r="Z2127" s="269"/>
      <c r="AA2127" s="269"/>
      <c r="AB2127" s="269"/>
      <c r="AC2127" s="269"/>
      <c r="AD2127" s="269"/>
      <c r="AE2127" s="269"/>
    </row>
    <row r="2128" spans="1:31" ht="26.25">
      <c r="A2128" s="269"/>
      <c r="B2128" s="269"/>
      <c r="C2128" s="269"/>
      <c r="D2128" s="269"/>
      <c r="E2128" s="269"/>
      <c r="F2128" s="269"/>
      <c r="G2128" s="269"/>
      <c r="H2128" s="269"/>
      <c r="I2128" s="269"/>
      <c r="J2128" s="334"/>
      <c r="K2128" s="334"/>
      <c r="L2128" s="334"/>
      <c r="M2128" s="328"/>
      <c r="N2128" s="328"/>
      <c r="O2128" s="386"/>
      <c r="P2128" s="356"/>
      <c r="Q2128" s="380"/>
      <c r="S2128" s="336"/>
      <c r="T2128" s="62" ph="1"/>
      <c r="V2128" s="232"/>
      <c r="W2128" s="269"/>
      <c r="X2128" s="201"/>
      <c r="Y2128" s="269"/>
      <c r="Z2128" s="269"/>
      <c r="AA2128" s="269"/>
      <c r="AB2128" s="269"/>
      <c r="AC2128" s="269"/>
      <c r="AD2128" s="269"/>
      <c r="AE2128" s="269"/>
    </row>
    <row r="2129" spans="1:31" ht="26.25">
      <c r="A2129" s="269"/>
      <c r="B2129" s="269"/>
      <c r="C2129" s="269"/>
      <c r="D2129" s="269"/>
      <c r="E2129" s="269"/>
      <c r="F2129" s="269"/>
      <c r="G2129" s="269"/>
      <c r="H2129" s="269"/>
      <c r="I2129" s="269"/>
      <c r="J2129" s="334"/>
      <c r="K2129" s="334"/>
      <c r="L2129" s="334"/>
      <c r="M2129" s="328"/>
      <c r="N2129" s="328"/>
      <c r="O2129" s="386"/>
      <c r="P2129" s="356"/>
      <c r="Q2129" s="380"/>
      <c r="S2129" s="336"/>
      <c r="T2129" s="62" ph="1"/>
      <c r="V2129" s="232"/>
      <c r="W2129" s="269"/>
      <c r="X2129" s="201"/>
      <c r="Y2129" s="269"/>
      <c r="Z2129" s="269"/>
      <c r="AA2129" s="269"/>
      <c r="AB2129" s="269"/>
      <c r="AC2129" s="269"/>
      <c r="AD2129" s="269"/>
      <c r="AE2129" s="269"/>
    </row>
    <row r="2130" spans="1:31" ht="26.25">
      <c r="A2130" s="269"/>
      <c r="B2130" s="269"/>
      <c r="C2130" s="269"/>
      <c r="D2130" s="269"/>
      <c r="E2130" s="269"/>
      <c r="F2130" s="269"/>
      <c r="G2130" s="269"/>
      <c r="H2130" s="269"/>
      <c r="I2130" s="269"/>
      <c r="J2130" s="334"/>
      <c r="K2130" s="334"/>
      <c r="L2130" s="334"/>
      <c r="M2130" s="328"/>
      <c r="N2130" s="328"/>
      <c r="O2130" s="386"/>
      <c r="P2130" s="356"/>
      <c r="Q2130" s="380"/>
      <c r="S2130" s="336"/>
      <c r="T2130" s="62" ph="1"/>
      <c r="V2130" s="232"/>
      <c r="W2130" s="269"/>
      <c r="X2130" s="201"/>
      <c r="Y2130" s="269"/>
      <c r="Z2130" s="269"/>
      <c r="AA2130" s="269"/>
      <c r="AB2130" s="269"/>
      <c r="AC2130" s="269"/>
      <c r="AD2130" s="269"/>
      <c r="AE2130" s="269"/>
    </row>
    <row r="2131" spans="1:31" ht="26.25">
      <c r="A2131" s="269"/>
      <c r="B2131" s="269"/>
      <c r="C2131" s="269"/>
      <c r="D2131" s="269"/>
      <c r="E2131" s="269"/>
      <c r="F2131" s="269"/>
      <c r="G2131" s="269"/>
      <c r="H2131" s="269"/>
      <c r="I2131" s="269"/>
      <c r="J2131" s="334"/>
      <c r="K2131" s="334"/>
      <c r="L2131" s="334"/>
      <c r="M2131" s="328"/>
      <c r="N2131" s="328"/>
      <c r="O2131" s="386"/>
      <c r="P2131" s="356"/>
      <c r="Q2131" s="380"/>
      <c r="S2131" s="336"/>
      <c r="T2131" s="62" ph="1"/>
      <c r="V2131" s="232"/>
      <c r="W2131" s="269"/>
      <c r="X2131" s="201"/>
      <c r="Y2131" s="269"/>
      <c r="Z2131" s="269"/>
      <c r="AA2131" s="269"/>
      <c r="AB2131" s="269"/>
      <c r="AC2131" s="269"/>
      <c r="AD2131" s="269"/>
      <c r="AE2131" s="269"/>
    </row>
    <row r="2132" spans="1:31" ht="26.25">
      <c r="A2132" s="269"/>
      <c r="B2132" s="269"/>
      <c r="C2132" s="269"/>
      <c r="D2132" s="269"/>
      <c r="E2132" s="269"/>
      <c r="F2132" s="269"/>
      <c r="G2132" s="269"/>
      <c r="H2132" s="269"/>
      <c r="I2132" s="269"/>
      <c r="J2132" s="334"/>
      <c r="K2132" s="334"/>
      <c r="L2132" s="334"/>
      <c r="M2132" s="328"/>
      <c r="N2132" s="328"/>
      <c r="O2132" s="386"/>
      <c r="P2132" s="356"/>
      <c r="Q2132" s="380"/>
      <c r="S2132" s="336"/>
      <c r="T2132" s="62" ph="1"/>
      <c r="V2132" s="232"/>
      <c r="W2132" s="269"/>
      <c r="X2132" s="201"/>
      <c r="Y2132" s="269"/>
      <c r="Z2132" s="269"/>
      <c r="AA2132" s="269"/>
      <c r="AB2132" s="269"/>
      <c r="AC2132" s="269"/>
      <c r="AD2132" s="269"/>
      <c r="AE2132" s="269"/>
    </row>
    <row r="2133" spans="1:31" ht="26.25">
      <c r="A2133" s="269"/>
      <c r="B2133" s="269"/>
      <c r="C2133" s="269"/>
      <c r="D2133" s="269"/>
      <c r="E2133" s="269"/>
      <c r="F2133" s="269"/>
      <c r="G2133" s="269"/>
      <c r="H2133" s="269"/>
      <c r="I2133" s="269"/>
      <c r="J2133" s="334"/>
      <c r="K2133" s="334"/>
      <c r="L2133" s="334"/>
      <c r="M2133" s="328"/>
      <c r="N2133" s="328"/>
      <c r="O2133" s="386"/>
      <c r="P2133" s="356"/>
      <c r="Q2133" s="380"/>
      <c r="S2133" s="336"/>
      <c r="T2133" s="62" ph="1"/>
      <c r="V2133" s="232"/>
      <c r="W2133" s="269"/>
      <c r="X2133" s="201"/>
      <c r="Y2133" s="269"/>
      <c r="Z2133" s="269"/>
      <c r="AA2133" s="269"/>
      <c r="AB2133" s="269"/>
      <c r="AC2133" s="269"/>
      <c r="AD2133" s="269"/>
      <c r="AE2133" s="269"/>
    </row>
    <row r="2134" spans="1:31" ht="26.25">
      <c r="A2134" s="269"/>
      <c r="B2134" s="269"/>
      <c r="C2134" s="269"/>
      <c r="D2134" s="269"/>
      <c r="E2134" s="269"/>
      <c r="F2134" s="269"/>
      <c r="G2134" s="269"/>
      <c r="H2134" s="269"/>
      <c r="I2134" s="269"/>
      <c r="J2134" s="334"/>
      <c r="K2134" s="334"/>
      <c r="L2134" s="334"/>
      <c r="M2134" s="328"/>
      <c r="N2134" s="328"/>
      <c r="O2134" s="386"/>
      <c r="P2134" s="356"/>
      <c r="Q2134" s="380"/>
      <c r="S2134" s="336"/>
      <c r="T2134" s="62" ph="1"/>
      <c r="V2134" s="232"/>
      <c r="W2134" s="269"/>
      <c r="X2134" s="201"/>
      <c r="Y2134" s="269"/>
      <c r="Z2134" s="269"/>
      <c r="AA2134" s="269"/>
      <c r="AB2134" s="269"/>
      <c r="AC2134" s="269"/>
      <c r="AD2134" s="269"/>
      <c r="AE2134" s="269"/>
    </row>
    <row r="2135" spans="1:31" ht="26.25">
      <c r="A2135" s="269"/>
      <c r="B2135" s="269"/>
      <c r="C2135" s="269"/>
      <c r="D2135" s="269"/>
      <c r="E2135" s="269"/>
      <c r="F2135" s="269"/>
      <c r="G2135" s="269"/>
      <c r="H2135" s="269"/>
      <c r="I2135" s="269"/>
      <c r="J2135" s="334"/>
      <c r="K2135" s="334"/>
      <c r="L2135" s="334"/>
      <c r="M2135" s="328"/>
      <c r="N2135" s="328"/>
      <c r="O2135" s="386"/>
      <c r="P2135" s="356"/>
      <c r="Q2135" s="380"/>
      <c r="S2135" s="336"/>
      <c r="T2135" s="62" ph="1"/>
      <c r="V2135" s="232"/>
      <c r="W2135" s="269"/>
      <c r="X2135" s="201"/>
      <c r="Y2135" s="269"/>
      <c r="Z2135" s="269"/>
      <c r="AA2135" s="269"/>
      <c r="AB2135" s="269"/>
      <c r="AC2135" s="269"/>
      <c r="AD2135" s="269"/>
      <c r="AE2135" s="269"/>
    </row>
    <row r="2136" spans="1:31" ht="26.25">
      <c r="A2136" s="269"/>
      <c r="B2136" s="269"/>
      <c r="C2136" s="269"/>
      <c r="D2136" s="269"/>
      <c r="E2136" s="269"/>
      <c r="F2136" s="269"/>
      <c r="G2136" s="269"/>
      <c r="H2136" s="269"/>
      <c r="I2136" s="269"/>
      <c r="J2136" s="334"/>
      <c r="K2136" s="334"/>
      <c r="L2136" s="334"/>
      <c r="M2136" s="328"/>
      <c r="N2136" s="328"/>
      <c r="O2136" s="386"/>
      <c r="P2136" s="356"/>
      <c r="Q2136" s="380"/>
      <c r="S2136" s="336"/>
      <c r="T2136" s="62" ph="1"/>
      <c r="V2136" s="232"/>
      <c r="W2136" s="269"/>
      <c r="X2136" s="201"/>
      <c r="Y2136" s="269"/>
      <c r="Z2136" s="269"/>
      <c r="AA2136" s="269"/>
      <c r="AB2136" s="269"/>
      <c r="AC2136" s="269"/>
      <c r="AD2136" s="269"/>
      <c r="AE2136" s="269"/>
    </row>
    <row r="2137" spans="1:31" ht="26.25">
      <c r="A2137" s="269"/>
      <c r="B2137" s="269"/>
      <c r="C2137" s="269"/>
      <c r="D2137" s="269"/>
      <c r="E2137" s="269"/>
      <c r="F2137" s="269"/>
      <c r="G2137" s="269"/>
      <c r="H2137" s="269"/>
      <c r="I2137" s="269"/>
      <c r="J2137" s="334"/>
      <c r="K2137" s="334"/>
      <c r="L2137" s="334"/>
      <c r="M2137" s="328"/>
      <c r="N2137" s="328"/>
      <c r="O2137" s="386"/>
      <c r="P2137" s="356"/>
      <c r="Q2137" s="380"/>
      <c r="S2137" s="336"/>
      <c r="T2137" s="62" ph="1"/>
      <c r="V2137" s="232"/>
      <c r="W2137" s="269"/>
      <c r="X2137" s="201"/>
      <c r="Y2137" s="269"/>
      <c r="Z2137" s="269"/>
      <c r="AA2137" s="269"/>
      <c r="AB2137" s="269"/>
      <c r="AC2137" s="269"/>
      <c r="AD2137" s="269"/>
      <c r="AE2137" s="269"/>
    </row>
    <row r="2138" spans="1:31" ht="26.25">
      <c r="A2138" s="269"/>
      <c r="B2138" s="269"/>
      <c r="C2138" s="269"/>
      <c r="D2138" s="269"/>
      <c r="E2138" s="269"/>
      <c r="F2138" s="269"/>
      <c r="G2138" s="269"/>
      <c r="H2138" s="269"/>
      <c r="I2138" s="269"/>
      <c r="J2138" s="334"/>
      <c r="K2138" s="334"/>
      <c r="L2138" s="334"/>
      <c r="M2138" s="328"/>
      <c r="N2138" s="328"/>
      <c r="O2138" s="386"/>
      <c r="P2138" s="356"/>
      <c r="Q2138" s="380"/>
      <c r="S2138" s="336"/>
      <c r="T2138" s="62" ph="1"/>
      <c r="V2138" s="232"/>
      <c r="W2138" s="269"/>
      <c r="X2138" s="201"/>
      <c r="Y2138" s="269"/>
      <c r="Z2138" s="269"/>
      <c r="AA2138" s="269"/>
      <c r="AB2138" s="269"/>
      <c r="AC2138" s="269"/>
      <c r="AD2138" s="269"/>
      <c r="AE2138" s="269"/>
    </row>
    <row r="2139" spans="1:31" ht="26.25">
      <c r="A2139" s="269"/>
      <c r="B2139" s="269"/>
      <c r="C2139" s="269"/>
      <c r="D2139" s="269"/>
      <c r="E2139" s="269"/>
      <c r="F2139" s="269"/>
      <c r="G2139" s="269"/>
      <c r="H2139" s="269"/>
      <c r="I2139" s="269"/>
      <c r="J2139" s="334"/>
      <c r="K2139" s="334"/>
      <c r="L2139" s="334"/>
      <c r="M2139" s="328"/>
      <c r="N2139" s="328"/>
      <c r="O2139" s="386"/>
      <c r="P2139" s="356"/>
      <c r="Q2139" s="380"/>
      <c r="S2139" s="336"/>
      <c r="T2139" s="62" ph="1"/>
      <c r="V2139" s="232"/>
      <c r="W2139" s="269"/>
      <c r="X2139" s="201"/>
      <c r="Y2139" s="269"/>
      <c r="Z2139" s="269"/>
      <c r="AA2139" s="269"/>
      <c r="AB2139" s="269"/>
      <c r="AC2139" s="269"/>
      <c r="AD2139" s="269"/>
      <c r="AE2139" s="269"/>
    </row>
    <row r="2140" spans="1:31" ht="26.25">
      <c r="A2140" s="269"/>
      <c r="B2140" s="269"/>
      <c r="C2140" s="269"/>
      <c r="D2140" s="269"/>
      <c r="E2140" s="269"/>
      <c r="F2140" s="269"/>
      <c r="G2140" s="269"/>
      <c r="H2140" s="269"/>
      <c r="I2140" s="269"/>
      <c r="J2140" s="334"/>
      <c r="K2140" s="334"/>
      <c r="L2140" s="334"/>
      <c r="M2140" s="328"/>
      <c r="N2140" s="328"/>
      <c r="O2140" s="386"/>
      <c r="P2140" s="356"/>
      <c r="Q2140" s="380"/>
      <c r="S2140" s="336"/>
      <c r="T2140" s="62" ph="1"/>
      <c r="V2140" s="232"/>
      <c r="W2140" s="269"/>
      <c r="X2140" s="201"/>
      <c r="Y2140" s="269"/>
      <c r="Z2140" s="269"/>
      <c r="AA2140" s="269"/>
      <c r="AB2140" s="269"/>
      <c r="AC2140" s="269"/>
      <c r="AD2140" s="269"/>
      <c r="AE2140" s="269"/>
    </row>
    <row r="2141" spans="1:31" ht="26.25">
      <c r="A2141" s="269"/>
      <c r="B2141" s="269"/>
      <c r="C2141" s="269"/>
      <c r="D2141" s="269"/>
      <c r="E2141" s="269"/>
      <c r="F2141" s="269"/>
      <c r="G2141" s="269"/>
      <c r="H2141" s="269"/>
      <c r="I2141" s="269"/>
      <c r="J2141" s="334"/>
      <c r="K2141" s="334"/>
      <c r="L2141" s="334"/>
      <c r="M2141" s="328"/>
      <c r="N2141" s="328"/>
      <c r="O2141" s="386"/>
      <c r="P2141" s="356"/>
      <c r="Q2141" s="380"/>
      <c r="S2141" s="336"/>
      <c r="T2141" s="62" ph="1"/>
      <c r="V2141" s="232"/>
      <c r="W2141" s="269"/>
      <c r="X2141" s="201"/>
      <c r="Y2141" s="269"/>
      <c r="Z2141" s="269"/>
      <c r="AA2141" s="269"/>
      <c r="AB2141" s="269"/>
      <c r="AC2141" s="269"/>
      <c r="AD2141" s="269"/>
      <c r="AE2141" s="269"/>
    </row>
    <row r="2142" spans="1:31" ht="26.25">
      <c r="A2142" s="269"/>
      <c r="B2142" s="269"/>
      <c r="C2142" s="269"/>
      <c r="D2142" s="269"/>
      <c r="E2142" s="269"/>
      <c r="F2142" s="269"/>
      <c r="G2142" s="269"/>
      <c r="H2142" s="269"/>
      <c r="I2142" s="269"/>
      <c r="J2142" s="334"/>
      <c r="K2142" s="334"/>
      <c r="L2142" s="334"/>
      <c r="M2142" s="328"/>
      <c r="N2142" s="328"/>
      <c r="O2142" s="386"/>
      <c r="P2142" s="356"/>
      <c r="Q2142" s="380"/>
      <c r="S2142" s="336"/>
      <c r="T2142" s="62" ph="1"/>
      <c r="V2142" s="232"/>
      <c r="W2142" s="269"/>
      <c r="X2142" s="201"/>
      <c r="Y2142" s="269"/>
      <c r="Z2142" s="269"/>
      <c r="AA2142" s="269"/>
      <c r="AB2142" s="269"/>
      <c r="AC2142" s="269"/>
      <c r="AD2142" s="269"/>
      <c r="AE2142" s="269"/>
    </row>
    <row r="2143" spans="1:31" ht="26.25">
      <c r="A2143" s="269"/>
      <c r="B2143" s="269"/>
      <c r="C2143" s="269"/>
      <c r="D2143" s="269"/>
      <c r="E2143" s="269"/>
      <c r="F2143" s="269"/>
      <c r="G2143" s="269"/>
      <c r="H2143" s="269"/>
      <c r="I2143" s="269"/>
      <c r="J2143" s="334"/>
      <c r="K2143" s="334"/>
      <c r="L2143" s="334"/>
      <c r="M2143" s="328"/>
      <c r="N2143" s="328"/>
      <c r="O2143" s="386"/>
      <c r="P2143" s="356"/>
      <c r="Q2143" s="380"/>
      <c r="S2143" s="336"/>
      <c r="T2143" s="62" ph="1"/>
      <c r="V2143" s="232"/>
      <c r="W2143" s="269"/>
      <c r="X2143" s="201"/>
      <c r="Y2143" s="269"/>
      <c r="Z2143" s="269"/>
      <c r="AA2143" s="269"/>
      <c r="AB2143" s="269"/>
      <c r="AC2143" s="269"/>
      <c r="AD2143" s="269"/>
      <c r="AE2143" s="269"/>
    </row>
    <row r="2144" spans="1:31" ht="26.25">
      <c r="A2144" s="269"/>
      <c r="B2144" s="269"/>
      <c r="C2144" s="269"/>
      <c r="D2144" s="269"/>
      <c r="E2144" s="269"/>
      <c r="F2144" s="269"/>
      <c r="G2144" s="269"/>
      <c r="H2144" s="269"/>
      <c r="I2144" s="269"/>
      <c r="J2144" s="334"/>
      <c r="K2144" s="334"/>
      <c r="L2144" s="334"/>
      <c r="M2144" s="328"/>
      <c r="N2144" s="328"/>
      <c r="O2144" s="386"/>
      <c r="P2144" s="356"/>
      <c r="Q2144" s="380"/>
      <c r="S2144" s="336"/>
      <c r="T2144" s="62" ph="1"/>
      <c r="V2144" s="232"/>
      <c r="W2144" s="269"/>
      <c r="X2144" s="201"/>
      <c r="Y2144" s="269"/>
      <c r="Z2144" s="269"/>
      <c r="AA2144" s="269"/>
      <c r="AB2144" s="269"/>
      <c r="AC2144" s="269"/>
      <c r="AD2144" s="269"/>
      <c r="AE2144" s="269"/>
    </row>
    <row r="2145" spans="1:31" ht="26.25">
      <c r="A2145" s="269"/>
      <c r="B2145" s="269"/>
      <c r="C2145" s="269"/>
      <c r="D2145" s="269"/>
      <c r="E2145" s="269"/>
      <c r="F2145" s="269"/>
      <c r="G2145" s="269"/>
      <c r="H2145" s="269"/>
      <c r="I2145" s="269"/>
      <c r="J2145" s="334"/>
      <c r="K2145" s="334"/>
      <c r="L2145" s="334"/>
      <c r="M2145" s="328"/>
      <c r="N2145" s="328"/>
      <c r="O2145" s="386"/>
      <c r="P2145" s="356"/>
      <c r="Q2145" s="380"/>
      <c r="S2145" s="336"/>
      <c r="T2145" s="62" ph="1"/>
      <c r="V2145" s="232"/>
      <c r="W2145" s="269"/>
      <c r="X2145" s="201"/>
      <c r="Y2145" s="269"/>
      <c r="Z2145" s="269"/>
      <c r="AA2145" s="269"/>
      <c r="AB2145" s="269"/>
      <c r="AC2145" s="269"/>
      <c r="AD2145" s="269"/>
      <c r="AE2145" s="269"/>
    </row>
    <row r="2146" spans="1:31" ht="26.25">
      <c r="A2146" s="269"/>
      <c r="B2146" s="269"/>
      <c r="C2146" s="269"/>
      <c r="D2146" s="269"/>
      <c r="E2146" s="269"/>
      <c r="F2146" s="269"/>
      <c r="G2146" s="269"/>
      <c r="H2146" s="269"/>
      <c r="I2146" s="269"/>
      <c r="J2146" s="334"/>
      <c r="K2146" s="334"/>
      <c r="L2146" s="334"/>
      <c r="M2146" s="328"/>
      <c r="N2146" s="328"/>
      <c r="O2146" s="386"/>
      <c r="P2146" s="356"/>
      <c r="Q2146" s="380"/>
      <c r="S2146" s="336"/>
      <c r="T2146" s="62" ph="1"/>
      <c r="V2146" s="232"/>
      <c r="W2146" s="269"/>
      <c r="X2146" s="201"/>
      <c r="Y2146" s="269"/>
      <c r="Z2146" s="269"/>
      <c r="AA2146" s="269"/>
      <c r="AB2146" s="269"/>
      <c r="AC2146" s="269"/>
      <c r="AD2146" s="269"/>
      <c r="AE2146" s="269"/>
    </row>
    <row r="2147" spans="1:31" ht="26.25">
      <c r="A2147" s="269"/>
      <c r="B2147" s="269"/>
      <c r="C2147" s="269"/>
      <c r="D2147" s="269"/>
      <c r="E2147" s="269"/>
      <c r="F2147" s="269"/>
      <c r="G2147" s="269"/>
      <c r="H2147" s="269"/>
      <c r="I2147" s="269"/>
      <c r="J2147" s="334"/>
      <c r="K2147" s="334"/>
      <c r="L2147" s="334"/>
      <c r="M2147" s="328"/>
      <c r="N2147" s="328"/>
      <c r="O2147" s="386"/>
      <c r="P2147" s="356"/>
      <c r="Q2147" s="380"/>
      <c r="S2147" s="336"/>
      <c r="T2147" s="62" ph="1"/>
      <c r="V2147" s="232"/>
      <c r="W2147" s="269"/>
      <c r="X2147" s="201"/>
      <c r="Y2147" s="269"/>
      <c r="Z2147" s="269"/>
      <c r="AA2147" s="269"/>
      <c r="AB2147" s="269"/>
      <c r="AC2147" s="269"/>
      <c r="AD2147" s="269"/>
      <c r="AE2147" s="269"/>
    </row>
    <row r="2148" spans="1:31" ht="26.25">
      <c r="A2148" s="269"/>
      <c r="B2148" s="269"/>
      <c r="C2148" s="269"/>
      <c r="D2148" s="269"/>
      <c r="E2148" s="269"/>
      <c r="F2148" s="269"/>
      <c r="G2148" s="269"/>
      <c r="H2148" s="269"/>
      <c r="I2148" s="269"/>
      <c r="J2148" s="334"/>
      <c r="K2148" s="334"/>
      <c r="L2148" s="334"/>
      <c r="M2148" s="328"/>
      <c r="N2148" s="328"/>
      <c r="O2148" s="386"/>
      <c r="P2148" s="356"/>
      <c r="Q2148" s="380"/>
      <c r="S2148" s="336"/>
      <c r="T2148" s="62" ph="1"/>
      <c r="V2148" s="232"/>
      <c r="W2148" s="269"/>
      <c r="X2148" s="201"/>
      <c r="Y2148" s="269"/>
      <c r="Z2148" s="269"/>
      <c r="AA2148" s="269"/>
      <c r="AB2148" s="269"/>
      <c r="AC2148" s="269"/>
      <c r="AD2148" s="269"/>
      <c r="AE2148" s="269"/>
    </row>
    <row r="2149" spans="1:31" ht="26.25">
      <c r="A2149" s="269"/>
      <c r="B2149" s="269"/>
      <c r="C2149" s="269"/>
      <c r="D2149" s="269"/>
      <c r="E2149" s="269"/>
      <c r="F2149" s="269"/>
      <c r="G2149" s="269"/>
      <c r="H2149" s="269"/>
      <c r="I2149" s="269"/>
      <c r="J2149" s="334"/>
      <c r="K2149" s="334"/>
      <c r="L2149" s="334"/>
      <c r="M2149" s="328"/>
      <c r="N2149" s="328"/>
      <c r="O2149" s="386"/>
      <c r="P2149" s="356"/>
      <c r="Q2149" s="380"/>
      <c r="S2149" s="336"/>
      <c r="T2149" s="62" ph="1"/>
      <c r="V2149" s="232"/>
      <c r="W2149" s="269"/>
      <c r="X2149" s="201"/>
      <c r="Y2149" s="269"/>
      <c r="Z2149" s="269"/>
      <c r="AA2149" s="269"/>
      <c r="AB2149" s="269"/>
      <c r="AC2149" s="269"/>
      <c r="AD2149" s="269"/>
      <c r="AE2149" s="269"/>
    </row>
    <row r="2150" spans="1:31" ht="26.25">
      <c r="A2150" s="269"/>
      <c r="B2150" s="269"/>
      <c r="C2150" s="269"/>
      <c r="D2150" s="269"/>
      <c r="E2150" s="269"/>
      <c r="F2150" s="269"/>
      <c r="G2150" s="269"/>
      <c r="H2150" s="269"/>
      <c r="I2150" s="269"/>
      <c r="J2150" s="334"/>
      <c r="K2150" s="334"/>
      <c r="L2150" s="334"/>
      <c r="M2150" s="328"/>
      <c r="N2150" s="328"/>
      <c r="O2150" s="386"/>
      <c r="P2150" s="356"/>
      <c r="Q2150" s="380"/>
      <c r="S2150" s="336"/>
      <c r="T2150" s="62" ph="1"/>
      <c r="V2150" s="232"/>
      <c r="W2150" s="269"/>
      <c r="X2150" s="201"/>
      <c r="Y2150" s="269"/>
      <c r="Z2150" s="269"/>
      <c r="AA2150" s="269"/>
      <c r="AB2150" s="269"/>
      <c r="AC2150" s="269"/>
      <c r="AD2150" s="269"/>
      <c r="AE2150" s="269"/>
    </row>
    <row r="2151" spans="1:31" ht="26.25">
      <c r="A2151" s="269"/>
      <c r="B2151" s="269"/>
      <c r="C2151" s="269"/>
      <c r="D2151" s="269"/>
      <c r="E2151" s="269"/>
      <c r="F2151" s="269"/>
      <c r="G2151" s="269"/>
      <c r="H2151" s="269"/>
      <c r="I2151" s="269"/>
      <c r="J2151" s="334"/>
      <c r="K2151" s="334"/>
      <c r="L2151" s="334"/>
      <c r="M2151" s="328"/>
      <c r="N2151" s="328"/>
      <c r="O2151" s="386"/>
      <c r="P2151" s="356"/>
      <c r="Q2151" s="380"/>
      <c r="S2151" s="336"/>
      <c r="T2151" s="62" ph="1"/>
      <c r="V2151" s="232"/>
      <c r="W2151" s="269"/>
      <c r="X2151" s="201"/>
      <c r="Y2151" s="269"/>
      <c r="Z2151" s="269"/>
      <c r="AA2151" s="269"/>
      <c r="AB2151" s="269"/>
      <c r="AC2151" s="269"/>
      <c r="AD2151" s="269"/>
      <c r="AE2151" s="269"/>
    </row>
    <row r="2152" spans="1:31" ht="26.25">
      <c r="A2152" s="269"/>
      <c r="B2152" s="269"/>
      <c r="C2152" s="269"/>
      <c r="D2152" s="269"/>
      <c r="E2152" s="269"/>
      <c r="F2152" s="269"/>
      <c r="G2152" s="269"/>
      <c r="H2152" s="269"/>
      <c r="I2152" s="269"/>
      <c r="J2152" s="334"/>
      <c r="K2152" s="334"/>
      <c r="L2152" s="334"/>
      <c r="M2152" s="328"/>
      <c r="N2152" s="328"/>
      <c r="O2152" s="386"/>
      <c r="P2152" s="356"/>
      <c r="Q2152" s="380"/>
      <c r="S2152" s="336"/>
      <c r="T2152" s="62" ph="1"/>
      <c r="V2152" s="232"/>
      <c r="W2152" s="269"/>
      <c r="X2152" s="201"/>
      <c r="Y2152" s="269"/>
      <c r="Z2152" s="269"/>
      <c r="AA2152" s="269"/>
      <c r="AB2152" s="269"/>
      <c r="AC2152" s="269"/>
      <c r="AD2152" s="269"/>
      <c r="AE2152" s="269"/>
    </row>
    <row r="2153" spans="1:31" ht="26.25">
      <c r="A2153" s="269"/>
      <c r="B2153" s="269"/>
      <c r="C2153" s="269"/>
      <c r="D2153" s="269"/>
      <c r="E2153" s="269"/>
      <c r="F2153" s="269"/>
      <c r="G2153" s="269"/>
      <c r="H2153" s="269"/>
      <c r="I2153" s="269"/>
      <c r="J2153" s="334"/>
      <c r="K2153" s="334"/>
      <c r="L2153" s="334"/>
      <c r="M2153" s="328"/>
      <c r="N2153" s="328"/>
      <c r="O2153" s="386"/>
      <c r="P2153" s="356"/>
      <c r="Q2153" s="380"/>
      <c r="S2153" s="336"/>
      <c r="T2153" s="62" ph="1"/>
      <c r="V2153" s="232"/>
      <c r="W2153" s="269"/>
      <c r="X2153" s="201"/>
      <c r="Y2153" s="269"/>
      <c r="Z2153" s="269"/>
      <c r="AA2153" s="269"/>
      <c r="AB2153" s="269"/>
      <c r="AC2153" s="269"/>
      <c r="AD2153" s="269"/>
      <c r="AE2153" s="269"/>
    </row>
    <row r="2154" spans="1:31" ht="26.25">
      <c r="A2154" s="269"/>
      <c r="B2154" s="269"/>
      <c r="C2154" s="269"/>
      <c r="D2154" s="269"/>
      <c r="E2154" s="269"/>
      <c r="F2154" s="269"/>
      <c r="G2154" s="269"/>
      <c r="H2154" s="269"/>
      <c r="I2154" s="269"/>
      <c r="J2154" s="334"/>
      <c r="K2154" s="334"/>
      <c r="L2154" s="334"/>
      <c r="M2154" s="328"/>
      <c r="N2154" s="328"/>
      <c r="O2154" s="386"/>
      <c r="P2154" s="356"/>
      <c r="Q2154" s="380"/>
      <c r="S2154" s="336"/>
      <c r="T2154" s="62" ph="1"/>
      <c r="V2154" s="232"/>
      <c r="W2154" s="269"/>
      <c r="X2154" s="201"/>
      <c r="Y2154" s="269"/>
      <c r="Z2154" s="269"/>
      <c r="AA2154" s="269"/>
      <c r="AB2154" s="269"/>
      <c r="AC2154" s="269"/>
      <c r="AD2154" s="269"/>
      <c r="AE2154" s="269"/>
    </row>
    <row r="2155" spans="1:31" ht="26.25">
      <c r="A2155" s="269"/>
      <c r="B2155" s="269"/>
      <c r="C2155" s="269"/>
      <c r="D2155" s="269"/>
      <c r="E2155" s="269"/>
      <c r="F2155" s="269"/>
      <c r="G2155" s="269"/>
      <c r="H2155" s="269"/>
      <c r="I2155" s="269"/>
      <c r="J2155" s="334"/>
      <c r="K2155" s="334"/>
      <c r="L2155" s="334"/>
      <c r="M2155" s="328"/>
      <c r="N2155" s="328"/>
      <c r="O2155" s="386"/>
      <c r="P2155" s="356"/>
      <c r="Q2155" s="380"/>
      <c r="S2155" s="336"/>
      <c r="T2155" s="62" ph="1"/>
      <c r="V2155" s="232"/>
      <c r="W2155" s="269"/>
      <c r="X2155" s="201"/>
      <c r="Y2155" s="269"/>
      <c r="Z2155" s="269"/>
      <c r="AA2155" s="269"/>
      <c r="AB2155" s="269"/>
      <c r="AC2155" s="269"/>
      <c r="AD2155" s="269"/>
      <c r="AE2155" s="269"/>
    </row>
    <row r="2156" spans="1:31" ht="26.25">
      <c r="A2156" s="269"/>
      <c r="B2156" s="269"/>
      <c r="C2156" s="269"/>
      <c r="D2156" s="269"/>
      <c r="E2156" s="269"/>
      <c r="F2156" s="269"/>
      <c r="G2156" s="269"/>
      <c r="H2156" s="269"/>
      <c r="I2156" s="269"/>
      <c r="J2156" s="334"/>
      <c r="K2156" s="334"/>
      <c r="L2156" s="334"/>
      <c r="M2156" s="328"/>
      <c r="N2156" s="328"/>
      <c r="O2156" s="386"/>
      <c r="P2156" s="356"/>
      <c r="Q2156" s="380"/>
      <c r="S2156" s="336"/>
      <c r="T2156" s="62" ph="1"/>
      <c r="V2156" s="232"/>
      <c r="W2156" s="269"/>
      <c r="X2156" s="201"/>
      <c r="Y2156" s="269"/>
      <c r="Z2156" s="269"/>
      <c r="AA2156" s="269"/>
      <c r="AB2156" s="269"/>
      <c r="AC2156" s="269"/>
      <c r="AD2156" s="269"/>
      <c r="AE2156" s="269"/>
    </row>
    <row r="2157" spans="1:31" ht="26.25">
      <c r="A2157" s="269"/>
      <c r="B2157" s="269"/>
      <c r="C2157" s="269"/>
      <c r="D2157" s="269"/>
      <c r="E2157" s="269"/>
      <c r="F2157" s="269"/>
      <c r="G2157" s="269"/>
      <c r="H2157" s="269"/>
      <c r="I2157" s="269"/>
      <c r="J2157" s="334"/>
      <c r="K2157" s="334"/>
      <c r="L2157" s="334"/>
      <c r="M2157" s="328"/>
      <c r="N2157" s="328"/>
      <c r="O2157" s="386"/>
      <c r="P2157" s="356"/>
      <c r="Q2157" s="380"/>
      <c r="S2157" s="336"/>
      <c r="T2157" s="62" ph="1"/>
      <c r="V2157" s="232"/>
      <c r="W2157" s="269"/>
      <c r="X2157" s="201"/>
      <c r="Y2157" s="269"/>
      <c r="Z2157" s="269"/>
      <c r="AA2157" s="269"/>
      <c r="AB2157" s="269"/>
      <c r="AC2157" s="269"/>
      <c r="AD2157" s="269"/>
      <c r="AE2157" s="269"/>
    </row>
    <row r="2158" spans="1:31" ht="26.25">
      <c r="A2158" s="269"/>
      <c r="B2158" s="269"/>
      <c r="C2158" s="269"/>
      <c r="D2158" s="269"/>
      <c r="E2158" s="269"/>
      <c r="F2158" s="269"/>
      <c r="G2158" s="269"/>
      <c r="H2158" s="269"/>
      <c r="I2158" s="269"/>
      <c r="J2158" s="334"/>
      <c r="K2158" s="334"/>
      <c r="L2158" s="334"/>
      <c r="M2158" s="328"/>
      <c r="N2158" s="328"/>
      <c r="O2158" s="386"/>
      <c r="P2158" s="356"/>
      <c r="Q2158" s="380"/>
      <c r="S2158" s="336"/>
      <c r="T2158" s="62" ph="1"/>
      <c r="V2158" s="232"/>
      <c r="W2158" s="269"/>
      <c r="X2158" s="201"/>
      <c r="Y2158" s="269"/>
      <c r="Z2158" s="269"/>
      <c r="AA2158" s="269"/>
      <c r="AB2158" s="269"/>
      <c r="AC2158" s="269"/>
      <c r="AD2158" s="269"/>
      <c r="AE2158" s="269"/>
    </row>
    <row r="2159" spans="1:31" ht="26.25">
      <c r="A2159" s="269"/>
      <c r="B2159" s="269"/>
      <c r="C2159" s="269"/>
      <c r="D2159" s="269"/>
      <c r="E2159" s="269"/>
      <c r="F2159" s="269"/>
      <c r="G2159" s="269"/>
      <c r="H2159" s="269"/>
      <c r="I2159" s="269"/>
      <c r="J2159" s="334"/>
      <c r="K2159" s="334"/>
      <c r="L2159" s="334"/>
      <c r="M2159" s="328"/>
      <c r="N2159" s="328"/>
      <c r="O2159" s="386"/>
      <c r="P2159" s="356"/>
      <c r="Q2159" s="380"/>
      <c r="S2159" s="336"/>
      <c r="T2159" s="62" ph="1"/>
      <c r="V2159" s="232"/>
      <c r="W2159" s="269"/>
      <c r="X2159" s="201"/>
      <c r="Y2159" s="269"/>
      <c r="Z2159" s="269"/>
      <c r="AA2159" s="269"/>
      <c r="AB2159" s="269"/>
      <c r="AC2159" s="269"/>
      <c r="AD2159" s="269"/>
      <c r="AE2159" s="269"/>
    </row>
    <row r="2160" spans="1:31" ht="26.25">
      <c r="A2160" s="269"/>
      <c r="B2160" s="269"/>
      <c r="C2160" s="269"/>
      <c r="D2160" s="269"/>
      <c r="E2160" s="269"/>
      <c r="F2160" s="269"/>
      <c r="G2160" s="269"/>
      <c r="H2160" s="269"/>
      <c r="I2160" s="269"/>
      <c r="J2160" s="334"/>
      <c r="K2160" s="334"/>
      <c r="L2160" s="334"/>
      <c r="M2160" s="328"/>
      <c r="N2160" s="328"/>
      <c r="O2160" s="386"/>
      <c r="P2160" s="356"/>
      <c r="Q2160" s="380"/>
      <c r="S2160" s="336"/>
      <c r="T2160" s="62" ph="1"/>
      <c r="V2160" s="232"/>
      <c r="W2160" s="269"/>
      <c r="X2160" s="201"/>
      <c r="Y2160" s="269"/>
      <c r="Z2160" s="269"/>
      <c r="AA2160" s="269"/>
      <c r="AB2160" s="269"/>
      <c r="AC2160" s="269"/>
      <c r="AD2160" s="269"/>
      <c r="AE2160" s="269"/>
    </row>
    <row r="2161" spans="1:31" ht="26.25">
      <c r="A2161" s="269"/>
      <c r="B2161" s="269"/>
      <c r="C2161" s="269"/>
      <c r="D2161" s="269"/>
      <c r="E2161" s="269"/>
      <c r="F2161" s="269"/>
      <c r="G2161" s="269"/>
      <c r="H2161" s="269"/>
      <c r="I2161" s="269"/>
      <c r="J2161" s="334"/>
      <c r="K2161" s="334"/>
      <c r="L2161" s="334"/>
      <c r="M2161" s="328"/>
      <c r="N2161" s="328"/>
      <c r="O2161" s="386"/>
      <c r="P2161" s="356"/>
      <c r="Q2161" s="380"/>
      <c r="S2161" s="336"/>
      <c r="T2161" s="62" ph="1"/>
      <c r="V2161" s="232"/>
      <c r="W2161" s="269"/>
      <c r="X2161" s="201"/>
      <c r="Y2161" s="269"/>
      <c r="Z2161" s="269"/>
      <c r="AA2161" s="269"/>
      <c r="AB2161" s="269"/>
      <c r="AC2161" s="269"/>
      <c r="AD2161" s="269"/>
      <c r="AE2161" s="269"/>
    </row>
    <row r="2162" spans="1:31" ht="26.25">
      <c r="A2162" s="269"/>
      <c r="B2162" s="269"/>
      <c r="C2162" s="269"/>
      <c r="D2162" s="269"/>
      <c r="E2162" s="269"/>
      <c r="F2162" s="269"/>
      <c r="G2162" s="269"/>
      <c r="H2162" s="269"/>
      <c r="I2162" s="269"/>
      <c r="J2162" s="334"/>
      <c r="K2162" s="334"/>
      <c r="L2162" s="334"/>
      <c r="M2162" s="328"/>
      <c r="N2162" s="328"/>
      <c r="O2162" s="386"/>
      <c r="P2162" s="356"/>
      <c r="Q2162" s="380"/>
      <c r="S2162" s="336"/>
      <c r="T2162" s="62" ph="1"/>
      <c r="V2162" s="232"/>
      <c r="W2162" s="269"/>
      <c r="X2162" s="201"/>
      <c r="Y2162" s="269"/>
      <c r="Z2162" s="269"/>
      <c r="AA2162" s="269"/>
      <c r="AB2162" s="269"/>
      <c r="AC2162" s="269"/>
      <c r="AD2162" s="269"/>
      <c r="AE2162" s="269"/>
    </row>
    <row r="2163" spans="1:31" ht="26.25">
      <c r="A2163" s="269"/>
      <c r="B2163" s="269"/>
      <c r="C2163" s="269"/>
      <c r="D2163" s="269"/>
      <c r="E2163" s="269"/>
      <c r="F2163" s="269"/>
      <c r="G2163" s="269"/>
      <c r="H2163" s="269"/>
      <c r="I2163" s="269"/>
      <c r="J2163" s="334"/>
      <c r="K2163" s="334"/>
      <c r="L2163" s="334"/>
      <c r="M2163" s="328"/>
      <c r="N2163" s="328"/>
      <c r="O2163" s="386"/>
      <c r="P2163" s="356"/>
      <c r="Q2163" s="380"/>
      <c r="S2163" s="336"/>
      <c r="T2163" s="62" ph="1"/>
      <c r="V2163" s="232"/>
      <c r="W2163" s="269"/>
      <c r="X2163" s="201"/>
      <c r="Y2163" s="269"/>
      <c r="Z2163" s="269"/>
      <c r="AA2163" s="269"/>
      <c r="AB2163" s="269"/>
      <c r="AC2163" s="269"/>
      <c r="AD2163" s="269"/>
      <c r="AE2163" s="269"/>
    </row>
    <row r="2164" spans="1:31" ht="26.25">
      <c r="A2164" s="269"/>
      <c r="B2164" s="269"/>
      <c r="C2164" s="269"/>
      <c r="D2164" s="269"/>
      <c r="E2164" s="269"/>
      <c r="F2164" s="269"/>
      <c r="G2164" s="269"/>
      <c r="H2164" s="269"/>
      <c r="I2164" s="269"/>
      <c r="J2164" s="334"/>
      <c r="K2164" s="334"/>
      <c r="L2164" s="334"/>
      <c r="M2164" s="328"/>
      <c r="N2164" s="328"/>
      <c r="O2164" s="386"/>
      <c r="P2164" s="356"/>
      <c r="Q2164" s="380"/>
      <c r="S2164" s="336"/>
      <c r="T2164" s="62" ph="1"/>
      <c r="V2164" s="232"/>
      <c r="W2164" s="269"/>
      <c r="X2164" s="201"/>
      <c r="Y2164" s="269"/>
      <c r="Z2164" s="269"/>
      <c r="AA2164" s="269"/>
      <c r="AB2164" s="269"/>
      <c r="AC2164" s="269"/>
      <c r="AD2164" s="269"/>
      <c r="AE2164" s="269"/>
    </row>
    <row r="2165" spans="1:31" ht="26.25">
      <c r="A2165" s="269"/>
      <c r="B2165" s="269"/>
      <c r="C2165" s="269"/>
      <c r="D2165" s="269"/>
      <c r="E2165" s="269"/>
      <c r="F2165" s="269"/>
      <c r="G2165" s="269"/>
      <c r="H2165" s="269"/>
      <c r="I2165" s="269"/>
      <c r="J2165" s="334"/>
      <c r="K2165" s="334"/>
      <c r="L2165" s="334"/>
      <c r="M2165" s="328"/>
      <c r="N2165" s="328"/>
      <c r="O2165" s="386"/>
      <c r="P2165" s="356"/>
      <c r="Q2165" s="380"/>
      <c r="S2165" s="336"/>
      <c r="T2165" s="62" ph="1"/>
      <c r="V2165" s="232"/>
      <c r="W2165" s="269"/>
      <c r="X2165" s="201"/>
      <c r="Y2165" s="269"/>
      <c r="Z2165" s="269"/>
      <c r="AA2165" s="269"/>
      <c r="AB2165" s="269"/>
      <c r="AC2165" s="269"/>
      <c r="AD2165" s="269"/>
      <c r="AE2165" s="269"/>
    </row>
    <row r="2166" spans="1:31" ht="26.25">
      <c r="A2166" s="269"/>
      <c r="B2166" s="269"/>
      <c r="C2166" s="269"/>
      <c r="D2166" s="269"/>
      <c r="E2166" s="269"/>
      <c r="F2166" s="269"/>
      <c r="G2166" s="269"/>
      <c r="H2166" s="269"/>
      <c r="I2166" s="269"/>
      <c r="J2166" s="334"/>
      <c r="K2166" s="334"/>
      <c r="L2166" s="334"/>
      <c r="M2166" s="328"/>
      <c r="N2166" s="328"/>
      <c r="O2166" s="386"/>
      <c r="P2166" s="356"/>
      <c r="Q2166" s="380"/>
      <c r="S2166" s="336"/>
      <c r="T2166" s="62" ph="1"/>
      <c r="V2166" s="232"/>
      <c r="W2166" s="269"/>
      <c r="X2166" s="201"/>
      <c r="Y2166" s="269"/>
      <c r="Z2166" s="269"/>
      <c r="AA2166" s="269"/>
      <c r="AB2166" s="269"/>
      <c r="AC2166" s="269"/>
      <c r="AD2166" s="269"/>
      <c r="AE2166" s="269"/>
    </row>
    <row r="2167" spans="1:31" ht="26.25">
      <c r="A2167" s="269"/>
      <c r="B2167" s="269"/>
      <c r="C2167" s="269"/>
      <c r="D2167" s="269"/>
      <c r="E2167" s="269"/>
      <c r="F2167" s="269"/>
      <c r="G2167" s="269"/>
      <c r="H2167" s="269"/>
      <c r="I2167" s="269"/>
      <c r="J2167" s="334"/>
      <c r="K2167" s="334"/>
      <c r="L2167" s="334"/>
      <c r="M2167" s="328"/>
      <c r="N2167" s="328"/>
      <c r="O2167" s="386"/>
      <c r="P2167" s="356"/>
      <c r="Q2167" s="380"/>
      <c r="S2167" s="336"/>
      <c r="T2167" s="62" ph="1"/>
      <c r="V2167" s="232"/>
      <c r="W2167" s="269"/>
      <c r="X2167" s="201"/>
      <c r="Y2167" s="269"/>
      <c r="Z2167" s="269"/>
      <c r="AA2167" s="269"/>
      <c r="AB2167" s="269"/>
      <c r="AC2167" s="269"/>
      <c r="AD2167" s="269"/>
      <c r="AE2167" s="269"/>
    </row>
    <row r="2168" spans="1:31" ht="26.25">
      <c r="A2168" s="269"/>
      <c r="B2168" s="269"/>
      <c r="C2168" s="269"/>
      <c r="D2168" s="269"/>
      <c r="E2168" s="269"/>
      <c r="F2168" s="269"/>
      <c r="G2168" s="269"/>
      <c r="H2168" s="269"/>
      <c r="I2168" s="269"/>
      <c r="J2168" s="334"/>
      <c r="K2168" s="334"/>
      <c r="L2168" s="334"/>
      <c r="M2168" s="328"/>
      <c r="N2168" s="328"/>
      <c r="O2168" s="386"/>
      <c r="P2168" s="356"/>
      <c r="Q2168" s="380"/>
      <c r="S2168" s="336"/>
      <c r="T2168" s="62" ph="1"/>
      <c r="V2168" s="232"/>
      <c r="W2168" s="269"/>
      <c r="X2168" s="201"/>
      <c r="Y2168" s="269"/>
      <c r="Z2168" s="269"/>
      <c r="AA2168" s="269"/>
      <c r="AB2168" s="269"/>
      <c r="AC2168" s="269"/>
      <c r="AD2168" s="269"/>
      <c r="AE2168" s="269"/>
    </row>
    <row r="2169" spans="1:31" ht="26.25">
      <c r="A2169" s="269"/>
      <c r="B2169" s="269"/>
      <c r="C2169" s="269"/>
      <c r="D2169" s="269"/>
      <c r="E2169" s="269"/>
      <c r="F2169" s="269"/>
      <c r="G2169" s="269"/>
      <c r="H2169" s="269"/>
      <c r="I2169" s="269"/>
      <c r="J2169" s="334"/>
      <c r="K2169" s="334"/>
      <c r="L2169" s="334"/>
      <c r="M2169" s="328"/>
      <c r="N2169" s="328"/>
      <c r="O2169" s="386"/>
      <c r="P2169" s="356"/>
      <c r="Q2169" s="380"/>
      <c r="S2169" s="336"/>
      <c r="T2169" s="62" ph="1"/>
      <c r="V2169" s="232"/>
      <c r="W2169" s="269"/>
      <c r="X2169" s="201"/>
      <c r="Y2169" s="269"/>
      <c r="Z2169" s="269"/>
      <c r="AA2169" s="269"/>
      <c r="AB2169" s="269"/>
      <c r="AC2169" s="269"/>
      <c r="AD2169" s="269"/>
      <c r="AE2169" s="269"/>
    </row>
    <row r="2170" spans="1:31" ht="26.25">
      <c r="A2170" s="269"/>
      <c r="B2170" s="269"/>
      <c r="C2170" s="269"/>
      <c r="D2170" s="269"/>
      <c r="E2170" s="269"/>
      <c r="F2170" s="269"/>
      <c r="G2170" s="269"/>
      <c r="H2170" s="269"/>
      <c r="I2170" s="269"/>
      <c r="J2170" s="334"/>
      <c r="K2170" s="334"/>
      <c r="L2170" s="334"/>
      <c r="M2170" s="328"/>
      <c r="N2170" s="328"/>
      <c r="O2170" s="386"/>
      <c r="P2170" s="356"/>
      <c r="Q2170" s="380"/>
      <c r="S2170" s="336"/>
      <c r="T2170" s="62" ph="1"/>
      <c r="V2170" s="232"/>
      <c r="W2170" s="269"/>
      <c r="X2170" s="201"/>
      <c r="Y2170" s="269"/>
      <c r="Z2170" s="269"/>
      <c r="AA2170" s="269"/>
      <c r="AB2170" s="269"/>
      <c r="AC2170" s="269"/>
      <c r="AD2170" s="269"/>
      <c r="AE2170" s="269"/>
    </row>
    <row r="2171" spans="1:31" ht="26.25">
      <c r="A2171" s="269"/>
      <c r="B2171" s="269"/>
      <c r="C2171" s="269"/>
      <c r="D2171" s="269"/>
      <c r="E2171" s="269"/>
      <c r="F2171" s="269"/>
      <c r="G2171" s="269"/>
      <c r="H2171" s="269"/>
      <c r="I2171" s="269"/>
      <c r="J2171" s="334"/>
      <c r="K2171" s="334"/>
      <c r="L2171" s="334"/>
      <c r="M2171" s="328"/>
      <c r="N2171" s="328"/>
      <c r="O2171" s="386"/>
      <c r="P2171" s="356"/>
      <c r="Q2171" s="380"/>
      <c r="S2171" s="336"/>
      <c r="T2171" s="62" ph="1"/>
      <c r="V2171" s="232"/>
      <c r="W2171" s="269"/>
      <c r="X2171" s="201"/>
      <c r="Y2171" s="269"/>
      <c r="Z2171" s="269"/>
      <c r="AA2171" s="269"/>
      <c r="AB2171" s="269"/>
      <c r="AC2171" s="269"/>
      <c r="AD2171" s="269"/>
      <c r="AE2171" s="269"/>
    </row>
    <row r="2172" spans="1:31" ht="26.25">
      <c r="A2172" s="269"/>
      <c r="B2172" s="269"/>
      <c r="C2172" s="269"/>
      <c r="D2172" s="269"/>
      <c r="E2172" s="269"/>
      <c r="F2172" s="269"/>
      <c r="G2172" s="269"/>
      <c r="H2172" s="269"/>
      <c r="I2172" s="269"/>
      <c r="J2172" s="334"/>
      <c r="K2172" s="334"/>
      <c r="L2172" s="334"/>
      <c r="M2172" s="328"/>
      <c r="N2172" s="328"/>
      <c r="O2172" s="386"/>
      <c r="P2172" s="356"/>
      <c r="Q2172" s="380"/>
      <c r="S2172" s="336"/>
      <c r="T2172" s="62" ph="1"/>
      <c r="V2172" s="232"/>
      <c r="W2172" s="269"/>
      <c r="X2172" s="201"/>
      <c r="Y2172" s="269"/>
      <c r="Z2172" s="269"/>
      <c r="AA2172" s="269"/>
      <c r="AB2172" s="269"/>
      <c r="AC2172" s="269"/>
      <c r="AD2172" s="269"/>
      <c r="AE2172" s="269"/>
    </row>
    <row r="2173" spans="1:31" ht="26.25">
      <c r="A2173" s="269"/>
      <c r="B2173" s="269"/>
      <c r="C2173" s="269"/>
      <c r="D2173" s="269"/>
      <c r="E2173" s="269"/>
      <c r="F2173" s="269"/>
      <c r="G2173" s="269"/>
      <c r="H2173" s="269"/>
      <c r="I2173" s="269"/>
      <c r="J2173" s="334"/>
      <c r="K2173" s="334"/>
      <c r="L2173" s="334"/>
      <c r="M2173" s="328"/>
      <c r="N2173" s="328"/>
      <c r="O2173" s="386"/>
      <c r="P2173" s="356"/>
      <c r="Q2173" s="380"/>
      <c r="S2173" s="336"/>
      <c r="T2173" s="62" ph="1"/>
      <c r="V2173" s="232"/>
      <c r="W2173" s="269"/>
      <c r="X2173" s="201"/>
      <c r="Y2173" s="269"/>
      <c r="Z2173" s="269"/>
      <c r="AA2173" s="269"/>
      <c r="AB2173" s="269"/>
      <c r="AC2173" s="269"/>
      <c r="AD2173" s="269"/>
      <c r="AE2173" s="269"/>
    </row>
    <row r="2174" spans="1:31" ht="26.25">
      <c r="A2174" s="269"/>
      <c r="B2174" s="269"/>
      <c r="C2174" s="269"/>
      <c r="D2174" s="269"/>
      <c r="E2174" s="269"/>
      <c r="F2174" s="269"/>
      <c r="G2174" s="269"/>
      <c r="H2174" s="269"/>
      <c r="I2174" s="269"/>
      <c r="J2174" s="334"/>
      <c r="K2174" s="334"/>
      <c r="L2174" s="334"/>
      <c r="M2174" s="328"/>
      <c r="N2174" s="328"/>
      <c r="O2174" s="386"/>
      <c r="P2174" s="356"/>
      <c r="Q2174" s="380"/>
      <c r="S2174" s="336"/>
      <c r="T2174" s="62" ph="1"/>
      <c r="V2174" s="232"/>
      <c r="W2174" s="269"/>
      <c r="X2174" s="201"/>
      <c r="Y2174" s="269"/>
      <c r="Z2174" s="269"/>
      <c r="AA2174" s="269"/>
      <c r="AB2174" s="269"/>
      <c r="AC2174" s="269"/>
      <c r="AD2174" s="269"/>
      <c r="AE2174" s="269"/>
    </row>
    <row r="2175" spans="1:31" ht="26.25">
      <c r="A2175" s="269"/>
      <c r="B2175" s="269"/>
      <c r="C2175" s="269"/>
      <c r="D2175" s="269"/>
      <c r="E2175" s="269"/>
      <c r="F2175" s="269"/>
      <c r="G2175" s="269"/>
      <c r="H2175" s="269"/>
      <c r="I2175" s="269"/>
      <c r="J2175" s="334"/>
      <c r="K2175" s="334"/>
      <c r="L2175" s="334"/>
      <c r="M2175" s="328"/>
      <c r="N2175" s="328"/>
      <c r="O2175" s="386"/>
      <c r="P2175" s="356"/>
      <c r="Q2175" s="380"/>
      <c r="S2175" s="336"/>
      <c r="T2175" s="62" ph="1"/>
      <c r="V2175" s="232"/>
      <c r="W2175" s="269"/>
      <c r="X2175" s="201"/>
      <c r="Y2175" s="269"/>
      <c r="Z2175" s="269"/>
      <c r="AA2175" s="269"/>
      <c r="AB2175" s="269"/>
      <c r="AC2175" s="269"/>
      <c r="AD2175" s="269"/>
      <c r="AE2175" s="269"/>
    </row>
    <row r="2176" spans="1:31" ht="26.25">
      <c r="A2176" s="269"/>
      <c r="B2176" s="269"/>
      <c r="C2176" s="269"/>
      <c r="D2176" s="269"/>
      <c r="E2176" s="269"/>
      <c r="F2176" s="269"/>
      <c r="G2176" s="269"/>
      <c r="H2176" s="269"/>
      <c r="I2176" s="269"/>
      <c r="J2176" s="334"/>
      <c r="K2176" s="334"/>
      <c r="L2176" s="334"/>
      <c r="M2176" s="328"/>
      <c r="N2176" s="328"/>
      <c r="O2176" s="386"/>
      <c r="P2176" s="356"/>
      <c r="Q2176" s="380"/>
      <c r="S2176" s="336"/>
      <c r="T2176" s="62" ph="1"/>
      <c r="V2176" s="232"/>
      <c r="W2176" s="269"/>
      <c r="X2176" s="201"/>
      <c r="Y2176" s="269"/>
      <c r="Z2176" s="269"/>
      <c r="AA2176" s="269"/>
      <c r="AB2176" s="269"/>
      <c r="AC2176" s="269"/>
      <c r="AD2176" s="269"/>
      <c r="AE2176" s="269"/>
    </row>
    <row r="2177" spans="1:31" ht="26.25">
      <c r="A2177" s="269"/>
      <c r="B2177" s="269"/>
      <c r="C2177" s="269"/>
      <c r="D2177" s="269"/>
      <c r="E2177" s="269"/>
      <c r="F2177" s="269"/>
      <c r="G2177" s="269"/>
      <c r="H2177" s="269"/>
      <c r="I2177" s="269"/>
      <c r="J2177" s="334"/>
      <c r="K2177" s="334"/>
      <c r="L2177" s="334"/>
      <c r="M2177" s="328"/>
      <c r="N2177" s="328"/>
      <c r="O2177" s="386"/>
      <c r="P2177" s="356"/>
      <c r="Q2177" s="380"/>
      <c r="S2177" s="336"/>
      <c r="T2177" s="62" ph="1"/>
      <c r="V2177" s="232"/>
      <c r="W2177" s="269"/>
      <c r="X2177" s="201"/>
      <c r="Y2177" s="269"/>
      <c r="Z2177" s="269"/>
      <c r="AA2177" s="269"/>
      <c r="AB2177" s="269"/>
      <c r="AC2177" s="269"/>
      <c r="AD2177" s="269"/>
      <c r="AE2177" s="269"/>
    </row>
    <row r="2178" spans="1:31" ht="26.25">
      <c r="A2178" s="269"/>
      <c r="B2178" s="269"/>
      <c r="C2178" s="269"/>
      <c r="D2178" s="269"/>
      <c r="E2178" s="269"/>
      <c r="F2178" s="269"/>
      <c r="G2178" s="269"/>
      <c r="H2178" s="269"/>
      <c r="I2178" s="269"/>
      <c r="J2178" s="334"/>
      <c r="K2178" s="334"/>
      <c r="L2178" s="334"/>
      <c r="M2178" s="328"/>
      <c r="N2178" s="328"/>
      <c r="O2178" s="386"/>
      <c r="P2178" s="356"/>
      <c r="Q2178" s="380"/>
      <c r="S2178" s="336"/>
      <c r="T2178" s="62" ph="1"/>
      <c r="V2178" s="232"/>
      <c r="W2178" s="269"/>
      <c r="X2178" s="201"/>
      <c r="Y2178" s="269"/>
      <c r="Z2178" s="269"/>
      <c r="AA2178" s="269"/>
      <c r="AB2178" s="269"/>
      <c r="AC2178" s="269"/>
      <c r="AD2178" s="269"/>
      <c r="AE2178" s="269"/>
    </row>
    <row r="2179" spans="1:31" ht="26.25">
      <c r="A2179" s="269"/>
      <c r="B2179" s="269"/>
      <c r="C2179" s="269"/>
      <c r="D2179" s="269"/>
      <c r="E2179" s="269"/>
      <c r="F2179" s="269"/>
      <c r="G2179" s="269"/>
      <c r="H2179" s="269"/>
      <c r="I2179" s="269"/>
      <c r="J2179" s="334"/>
      <c r="K2179" s="334"/>
      <c r="L2179" s="334"/>
      <c r="M2179" s="328"/>
      <c r="N2179" s="328"/>
      <c r="O2179" s="386"/>
      <c r="P2179" s="356"/>
      <c r="Q2179" s="380"/>
      <c r="S2179" s="336"/>
      <c r="T2179" s="62" ph="1"/>
      <c r="V2179" s="232"/>
      <c r="W2179" s="269"/>
      <c r="X2179" s="201"/>
      <c r="Y2179" s="269"/>
      <c r="Z2179" s="269"/>
      <c r="AA2179" s="269"/>
      <c r="AB2179" s="269"/>
      <c r="AC2179" s="269"/>
      <c r="AD2179" s="269"/>
      <c r="AE2179" s="269"/>
    </row>
    <row r="2180" spans="1:31" ht="26.25">
      <c r="A2180" s="269"/>
      <c r="B2180" s="269"/>
      <c r="C2180" s="269"/>
      <c r="D2180" s="269"/>
      <c r="E2180" s="269"/>
      <c r="F2180" s="269"/>
      <c r="G2180" s="269"/>
      <c r="H2180" s="269"/>
      <c r="I2180" s="269"/>
      <c r="J2180" s="334"/>
      <c r="K2180" s="334"/>
      <c r="L2180" s="334"/>
      <c r="M2180" s="328"/>
      <c r="N2180" s="328"/>
      <c r="O2180" s="386"/>
      <c r="P2180" s="356"/>
      <c r="Q2180" s="380"/>
      <c r="S2180" s="336"/>
      <c r="T2180" s="62" ph="1"/>
      <c r="V2180" s="232"/>
      <c r="W2180" s="269"/>
      <c r="X2180" s="201"/>
      <c r="Y2180" s="269"/>
      <c r="Z2180" s="269"/>
      <c r="AA2180" s="269"/>
      <c r="AB2180" s="269"/>
      <c r="AC2180" s="269"/>
      <c r="AD2180" s="269"/>
      <c r="AE2180" s="269"/>
    </row>
    <row r="2181" spans="1:31" ht="26.25">
      <c r="A2181" s="269"/>
      <c r="B2181" s="269"/>
      <c r="C2181" s="269"/>
      <c r="D2181" s="269"/>
      <c r="E2181" s="269"/>
      <c r="F2181" s="269"/>
      <c r="G2181" s="269"/>
      <c r="H2181" s="269"/>
      <c r="I2181" s="269"/>
      <c r="J2181" s="334"/>
      <c r="K2181" s="334"/>
      <c r="L2181" s="334"/>
      <c r="M2181" s="328"/>
      <c r="N2181" s="328"/>
      <c r="O2181" s="386"/>
      <c r="P2181" s="356"/>
      <c r="Q2181" s="380"/>
      <c r="S2181" s="336"/>
      <c r="T2181" s="62" ph="1"/>
      <c r="V2181" s="232"/>
      <c r="W2181" s="269"/>
      <c r="X2181" s="201"/>
      <c r="Y2181" s="269"/>
      <c r="Z2181" s="269"/>
      <c r="AA2181" s="269"/>
      <c r="AB2181" s="269"/>
      <c r="AC2181" s="269"/>
      <c r="AD2181" s="269"/>
      <c r="AE2181" s="269"/>
    </row>
    <row r="2182" spans="1:31" ht="26.25">
      <c r="A2182" s="269"/>
      <c r="B2182" s="269"/>
      <c r="C2182" s="269"/>
      <c r="D2182" s="269"/>
      <c r="E2182" s="269"/>
      <c r="F2182" s="269"/>
      <c r="G2182" s="269"/>
      <c r="H2182" s="269"/>
      <c r="I2182" s="269"/>
      <c r="J2182" s="334"/>
      <c r="K2182" s="334"/>
      <c r="L2182" s="334"/>
      <c r="M2182" s="328"/>
      <c r="N2182" s="328"/>
      <c r="O2182" s="386"/>
      <c r="P2182" s="356"/>
      <c r="Q2182" s="380"/>
      <c r="S2182" s="336"/>
      <c r="T2182" s="62" ph="1"/>
      <c r="V2182" s="232"/>
      <c r="W2182" s="269"/>
      <c r="X2182" s="201"/>
      <c r="Y2182" s="269"/>
      <c r="Z2182" s="269"/>
      <c r="AA2182" s="269"/>
      <c r="AB2182" s="269"/>
      <c r="AC2182" s="269"/>
      <c r="AD2182" s="269"/>
      <c r="AE2182" s="269"/>
    </row>
    <row r="2183" spans="1:31" ht="26.25">
      <c r="A2183" s="269"/>
      <c r="B2183" s="269"/>
      <c r="C2183" s="269"/>
      <c r="D2183" s="269"/>
      <c r="E2183" s="269"/>
      <c r="F2183" s="269"/>
      <c r="G2183" s="269"/>
      <c r="H2183" s="269"/>
      <c r="I2183" s="269"/>
      <c r="J2183" s="334"/>
      <c r="K2183" s="334"/>
      <c r="L2183" s="334"/>
      <c r="M2183" s="328"/>
      <c r="N2183" s="328"/>
      <c r="O2183" s="386"/>
      <c r="P2183" s="356"/>
      <c r="Q2183" s="380"/>
      <c r="S2183" s="336"/>
      <c r="T2183" s="62" ph="1"/>
      <c r="V2183" s="232"/>
      <c r="W2183" s="269"/>
      <c r="X2183" s="201"/>
      <c r="Y2183" s="269"/>
      <c r="Z2183" s="269"/>
      <c r="AA2183" s="269"/>
      <c r="AB2183" s="269"/>
      <c r="AC2183" s="269"/>
      <c r="AD2183" s="269"/>
      <c r="AE2183" s="269"/>
    </row>
    <row r="2184" spans="1:31" ht="26.25">
      <c r="A2184" s="269"/>
      <c r="B2184" s="269"/>
      <c r="C2184" s="269"/>
      <c r="D2184" s="269"/>
      <c r="E2184" s="269"/>
      <c r="F2184" s="269"/>
      <c r="G2184" s="269"/>
      <c r="H2184" s="269"/>
      <c r="I2184" s="269"/>
      <c r="J2184" s="334"/>
      <c r="K2184" s="334"/>
      <c r="L2184" s="334"/>
      <c r="M2184" s="328"/>
      <c r="N2184" s="328"/>
      <c r="O2184" s="386"/>
      <c r="P2184" s="356"/>
      <c r="Q2184" s="380"/>
      <c r="S2184" s="336"/>
      <c r="T2184" s="62" ph="1"/>
      <c r="V2184" s="232"/>
      <c r="W2184" s="269"/>
      <c r="X2184" s="201"/>
      <c r="Y2184" s="269"/>
      <c r="Z2184" s="269"/>
      <c r="AA2184" s="269"/>
      <c r="AB2184" s="269"/>
      <c r="AC2184" s="269"/>
      <c r="AD2184" s="269"/>
      <c r="AE2184" s="269"/>
    </row>
    <row r="2185" spans="1:31" ht="26.25">
      <c r="A2185" s="269"/>
      <c r="B2185" s="269"/>
      <c r="C2185" s="269"/>
      <c r="D2185" s="269"/>
      <c r="E2185" s="269"/>
      <c r="F2185" s="269"/>
      <c r="G2185" s="269"/>
      <c r="H2185" s="269"/>
      <c r="I2185" s="269"/>
      <c r="J2185" s="334"/>
      <c r="K2185" s="334"/>
      <c r="L2185" s="334"/>
      <c r="M2185" s="328"/>
      <c r="N2185" s="328"/>
      <c r="O2185" s="386"/>
      <c r="P2185" s="356"/>
      <c r="Q2185" s="380"/>
      <c r="S2185" s="336"/>
      <c r="T2185" s="62" ph="1"/>
      <c r="V2185" s="232"/>
      <c r="W2185" s="269"/>
      <c r="X2185" s="201"/>
      <c r="Y2185" s="269"/>
      <c r="Z2185" s="269"/>
      <c r="AA2185" s="269"/>
      <c r="AB2185" s="269"/>
      <c r="AC2185" s="269"/>
      <c r="AD2185" s="269"/>
      <c r="AE2185" s="269"/>
    </row>
    <row r="2186" spans="1:31" ht="26.25">
      <c r="A2186" s="269"/>
      <c r="B2186" s="269"/>
      <c r="C2186" s="269"/>
      <c r="D2186" s="269"/>
      <c r="E2186" s="269"/>
      <c r="F2186" s="269"/>
      <c r="G2186" s="269"/>
      <c r="H2186" s="269"/>
      <c r="I2186" s="269"/>
      <c r="J2186" s="334"/>
      <c r="K2186" s="334"/>
      <c r="L2186" s="334"/>
      <c r="M2186" s="328"/>
      <c r="N2186" s="328"/>
      <c r="O2186" s="386"/>
      <c r="P2186" s="356"/>
      <c r="Q2186" s="380"/>
      <c r="S2186" s="336"/>
      <c r="T2186" s="62" ph="1"/>
      <c r="V2186" s="232"/>
      <c r="W2186" s="269"/>
      <c r="X2186" s="201"/>
      <c r="Y2186" s="269"/>
      <c r="Z2186" s="269"/>
      <c r="AA2186" s="269"/>
      <c r="AB2186" s="269"/>
      <c r="AC2186" s="269"/>
      <c r="AD2186" s="269"/>
      <c r="AE2186" s="269"/>
    </row>
    <row r="2187" spans="1:31" ht="26.25">
      <c r="A2187" s="269"/>
      <c r="B2187" s="269"/>
      <c r="C2187" s="269"/>
      <c r="D2187" s="269"/>
      <c r="E2187" s="269"/>
      <c r="F2187" s="269"/>
      <c r="G2187" s="269"/>
      <c r="H2187" s="269"/>
      <c r="I2187" s="269"/>
      <c r="J2187" s="334"/>
      <c r="K2187" s="334"/>
      <c r="L2187" s="334"/>
      <c r="M2187" s="328"/>
      <c r="N2187" s="328"/>
      <c r="O2187" s="386"/>
      <c r="P2187" s="356"/>
      <c r="Q2187" s="380"/>
      <c r="S2187" s="336"/>
      <c r="T2187" s="62" ph="1"/>
      <c r="V2187" s="232"/>
      <c r="W2187" s="269"/>
      <c r="X2187" s="201"/>
      <c r="Y2187" s="269"/>
      <c r="Z2187" s="269"/>
      <c r="AA2187" s="269"/>
      <c r="AB2187" s="269"/>
      <c r="AC2187" s="269"/>
      <c r="AD2187" s="269"/>
      <c r="AE2187" s="269"/>
    </row>
    <row r="2188" spans="1:31" ht="26.25">
      <c r="A2188" s="269"/>
      <c r="B2188" s="269"/>
      <c r="C2188" s="269"/>
      <c r="D2188" s="269"/>
      <c r="E2188" s="269"/>
      <c r="F2188" s="269"/>
      <c r="G2188" s="269"/>
      <c r="H2188" s="269"/>
      <c r="I2188" s="269"/>
      <c r="J2188" s="334"/>
      <c r="K2188" s="334"/>
      <c r="L2188" s="334"/>
      <c r="M2188" s="328"/>
      <c r="N2188" s="328"/>
      <c r="O2188" s="386"/>
      <c r="P2188" s="356"/>
      <c r="Q2188" s="380"/>
      <c r="S2188" s="336"/>
      <c r="T2188" s="62" ph="1"/>
      <c r="V2188" s="232"/>
      <c r="W2188" s="269"/>
      <c r="X2188" s="201"/>
      <c r="Y2188" s="269"/>
      <c r="Z2188" s="269"/>
      <c r="AA2188" s="269"/>
      <c r="AB2188" s="269"/>
      <c r="AC2188" s="269"/>
      <c r="AD2188" s="269"/>
      <c r="AE2188" s="269"/>
    </row>
    <row r="2189" spans="1:31" ht="26.25">
      <c r="A2189" s="269"/>
      <c r="B2189" s="269"/>
      <c r="C2189" s="269"/>
      <c r="D2189" s="269"/>
      <c r="E2189" s="269"/>
      <c r="F2189" s="269"/>
      <c r="G2189" s="269"/>
      <c r="H2189" s="269"/>
      <c r="I2189" s="269"/>
      <c r="J2189" s="334"/>
      <c r="K2189" s="334"/>
      <c r="L2189" s="334"/>
      <c r="M2189" s="328"/>
      <c r="N2189" s="328"/>
      <c r="O2189" s="386"/>
      <c r="P2189" s="356"/>
      <c r="Q2189" s="380"/>
      <c r="S2189" s="336"/>
      <c r="T2189" s="62" ph="1"/>
      <c r="V2189" s="232"/>
      <c r="W2189" s="269"/>
      <c r="X2189" s="201"/>
      <c r="Y2189" s="269"/>
      <c r="Z2189" s="269"/>
      <c r="AA2189" s="269"/>
      <c r="AB2189" s="269"/>
      <c r="AC2189" s="269"/>
      <c r="AD2189" s="269"/>
      <c r="AE2189" s="269"/>
    </row>
    <row r="2190" spans="1:31" ht="26.25">
      <c r="A2190" s="269"/>
      <c r="B2190" s="269"/>
      <c r="C2190" s="269"/>
      <c r="D2190" s="269"/>
      <c r="E2190" s="269"/>
      <c r="F2190" s="269"/>
      <c r="G2190" s="269"/>
      <c r="H2190" s="269"/>
      <c r="I2190" s="269"/>
      <c r="J2190" s="334"/>
      <c r="K2190" s="334"/>
      <c r="L2190" s="334"/>
      <c r="M2190" s="328"/>
      <c r="N2190" s="328"/>
      <c r="O2190" s="386"/>
      <c r="P2190" s="356"/>
      <c r="Q2190" s="380"/>
      <c r="S2190" s="336"/>
      <c r="T2190" s="62" ph="1"/>
      <c r="V2190" s="232"/>
      <c r="W2190" s="269"/>
      <c r="X2190" s="201"/>
      <c r="Y2190" s="269"/>
      <c r="Z2190" s="269"/>
      <c r="AA2190" s="269"/>
      <c r="AB2190" s="269"/>
      <c r="AC2190" s="269"/>
      <c r="AD2190" s="269"/>
      <c r="AE2190" s="269"/>
    </row>
    <row r="2191" spans="1:31" ht="26.25">
      <c r="A2191" s="269"/>
      <c r="B2191" s="269"/>
      <c r="C2191" s="269"/>
      <c r="D2191" s="269"/>
      <c r="E2191" s="269"/>
      <c r="F2191" s="269"/>
      <c r="G2191" s="269"/>
      <c r="H2191" s="269"/>
      <c r="I2191" s="269"/>
      <c r="J2191" s="334"/>
      <c r="K2191" s="334"/>
      <c r="L2191" s="334"/>
      <c r="M2191" s="328"/>
      <c r="N2191" s="328"/>
      <c r="O2191" s="386"/>
      <c r="P2191" s="356"/>
      <c r="Q2191" s="380"/>
      <c r="S2191" s="336"/>
      <c r="T2191" s="62" ph="1"/>
      <c r="V2191" s="232"/>
      <c r="W2191" s="269"/>
      <c r="X2191" s="201"/>
      <c r="Y2191" s="269"/>
      <c r="Z2191" s="269"/>
      <c r="AA2191" s="269"/>
      <c r="AB2191" s="269"/>
      <c r="AC2191" s="269"/>
      <c r="AD2191" s="269"/>
      <c r="AE2191" s="269"/>
    </row>
    <row r="2192" spans="1:31" ht="26.25">
      <c r="A2192" s="269"/>
      <c r="B2192" s="269"/>
      <c r="C2192" s="269"/>
      <c r="D2192" s="269"/>
      <c r="E2192" s="269"/>
      <c r="F2192" s="269"/>
      <c r="G2192" s="269"/>
      <c r="H2192" s="269"/>
      <c r="I2192" s="269"/>
      <c r="J2192" s="334"/>
      <c r="K2192" s="334"/>
      <c r="L2192" s="334"/>
      <c r="M2192" s="328"/>
      <c r="N2192" s="328"/>
      <c r="O2192" s="386"/>
      <c r="P2192" s="356"/>
      <c r="Q2192" s="380"/>
      <c r="S2192" s="336"/>
      <c r="T2192" s="62" ph="1"/>
      <c r="V2192" s="232"/>
      <c r="W2192" s="269"/>
      <c r="X2192" s="201"/>
      <c r="Y2192" s="269"/>
      <c r="Z2192" s="269"/>
      <c r="AA2192" s="269"/>
      <c r="AB2192" s="269"/>
      <c r="AC2192" s="269"/>
      <c r="AD2192" s="269"/>
      <c r="AE2192" s="269"/>
    </row>
    <row r="2193" spans="1:31" ht="26.25">
      <c r="A2193" s="269"/>
      <c r="B2193" s="269"/>
      <c r="C2193" s="269"/>
      <c r="D2193" s="269"/>
      <c r="E2193" s="269"/>
      <c r="F2193" s="269"/>
      <c r="G2193" s="269"/>
      <c r="H2193" s="269"/>
      <c r="I2193" s="269"/>
      <c r="J2193" s="334"/>
      <c r="K2193" s="334"/>
      <c r="L2193" s="334"/>
      <c r="M2193" s="328"/>
      <c r="N2193" s="328"/>
      <c r="O2193" s="386"/>
      <c r="P2193" s="356"/>
      <c r="Q2193" s="380"/>
      <c r="S2193" s="336"/>
      <c r="T2193" s="62" ph="1"/>
      <c r="V2193" s="232"/>
      <c r="W2193" s="269"/>
      <c r="X2193" s="201"/>
      <c r="Y2193" s="269"/>
      <c r="Z2193" s="269"/>
      <c r="AA2193" s="269"/>
      <c r="AB2193" s="269"/>
      <c r="AC2193" s="269"/>
      <c r="AD2193" s="269"/>
      <c r="AE2193" s="269"/>
    </row>
    <row r="2194" spans="1:31" ht="26.25">
      <c r="A2194" s="269"/>
      <c r="B2194" s="269"/>
      <c r="C2194" s="269"/>
      <c r="D2194" s="269"/>
      <c r="E2194" s="269"/>
      <c r="F2194" s="269"/>
      <c r="G2194" s="269"/>
      <c r="H2194" s="269"/>
      <c r="I2194" s="269"/>
      <c r="J2194" s="334"/>
      <c r="K2194" s="334"/>
      <c r="L2194" s="334"/>
      <c r="M2194" s="328"/>
      <c r="N2194" s="328"/>
      <c r="O2194" s="386"/>
      <c r="P2194" s="356"/>
      <c r="Q2194" s="380"/>
      <c r="S2194" s="336"/>
      <c r="T2194" s="62" ph="1"/>
      <c r="V2194" s="232"/>
      <c r="W2194" s="269"/>
      <c r="X2194" s="201"/>
      <c r="Y2194" s="269"/>
      <c r="Z2194" s="269"/>
      <c r="AA2194" s="269"/>
      <c r="AB2194" s="269"/>
      <c r="AC2194" s="269"/>
      <c r="AD2194" s="269"/>
      <c r="AE2194" s="269"/>
    </row>
    <row r="2195" spans="1:31" ht="26.25">
      <c r="A2195" s="269"/>
      <c r="B2195" s="269"/>
      <c r="C2195" s="269"/>
      <c r="D2195" s="269"/>
      <c r="E2195" s="269"/>
      <c r="F2195" s="269"/>
      <c r="G2195" s="269"/>
      <c r="H2195" s="269"/>
      <c r="I2195" s="269"/>
      <c r="J2195" s="334"/>
      <c r="K2195" s="334"/>
      <c r="L2195" s="334"/>
      <c r="M2195" s="328"/>
      <c r="N2195" s="328"/>
      <c r="O2195" s="386"/>
      <c r="P2195" s="356"/>
      <c r="Q2195" s="380"/>
      <c r="S2195" s="336"/>
      <c r="T2195" s="62" ph="1"/>
      <c r="V2195" s="232"/>
      <c r="W2195" s="269"/>
      <c r="X2195" s="201"/>
      <c r="Y2195" s="269"/>
      <c r="Z2195" s="269"/>
      <c r="AA2195" s="269"/>
      <c r="AB2195" s="269"/>
      <c r="AC2195" s="269"/>
      <c r="AD2195" s="269"/>
      <c r="AE2195" s="269"/>
    </row>
    <row r="2196" spans="1:31" ht="26.25">
      <c r="A2196" s="269"/>
      <c r="B2196" s="269"/>
      <c r="C2196" s="269"/>
      <c r="D2196" s="269"/>
      <c r="E2196" s="269"/>
      <c r="F2196" s="269"/>
      <c r="G2196" s="269"/>
      <c r="H2196" s="269"/>
      <c r="I2196" s="269"/>
      <c r="J2196" s="334"/>
      <c r="K2196" s="334"/>
      <c r="L2196" s="334"/>
      <c r="M2196" s="328"/>
      <c r="N2196" s="328"/>
      <c r="O2196" s="386"/>
      <c r="P2196" s="356"/>
      <c r="Q2196" s="380"/>
      <c r="S2196" s="336"/>
      <c r="T2196" s="62" ph="1"/>
      <c r="V2196" s="232"/>
      <c r="W2196" s="269"/>
      <c r="X2196" s="201"/>
      <c r="Y2196" s="269"/>
      <c r="Z2196" s="269"/>
      <c r="AA2196" s="269"/>
      <c r="AB2196" s="269"/>
      <c r="AC2196" s="269"/>
      <c r="AD2196" s="269"/>
      <c r="AE2196" s="269"/>
    </row>
    <row r="2197" spans="1:31" ht="26.25">
      <c r="A2197" s="269"/>
      <c r="B2197" s="269"/>
      <c r="C2197" s="269"/>
      <c r="D2197" s="269"/>
      <c r="E2197" s="269"/>
      <c r="F2197" s="269"/>
      <c r="G2197" s="269"/>
      <c r="H2197" s="269"/>
      <c r="I2197" s="269"/>
      <c r="J2197" s="334"/>
      <c r="K2197" s="334"/>
      <c r="L2197" s="334"/>
      <c r="M2197" s="328"/>
      <c r="N2197" s="328"/>
      <c r="O2197" s="386"/>
      <c r="P2197" s="356"/>
      <c r="Q2197" s="380"/>
      <c r="S2197" s="336"/>
      <c r="T2197" s="62" ph="1"/>
      <c r="V2197" s="232"/>
      <c r="W2197" s="269"/>
      <c r="X2197" s="201"/>
      <c r="Y2197" s="269"/>
      <c r="Z2197" s="269"/>
      <c r="AA2197" s="269"/>
      <c r="AB2197" s="269"/>
      <c r="AC2197" s="269"/>
      <c r="AD2197" s="269"/>
      <c r="AE2197" s="269"/>
    </row>
    <row r="2198" spans="1:31" ht="26.25">
      <c r="A2198" s="269"/>
      <c r="B2198" s="269"/>
      <c r="C2198" s="269"/>
      <c r="D2198" s="269"/>
      <c r="E2198" s="269"/>
      <c r="F2198" s="269"/>
      <c r="G2198" s="269"/>
      <c r="H2198" s="269"/>
      <c r="I2198" s="269"/>
      <c r="J2198" s="334"/>
      <c r="K2198" s="334"/>
      <c r="L2198" s="334"/>
      <c r="M2198" s="328"/>
      <c r="N2198" s="328"/>
      <c r="O2198" s="386"/>
      <c r="P2198" s="356"/>
      <c r="Q2198" s="380"/>
      <c r="S2198" s="336"/>
      <c r="T2198" s="62" ph="1"/>
      <c r="V2198" s="232"/>
      <c r="W2198" s="269"/>
      <c r="X2198" s="201"/>
      <c r="Y2198" s="269"/>
      <c r="Z2198" s="269"/>
      <c r="AA2198" s="269"/>
      <c r="AB2198" s="269"/>
      <c r="AC2198" s="269"/>
      <c r="AD2198" s="269"/>
      <c r="AE2198" s="269"/>
    </row>
    <row r="2199" spans="1:31" ht="26.25">
      <c r="A2199" s="269"/>
      <c r="B2199" s="269"/>
      <c r="C2199" s="269"/>
      <c r="D2199" s="269"/>
      <c r="E2199" s="269"/>
      <c r="F2199" s="269"/>
      <c r="G2199" s="269"/>
      <c r="H2199" s="269"/>
      <c r="I2199" s="269"/>
      <c r="J2199" s="334"/>
      <c r="K2199" s="334"/>
      <c r="L2199" s="334"/>
      <c r="M2199" s="328"/>
      <c r="N2199" s="328"/>
      <c r="O2199" s="386"/>
      <c r="P2199" s="356"/>
      <c r="Q2199" s="380"/>
      <c r="S2199" s="336"/>
      <c r="T2199" s="62" ph="1"/>
      <c r="V2199" s="232"/>
      <c r="W2199" s="269"/>
      <c r="X2199" s="201"/>
      <c r="Y2199" s="269"/>
      <c r="Z2199" s="269"/>
      <c r="AA2199" s="269"/>
      <c r="AB2199" s="269"/>
      <c r="AC2199" s="269"/>
      <c r="AD2199" s="269"/>
      <c r="AE2199" s="269"/>
    </row>
    <row r="2200" spans="1:31" ht="26.25">
      <c r="A2200" s="269"/>
      <c r="B2200" s="269"/>
      <c r="C2200" s="269"/>
      <c r="D2200" s="269"/>
      <c r="E2200" s="269"/>
      <c r="F2200" s="269"/>
      <c r="G2200" s="269"/>
      <c r="H2200" s="269"/>
      <c r="I2200" s="269"/>
      <c r="J2200" s="334"/>
      <c r="K2200" s="334"/>
      <c r="L2200" s="334"/>
      <c r="M2200" s="328"/>
      <c r="N2200" s="328"/>
      <c r="O2200" s="386"/>
      <c r="P2200" s="356"/>
      <c r="Q2200" s="380"/>
      <c r="S2200" s="336"/>
      <c r="T2200" s="62" ph="1"/>
      <c r="V2200" s="232"/>
      <c r="W2200" s="269"/>
      <c r="X2200" s="201"/>
      <c r="Y2200" s="269"/>
      <c r="Z2200" s="269"/>
      <c r="AA2200" s="269"/>
      <c r="AB2200" s="269"/>
      <c r="AC2200" s="269"/>
      <c r="AD2200" s="269"/>
      <c r="AE2200" s="269"/>
    </row>
    <row r="2201" spans="1:31" ht="26.25">
      <c r="A2201" s="269"/>
      <c r="B2201" s="269"/>
      <c r="C2201" s="269"/>
      <c r="D2201" s="269"/>
      <c r="E2201" s="269"/>
      <c r="F2201" s="269"/>
      <c r="G2201" s="269"/>
      <c r="H2201" s="269"/>
      <c r="I2201" s="269"/>
      <c r="J2201" s="334"/>
      <c r="K2201" s="334"/>
      <c r="L2201" s="334"/>
      <c r="M2201" s="328"/>
      <c r="N2201" s="328"/>
      <c r="O2201" s="386"/>
      <c r="P2201" s="356"/>
      <c r="Q2201" s="380"/>
      <c r="S2201" s="336"/>
      <c r="T2201" s="62" ph="1"/>
      <c r="V2201" s="232"/>
      <c r="W2201" s="269"/>
      <c r="X2201" s="201"/>
      <c r="Y2201" s="269"/>
      <c r="Z2201" s="269"/>
      <c r="AA2201" s="269"/>
      <c r="AB2201" s="269"/>
      <c r="AC2201" s="269"/>
      <c r="AD2201" s="269"/>
      <c r="AE2201" s="269"/>
    </row>
    <row r="2202" spans="1:31" ht="26.25">
      <c r="A2202" s="269"/>
      <c r="B2202" s="269"/>
      <c r="C2202" s="269"/>
      <c r="D2202" s="269"/>
      <c r="E2202" s="269"/>
      <c r="F2202" s="269"/>
      <c r="G2202" s="269"/>
      <c r="H2202" s="269"/>
      <c r="I2202" s="269"/>
      <c r="J2202" s="334"/>
      <c r="K2202" s="334"/>
      <c r="L2202" s="334"/>
      <c r="M2202" s="328"/>
      <c r="N2202" s="328"/>
      <c r="O2202" s="386"/>
      <c r="P2202" s="356"/>
      <c r="Q2202" s="380"/>
      <c r="S2202" s="336"/>
      <c r="T2202" s="62" ph="1"/>
      <c r="V2202" s="232"/>
      <c r="W2202" s="269"/>
      <c r="X2202" s="201"/>
      <c r="Y2202" s="269"/>
      <c r="Z2202" s="269"/>
      <c r="AA2202" s="269"/>
      <c r="AB2202" s="269"/>
      <c r="AC2202" s="269"/>
      <c r="AD2202" s="269"/>
      <c r="AE2202" s="269"/>
    </row>
    <row r="2203" spans="1:31" ht="26.25">
      <c r="A2203" s="269"/>
      <c r="B2203" s="269"/>
      <c r="C2203" s="269"/>
      <c r="D2203" s="269"/>
      <c r="E2203" s="269"/>
      <c r="F2203" s="269"/>
      <c r="G2203" s="269"/>
      <c r="H2203" s="269"/>
      <c r="I2203" s="269"/>
      <c r="J2203" s="334"/>
      <c r="K2203" s="334"/>
      <c r="L2203" s="334"/>
      <c r="M2203" s="328"/>
      <c r="N2203" s="328"/>
      <c r="O2203" s="386"/>
      <c r="P2203" s="356"/>
      <c r="Q2203" s="380"/>
      <c r="S2203" s="336"/>
      <c r="T2203" s="62" ph="1"/>
      <c r="V2203" s="232"/>
      <c r="W2203" s="269"/>
      <c r="X2203" s="201"/>
      <c r="Y2203" s="269"/>
      <c r="Z2203" s="269"/>
      <c r="AA2203" s="269"/>
      <c r="AB2203" s="269"/>
      <c r="AC2203" s="269"/>
      <c r="AD2203" s="269"/>
      <c r="AE2203" s="269"/>
    </row>
    <row r="2204" spans="1:31" ht="26.25">
      <c r="A2204" s="269"/>
      <c r="B2204" s="269"/>
      <c r="C2204" s="269"/>
      <c r="D2204" s="269"/>
      <c r="E2204" s="269"/>
      <c r="F2204" s="269"/>
      <c r="G2204" s="269"/>
      <c r="H2204" s="269"/>
      <c r="I2204" s="269"/>
      <c r="J2204" s="334"/>
      <c r="K2204" s="334"/>
      <c r="L2204" s="334"/>
      <c r="M2204" s="328"/>
      <c r="N2204" s="328"/>
      <c r="O2204" s="386"/>
      <c r="P2204" s="356"/>
      <c r="Q2204" s="380"/>
      <c r="S2204" s="336"/>
      <c r="T2204" s="62" ph="1"/>
      <c r="V2204" s="232"/>
      <c r="W2204" s="269"/>
      <c r="X2204" s="201"/>
      <c r="Y2204" s="269"/>
      <c r="Z2204" s="269"/>
      <c r="AA2204" s="269"/>
      <c r="AB2204" s="269"/>
      <c r="AC2204" s="269"/>
      <c r="AD2204" s="269"/>
      <c r="AE2204" s="269"/>
    </row>
    <row r="2205" spans="1:31" ht="26.25">
      <c r="A2205" s="269"/>
      <c r="B2205" s="269"/>
      <c r="C2205" s="269"/>
      <c r="D2205" s="269"/>
      <c r="E2205" s="269"/>
      <c r="F2205" s="269"/>
      <c r="G2205" s="269"/>
      <c r="H2205" s="269"/>
      <c r="I2205" s="269"/>
      <c r="J2205" s="334"/>
      <c r="K2205" s="334"/>
      <c r="L2205" s="334"/>
      <c r="M2205" s="328"/>
      <c r="N2205" s="328"/>
      <c r="O2205" s="386"/>
      <c r="P2205" s="356"/>
      <c r="Q2205" s="380"/>
      <c r="S2205" s="336"/>
      <c r="T2205" s="62" ph="1"/>
      <c r="V2205" s="232"/>
      <c r="W2205" s="269"/>
      <c r="X2205" s="201"/>
      <c r="Y2205" s="269"/>
      <c r="Z2205" s="269"/>
      <c r="AA2205" s="269"/>
      <c r="AB2205" s="269"/>
      <c r="AC2205" s="269"/>
      <c r="AD2205" s="269"/>
      <c r="AE2205" s="269"/>
    </row>
    <row r="2206" spans="1:31" ht="26.25">
      <c r="A2206" s="269"/>
      <c r="B2206" s="269"/>
      <c r="C2206" s="269"/>
      <c r="D2206" s="269"/>
      <c r="E2206" s="269"/>
      <c r="F2206" s="269"/>
      <c r="G2206" s="269"/>
      <c r="H2206" s="269"/>
      <c r="I2206" s="269"/>
      <c r="J2206" s="334"/>
      <c r="K2206" s="334"/>
      <c r="L2206" s="334"/>
      <c r="M2206" s="328"/>
      <c r="N2206" s="328"/>
      <c r="O2206" s="386"/>
      <c r="P2206" s="356"/>
      <c r="Q2206" s="380"/>
      <c r="S2206" s="336"/>
      <c r="T2206" s="62" ph="1"/>
      <c r="V2206" s="232"/>
      <c r="W2206" s="269"/>
      <c r="X2206" s="201"/>
      <c r="Y2206" s="269"/>
      <c r="Z2206" s="269"/>
      <c r="AA2206" s="269"/>
      <c r="AB2206" s="269"/>
      <c r="AC2206" s="269"/>
      <c r="AD2206" s="269"/>
      <c r="AE2206" s="269"/>
    </row>
    <row r="2207" spans="1:31" ht="26.25">
      <c r="A2207" s="269"/>
      <c r="B2207" s="269"/>
      <c r="C2207" s="269"/>
      <c r="D2207" s="269"/>
      <c r="E2207" s="269"/>
      <c r="F2207" s="269"/>
      <c r="G2207" s="269"/>
      <c r="H2207" s="269"/>
      <c r="I2207" s="269"/>
      <c r="J2207" s="334"/>
      <c r="K2207" s="334"/>
      <c r="L2207" s="334"/>
      <c r="M2207" s="328"/>
      <c r="N2207" s="328"/>
      <c r="O2207" s="386"/>
      <c r="P2207" s="356"/>
      <c r="Q2207" s="380"/>
      <c r="S2207" s="336"/>
      <c r="T2207" s="62" ph="1"/>
      <c r="V2207" s="232"/>
      <c r="W2207" s="269"/>
      <c r="X2207" s="201"/>
      <c r="Y2207" s="269"/>
      <c r="Z2207" s="269"/>
      <c r="AA2207" s="269"/>
      <c r="AB2207" s="269"/>
      <c r="AC2207" s="269"/>
      <c r="AD2207" s="269"/>
      <c r="AE2207" s="269"/>
    </row>
    <row r="2208" spans="1:31" ht="26.25">
      <c r="A2208" s="269"/>
      <c r="B2208" s="269"/>
      <c r="C2208" s="269"/>
      <c r="D2208" s="269"/>
      <c r="E2208" s="269"/>
      <c r="F2208" s="269"/>
      <c r="G2208" s="269"/>
      <c r="H2208" s="269"/>
      <c r="I2208" s="269"/>
      <c r="J2208" s="334"/>
      <c r="K2208" s="334"/>
      <c r="L2208" s="334"/>
      <c r="M2208" s="328"/>
      <c r="N2208" s="328"/>
      <c r="O2208" s="386"/>
      <c r="P2208" s="356"/>
      <c r="Q2208" s="380"/>
      <c r="S2208" s="336"/>
      <c r="T2208" s="62" ph="1"/>
      <c r="V2208" s="232"/>
      <c r="W2208" s="269"/>
      <c r="X2208" s="201"/>
      <c r="Y2208" s="269"/>
      <c r="Z2208" s="269"/>
      <c r="AA2208" s="269"/>
      <c r="AB2208" s="269"/>
      <c r="AC2208" s="269"/>
      <c r="AD2208" s="269"/>
      <c r="AE2208" s="269"/>
    </row>
    <row r="2209" spans="1:31" ht="26.25">
      <c r="A2209" s="269"/>
      <c r="B2209" s="269"/>
      <c r="C2209" s="269"/>
      <c r="D2209" s="269"/>
      <c r="E2209" s="269"/>
      <c r="F2209" s="269"/>
      <c r="G2209" s="269"/>
      <c r="H2209" s="269"/>
      <c r="I2209" s="269"/>
      <c r="J2209" s="334"/>
      <c r="K2209" s="334"/>
      <c r="L2209" s="334"/>
      <c r="M2209" s="328"/>
      <c r="N2209" s="328"/>
      <c r="O2209" s="386"/>
      <c r="P2209" s="356"/>
      <c r="Q2209" s="380"/>
      <c r="S2209" s="336"/>
      <c r="T2209" s="62" ph="1"/>
      <c r="V2209" s="232"/>
      <c r="W2209" s="269"/>
      <c r="X2209" s="201"/>
      <c r="Y2209" s="269"/>
      <c r="Z2209" s="269"/>
      <c r="AA2209" s="269"/>
      <c r="AB2209" s="269"/>
      <c r="AC2209" s="269"/>
      <c r="AD2209" s="269"/>
      <c r="AE2209" s="269"/>
    </row>
    <row r="2210" spans="1:31" ht="26.25">
      <c r="A2210" s="269"/>
      <c r="B2210" s="269"/>
      <c r="C2210" s="269"/>
      <c r="D2210" s="269"/>
      <c r="E2210" s="269"/>
      <c r="F2210" s="269"/>
      <c r="G2210" s="269"/>
      <c r="H2210" s="269"/>
      <c r="I2210" s="269"/>
      <c r="J2210" s="334"/>
      <c r="K2210" s="334"/>
      <c r="L2210" s="334"/>
      <c r="M2210" s="328"/>
      <c r="N2210" s="328"/>
      <c r="O2210" s="386"/>
      <c r="P2210" s="356"/>
      <c r="Q2210" s="380"/>
      <c r="S2210" s="336"/>
      <c r="T2210" s="62" ph="1"/>
      <c r="V2210" s="232"/>
      <c r="W2210" s="269"/>
      <c r="X2210" s="201"/>
      <c r="Y2210" s="269"/>
      <c r="Z2210" s="269"/>
      <c r="AA2210" s="269"/>
      <c r="AB2210" s="269"/>
      <c r="AC2210" s="269"/>
      <c r="AD2210" s="269"/>
      <c r="AE2210" s="269"/>
    </row>
    <row r="2211" spans="1:31" ht="26.25">
      <c r="A2211" s="269"/>
      <c r="B2211" s="269"/>
      <c r="C2211" s="269"/>
      <c r="D2211" s="269"/>
      <c r="E2211" s="269"/>
      <c r="F2211" s="269"/>
      <c r="G2211" s="269"/>
      <c r="H2211" s="269"/>
      <c r="I2211" s="269"/>
      <c r="J2211" s="334"/>
      <c r="K2211" s="334"/>
      <c r="L2211" s="334"/>
      <c r="M2211" s="328"/>
      <c r="N2211" s="328"/>
      <c r="O2211" s="386"/>
      <c r="P2211" s="356"/>
      <c r="Q2211" s="380"/>
      <c r="S2211" s="336"/>
      <c r="T2211" s="62" ph="1"/>
      <c r="V2211" s="232"/>
      <c r="W2211" s="269"/>
      <c r="X2211" s="201"/>
      <c r="Y2211" s="269"/>
      <c r="Z2211" s="269"/>
      <c r="AA2211" s="269"/>
      <c r="AB2211" s="269"/>
      <c r="AC2211" s="269"/>
      <c r="AD2211" s="269"/>
      <c r="AE2211" s="269"/>
    </row>
    <row r="2212" spans="1:31" ht="26.25">
      <c r="A2212" s="269"/>
      <c r="B2212" s="269"/>
      <c r="C2212" s="269"/>
      <c r="D2212" s="269"/>
      <c r="E2212" s="269"/>
      <c r="F2212" s="269"/>
      <c r="G2212" s="269"/>
      <c r="H2212" s="269"/>
      <c r="I2212" s="269"/>
      <c r="J2212" s="334"/>
      <c r="K2212" s="334"/>
      <c r="L2212" s="334"/>
      <c r="M2212" s="328"/>
      <c r="N2212" s="328"/>
      <c r="O2212" s="386"/>
      <c r="P2212" s="356"/>
      <c r="Q2212" s="380"/>
      <c r="S2212" s="336"/>
      <c r="T2212" s="62" ph="1"/>
      <c r="V2212" s="232"/>
      <c r="W2212" s="269"/>
      <c r="X2212" s="201"/>
      <c r="Y2212" s="269"/>
      <c r="Z2212" s="269"/>
      <c r="AA2212" s="269"/>
      <c r="AB2212" s="269"/>
      <c r="AC2212" s="269"/>
      <c r="AD2212" s="269"/>
      <c r="AE2212" s="269"/>
    </row>
    <row r="2213" spans="1:31" ht="26.25">
      <c r="A2213" s="269"/>
      <c r="B2213" s="269"/>
      <c r="C2213" s="269"/>
      <c r="D2213" s="269"/>
      <c r="E2213" s="269"/>
      <c r="F2213" s="269"/>
      <c r="G2213" s="269"/>
      <c r="H2213" s="269"/>
      <c r="I2213" s="269"/>
      <c r="J2213" s="334"/>
      <c r="K2213" s="334"/>
      <c r="L2213" s="334"/>
      <c r="M2213" s="328"/>
      <c r="N2213" s="328"/>
      <c r="O2213" s="386"/>
      <c r="P2213" s="356"/>
      <c r="Q2213" s="380"/>
      <c r="S2213" s="336"/>
      <c r="T2213" s="62" ph="1"/>
      <c r="V2213" s="232"/>
      <c r="W2213" s="269"/>
      <c r="X2213" s="201"/>
      <c r="Y2213" s="269"/>
      <c r="Z2213" s="269"/>
      <c r="AA2213" s="269"/>
      <c r="AB2213" s="269"/>
      <c r="AC2213" s="269"/>
      <c r="AD2213" s="269"/>
      <c r="AE2213" s="269"/>
    </row>
    <row r="2214" spans="1:31" ht="26.25">
      <c r="A2214" s="269"/>
      <c r="B2214" s="269"/>
      <c r="C2214" s="269"/>
      <c r="D2214" s="269"/>
      <c r="E2214" s="269"/>
      <c r="F2214" s="269"/>
      <c r="G2214" s="269"/>
      <c r="H2214" s="269"/>
      <c r="I2214" s="269"/>
      <c r="J2214" s="334"/>
      <c r="K2214" s="334"/>
      <c r="L2214" s="334"/>
      <c r="M2214" s="328"/>
      <c r="N2214" s="328"/>
      <c r="O2214" s="386"/>
      <c r="P2214" s="356"/>
      <c r="Q2214" s="380"/>
      <c r="S2214" s="336"/>
      <c r="T2214" s="62" ph="1"/>
      <c r="V2214" s="232"/>
      <c r="W2214" s="269"/>
      <c r="X2214" s="201"/>
      <c r="Y2214" s="269"/>
      <c r="Z2214" s="269"/>
      <c r="AA2214" s="269"/>
      <c r="AB2214" s="269"/>
      <c r="AC2214" s="269"/>
      <c r="AD2214" s="269"/>
      <c r="AE2214" s="269"/>
    </row>
    <row r="2215" spans="1:31" ht="26.25">
      <c r="A2215" s="269"/>
      <c r="B2215" s="269"/>
      <c r="C2215" s="269"/>
      <c r="D2215" s="269"/>
      <c r="E2215" s="269"/>
      <c r="F2215" s="269"/>
      <c r="G2215" s="269"/>
      <c r="H2215" s="269"/>
      <c r="I2215" s="269"/>
      <c r="J2215" s="334"/>
      <c r="K2215" s="334"/>
      <c r="L2215" s="334"/>
      <c r="M2215" s="328"/>
      <c r="N2215" s="328"/>
      <c r="O2215" s="386"/>
      <c r="P2215" s="356"/>
      <c r="Q2215" s="380"/>
      <c r="S2215" s="336"/>
      <c r="T2215" s="62" ph="1"/>
      <c r="V2215" s="232"/>
      <c r="W2215" s="269"/>
      <c r="X2215" s="201"/>
      <c r="Y2215" s="269"/>
      <c r="Z2215" s="269"/>
      <c r="AA2215" s="269"/>
      <c r="AB2215" s="269"/>
      <c r="AC2215" s="269"/>
      <c r="AD2215" s="269"/>
      <c r="AE2215" s="269"/>
    </row>
    <row r="2216" spans="1:31" ht="26.25">
      <c r="A2216" s="269"/>
      <c r="B2216" s="269"/>
      <c r="C2216" s="269"/>
      <c r="D2216" s="269"/>
      <c r="E2216" s="269"/>
      <c r="F2216" s="269"/>
      <c r="G2216" s="269"/>
      <c r="H2216" s="269"/>
      <c r="I2216" s="269"/>
      <c r="J2216" s="334"/>
      <c r="K2216" s="334"/>
      <c r="L2216" s="334"/>
      <c r="M2216" s="328"/>
      <c r="N2216" s="328"/>
      <c r="O2216" s="386"/>
      <c r="P2216" s="356"/>
      <c r="Q2216" s="380"/>
      <c r="S2216" s="336"/>
      <c r="T2216" s="62" ph="1"/>
      <c r="V2216" s="232"/>
      <c r="W2216" s="269"/>
      <c r="X2216" s="201"/>
      <c r="Y2216" s="269"/>
      <c r="Z2216" s="269"/>
      <c r="AA2216" s="269"/>
      <c r="AB2216" s="269"/>
      <c r="AC2216" s="269"/>
      <c r="AD2216" s="269"/>
      <c r="AE2216" s="269"/>
    </row>
    <row r="2217" spans="1:31" ht="26.25">
      <c r="A2217" s="269"/>
      <c r="B2217" s="269"/>
      <c r="C2217" s="269"/>
      <c r="D2217" s="269"/>
      <c r="E2217" s="269"/>
      <c r="F2217" s="269"/>
      <c r="G2217" s="269"/>
      <c r="H2217" s="269"/>
      <c r="I2217" s="269"/>
      <c r="J2217" s="334"/>
      <c r="K2217" s="334"/>
      <c r="L2217" s="334"/>
      <c r="M2217" s="328"/>
      <c r="N2217" s="328"/>
      <c r="O2217" s="386"/>
      <c r="P2217" s="356"/>
      <c r="Q2217" s="380"/>
      <c r="S2217" s="336"/>
      <c r="T2217" s="62" ph="1"/>
      <c r="V2217" s="232"/>
      <c r="W2217" s="269"/>
      <c r="X2217" s="201"/>
      <c r="Y2217" s="269"/>
      <c r="Z2217" s="269"/>
      <c r="AA2217" s="269"/>
      <c r="AB2217" s="269"/>
      <c r="AC2217" s="269"/>
      <c r="AD2217" s="269"/>
      <c r="AE2217" s="269"/>
    </row>
    <row r="2218" spans="1:31" ht="26.25">
      <c r="A2218" s="269"/>
      <c r="B2218" s="269"/>
      <c r="C2218" s="269"/>
      <c r="D2218" s="269"/>
      <c r="E2218" s="269"/>
      <c r="F2218" s="269"/>
      <c r="G2218" s="269"/>
      <c r="H2218" s="269"/>
      <c r="I2218" s="269"/>
      <c r="J2218" s="334"/>
      <c r="K2218" s="334"/>
      <c r="L2218" s="334"/>
      <c r="M2218" s="328"/>
      <c r="N2218" s="328"/>
      <c r="O2218" s="386"/>
      <c r="P2218" s="356"/>
      <c r="Q2218" s="380"/>
      <c r="S2218" s="336"/>
      <c r="T2218" s="62" ph="1"/>
      <c r="V2218" s="232"/>
      <c r="W2218" s="269"/>
      <c r="X2218" s="201"/>
      <c r="Y2218" s="269"/>
      <c r="Z2218" s="269"/>
      <c r="AA2218" s="269"/>
      <c r="AB2218" s="269"/>
      <c r="AC2218" s="269"/>
      <c r="AD2218" s="269"/>
      <c r="AE2218" s="269"/>
    </row>
    <row r="2219" spans="1:31" ht="26.25">
      <c r="A2219" s="269"/>
      <c r="B2219" s="269"/>
      <c r="C2219" s="269"/>
      <c r="D2219" s="269"/>
      <c r="E2219" s="269"/>
      <c r="F2219" s="269"/>
      <c r="G2219" s="269"/>
      <c r="H2219" s="269"/>
      <c r="I2219" s="269"/>
      <c r="J2219" s="334"/>
      <c r="K2219" s="334"/>
      <c r="L2219" s="334"/>
      <c r="M2219" s="328"/>
      <c r="N2219" s="328"/>
      <c r="O2219" s="386"/>
      <c r="P2219" s="356"/>
      <c r="Q2219" s="380"/>
      <c r="S2219" s="336"/>
      <c r="T2219" s="62" ph="1"/>
      <c r="V2219" s="232"/>
      <c r="W2219" s="269"/>
      <c r="X2219" s="201"/>
      <c r="Y2219" s="269"/>
      <c r="Z2219" s="269"/>
      <c r="AA2219" s="269"/>
      <c r="AB2219" s="269"/>
      <c r="AC2219" s="269"/>
      <c r="AD2219" s="269"/>
      <c r="AE2219" s="269"/>
    </row>
    <row r="2220" spans="1:31" ht="26.25">
      <c r="A2220" s="269"/>
      <c r="B2220" s="269"/>
      <c r="C2220" s="269"/>
      <c r="D2220" s="269"/>
      <c r="E2220" s="269"/>
      <c r="F2220" s="269"/>
      <c r="G2220" s="269"/>
      <c r="H2220" s="269"/>
      <c r="I2220" s="269"/>
      <c r="J2220" s="334"/>
      <c r="K2220" s="334"/>
      <c r="L2220" s="334"/>
      <c r="M2220" s="328"/>
      <c r="N2220" s="328"/>
      <c r="O2220" s="386"/>
      <c r="P2220" s="356"/>
      <c r="Q2220" s="380"/>
      <c r="S2220" s="336"/>
      <c r="T2220" s="62" ph="1"/>
      <c r="V2220" s="232"/>
      <c r="W2220" s="269"/>
      <c r="X2220" s="201"/>
      <c r="Y2220" s="269"/>
      <c r="Z2220" s="269"/>
      <c r="AA2220" s="269"/>
      <c r="AB2220" s="269"/>
      <c r="AC2220" s="269"/>
      <c r="AD2220" s="269"/>
      <c r="AE2220" s="269"/>
    </row>
    <row r="2221" spans="1:31" ht="26.25">
      <c r="A2221" s="269"/>
      <c r="B2221" s="269"/>
      <c r="C2221" s="269"/>
      <c r="D2221" s="269"/>
      <c r="E2221" s="269"/>
      <c r="F2221" s="269"/>
      <c r="G2221" s="269"/>
      <c r="H2221" s="269"/>
      <c r="I2221" s="269"/>
      <c r="J2221" s="334"/>
      <c r="K2221" s="334"/>
      <c r="L2221" s="334"/>
      <c r="M2221" s="328"/>
      <c r="N2221" s="328"/>
      <c r="O2221" s="386"/>
      <c r="P2221" s="356"/>
      <c r="Q2221" s="380"/>
      <c r="S2221" s="336"/>
      <c r="T2221" s="62" ph="1"/>
      <c r="V2221" s="232"/>
      <c r="W2221" s="269"/>
      <c r="X2221" s="201"/>
      <c r="Y2221" s="269"/>
      <c r="Z2221" s="269"/>
      <c r="AA2221" s="269"/>
      <c r="AB2221" s="269"/>
      <c r="AC2221" s="269"/>
      <c r="AD2221" s="269"/>
      <c r="AE2221" s="269"/>
    </row>
    <row r="2222" spans="1:31" ht="26.25">
      <c r="A2222" s="269"/>
      <c r="B2222" s="269"/>
      <c r="C2222" s="269"/>
      <c r="D2222" s="269"/>
      <c r="E2222" s="269"/>
      <c r="F2222" s="269"/>
      <c r="G2222" s="269"/>
      <c r="H2222" s="269"/>
      <c r="I2222" s="269"/>
      <c r="J2222" s="334"/>
      <c r="K2222" s="334"/>
      <c r="L2222" s="334"/>
      <c r="M2222" s="328"/>
      <c r="N2222" s="328"/>
      <c r="O2222" s="386"/>
      <c r="P2222" s="356"/>
      <c r="Q2222" s="380"/>
      <c r="S2222" s="336"/>
      <c r="T2222" s="62" ph="1"/>
      <c r="V2222" s="232"/>
      <c r="W2222" s="269"/>
      <c r="X2222" s="201"/>
      <c r="Y2222" s="269"/>
      <c r="Z2222" s="269"/>
      <c r="AA2222" s="269"/>
      <c r="AB2222" s="269"/>
      <c r="AC2222" s="269"/>
      <c r="AD2222" s="269"/>
      <c r="AE2222" s="269"/>
    </row>
    <row r="2223" spans="1:31" ht="26.25">
      <c r="A2223" s="269"/>
      <c r="B2223" s="269"/>
      <c r="C2223" s="269"/>
      <c r="D2223" s="269"/>
      <c r="E2223" s="269"/>
      <c r="F2223" s="269"/>
      <c r="G2223" s="269"/>
      <c r="H2223" s="269"/>
      <c r="I2223" s="269"/>
      <c r="J2223" s="334"/>
      <c r="K2223" s="334"/>
      <c r="L2223" s="334"/>
      <c r="M2223" s="328"/>
      <c r="N2223" s="328"/>
      <c r="O2223" s="386"/>
      <c r="P2223" s="356"/>
      <c r="Q2223" s="380"/>
      <c r="S2223" s="336"/>
      <c r="T2223" s="62" ph="1"/>
      <c r="V2223" s="232"/>
      <c r="W2223" s="269"/>
      <c r="X2223" s="201"/>
      <c r="Y2223" s="269"/>
      <c r="Z2223" s="269"/>
      <c r="AA2223" s="269"/>
      <c r="AB2223" s="269"/>
      <c r="AC2223" s="269"/>
      <c r="AD2223" s="269"/>
      <c r="AE2223" s="269"/>
    </row>
    <row r="2224" spans="1:31" ht="26.25">
      <c r="A2224" s="269"/>
      <c r="B2224" s="269"/>
      <c r="C2224" s="269"/>
      <c r="D2224" s="269"/>
      <c r="E2224" s="269"/>
      <c r="F2224" s="269"/>
      <c r="G2224" s="269"/>
      <c r="H2224" s="269"/>
      <c r="I2224" s="269"/>
      <c r="J2224" s="334"/>
      <c r="K2224" s="334"/>
      <c r="L2224" s="334"/>
      <c r="M2224" s="328"/>
      <c r="N2224" s="328"/>
      <c r="O2224" s="386"/>
      <c r="P2224" s="356"/>
      <c r="Q2224" s="380"/>
      <c r="S2224" s="336"/>
      <c r="T2224" s="62" ph="1"/>
      <c r="V2224" s="232"/>
      <c r="W2224" s="269"/>
      <c r="X2224" s="201"/>
      <c r="Y2224" s="269"/>
      <c r="Z2224" s="269"/>
      <c r="AA2224" s="269"/>
      <c r="AB2224" s="269"/>
      <c r="AC2224" s="269"/>
      <c r="AD2224" s="269"/>
      <c r="AE2224" s="269"/>
    </row>
    <row r="2225" spans="1:31" ht="26.25">
      <c r="A2225" s="269"/>
      <c r="B2225" s="269"/>
      <c r="C2225" s="269"/>
      <c r="D2225" s="269"/>
      <c r="E2225" s="269"/>
      <c r="F2225" s="269"/>
      <c r="G2225" s="269"/>
      <c r="H2225" s="269"/>
      <c r="I2225" s="269"/>
      <c r="J2225" s="334"/>
      <c r="K2225" s="334"/>
      <c r="L2225" s="334"/>
      <c r="M2225" s="328"/>
      <c r="N2225" s="328"/>
      <c r="O2225" s="386"/>
      <c r="P2225" s="356"/>
      <c r="Q2225" s="380"/>
      <c r="S2225" s="336"/>
      <c r="T2225" s="62" ph="1"/>
      <c r="V2225" s="232"/>
      <c r="W2225" s="269"/>
      <c r="X2225" s="201"/>
      <c r="Y2225" s="269"/>
      <c r="Z2225" s="269"/>
      <c r="AA2225" s="269"/>
      <c r="AB2225" s="269"/>
      <c r="AC2225" s="269"/>
      <c r="AD2225" s="269"/>
      <c r="AE2225" s="269"/>
    </row>
    <row r="2226" spans="1:31" ht="26.25">
      <c r="A2226" s="269"/>
      <c r="B2226" s="269"/>
      <c r="C2226" s="269"/>
      <c r="D2226" s="269"/>
      <c r="E2226" s="269"/>
      <c r="F2226" s="269"/>
      <c r="G2226" s="269"/>
      <c r="H2226" s="269"/>
      <c r="I2226" s="269"/>
      <c r="J2226" s="334"/>
      <c r="K2226" s="334"/>
      <c r="L2226" s="334"/>
      <c r="M2226" s="328"/>
      <c r="N2226" s="328"/>
      <c r="O2226" s="386"/>
      <c r="P2226" s="356"/>
      <c r="Q2226" s="380"/>
      <c r="S2226" s="336"/>
      <c r="T2226" s="62" ph="1"/>
      <c r="V2226" s="232"/>
      <c r="W2226" s="269"/>
      <c r="X2226" s="201"/>
      <c r="Y2226" s="269"/>
      <c r="Z2226" s="269"/>
      <c r="AA2226" s="269"/>
      <c r="AB2226" s="269"/>
      <c r="AC2226" s="269"/>
      <c r="AD2226" s="269"/>
      <c r="AE2226" s="269"/>
    </row>
    <row r="2227" spans="1:31" ht="26.25">
      <c r="A2227" s="269"/>
      <c r="B2227" s="269"/>
      <c r="C2227" s="269"/>
      <c r="D2227" s="269"/>
      <c r="E2227" s="269"/>
      <c r="F2227" s="269"/>
      <c r="G2227" s="269"/>
      <c r="H2227" s="269"/>
      <c r="I2227" s="269"/>
      <c r="J2227" s="334"/>
      <c r="K2227" s="334"/>
      <c r="L2227" s="334"/>
      <c r="M2227" s="328"/>
      <c r="N2227" s="328"/>
      <c r="O2227" s="386"/>
      <c r="P2227" s="356"/>
      <c r="Q2227" s="380"/>
      <c r="S2227" s="336"/>
      <c r="T2227" s="62" ph="1"/>
      <c r="V2227" s="232"/>
      <c r="W2227" s="269"/>
      <c r="X2227" s="201"/>
      <c r="Y2227" s="269"/>
      <c r="Z2227" s="269"/>
      <c r="AA2227" s="269"/>
      <c r="AB2227" s="269"/>
      <c r="AC2227" s="269"/>
      <c r="AD2227" s="269"/>
      <c r="AE2227" s="269"/>
    </row>
    <row r="2228" spans="1:31" ht="26.25">
      <c r="A2228" s="269"/>
      <c r="B2228" s="269"/>
      <c r="C2228" s="269"/>
      <c r="D2228" s="269"/>
      <c r="E2228" s="269"/>
      <c r="F2228" s="269"/>
      <c r="G2228" s="269"/>
      <c r="H2228" s="269"/>
      <c r="I2228" s="269"/>
      <c r="J2228" s="334"/>
      <c r="K2228" s="334"/>
      <c r="L2228" s="334"/>
      <c r="M2228" s="328"/>
      <c r="N2228" s="328"/>
      <c r="O2228" s="386"/>
      <c r="P2228" s="356"/>
      <c r="Q2228" s="380"/>
      <c r="S2228" s="336"/>
      <c r="T2228" s="62" ph="1"/>
      <c r="V2228" s="232"/>
      <c r="W2228" s="269"/>
      <c r="X2228" s="201"/>
      <c r="Y2228" s="269"/>
      <c r="Z2228" s="269"/>
      <c r="AA2228" s="269"/>
      <c r="AB2228" s="269"/>
      <c r="AC2228" s="269"/>
      <c r="AD2228" s="269"/>
      <c r="AE2228" s="269"/>
    </row>
    <row r="2229" spans="1:31" ht="26.25">
      <c r="A2229" s="269"/>
      <c r="B2229" s="269"/>
      <c r="C2229" s="269"/>
      <c r="D2229" s="269"/>
      <c r="E2229" s="269"/>
      <c r="F2229" s="269"/>
      <c r="G2229" s="269"/>
      <c r="H2229" s="269"/>
      <c r="I2229" s="269"/>
      <c r="J2229" s="334"/>
      <c r="K2229" s="334"/>
      <c r="L2229" s="334"/>
      <c r="M2229" s="328"/>
      <c r="N2229" s="328"/>
      <c r="O2229" s="386"/>
      <c r="P2229" s="356"/>
      <c r="Q2229" s="380"/>
      <c r="S2229" s="336"/>
      <c r="T2229" s="62" ph="1"/>
      <c r="V2229" s="232"/>
      <c r="W2229" s="269"/>
      <c r="X2229" s="201"/>
      <c r="Y2229" s="269"/>
      <c r="Z2229" s="269"/>
      <c r="AA2229" s="269"/>
      <c r="AB2229" s="269"/>
      <c r="AC2229" s="269"/>
      <c r="AD2229" s="269"/>
      <c r="AE2229" s="269"/>
    </row>
    <row r="2230" spans="1:31" ht="26.25">
      <c r="A2230" s="269"/>
      <c r="B2230" s="269"/>
      <c r="C2230" s="269"/>
      <c r="D2230" s="269"/>
      <c r="E2230" s="269"/>
      <c r="F2230" s="269"/>
      <c r="G2230" s="269"/>
      <c r="H2230" s="269"/>
      <c r="I2230" s="269"/>
      <c r="J2230" s="334"/>
      <c r="K2230" s="334"/>
      <c r="L2230" s="334"/>
      <c r="M2230" s="328"/>
      <c r="N2230" s="328"/>
      <c r="O2230" s="386"/>
      <c r="P2230" s="356"/>
      <c r="Q2230" s="380"/>
      <c r="S2230" s="336"/>
      <c r="T2230" s="62" ph="1"/>
      <c r="V2230" s="232"/>
      <c r="W2230" s="269"/>
      <c r="X2230" s="201"/>
      <c r="Y2230" s="269"/>
      <c r="Z2230" s="269"/>
      <c r="AA2230" s="269"/>
      <c r="AB2230" s="269"/>
      <c r="AC2230" s="269"/>
      <c r="AD2230" s="269"/>
      <c r="AE2230" s="269"/>
    </row>
    <row r="2231" spans="1:31" ht="26.25">
      <c r="A2231" s="269"/>
      <c r="B2231" s="269"/>
      <c r="C2231" s="269"/>
      <c r="D2231" s="269"/>
      <c r="E2231" s="269"/>
      <c r="F2231" s="269"/>
      <c r="G2231" s="269"/>
      <c r="H2231" s="269"/>
      <c r="I2231" s="269"/>
      <c r="J2231" s="334"/>
      <c r="K2231" s="334"/>
      <c r="L2231" s="334"/>
      <c r="M2231" s="328"/>
      <c r="N2231" s="328"/>
      <c r="O2231" s="386"/>
      <c r="P2231" s="356"/>
      <c r="Q2231" s="380"/>
      <c r="S2231" s="336"/>
      <c r="T2231" s="62" ph="1"/>
      <c r="V2231" s="232"/>
      <c r="W2231" s="269"/>
      <c r="X2231" s="201"/>
      <c r="Y2231" s="269"/>
      <c r="Z2231" s="269"/>
      <c r="AA2231" s="269"/>
      <c r="AB2231" s="269"/>
      <c r="AC2231" s="269"/>
      <c r="AD2231" s="269"/>
      <c r="AE2231" s="269"/>
    </row>
    <row r="2232" spans="1:31" ht="26.25">
      <c r="A2232" s="269"/>
      <c r="B2232" s="269"/>
      <c r="C2232" s="269"/>
      <c r="D2232" s="269"/>
      <c r="E2232" s="269"/>
      <c r="F2232" s="269"/>
      <c r="G2232" s="269"/>
      <c r="H2232" s="269"/>
      <c r="I2232" s="269"/>
      <c r="J2232" s="334"/>
      <c r="K2232" s="334"/>
      <c r="L2232" s="334"/>
      <c r="M2232" s="328"/>
      <c r="N2232" s="328"/>
      <c r="O2232" s="386"/>
      <c r="P2232" s="356"/>
      <c r="Q2232" s="380"/>
      <c r="S2232" s="336"/>
      <c r="T2232" s="62" ph="1"/>
      <c r="V2232" s="232"/>
      <c r="W2232" s="269"/>
      <c r="X2232" s="201"/>
      <c r="Y2232" s="269"/>
      <c r="Z2232" s="269"/>
      <c r="AA2232" s="269"/>
      <c r="AB2232" s="269"/>
      <c r="AC2232" s="269"/>
      <c r="AD2232" s="269"/>
      <c r="AE2232" s="269"/>
    </row>
    <row r="2233" spans="1:31" ht="26.25">
      <c r="A2233" s="269"/>
      <c r="B2233" s="269"/>
      <c r="C2233" s="269"/>
      <c r="D2233" s="269"/>
      <c r="E2233" s="269"/>
      <c r="F2233" s="269"/>
      <c r="G2233" s="269"/>
      <c r="H2233" s="269"/>
      <c r="I2233" s="269"/>
      <c r="J2233" s="334"/>
      <c r="K2233" s="334"/>
      <c r="L2233" s="334"/>
      <c r="M2233" s="328"/>
      <c r="N2233" s="328"/>
      <c r="O2233" s="386"/>
      <c r="P2233" s="356"/>
      <c r="Q2233" s="380"/>
      <c r="S2233" s="336"/>
      <c r="T2233" s="62" ph="1"/>
      <c r="V2233" s="232"/>
      <c r="W2233" s="269"/>
      <c r="X2233" s="201"/>
      <c r="Y2233" s="269"/>
      <c r="Z2233" s="269"/>
      <c r="AA2233" s="269"/>
      <c r="AB2233" s="269"/>
      <c r="AC2233" s="269"/>
      <c r="AD2233" s="269"/>
      <c r="AE2233" s="269"/>
    </row>
    <row r="2234" spans="1:31" ht="26.25">
      <c r="A2234" s="269"/>
      <c r="B2234" s="269"/>
      <c r="C2234" s="269"/>
      <c r="D2234" s="269"/>
      <c r="E2234" s="269"/>
      <c r="F2234" s="269"/>
      <c r="G2234" s="269"/>
      <c r="H2234" s="269"/>
      <c r="I2234" s="269"/>
      <c r="J2234" s="334"/>
      <c r="K2234" s="334"/>
      <c r="L2234" s="334"/>
      <c r="M2234" s="328"/>
      <c r="N2234" s="328"/>
      <c r="O2234" s="386"/>
      <c r="P2234" s="356"/>
      <c r="Q2234" s="380"/>
      <c r="S2234" s="336"/>
      <c r="T2234" s="62" ph="1"/>
      <c r="V2234" s="232"/>
      <c r="W2234" s="269"/>
      <c r="X2234" s="201"/>
      <c r="Y2234" s="269"/>
      <c r="Z2234" s="269"/>
      <c r="AA2234" s="269"/>
      <c r="AB2234" s="269"/>
      <c r="AC2234" s="269"/>
      <c r="AD2234" s="269"/>
      <c r="AE2234" s="269"/>
    </row>
    <row r="2235" spans="1:31" ht="26.25">
      <c r="A2235" s="269"/>
      <c r="B2235" s="269"/>
      <c r="C2235" s="269"/>
      <c r="D2235" s="269"/>
      <c r="E2235" s="269"/>
      <c r="F2235" s="269"/>
      <c r="G2235" s="269"/>
      <c r="H2235" s="269"/>
      <c r="I2235" s="269"/>
      <c r="J2235" s="334"/>
      <c r="K2235" s="334"/>
      <c r="L2235" s="334"/>
      <c r="M2235" s="328"/>
      <c r="N2235" s="328"/>
      <c r="O2235" s="386"/>
      <c r="P2235" s="356"/>
      <c r="Q2235" s="380"/>
      <c r="S2235" s="336"/>
      <c r="T2235" s="62" ph="1"/>
      <c r="V2235" s="232"/>
      <c r="W2235" s="269"/>
      <c r="X2235" s="201"/>
      <c r="Y2235" s="269"/>
      <c r="Z2235" s="269"/>
      <c r="AA2235" s="269"/>
      <c r="AB2235" s="269"/>
      <c r="AC2235" s="269"/>
      <c r="AD2235" s="269"/>
      <c r="AE2235" s="269"/>
    </row>
    <row r="2236" spans="1:31" ht="26.25">
      <c r="A2236" s="269"/>
      <c r="B2236" s="269"/>
      <c r="C2236" s="269"/>
      <c r="D2236" s="269"/>
      <c r="E2236" s="269"/>
      <c r="F2236" s="269"/>
      <c r="G2236" s="269"/>
      <c r="H2236" s="269"/>
      <c r="I2236" s="269"/>
      <c r="J2236" s="334"/>
      <c r="K2236" s="334"/>
      <c r="L2236" s="334"/>
      <c r="M2236" s="328"/>
      <c r="N2236" s="328"/>
      <c r="O2236" s="386"/>
      <c r="P2236" s="356"/>
      <c r="Q2236" s="380"/>
      <c r="S2236" s="336"/>
      <c r="T2236" s="62" ph="1"/>
      <c r="V2236" s="232"/>
      <c r="W2236" s="269"/>
      <c r="X2236" s="201"/>
      <c r="Y2236" s="269"/>
      <c r="Z2236" s="269"/>
      <c r="AA2236" s="269"/>
      <c r="AB2236" s="269"/>
      <c r="AC2236" s="269"/>
      <c r="AD2236" s="269"/>
      <c r="AE2236" s="269"/>
    </row>
    <row r="2237" spans="1:31" ht="26.25">
      <c r="A2237" s="269"/>
      <c r="B2237" s="269"/>
      <c r="C2237" s="269"/>
      <c r="D2237" s="269"/>
      <c r="E2237" s="269"/>
      <c r="F2237" s="269"/>
      <c r="G2237" s="269"/>
      <c r="H2237" s="269"/>
      <c r="I2237" s="269"/>
      <c r="J2237" s="334"/>
      <c r="K2237" s="334"/>
      <c r="L2237" s="334"/>
      <c r="M2237" s="328"/>
      <c r="N2237" s="328"/>
      <c r="O2237" s="386"/>
      <c r="P2237" s="356"/>
      <c r="Q2237" s="380"/>
      <c r="S2237" s="336"/>
      <c r="T2237" s="62" ph="1"/>
      <c r="V2237" s="232"/>
      <c r="W2237" s="269"/>
      <c r="X2237" s="201"/>
      <c r="Y2237" s="269"/>
      <c r="Z2237" s="269"/>
      <c r="AA2237" s="269"/>
      <c r="AB2237" s="269"/>
      <c r="AC2237" s="269"/>
      <c r="AD2237" s="269"/>
      <c r="AE2237" s="269"/>
    </row>
    <row r="2238" spans="1:31" ht="26.25">
      <c r="A2238" s="269"/>
      <c r="B2238" s="269"/>
      <c r="C2238" s="269"/>
      <c r="D2238" s="269"/>
      <c r="E2238" s="269"/>
      <c r="F2238" s="269"/>
      <c r="G2238" s="269"/>
      <c r="H2238" s="269"/>
      <c r="I2238" s="269"/>
      <c r="J2238" s="334"/>
      <c r="K2238" s="334"/>
      <c r="L2238" s="334"/>
      <c r="M2238" s="328"/>
      <c r="N2238" s="328"/>
      <c r="O2238" s="386"/>
      <c r="P2238" s="356"/>
      <c r="Q2238" s="380"/>
      <c r="S2238" s="336"/>
      <c r="T2238" s="62" ph="1"/>
      <c r="V2238" s="232"/>
      <c r="W2238" s="269"/>
      <c r="X2238" s="201"/>
      <c r="Y2238" s="269"/>
      <c r="Z2238" s="269"/>
      <c r="AA2238" s="269"/>
      <c r="AB2238" s="269"/>
      <c r="AC2238" s="269"/>
      <c r="AD2238" s="269"/>
      <c r="AE2238" s="269"/>
    </row>
    <row r="2239" spans="1:31" ht="26.25">
      <c r="A2239" s="269"/>
      <c r="B2239" s="269"/>
      <c r="C2239" s="269"/>
      <c r="D2239" s="269"/>
      <c r="E2239" s="269"/>
      <c r="F2239" s="269"/>
      <c r="G2239" s="269"/>
      <c r="H2239" s="269"/>
      <c r="I2239" s="269"/>
      <c r="J2239" s="334"/>
      <c r="K2239" s="334"/>
      <c r="L2239" s="334"/>
      <c r="M2239" s="328"/>
      <c r="N2239" s="328"/>
      <c r="O2239" s="386"/>
      <c r="P2239" s="356"/>
      <c r="Q2239" s="380"/>
      <c r="S2239" s="336"/>
      <c r="T2239" s="62" ph="1"/>
      <c r="V2239" s="232"/>
      <c r="W2239" s="269"/>
      <c r="X2239" s="201"/>
      <c r="Y2239" s="269"/>
      <c r="Z2239" s="269"/>
      <c r="AA2239" s="269"/>
      <c r="AB2239" s="269"/>
      <c r="AC2239" s="269"/>
      <c r="AD2239" s="269"/>
      <c r="AE2239" s="269"/>
    </row>
    <row r="2240" spans="1:31" ht="26.25">
      <c r="A2240" s="269"/>
      <c r="B2240" s="269"/>
      <c r="C2240" s="269"/>
      <c r="D2240" s="269"/>
      <c r="E2240" s="269"/>
      <c r="F2240" s="269"/>
      <c r="G2240" s="269"/>
      <c r="H2240" s="269"/>
      <c r="I2240" s="269"/>
      <c r="J2240" s="334"/>
      <c r="K2240" s="334"/>
      <c r="L2240" s="334"/>
      <c r="M2240" s="328"/>
      <c r="N2240" s="328"/>
      <c r="O2240" s="386"/>
      <c r="P2240" s="356"/>
      <c r="Q2240" s="380"/>
      <c r="S2240" s="336"/>
      <c r="T2240" s="62" ph="1"/>
      <c r="V2240" s="232"/>
      <c r="W2240" s="269"/>
      <c r="X2240" s="201"/>
      <c r="Y2240" s="269"/>
      <c r="Z2240" s="269"/>
      <c r="AA2240" s="269"/>
      <c r="AB2240" s="269"/>
      <c r="AC2240" s="269"/>
      <c r="AD2240" s="269"/>
      <c r="AE2240" s="269"/>
    </row>
    <row r="2241" spans="1:31" ht="26.25">
      <c r="A2241" s="269"/>
      <c r="B2241" s="269"/>
      <c r="C2241" s="269"/>
      <c r="D2241" s="269"/>
      <c r="E2241" s="269"/>
      <c r="F2241" s="269"/>
      <c r="G2241" s="269"/>
      <c r="H2241" s="269"/>
      <c r="I2241" s="269"/>
      <c r="J2241" s="334"/>
      <c r="K2241" s="334"/>
      <c r="L2241" s="334"/>
      <c r="M2241" s="328"/>
      <c r="N2241" s="328"/>
      <c r="O2241" s="386"/>
      <c r="P2241" s="356"/>
      <c r="Q2241" s="380"/>
      <c r="S2241" s="336"/>
      <c r="T2241" s="62" ph="1"/>
      <c r="V2241" s="232"/>
      <c r="W2241" s="269"/>
      <c r="X2241" s="201"/>
      <c r="Y2241" s="269"/>
      <c r="Z2241" s="269"/>
      <c r="AA2241" s="269"/>
      <c r="AB2241" s="269"/>
      <c r="AC2241" s="269"/>
      <c r="AD2241" s="269"/>
      <c r="AE2241" s="269"/>
    </row>
    <row r="2242" spans="1:31" ht="26.25">
      <c r="A2242" s="269"/>
      <c r="B2242" s="269"/>
      <c r="C2242" s="269"/>
      <c r="D2242" s="269"/>
      <c r="E2242" s="269"/>
      <c r="F2242" s="269"/>
      <c r="G2242" s="269"/>
      <c r="H2242" s="269"/>
      <c r="I2242" s="269"/>
      <c r="J2242" s="334"/>
      <c r="K2242" s="334"/>
      <c r="L2242" s="334"/>
      <c r="M2242" s="328"/>
      <c r="N2242" s="328"/>
      <c r="O2242" s="386"/>
      <c r="P2242" s="356"/>
      <c r="Q2242" s="380"/>
      <c r="S2242" s="336"/>
      <c r="T2242" s="62" ph="1"/>
      <c r="V2242" s="232"/>
      <c r="W2242" s="269"/>
      <c r="X2242" s="201"/>
      <c r="Y2242" s="269"/>
      <c r="Z2242" s="269"/>
      <c r="AA2242" s="269"/>
      <c r="AB2242" s="269"/>
      <c r="AC2242" s="269"/>
      <c r="AD2242" s="269"/>
      <c r="AE2242" s="269"/>
    </row>
    <row r="2243" spans="1:31" ht="26.25">
      <c r="A2243" s="269"/>
      <c r="B2243" s="269"/>
      <c r="C2243" s="269"/>
      <c r="D2243" s="269"/>
      <c r="E2243" s="269"/>
      <c r="F2243" s="269"/>
      <c r="G2243" s="269"/>
      <c r="H2243" s="269"/>
      <c r="I2243" s="269"/>
      <c r="J2243" s="334"/>
      <c r="K2243" s="334"/>
      <c r="L2243" s="334"/>
      <c r="M2243" s="328"/>
      <c r="N2243" s="328"/>
      <c r="O2243" s="386"/>
      <c r="P2243" s="356"/>
      <c r="Q2243" s="380"/>
      <c r="S2243" s="336"/>
      <c r="T2243" s="62" ph="1"/>
      <c r="V2243" s="232"/>
      <c r="W2243" s="269"/>
      <c r="X2243" s="201"/>
      <c r="Y2243" s="269"/>
      <c r="Z2243" s="269"/>
      <c r="AA2243" s="269"/>
      <c r="AB2243" s="269"/>
      <c r="AC2243" s="269"/>
      <c r="AD2243" s="269"/>
      <c r="AE2243" s="269"/>
    </row>
    <row r="2244" spans="1:31" ht="26.25">
      <c r="A2244" s="269"/>
      <c r="B2244" s="269"/>
      <c r="C2244" s="269"/>
      <c r="D2244" s="269"/>
      <c r="E2244" s="269"/>
      <c r="F2244" s="269"/>
      <c r="G2244" s="269"/>
      <c r="H2244" s="269"/>
      <c r="I2244" s="269"/>
      <c r="J2244" s="334"/>
      <c r="K2244" s="334"/>
      <c r="L2244" s="334"/>
      <c r="M2244" s="328"/>
      <c r="N2244" s="328"/>
      <c r="O2244" s="386"/>
      <c r="P2244" s="356"/>
      <c r="Q2244" s="380"/>
      <c r="S2244" s="336"/>
      <c r="T2244" s="62" ph="1"/>
      <c r="V2244" s="232"/>
      <c r="W2244" s="269"/>
      <c r="X2244" s="201"/>
      <c r="Y2244" s="269"/>
      <c r="Z2244" s="269"/>
      <c r="AA2244" s="269"/>
      <c r="AB2244" s="269"/>
      <c r="AC2244" s="269"/>
      <c r="AD2244" s="269"/>
      <c r="AE2244" s="269"/>
    </row>
    <row r="2245" spans="1:31" ht="26.25">
      <c r="A2245" s="269"/>
      <c r="B2245" s="269"/>
      <c r="C2245" s="269"/>
      <c r="D2245" s="269"/>
      <c r="E2245" s="269"/>
      <c r="F2245" s="269"/>
      <c r="G2245" s="269"/>
      <c r="H2245" s="269"/>
      <c r="I2245" s="269"/>
      <c r="J2245" s="334"/>
      <c r="K2245" s="334"/>
      <c r="L2245" s="334"/>
      <c r="M2245" s="328"/>
      <c r="N2245" s="328"/>
      <c r="O2245" s="386"/>
      <c r="P2245" s="356"/>
      <c r="Q2245" s="380"/>
      <c r="S2245" s="336"/>
      <c r="T2245" s="62" ph="1"/>
      <c r="V2245" s="232"/>
      <c r="W2245" s="269"/>
      <c r="X2245" s="201"/>
      <c r="Y2245" s="269"/>
      <c r="Z2245" s="269"/>
      <c r="AA2245" s="269"/>
      <c r="AB2245" s="269"/>
      <c r="AC2245" s="269"/>
      <c r="AD2245" s="269"/>
      <c r="AE2245" s="269"/>
    </row>
    <row r="2246" spans="1:31" ht="26.25">
      <c r="A2246" s="269"/>
      <c r="B2246" s="269"/>
      <c r="C2246" s="269"/>
      <c r="D2246" s="269"/>
      <c r="E2246" s="269"/>
      <c r="F2246" s="269"/>
      <c r="G2246" s="269"/>
      <c r="H2246" s="269"/>
      <c r="I2246" s="269"/>
      <c r="J2246" s="334"/>
      <c r="K2246" s="334"/>
      <c r="L2246" s="334"/>
      <c r="M2246" s="328"/>
      <c r="N2246" s="328"/>
      <c r="O2246" s="386"/>
      <c r="P2246" s="356"/>
      <c r="Q2246" s="380"/>
      <c r="S2246" s="336"/>
      <c r="T2246" s="62" ph="1"/>
      <c r="V2246" s="232"/>
      <c r="W2246" s="269"/>
      <c r="X2246" s="201"/>
      <c r="Y2246" s="269"/>
      <c r="Z2246" s="269"/>
      <c r="AA2246" s="269"/>
      <c r="AB2246" s="269"/>
      <c r="AC2246" s="269"/>
      <c r="AD2246" s="269"/>
      <c r="AE2246" s="269"/>
    </row>
    <row r="2247" spans="1:31" ht="26.25">
      <c r="A2247" s="269"/>
      <c r="B2247" s="269"/>
      <c r="C2247" s="269"/>
      <c r="D2247" s="269"/>
      <c r="E2247" s="269"/>
      <c r="F2247" s="269"/>
      <c r="G2247" s="269"/>
      <c r="H2247" s="269"/>
      <c r="I2247" s="269"/>
      <c r="J2247" s="334"/>
      <c r="K2247" s="334"/>
      <c r="L2247" s="334"/>
      <c r="M2247" s="328"/>
      <c r="N2247" s="328"/>
      <c r="O2247" s="386"/>
      <c r="P2247" s="356"/>
      <c r="Q2247" s="380"/>
      <c r="S2247" s="336"/>
      <c r="T2247" s="62" ph="1"/>
      <c r="V2247" s="232"/>
      <c r="W2247" s="269"/>
      <c r="X2247" s="201"/>
      <c r="Y2247" s="269"/>
      <c r="Z2247" s="269"/>
      <c r="AA2247" s="269"/>
      <c r="AB2247" s="269"/>
      <c r="AC2247" s="269"/>
      <c r="AD2247" s="269"/>
      <c r="AE2247" s="269"/>
    </row>
    <row r="2248" spans="1:31" ht="26.25">
      <c r="A2248" s="269"/>
      <c r="B2248" s="269"/>
      <c r="C2248" s="269"/>
      <c r="D2248" s="269"/>
      <c r="E2248" s="269"/>
      <c r="F2248" s="269"/>
      <c r="G2248" s="269"/>
      <c r="H2248" s="269"/>
      <c r="I2248" s="269"/>
      <c r="J2248" s="334"/>
      <c r="K2248" s="334"/>
      <c r="L2248" s="334"/>
      <c r="M2248" s="328"/>
      <c r="N2248" s="328"/>
      <c r="O2248" s="386"/>
      <c r="P2248" s="356"/>
      <c r="Q2248" s="380"/>
      <c r="S2248" s="336"/>
      <c r="T2248" s="62" ph="1"/>
      <c r="V2248" s="232"/>
      <c r="W2248" s="269"/>
      <c r="X2248" s="201"/>
      <c r="Y2248" s="269"/>
      <c r="Z2248" s="269"/>
      <c r="AA2248" s="269"/>
      <c r="AB2248" s="269"/>
      <c r="AC2248" s="269"/>
      <c r="AD2248" s="269"/>
      <c r="AE2248" s="269"/>
    </row>
    <row r="2249" spans="1:31" ht="26.25">
      <c r="A2249" s="269"/>
      <c r="B2249" s="269"/>
      <c r="C2249" s="269"/>
      <c r="D2249" s="269"/>
      <c r="E2249" s="269"/>
      <c r="F2249" s="269"/>
      <c r="G2249" s="269"/>
      <c r="H2249" s="269"/>
      <c r="I2249" s="269"/>
      <c r="J2249" s="334"/>
      <c r="K2249" s="334"/>
      <c r="L2249" s="334"/>
      <c r="M2249" s="328"/>
      <c r="N2249" s="328"/>
      <c r="O2249" s="386"/>
      <c r="P2249" s="356"/>
      <c r="Q2249" s="380"/>
      <c r="S2249" s="336"/>
      <c r="T2249" s="62" ph="1"/>
      <c r="V2249" s="232"/>
      <c r="W2249" s="269"/>
      <c r="X2249" s="201"/>
      <c r="Y2249" s="269"/>
      <c r="Z2249" s="269"/>
      <c r="AA2249" s="269"/>
      <c r="AB2249" s="269"/>
      <c r="AC2249" s="269"/>
      <c r="AD2249" s="269"/>
      <c r="AE2249" s="269"/>
    </row>
    <row r="2250" spans="1:31" ht="26.25">
      <c r="A2250" s="269"/>
      <c r="B2250" s="269"/>
      <c r="C2250" s="269"/>
      <c r="D2250" s="269"/>
      <c r="E2250" s="269"/>
      <c r="F2250" s="269"/>
      <c r="G2250" s="269"/>
      <c r="H2250" s="269"/>
      <c r="I2250" s="269"/>
      <c r="J2250" s="334"/>
      <c r="K2250" s="334"/>
      <c r="L2250" s="334"/>
      <c r="M2250" s="328"/>
      <c r="N2250" s="328"/>
      <c r="O2250" s="386"/>
      <c r="P2250" s="356"/>
      <c r="Q2250" s="380"/>
      <c r="S2250" s="336"/>
      <c r="T2250" s="62" ph="1"/>
      <c r="V2250" s="232"/>
      <c r="W2250" s="269"/>
      <c r="X2250" s="201"/>
      <c r="Y2250" s="269"/>
      <c r="Z2250" s="269"/>
      <c r="AA2250" s="269"/>
      <c r="AB2250" s="269"/>
      <c r="AC2250" s="269"/>
      <c r="AD2250" s="269"/>
      <c r="AE2250" s="269"/>
    </row>
    <row r="2251" spans="1:31" ht="26.25">
      <c r="A2251" s="269"/>
      <c r="B2251" s="269"/>
      <c r="C2251" s="269"/>
      <c r="D2251" s="269"/>
      <c r="E2251" s="269"/>
      <c r="F2251" s="269"/>
      <c r="G2251" s="269"/>
      <c r="H2251" s="269"/>
      <c r="I2251" s="269"/>
      <c r="J2251" s="334"/>
      <c r="K2251" s="334"/>
      <c r="L2251" s="334"/>
      <c r="M2251" s="328"/>
      <c r="N2251" s="328"/>
      <c r="O2251" s="386"/>
      <c r="P2251" s="356"/>
      <c r="Q2251" s="380"/>
      <c r="S2251" s="336"/>
      <c r="T2251" s="62" ph="1"/>
      <c r="V2251" s="232"/>
      <c r="W2251" s="269"/>
      <c r="X2251" s="201"/>
      <c r="Y2251" s="269"/>
      <c r="Z2251" s="269"/>
      <c r="AA2251" s="269"/>
      <c r="AB2251" s="269"/>
      <c r="AC2251" s="269"/>
      <c r="AD2251" s="269"/>
      <c r="AE2251" s="269"/>
    </row>
    <row r="2252" spans="1:31" ht="26.25">
      <c r="A2252" s="269"/>
      <c r="B2252" s="269"/>
      <c r="C2252" s="269"/>
      <c r="D2252" s="269"/>
      <c r="E2252" s="269"/>
      <c r="F2252" s="269"/>
      <c r="G2252" s="269"/>
      <c r="H2252" s="269"/>
      <c r="I2252" s="269"/>
      <c r="J2252" s="334"/>
      <c r="K2252" s="334"/>
      <c r="L2252" s="334"/>
      <c r="M2252" s="328"/>
      <c r="N2252" s="328"/>
      <c r="O2252" s="386"/>
      <c r="P2252" s="356"/>
      <c r="Q2252" s="380"/>
      <c r="S2252" s="336"/>
      <c r="T2252" s="62" ph="1"/>
      <c r="V2252" s="232"/>
      <c r="W2252" s="269"/>
      <c r="X2252" s="201"/>
      <c r="Y2252" s="269"/>
      <c r="Z2252" s="269"/>
      <c r="AA2252" s="269"/>
      <c r="AB2252" s="269"/>
      <c r="AC2252" s="269"/>
      <c r="AD2252" s="269"/>
      <c r="AE2252" s="269"/>
    </row>
    <row r="2253" spans="1:31" ht="26.25">
      <c r="A2253" s="269"/>
      <c r="B2253" s="269"/>
      <c r="C2253" s="269"/>
      <c r="D2253" s="269"/>
      <c r="E2253" s="269"/>
      <c r="F2253" s="269"/>
      <c r="G2253" s="269"/>
      <c r="H2253" s="269"/>
      <c r="I2253" s="269"/>
      <c r="J2253" s="334"/>
      <c r="K2253" s="334"/>
      <c r="L2253" s="334"/>
      <c r="M2253" s="328"/>
      <c r="N2253" s="328"/>
      <c r="O2253" s="386"/>
      <c r="P2253" s="356"/>
      <c r="Q2253" s="380"/>
      <c r="S2253" s="336"/>
      <c r="T2253" s="62" ph="1"/>
      <c r="V2253" s="232"/>
      <c r="W2253" s="269"/>
      <c r="X2253" s="201"/>
      <c r="Y2253" s="269"/>
      <c r="Z2253" s="269"/>
      <c r="AA2253" s="269"/>
      <c r="AB2253" s="269"/>
      <c r="AC2253" s="269"/>
      <c r="AD2253" s="269"/>
      <c r="AE2253" s="269"/>
    </row>
    <row r="2254" spans="1:31" ht="26.25">
      <c r="A2254" s="269"/>
      <c r="B2254" s="269"/>
      <c r="C2254" s="269"/>
      <c r="D2254" s="269"/>
      <c r="E2254" s="269"/>
      <c r="F2254" s="269"/>
      <c r="G2254" s="269"/>
      <c r="H2254" s="269"/>
      <c r="I2254" s="269"/>
      <c r="J2254" s="334"/>
      <c r="K2254" s="334"/>
      <c r="L2254" s="334"/>
      <c r="M2254" s="328"/>
      <c r="N2254" s="328"/>
      <c r="O2254" s="386"/>
      <c r="P2254" s="356"/>
      <c r="Q2254" s="380"/>
      <c r="S2254" s="336"/>
      <c r="T2254" s="62" ph="1"/>
      <c r="V2254" s="232"/>
      <c r="W2254" s="269"/>
      <c r="X2254" s="201"/>
      <c r="Y2254" s="269"/>
      <c r="Z2254" s="269"/>
      <c r="AA2254" s="269"/>
      <c r="AB2254" s="269"/>
      <c r="AC2254" s="269"/>
      <c r="AD2254" s="269"/>
      <c r="AE2254" s="269"/>
    </row>
    <row r="2255" spans="1:31" ht="26.25">
      <c r="A2255" s="269"/>
      <c r="B2255" s="269"/>
      <c r="C2255" s="269"/>
      <c r="D2255" s="269"/>
      <c r="E2255" s="269"/>
      <c r="F2255" s="269"/>
      <c r="G2255" s="269"/>
      <c r="H2255" s="269"/>
      <c r="I2255" s="269"/>
      <c r="J2255" s="334"/>
      <c r="K2255" s="334"/>
      <c r="L2255" s="334"/>
      <c r="M2255" s="328"/>
      <c r="N2255" s="328"/>
      <c r="O2255" s="386"/>
      <c r="P2255" s="356"/>
      <c r="Q2255" s="380"/>
      <c r="S2255" s="336"/>
      <c r="T2255" s="62" ph="1"/>
      <c r="V2255" s="232"/>
      <c r="W2255" s="269"/>
      <c r="X2255" s="201"/>
      <c r="Y2255" s="269"/>
      <c r="Z2255" s="269"/>
      <c r="AA2255" s="269"/>
      <c r="AB2255" s="269"/>
      <c r="AC2255" s="269"/>
      <c r="AD2255" s="269"/>
      <c r="AE2255" s="269"/>
    </row>
    <row r="2256" spans="1:31" ht="26.25">
      <c r="A2256" s="269"/>
      <c r="B2256" s="269"/>
      <c r="C2256" s="269"/>
      <c r="D2256" s="269"/>
      <c r="E2256" s="269"/>
      <c r="F2256" s="269"/>
      <c r="G2256" s="269"/>
      <c r="H2256" s="269"/>
      <c r="I2256" s="269"/>
      <c r="J2256" s="334"/>
      <c r="K2256" s="334"/>
      <c r="L2256" s="334"/>
      <c r="M2256" s="328"/>
      <c r="N2256" s="328"/>
      <c r="O2256" s="386"/>
      <c r="P2256" s="356"/>
      <c r="Q2256" s="380"/>
      <c r="S2256" s="336"/>
      <c r="T2256" s="62" ph="1"/>
      <c r="V2256" s="232"/>
      <c r="W2256" s="269"/>
      <c r="X2256" s="201"/>
      <c r="Y2256" s="269"/>
      <c r="Z2256" s="269"/>
      <c r="AA2256" s="269"/>
      <c r="AB2256" s="269"/>
      <c r="AC2256" s="269"/>
      <c r="AD2256" s="269"/>
      <c r="AE2256" s="269"/>
    </row>
    <row r="2257" spans="1:31" ht="26.25">
      <c r="A2257" s="269"/>
      <c r="B2257" s="269"/>
      <c r="C2257" s="269"/>
      <c r="D2257" s="269"/>
      <c r="E2257" s="269"/>
      <c r="F2257" s="269"/>
      <c r="G2257" s="269"/>
      <c r="H2257" s="269"/>
      <c r="I2257" s="269"/>
      <c r="J2257" s="334"/>
      <c r="K2257" s="334"/>
      <c r="L2257" s="334"/>
      <c r="M2257" s="328"/>
      <c r="N2257" s="328"/>
      <c r="O2257" s="386"/>
      <c r="P2257" s="356"/>
      <c r="Q2257" s="380"/>
      <c r="S2257" s="336"/>
      <c r="T2257" s="62" ph="1"/>
      <c r="V2257" s="232"/>
      <c r="W2257" s="269"/>
      <c r="X2257" s="201"/>
      <c r="Y2257" s="269"/>
      <c r="Z2257" s="269"/>
      <c r="AA2257" s="269"/>
      <c r="AB2257" s="269"/>
      <c r="AC2257" s="269"/>
      <c r="AD2257" s="269"/>
      <c r="AE2257" s="269"/>
    </row>
    <row r="2258" spans="1:31" ht="26.25">
      <c r="A2258" s="269"/>
      <c r="B2258" s="269"/>
      <c r="C2258" s="269"/>
      <c r="D2258" s="269"/>
      <c r="E2258" s="269"/>
      <c r="F2258" s="269"/>
      <c r="G2258" s="269"/>
      <c r="H2258" s="269"/>
      <c r="I2258" s="269"/>
      <c r="J2258" s="334"/>
      <c r="K2258" s="334"/>
      <c r="L2258" s="334"/>
      <c r="M2258" s="328"/>
      <c r="N2258" s="328"/>
      <c r="O2258" s="386"/>
      <c r="P2258" s="356"/>
      <c r="Q2258" s="380"/>
      <c r="S2258" s="336"/>
      <c r="T2258" s="62" ph="1"/>
      <c r="V2258" s="232"/>
      <c r="W2258" s="269"/>
      <c r="X2258" s="201"/>
      <c r="Y2258" s="269"/>
      <c r="Z2258" s="269"/>
      <c r="AA2258" s="269"/>
      <c r="AB2258" s="269"/>
      <c r="AC2258" s="269"/>
      <c r="AD2258" s="269"/>
      <c r="AE2258" s="269"/>
    </row>
    <row r="2259" spans="1:31" ht="26.25">
      <c r="A2259" s="269"/>
      <c r="B2259" s="269"/>
      <c r="C2259" s="269"/>
      <c r="D2259" s="269"/>
      <c r="E2259" s="269"/>
      <c r="F2259" s="269"/>
      <c r="G2259" s="269"/>
      <c r="H2259" s="269"/>
      <c r="I2259" s="269"/>
      <c r="J2259" s="334"/>
      <c r="K2259" s="334"/>
      <c r="L2259" s="334"/>
      <c r="M2259" s="328"/>
      <c r="N2259" s="328"/>
      <c r="O2259" s="386"/>
      <c r="P2259" s="356"/>
      <c r="Q2259" s="380"/>
      <c r="S2259" s="336"/>
      <c r="T2259" s="62" ph="1"/>
      <c r="V2259" s="232"/>
      <c r="W2259" s="269"/>
      <c r="X2259" s="201"/>
      <c r="Y2259" s="269"/>
      <c r="Z2259" s="269"/>
      <c r="AA2259" s="269"/>
      <c r="AB2259" s="269"/>
      <c r="AC2259" s="269"/>
      <c r="AD2259" s="269"/>
      <c r="AE2259" s="269"/>
    </row>
    <row r="2260" spans="1:31" ht="26.25">
      <c r="A2260" s="269"/>
      <c r="B2260" s="269"/>
      <c r="C2260" s="269"/>
      <c r="D2260" s="269"/>
      <c r="E2260" s="269"/>
      <c r="F2260" s="269"/>
      <c r="G2260" s="269"/>
      <c r="H2260" s="269"/>
      <c r="I2260" s="269"/>
      <c r="J2260" s="334"/>
      <c r="K2260" s="334"/>
      <c r="L2260" s="334"/>
      <c r="M2260" s="328"/>
      <c r="N2260" s="328"/>
      <c r="O2260" s="386"/>
      <c r="P2260" s="356"/>
      <c r="Q2260" s="380"/>
      <c r="S2260" s="336"/>
      <c r="T2260" s="62" ph="1"/>
      <c r="V2260" s="232"/>
      <c r="W2260" s="269"/>
      <c r="X2260" s="201"/>
      <c r="Y2260" s="269"/>
      <c r="Z2260" s="269"/>
      <c r="AA2260" s="269"/>
      <c r="AB2260" s="269"/>
      <c r="AC2260" s="269"/>
      <c r="AD2260" s="269"/>
      <c r="AE2260" s="269"/>
    </row>
    <row r="2261" spans="1:31" ht="26.25">
      <c r="A2261" s="269"/>
      <c r="B2261" s="269"/>
      <c r="C2261" s="269"/>
      <c r="D2261" s="269"/>
      <c r="E2261" s="269"/>
      <c r="F2261" s="269"/>
      <c r="G2261" s="269"/>
      <c r="H2261" s="269"/>
      <c r="I2261" s="269"/>
      <c r="J2261" s="334"/>
      <c r="K2261" s="334"/>
      <c r="L2261" s="334"/>
      <c r="M2261" s="328"/>
      <c r="N2261" s="328"/>
      <c r="O2261" s="386"/>
      <c r="P2261" s="356"/>
      <c r="Q2261" s="380"/>
      <c r="S2261" s="336"/>
      <c r="T2261" s="62" ph="1"/>
      <c r="V2261" s="232"/>
      <c r="W2261" s="269"/>
      <c r="X2261" s="201"/>
      <c r="Y2261" s="269"/>
      <c r="Z2261" s="269"/>
      <c r="AA2261" s="269"/>
      <c r="AB2261" s="269"/>
      <c r="AC2261" s="269"/>
      <c r="AD2261" s="269"/>
      <c r="AE2261" s="269"/>
    </row>
    <row r="2262" spans="1:31" ht="26.25">
      <c r="A2262" s="269"/>
      <c r="B2262" s="269"/>
      <c r="C2262" s="269"/>
      <c r="D2262" s="269"/>
      <c r="E2262" s="269"/>
      <c r="F2262" s="269"/>
      <c r="G2262" s="269"/>
      <c r="H2262" s="269"/>
      <c r="I2262" s="269"/>
      <c r="J2262" s="334"/>
      <c r="K2262" s="334"/>
      <c r="L2262" s="334"/>
      <c r="M2262" s="328"/>
      <c r="N2262" s="328"/>
      <c r="O2262" s="386"/>
      <c r="P2262" s="356"/>
      <c r="Q2262" s="380"/>
      <c r="S2262" s="336"/>
      <c r="T2262" s="62" ph="1"/>
      <c r="V2262" s="232"/>
      <c r="W2262" s="269"/>
      <c r="X2262" s="201"/>
      <c r="Y2262" s="269"/>
      <c r="Z2262" s="269"/>
      <c r="AA2262" s="269"/>
      <c r="AB2262" s="269"/>
      <c r="AC2262" s="269"/>
      <c r="AD2262" s="269"/>
      <c r="AE2262" s="269"/>
    </row>
    <row r="2263" spans="1:31" ht="26.25">
      <c r="A2263" s="269"/>
      <c r="B2263" s="269"/>
      <c r="C2263" s="269"/>
      <c r="D2263" s="269"/>
      <c r="E2263" s="269"/>
      <c r="F2263" s="269"/>
      <c r="G2263" s="269"/>
      <c r="H2263" s="269"/>
      <c r="I2263" s="269"/>
      <c r="J2263" s="334"/>
      <c r="K2263" s="334"/>
      <c r="L2263" s="334"/>
      <c r="M2263" s="328"/>
      <c r="N2263" s="328"/>
      <c r="O2263" s="386"/>
      <c r="P2263" s="356"/>
      <c r="Q2263" s="380"/>
      <c r="S2263" s="336"/>
      <c r="T2263" s="62" ph="1"/>
      <c r="V2263" s="232"/>
      <c r="W2263" s="269"/>
      <c r="X2263" s="201"/>
      <c r="Y2263" s="269"/>
      <c r="Z2263" s="269"/>
      <c r="AA2263" s="269"/>
      <c r="AB2263" s="269"/>
      <c r="AC2263" s="269"/>
      <c r="AD2263" s="269"/>
      <c r="AE2263" s="269"/>
    </row>
    <row r="2264" spans="1:31" ht="26.25">
      <c r="A2264" s="269"/>
      <c r="B2264" s="269"/>
      <c r="C2264" s="269"/>
      <c r="D2264" s="269"/>
      <c r="E2264" s="269"/>
      <c r="F2264" s="269"/>
      <c r="G2264" s="269"/>
      <c r="H2264" s="269"/>
      <c r="I2264" s="269"/>
      <c r="J2264" s="334"/>
      <c r="K2264" s="334"/>
      <c r="L2264" s="334"/>
      <c r="M2264" s="328"/>
      <c r="N2264" s="328"/>
      <c r="O2264" s="386"/>
      <c r="P2264" s="356"/>
      <c r="Q2264" s="380"/>
      <c r="S2264" s="336"/>
      <c r="T2264" s="62" ph="1"/>
      <c r="V2264" s="232"/>
      <c r="W2264" s="269"/>
      <c r="X2264" s="201"/>
      <c r="Y2264" s="269"/>
      <c r="Z2264" s="269"/>
      <c r="AA2264" s="269"/>
      <c r="AB2264" s="269"/>
      <c r="AC2264" s="269"/>
      <c r="AD2264" s="269"/>
      <c r="AE2264" s="269"/>
    </row>
    <row r="2265" spans="1:31" ht="26.25">
      <c r="A2265" s="269"/>
      <c r="B2265" s="269"/>
      <c r="C2265" s="269"/>
      <c r="D2265" s="269"/>
      <c r="E2265" s="269"/>
      <c r="F2265" s="269"/>
      <c r="G2265" s="269"/>
      <c r="H2265" s="269"/>
      <c r="I2265" s="269"/>
      <c r="J2265" s="334"/>
      <c r="K2265" s="334"/>
      <c r="L2265" s="334"/>
      <c r="M2265" s="328"/>
      <c r="N2265" s="328"/>
      <c r="O2265" s="386"/>
      <c r="P2265" s="356"/>
      <c r="Q2265" s="380"/>
      <c r="S2265" s="336"/>
      <c r="T2265" s="62" ph="1"/>
      <c r="V2265" s="232"/>
      <c r="W2265" s="269"/>
      <c r="X2265" s="201"/>
      <c r="Y2265" s="269"/>
      <c r="Z2265" s="269"/>
      <c r="AA2265" s="269"/>
      <c r="AB2265" s="269"/>
      <c r="AC2265" s="269"/>
      <c r="AD2265" s="269"/>
      <c r="AE2265" s="269"/>
    </row>
    <row r="2266" spans="1:31" ht="26.25">
      <c r="A2266" s="269"/>
      <c r="B2266" s="269"/>
      <c r="C2266" s="269"/>
      <c r="D2266" s="269"/>
      <c r="E2266" s="269"/>
      <c r="F2266" s="269"/>
      <c r="G2266" s="269"/>
      <c r="H2266" s="269"/>
      <c r="I2266" s="269"/>
      <c r="J2266" s="334"/>
      <c r="K2266" s="334"/>
      <c r="L2266" s="334"/>
      <c r="M2266" s="328"/>
      <c r="N2266" s="328"/>
      <c r="O2266" s="386"/>
      <c r="P2266" s="356"/>
      <c r="Q2266" s="380"/>
      <c r="S2266" s="336"/>
      <c r="T2266" s="62" ph="1"/>
      <c r="V2266" s="232"/>
      <c r="W2266" s="269"/>
      <c r="X2266" s="201"/>
      <c r="Y2266" s="269"/>
      <c r="Z2266" s="269"/>
      <c r="AA2266" s="269"/>
      <c r="AB2266" s="269"/>
      <c r="AC2266" s="269"/>
      <c r="AD2266" s="269"/>
      <c r="AE2266" s="269"/>
    </row>
    <row r="2267" spans="1:31" ht="26.25">
      <c r="A2267" s="269"/>
      <c r="B2267" s="269"/>
      <c r="C2267" s="269"/>
      <c r="D2267" s="269"/>
      <c r="E2267" s="269"/>
      <c r="F2267" s="269"/>
      <c r="G2267" s="269"/>
      <c r="H2267" s="269"/>
      <c r="I2267" s="269"/>
      <c r="J2267" s="334"/>
      <c r="K2267" s="334"/>
      <c r="L2267" s="334"/>
      <c r="M2267" s="328"/>
      <c r="N2267" s="328"/>
      <c r="O2267" s="386"/>
      <c r="P2267" s="356"/>
      <c r="Q2267" s="380"/>
      <c r="S2267" s="336"/>
      <c r="T2267" s="62" ph="1"/>
      <c r="V2267" s="232"/>
      <c r="W2267" s="269"/>
      <c r="X2267" s="201"/>
      <c r="Y2267" s="269"/>
      <c r="Z2267" s="269"/>
      <c r="AA2267" s="269"/>
      <c r="AB2267" s="269"/>
      <c r="AC2267" s="269"/>
      <c r="AD2267" s="269"/>
      <c r="AE2267" s="269"/>
    </row>
    <row r="2268" spans="1:31" ht="26.25">
      <c r="A2268" s="269"/>
      <c r="B2268" s="269"/>
      <c r="C2268" s="269"/>
      <c r="D2268" s="269"/>
      <c r="E2268" s="269"/>
      <c r="F2268" s="269"/>
      <c r="G2268" s="269"/>
      <c r="H2268" s="269"/>
      <c r="I2268" s="269"/>
      <c r="J2268" s="334"/>
      <c r="K2268" s="334"/>
      <c r="L2268" s="334"/>
      <c r="M2268" s="328"/>
      <c r="N2268" s="328"/>
      <c r="O2268" s="386"/>
      <c r="P2268" s="356"/>
      <c r="Q2268" s="380"/>
      <c r="S2268" s="336"/>
      <c r="T2268" s="62" ph="1"/>
      <c r="V2268" s="232"/>
      <c r="W2268" s="269"/>
      <c r="X2268" s="201"/>
      <c r="Y2268" s="269"/>
      <c r="Z2268" s="269"/>
      <c r="AA2268" s="269"/>
      <c r="AB2268" s="269"/>
      <c r="AC2268" s="269"/>
      <c r="AD2268" s="269"/>
      <c r="AE2268" s="269"/>
    </row>
    <row r="2269" spans="1:31" ht="26.25">
      <c r="A2269" s="269"/>
      <c r="B2269" s="269"/>
      <c r="C2269" s="269"/>
      <c r="D2269" s="269"/>
      <c r="E2269" s="269"/>
      <c r="F2269" s="269"/>
      <c r="G2269" s="269"/>
      <c r="H2269" s="269"/>
      <c r="I2269" s="269"/>
      <c r="J2269" s="334"/>
      <c r="K2269" s="334"/>
      <c r="L2269" s="334"/>
      <c r="M2269" s="328"/>
      <c r="N2269" s="328"/>
      <c r="O2269" s="386"/>
      <c r="P2269" s="356"/>
      <c r="Q2269" s="380"/>
      <c r="S2269" s="336"/>
      <c r="T2269" s="62" ph="1"/>
      <c r="V2269" s="232"/>
      <c r="W2269" s="269"/>
      <c r="X2269" s="201"/>
      <c r="Y2269" s="269"/>
      <c r="Z2269" s="269"/>
      <c r="AA2269" s="269"/>
      <c r="AB2269" s="269"/>
      <c r="AC2269" s="269"/>
      <c r="AD2269" s="269"/>
      <c r="AE2269" s="269"/>
    </row>
    <row r="2270" spans="1:31" ht="26.25">
      <c r="A2270" s="269"/>
      <c r="B2270" s="269"/>
      <c r="C2270" s="269"/>
      <c r="D2270" s="269"/>
      <c r="E2270" s="269"/>
      <c r="F2270" s="269"/>
      <c r="G2270" s="269"/>
      <c r="H2270" s="269"/>
      <c r="I2270" s="269"/>
      <c r="J2270" s="334"/>
      <c r="K2270" s="334"/>
      <c r="L2270" s="334"/>
      <c r="M2270" s="328"/>
      <c r="N2270" s="328"/>
      <c r="O2270" s="386"/>
      <c r="P2270" s="356"/>
      <c r="Q2270" s="380"/>
      <c r="S2270" s="336"/>
      <c r="T2270" s="62" ph="1"/>
      <c r="V2270" s="232"/>
      <c r="W2270" s="269"/>
      <c r="X2270" s="201"/>
      <c r="Y2270" s="269"/>
      <c r="Z2270" s="269"/>
      <c r="AA2270" s="269"/>
      <c r="AB2270" s="269"/>
      <c r="AC2270" s="269"/>
      <c r="AD2270" s="269"/>
      <c r="AE2270" s="269"/>
    </row>
    <row r="2271" spans="1:31" ht="26.25">
      <c r="A2271" s="269"/>
      <c r="B2271" s="269"/>
      <c r="C2271" s="269"/>
      <c r="D2271" s="269"/>
      <c r="E2271" s="269"/>
      <c r="F2271" s="269"/>
      <c r="G2271" s="269"/>
      <c r="H2271" s="269"/>
      <c r="I2271" s="269"/>
      <c r="J2271" s="334"/>
      <c r="K2271" s="334"/>
      <c r="L2271" s="334"/>
      <c r="M2271" s="328"/>
      <c r="N2271" s="328"/>
      <c r="O2271" s="386"/>
      <c r="P2271" s="356"/>
      <c r="Q2271" s="380"/>
      <c r="S2271" s="336"/>
      <c r="T2271" s="62" ph="1"/>
      <c r="V2271" s="232"/>
      <c r="W2271" s="269"/>
      <c r="X2271" s="201"/>
      <c r="Y2271" s="269"/>
      <c r="Z2271" s="269"/>
      <c r="AA2271" s="269"/>
      <c r="AB2271" s="269"/>
      <c r="AC2271" s="269"/>
      <c r="AD2271" s="269"/>
      <c r="AE2271" s="269"/>
    </row>
    <row r="2272" spans="1:31" ht="26.25">
      <c r="A2272" s="269"/>
      <c r="B2272" s="269"/>
      <c r="C2272" s="269"/>
      <c r="D2272" s="269"/>
      <c r="E2272" s="269"/>
      <c r="F2272" s="269"/>
      <c r="G2272" s="269"/>
      <c r="H2272" s="269"/>
      <c r="I2272" s="269"/>
      <c r="J2272" s="334"/>
      <c r="K2272" s="334"/>
      <c r="L2272" s="334"/>
      <c r="M2272" s="328"/>
      <c r="N2272" s="328"/>
      <c r="O2272" s="386"/>
      <c r="P2272" s="356"/>
      <c r="Q2272" s="380"/>
      <c r="S2272" s="336"/>
      <c r="T2272" s="62" ph="1"/>
      <c r="V2272" s="232"/>
      <c r="W2272" s="269"/>
      <c r="X2272" s="201"/>
      <c r="Y2272" s="269"/>
      <c r="Z2272" s="269"/>
      <c r="AA2272" s="269"/>
      <c r="AB2272" s="269"/>
      <c r="AC2272" s="269"/>
      <c r="AD2272" s="269"/>
      <c r="AE2272" s="269"/>
    </row>
    <row r="2273" spans="1:31" ht="26.25">
      <c r="A2273" s="269"/>
      <c r="B2273" s="269"/>
      <c r="C2273" s="269"/>
      <c r="D2273" s="269"/>
      <c r="E2273" s="269"/>
      <c r="F2273" s="269"/>
      <c r="G2273" s="269"/>
      <c r="H2273" s="269"/>
      <c r="I2273" s="269"/>
      <c r="J2273" s="334"/>
      <c r="K2273" s="334"/>
      <c r="L2273" s="334"/>
      <c r="M2273" s="328"/>
      <c r="N2273" s="328"/>
      <c r="O2273" s="386"/>
      <c r="P2273" s="356"/>
      <c r="Q2273" s="380"/>
      <c r="S2273" s="336"/>
      <c r="T2273" s="62" ph="1"/>
      <c r="V2273" s="232"/>
      <c r="W2273" s="269"/>
      <c r="X2273" s="201"/>
      <c r="Y2273" s="269"/>
      <c r="Z2273" s="269"/>
      <c r="AA2273" s="269"/>
      <c r="AB2273" s="269"/>
      <c r="AC2273" s="269"/>
      <c r="AD2273" s="269"/>
      <c r="AE2273" s="269"/>
    </row>
    <row r="2274" spans="1:31" ht="26.25">
      <c r="A2274" s="269"/>
      <c r="B2274" s="269"/>
      <c r="C2274" s="269"/>
      <c r="D2274" s="269"/>
      <c r="E2274" s="269"/>
      <c r="F2274" s="269"/>
      <c r="G2274" s="269"/>
      <c r="H2274" s="269"/>
      <c r="I2274" s="269"/>
      <c r="J2274" s="334"/>
      <c r="K2274" s="334"/>
      <c r="L2274" s="334"/>
      <c r="M2274" s="328"/>
      <c r="N2274" s="328"/>
      <c r="O2274" s="386"/>
      <c r="P2274" s="356"/>
      <c r="Q2274" s="380"/>
      <c r="S2274" s="336"/>
      <c r="T2274" s="62" ph="1"/>
      <c r="V2274" s="232"/>
      <c r="W2274" s="269"/>
      <c r="X2274" s="201"/>
      <c r="Y2274" s="269"/>
      <c r="Z2274" s="269"/>
      <c r="AA2274" s="269"/>
      <c r="AB2274" s="269"/>
      <c r="AC2274" s="269"/>
      <c r="AD2274" s="269"/>
      <c r="AE2274" s="269"/>
    </row>
    <row r="2275" spans="1:31" ht="26.25">
      <c r="A2275" s="269"/>
      <c r="B2275" s="269"/>
      <c r="C2275" s="269"/>
      <c r="D2275" s="269"/>
      <c r="E2275" s="269"/>
      <c r="F2275" s="269"/>
      <c r="G2275" s="269"/>
      <c r="H2275" s="269"/>
      <c r="I2275" s="269"/>
      <c r="J2275" s="334"/>
      <c r="K2275" s="334"/>
      <c r="L2275" s="334"/>
      <c r="M2275" s="328"/>
      <c r="N2275" s="328"/>
      <c r="O2275" s="386"/>
      <c r="P2275" s="356"/>
      <c r="Q2275" s="380"/>
      <c r="S2275" s="336"/>
      <c r="T2275" s="62" ph="1"/>
      <c r="V2275" s="232"/>
      <c r="W2275" s="269"/>
      <c r="X2275" s="201"/>
      <c r="Y2275" s="269"/>
      <c r="Z2275" s="269"/>
      <c r="AA2275" s="269"/>
      <c r="AB2275" s="269"/>
      <c r="AC2275" s="269"/>
      <c r="AD2275" s="269"/>
      <c r="AE2275" s="269"/>
    </row>
    <row r="2276" spans="1:31" ht="26.25">
      <c r="A2276" s="269"/>
      <c r="B2276" s="269"/>
      <c r="C2276" s="269"/>
      <c r="D2276" s="269"/>
      <c r="E2276" s="269"/>
      <c r="F2276" s="269"/>
      <c r="G2276" s="269"/>
      <c r="H2276" s="269"/>
      <c r="I2276" s="269"/>
      <c r="J2276" s="334"/>
      <c r="K2276" s="334"/>
      <c r="L2276" s="334"/>
      <c r="M2276" s="328"/>
      <c r="N2276" s="328"/>
      <c r="O2276" s="386"/>
      <c r="P2276" s="356"/>
      <c r="Q2276" s="380"/>
      <c r="S2276" s="336"/>
      <c r="T2276" s="62" ph="1"/>
      <c r="V2276" s="232"/>
      <c r="W2276" s="269"/>
      <c r="X2276" s="201"/>
      <c r="Y2276" s="269"/>
      <c r="Z2276" s="269"/>
      <c r="AA2276" s="269"/>
      <c r="AB2276" s="269"/>
      <c r="AC2276" s="269"/>
      <c r="AD2276" s="269"/>
      <c r="AE2276" s="269"/>
    </row>
    <row r="2277" spans="1:31" ht="26.25">
      <c r="A2277" s="269"/>
      <c r="B2277" s="269"/>
      <c r="C2277" s="269"/>
      <c r="D2277" s="269"/>
      <c r="E2277" s="269"/>
      <c r="F2277" s="269"/>
      <c r="G2277" s="269"/>
      <c r="H2277" s="269"/>
      <c r="I2277" s="269"/>
      <c r="J2277" s="334"/>
      <c r="K2277" s="334"/>
      <c r="L2277" s="334"/>
      <c r="M2277" s="328"/>
      <c r="N2277" s="328"/>
      <c r="O2277" s="386"/>
      <c r="P2277" s="356"/>
      <c r="Q2277" s="380"/>
      <c r="S2277" s="336"/>
      <c r="T2277" s="62" ph="1"/>
      <c r="V2277" s="232"/>
      <c r="W2277" s="269"/>
      <c r="X2277" s="201"/>
      <c r="Y2277" s="269"/>
      <c r="Z2277" s="269"/>
      <c r="AA2277" s="269"/>
      <c r="AB2277" s="269"/>
      <c r="AC2277" s="269"/>
      <c r="AD2277" s="269"/>
      <c r="AE2277" s="269"/>
    </row>
    <row r="2278" spans="1:31" ht="26.25">
      <c r="A2278" s="269"/>
      <c r="B2278" s="269"/>
      <c r="C2278" s="269"/>
      <c r="D2278" s="269"/>
      <c r="E2278" s="269"/>
      <c r="F2278" s="269"/>
      <c r="G2278" s="269"/>
      <c r="H2278" s="269"/>
      <c r="I2278" s="269"/>
      <c r="J2278" s="334"/>
      <c r="K2278" s="334"/>
      <c r="L2278" s="334"/>
      <c r="M2278" s="328"/>
      <c r="N2278" s="328"/>
      <c r="O2278" s="386"/>
      <c r="P2278" s="356"/>
      <c r="Q2278" s="380"/>
      <c r="S2278" s="336"/>
      <c r="T2278" s="62" ph="1"/>
      <c r="V2278" s="232"/>
      <c r="W2278" s="269"/>
      <c r="X2278" s="201"/>
      <c r="Y2278" s="269"/>
      <c r="Z2278" s="269"/>
      <c r="AA2278" s="269"/>
      <c r="AB2278" s="269"/>
      <c r="AC2278" s="269"/>
      <c r="AD2278" s="269"/>
      <c r="AE2278" s="269"/>
    </row>
    <row r="2279" spans="1:31" ht="26.25">
      <c r="A2279" s="269"/>
      <c r="B2279" s="269"/>
      <c r="C2279" s="269"/>
      <c r="D2279" s="269"/>
      <c r="E2279" s="269"/>
      <c r="F2279" s="269"/>
      <c r="G2279" s="269"/>
      <c r="H2279" s="269"/>
      <c r="I2279" s="269"/>
      <c r="J2279" s="334"/>
      <c r="K2279" s="334"/>
      <c r="L2279" s="334"/>
      <c r="M2279" s="328"/>
      <c r="N2279" s="328"/>
      <c r="O2279" s="386"/>
      <c r="P2279" s="356"/>
      <c r="Q2279" s="380"/>
      <c r="S2279" s="336"/>
      <c r="T2279" s="62" ph="1"/>
      <c r="V2279" s="232"/>
      <c r="W2279" s="269"/>
      <c r="X2279" s="201"/>
      <c r="Y2279" s="269"/>
      <c r="Z2279" s="269"/>
      <c r="AA2279" s="269"/>
      <c r="AB2279" s="269"/>
      <c r="AC2279" s="269"/>
      <c r="AD2279" s="269"/>
      <c r="AE2279" s="269"/>
    </row>
    <row r="2280" spans="1:31" ht="26.25">
      <c r="A2280" s="269"/>
      <c r="B2280" s="269"/>
      <c r="C2280" s="269"/>
      <c r="D2280" s="269"/>
      <c r="E2280" s="269"/>
      <c r="F2280" s="269"/>
      <c r="G2280" s="269"/>
      <c r="H2280" s="269"/>
      <c r="I2280" s="269"/>
      <c r="J2280" s="334"/>
      <c r="K2280" s="334"/>
      <c r="L2280" s="334"/>
      <c r="M2280" s="328"/>
      <c r="N2280" s="328"/>
      <c r="O2280" s="386"/>
      <c r="P2280" s="356"/>
      <c r="Q2280" s="380"/>
      <c r="S2280" s="336"/>
      <c r="T2280" s="62" ph="1"/>
      <c r="V2280" s="232"/>
      <c r="W2280" s="269"/>
      <c r="X2280" s="201"/>
      <c r="Y2280" s="269"/>
      <c r="Z2280" s="269"/>
      <c r="AA2280" s="269"/>
      <c r="AB2280" s="269"/>
      <c r="AC2280" s="269"/>
      <c r="AD2280" s="269"/>
      <c r="AE2280" s="269"/>
    </row>
    <row r="2281" spans="1:31" ht="26.25">
      <c r="A2281" s="269"/>
      <c r="B2281" s="269"/>
      <c r="C2281" s="269"/>
      <c r="D2281" s="269"/>
      <c r="E2281" s="269"/>
      <c r="F2281" s="269"/>
      <c r="G2281" s="269"/>
      <c r="H2281" s="269"/>
      <c r="I2281" s="269"/>
      <c r="J2281" s="334"/>
      <c r="K2281" s="334"/>
      <c r="L2281" s="334"/>
      <c r="M2281" s="328"/>
      <c r="N2281" s="328"/>
      <c r="O2281" s="386"/>
      <c r="P2281" s="356"/>
      <c r="Q2281" s="380"/>
      <c r="S2281" s="336"/>
      <c r="T2281" s="62" ph="1"/>
      <c r="V2281" s="232"/>
      <c r="W2281" s="269"/>
      <c r="X2281" s="201"/>
      <c r="Y2281" s="269"/>
      <c r="Z2281" s="269"/>
      <c r="AA2281" s="269"/>
      <c r="AB2281" s="269"/>
      <c r="AC2281" s="269"/>
      <c r="AD2281" s="269"/>
      <c r="AE2281" s="269"/>
    </row>
    <row r="2282" spans="1:31" ht="26.25">
      <c r="A2282" s="269"/>
      <c r="B2282" s="269"/>
      <c r="C2282" s="269"/>
      <c r="D2282" s="269"/>
      <c r="E2282" s="269"/>
      <c r="F2282" s="269"/>
      <c r="G2282" s="269"/>
      <c r="H2282" s="269"/>
      <c r="I2282" s="269"/>
      <c r="J2282" s="334"/>
      <c r="K2282" s="334"/>
      <c r="L2282" s="334"/>
      <c r="M2282" s="328"/>
      <c r="N2282" s="328"/>
      <c r="O2282" s="386"/>
      <c r="P2282" s="356"/>
      <c r="Q2282" s="380"/>
      <c r="S2282" s="336"/>
      <c r="T2282" s="62" ph="1"/>
      <c r="V2282" s="232"/>
      <c r="W2282" s="269"/>
      <c r="X2282" s="201"/>
      <c r="Y2282" s="269"/>
      <c r="Z2282" s="269"/>
      <c r="AA2282" s="269"/>
      <c r="AB2282" s="269"/>
      <c r="AC2282" s="269"/>
      <c r="AD2282" s="269"/>
      <c r="AE2282" s="269"/>
    </row>
    <row r="2283" spans="1:31" ht="26.25">
      <c r="A2283" s="269"/>
      <c r="B2283" s="269"/>
      <c r="C2283" s="269"/>
      <c r="D2283" s="269"/>
      <c r="E2283" s="269"/>
      <c r="F2283" s="269"/>
      <c r="G2283" s="269"/>
      <c r="H2283" s="269"/>
      <c r="I2283" s="269"/>
      <c r="J2283" s="334"/>
      <c r="K2283" s="334"/>
      <c r="L2283" s="334"/>
      <c r="M2283" s="328"/>
      <c r="N2283" s="328"/>
      <c r="O2283" s="386"/>
      <c r="P2283" s="356"/>
      <c r="Q2283" s="380"/>
      <c r="S2283" s="336"/>
      <c r="T2283" s="62" ph="1"/>
      <c r="V2283" s="232"/>
      <c r="W2283" s="269"/>
      <c r="X2283" s="201"/>
      <c r="Y2283" s="269"/>
      <c r="Z2283" s="269"/>
      <c r="AA2283" s="269"/>
      <c r="AB2283" s="269"/>
      <c r="AC2283" s="269"/>
      <c r="AD2283" s="269"/>
      <c r="AE2283" s="269"/>
    </row>
    <row r="2284" spans="1:31" ht="26.25">
      <c r="A2284" s="269"/>
      <c r="B2284" s="269"/>
      <c r="C2284" s="269"/>
      <c r="D2284" s="269"/>
      <c r="E2284" s="269"/>
      <c r="F2284" s="269"/>
      <c r="G2284" s="269"/>
      <c r="H2284" s="269"/>
      <c r="I2284" s="269"/>
      <c r="J2284" s="334"/>
      <c r="K2284" s="334"/>
      <c r="L2284" s="334"/>
      <c r="M2284" s="328"/>
      <c r="N2284" s="328"/>
      <c r="O2284" s="386"/>
      <c r="P2284" s="356"/>
      <c r="Q2284" s="380"/>
      <c r="S2284" s="336"/>
      <c r="T2284" s="62" ph="1"/>
      <c r="V2284" s="232"/>
      <c r="W2284" s="269"/>
      <c r="X2284" s="201"/>
      <c r="Y2284" s="269"/>
      <c r="Z2284" s="269"/>
      <c r="AA2284" s="269"/>
      <c r="AB2284" s="269"/>
      <c r="AC2284" s="269"/>
      <c r="AD2284" s="269"/>
      <c r="AE2284" s="269"/>
    </row>
    <row r="2285" spans="1:31" ht="26.25">
      <c r="A2285" s="269"/>
      <c r="B2285" s="269"/>
      <c r="C2285" s="269"/>
      <c r="D2285" s="269"/>
      <c r="E2285" s="269"/>
      <c r="F2285" s="269"/>
      <c r="G2285" s="269"/>
      <c r="H2285" s="269"/>
      <c r="I2285" s="269"/>
      <c r="J2285" s="334"/>
      <c r="K2285" s="334"/>
      <c r="L2285" s="334"/>
      <c r="M2285" s="328"/>
      <c r="N2285" s="328"/>
      <c r="O2285" s="386"/>
      <c r="P2285" s="356"/>
      <c r="Q2285" s="380"/>
      <c r="S2285" s="336"/>
      <c r="T2285" s="62" ph="1"/>
      <c r="V2285" s="232"/>
      <c r="W2285" s="269"/>
      <c r="X2285" s="201"/>
      <c r="Y2285" s="269"/>
      <c r="Z2285" s="269"/>
      <c r="AA2285" s="269"/>
      <c r="AB2285" s="269"/>
      <c r="AC2285" s="269"/>
      <c r="AD2285" s="269"/>
      <c r="AE2285" s="269"/>
    </row>
    <row r="2286" spans="1:31" ht="26.25">
      <c r="A2286" s="269"/>
      <c r="B2286" s="269"/>
      <c r="C2286" s="269"/>
      <c r="D2286" s="269"/>
      <c r="E2286" s="269"/>
      <c r="F2286" s="269"/>
      <c r="G2286" s="269"/>
      <c r="H2286" s="269"/>
      <c r="I2286" s="269"/>
      <c r="J2286" s="334"/>
      <c r="K2286" s="334"/>
      <c r="L2286" s="334"/>
      <c r="M2286" s="328"/>
      <c r="N2286" s="328"/>
      <c r="O2286" s="386"/>
      <c r="P2286" s="356"/>
      <c r="Q2286" s="380"/>
      <c r="S2286" s="336"/>
      <c r="T2286" s="62" ph="1"/>
      <c r="V2286" s="232"/>
      <c r="W2286" s="269"/>
      <c r="X2286" s="201"/>
      <c r="Y2286" s="269"/>
      <c r="Z2286" s="269"/>
      <c r="AA2286" s="269"/>
      <c r="AB2286" s="269"/>
      <c r="AC2286" s="269"/>
      <c r="AD2286" s="269"/>
      <c r="AE2286" s="269"/>
    </row>
    <row r="2287" spans="1:31" ht="26.25">
      <c r="A2287" s="269"/>
      <c r="B2287" s="269"/>
      <c r="C2287" s="269"/>
      <c r="D2287" s="269"/>
      <c r="E2287" s="269"/>
      <c r="F2287" s="269"/>
      <c r="G2287" s="269"/>
      <c r="H2287" s="269"/>
      <c r="I2287" s="269"/>
      <c r="J2287" s="334"/>
      <c r="K2287" s="334"/>
      <c r="L2287" s="334"/>
      <c r="M2287" s="328"/>
      <c r="N2287" s="328"/>
      <c r="O2287" s="386"/>
      <c r="P2287" s="356"/>
      <c r="Q2287" s="380"/>
      <c r="S2287" s="336"/>
      <c r="T2287" s="62" ph="1"/>
      <c r="V2287" s="232"/>
      <c r="W2287" s="269"/>
      <c r="X2287" s="201"/>
      <c r="Y2287" s="269"/>
      <c r="Z2287" s="269"/>
      <c r="AA2287" s="269"/>
      <c r="AB2287" s="269"/>
      <c r="AC2287" s="269"/>
      <c r="AD2287" s="269"/>
      <c r="AE2287" s="269"/>
    </row>
    <row r="2288" spans="1:31" ht="26.25">
      <c r="A2288" s="269"/>
      <c r="B2288" s="269"/>
      <c r="C2288" s="269"/>
      <c r="D2288" s="269"/>
      <c r="E2288" s="269"/>
      <c r="F2288" s="269"/>
      <c r="G2288" s="269"/>
      <c r="H2288" s="269"/>
      <c r="I2288" s="269"/>
      <c r="J2288" s="334"/>
      <c r="K2288" s="334"/>
      <c r="L2288" s="334"/>
      <c r="M2288" s="328"/>
      <c r="N2288" s="328"/>
      <c r="O2288" s="386"/>
      <c r="P2288" s="356"/>
      <c r="Q2288" s="380"/>
      <c r="S2288" s="336"/>
      <c r="T2288" s="62" ph="1"/>
      <c r="V2288" s="232"/>
      <c r="W2288" s="269"/>
      <c r="X2288" s="201"/>
      <c r="Y2288" s="269"/>
      <c r="Z2288" s="269"/>
      <c r="AA2288" s="269"/>
      <c r="AB2288" s="269"/>
      <c r="AC2288" s="269"/>
      <c r="AD2288" s="269"/>
      <c r="AE2288" s="269"/>
    </row>
    <row r="2289" spans="1:31" ht="26.25">
      <c r="A2289" s="269"/>
      <c r="B2289" s="269"/>
      <c r="C2289" s="269"/>
      <c r="D2289" s="269"/>
      <c r="E2289" s="269"/>
      <c r="F2289" s="269"/>
      <c r="G2289" s="269"/>
      <c r="H2289" s="269"/>
      <c r="I2289" s="269"/>
      <c r="J2289" s="334"/>
      <c r="K2289" s="334"/>
      <c r="L2289" s="334"/>
      <c r="M2289" s="328"/>
      <c r="N2289" s="328"/>
      <c r="O2289" s="386"/>
      <c r="P2289" s="356"/>
      <c r="Q2289" s="380"/>
      <c r="S2289" s="336"/>
      <c r="T2289" s="62" ph="1"/>
      <c r="V2289" s="232"/>
      <c r="W2289" s="269"/>
      <c r="X2289" s="201"/>
      <c r="Y2289" s="269"/>
      <c r="Z2289" s="269"/>
      <c r="AA2289" s="269"/>
      <c r="AB2289" s="269"/>
      <c r="AC2289" s="269"/>
      <c r="AD2289" s="269"/>
      <c r="AE2289" s="269"/>
    </row>
    <row r="2290" spans="1:31" ht="26.25">
      <c r="A2290" s="269"/>
      <c r="B2290" s="269"/>
      <c r="C2290" s="269"/>
      <c r="D2290" s="269"/>
      <c r="E2290" s="269"/>
      <c r="F2290" s="269"/>
      <c r="G2290" s="269"/>
      <c r="H2290" s="269"/>
      <c r="I2290" s="269"/>
      <c r="J2290" s="334"/>
      <c r="K2290" s="334"/>
      <c r="L2290" s="334"/>
      <c r="M2290" s="328"/>
      <c r="N2290" s="328"/>
      <c r="O2290" s="386"/>
      <c r="P2290" s="356"/>
      <c r="Q2290" s="380"/>
      <c r="S2290" s="336"/>
      <c r="T2290" s="62" ph="1"/>
      <c r="V2290" s="232"/>
      <c r="W2290" s="269"/>
      <c r="X2290" s="201"/>
      <c r="Y2290" s="269"/>
      <c r="Z2290" s="269"/>
      <c r="AA2290" s="269"/>
      <c r="AB2290" s="269"/>
      <c r="AC2290" s="269"/>
      <c r="AD2290" s="269"/>
      <c r="AE2290" s="269"/>
    </row>
    <row r="2291" spans="1:31" ht="26.25">
      <c r="A2291" s="269"/>
      <c r="B2291" s="269"/>
      <c r="C2291" s="269"/>
      <c r="D2291" s="269"/>
      <c r="E2291" s="269"/>
      <c r="F2291" s="269"/>
      <c r="G2291" s="269"/>
      <c r="H2291" s="269"/>
      <c r="I2291" s="269"/>
      <c r="J2291" s="334"/>
      <c r="K2291" s="334"/>
      <c r="L2291" s="334"/>
      <c r="M2291" s="328"/>
      <c r="N2291" s="328"/>
      <c r="O2291" s="386"/>
      <c r="P2291" s="356"/>
      <c r="Q2291" s="380"/>
      <c r="S2291" s="336"/>
      <c r="T2291" s="62" ph="1"/>
      <c r="V2291" s="232"/>
      <c r="W2291" s="269"/>
      <c r="X2291" s="201"/>
      <c r="Y2291" s="269"/>
      <c r="Z2291" s="269"/>
      <c r="AA2291" s="269"/>
      <c r="AB2291" s="269"/>
      <c r="AC2291" s="269"/>
      <c r="AD2291" s="269"/>
      <c r="AE2291" s="269"/>
    </row>
    <row r="2292" spans="1:31" ht="26.25">
      <c r="A2292" s="269"/>
      <c r="B2292" s="269"/>
      <c r="C2292" s="269"/>
      <c r="D2292" s="269"/>
      <c r="E2292" s="269"/>
      <c r="F2292" s="269"/>
      <c r="G2292" s="269"/>
      <c r="H2292" s="269"/>
      <c r="I2292" s="269"/>
      <c r="J2292" s="334"/>
      <c r="K2292" s="334"/>
      <c r="L2292" s="334"/>
      <c r="M2292" s="328"/>
      <c r="N2292" s="328"/>
      <c r="O2292" s="386"/>
      <c r="P2292" s="356"/>
      <c r="Q2292" s="380"/>
      <c r="S2292" s="336"/>
      <c r="T2292" s="62" ph="1"/>
      <c r="V2292" s="232"/>
      <c r="W2292" s="269"/>
      <c r="X2292" s="201"/>
      <c r="Y2292" s="269"/>
      <c r="Z2292" s="269"/>
      <c r="AA2292" s="269"/>
      <c r="AB2292" s="269"/>
      <c r="AC2292" s="269"/>
      <c r="AD2292" s="269"/>
      <c r="AE2292" s="269"/>
    </row>
    <row r="2293" spans="1:31" ht="26.25">
      <c r="A2293" s="269"/>
      <c r="B2293" s="269"/>
      <c r="C2293" s="269"/>
      <c r="D2293" s="269"/>
      <c r="E2293" s="269"/>
      <c r="F2293" s="269"/>
      <c r="G2293" s="269"/>
      <c r="H2293" s="269"/>
      <c r="I2293" s="269"/>
      <c r="J2293" s="334"/>
      <c r="K2293" s="334"/>
      <c r="L2293" s="334"/>
      <c r="M2293" s="328"/>
      <c r="N2293" s="328"/>
      <c r="O2293" s="386"/>
      <c r="P2293" s="356"/>
      <c r="Q2293" s="380"/>
      <c r="S2293" s="336"/>
      <c r="T2293" s="62" ph="1"/>
      <c r="V2293" s="232"/>
      <c r="W2293" s="269"/>
      <c r="X2293" s="201"/>
      <c r="Y2293" s="269"/>
      <c r="Z2293" s="269"/>
      <c r="AA2293" s="269"/>
      <c r="AB2293" s="269"/>
      <c r="AC2293" s="269"/>
      <c r="AD2293" s="269"/>
      <c r="AE2293" s="269"/>
    </row>
    <row r="2294" spans="1:31" ht="26.25">
      <c r="A2294" s="269"/>
      <c r="B2294" s="269"/>
      <c r="C2294" s="269"/>
      <c r="D2294" s="269"/>
      <c r="E2294" s="269"/>
      <c r="F2294" s="269"/>
      <c r="G2294" s="269"/>
      <c r="H2294" s="269"/>
      <c r="I2294" s="269"/>
      <c r="J2294" s="334"/>
      <c r="K2294" s="334"/>
      <c r="L2294" s="334"/>
      <c r="M2294" s="328"/>
      <c r="N2294" s="328"/>
      <c r="O2294" s="386"/>
      <c r="P2294" s="356"/>
      <c r="Q2294" s="380"/>
      <c r="S2294" s="336"/>
      <c r="T2294" s="62" ph="1"/>
      <c r="V2294" s="232"/>
      <c r="W2294" s="269"/>
      <c r="X2294" s="201"/>
      <c r="Y2294" s="269"/>
      <c r="Z2294" s="269"/>
      <c r="AA2294" s="269"/>
      <c r="AB2294" s="269"/>
      <c r="AC2294" s="269"/>
      <c r="AD2294" s="269"/>
      <c r="AE2294" s="269"/>
    </row>
    <row r="2295" spans="1:31" ht="26.25">
      <c r="A2295" s="269"/>
      <c r="B2295" s="269"/>
      <c r="C2295" s="269"/>
      <c r="D2295" s="269"/>
      <c r="E2295" s="269"/>
      <c r="F2295" s="269"/>
      <c r="G2295" s="269"/>
      <c r="H2295" s="269"/>
      <c r="I2295" s="269"/>
      <c r="J2295" s="334"/>
      <c r="K2295" s="334"/>
      <c r="L2295" s="334"/>
      <c r="M2295" s="328"/>
      <c r="N2295" s="328"/>
      <c r="O2295" s="386"/>
      <c r="P2295" s="356"/>
      <c r="Q2295" s="380"/>
      <c r="S2295" s="336"/>
      <c r="T2295" s="62" ph="1"/>
      <c r="V2295" s="232"/>
      <c r="W2295" s="269"/>
      <c r="X2295" s="201"/>
      <c r="Y2295" s="269"/>
      <c r="Z2295" s="269"/>
      <c r="AA2295" s="269"/>
      <c r="AB2295" s="269"/>
      <c r="AC2295" s="269"/>
      <c r="AD2295" s="269"/>
      <c r="AE2295" s="269"/>
    </row>
    <row r="2296" spans="1:31" ht="26.25">
      <c r="A2296" s="269"/>
      <c r="B2296" s="269"/>
      <c r="C2296" s="269"/>
      <c r="D2296" s="269"/>
      <c r="E2296" s="269"/>
      <c r="F2296" s="269"/>
      <c r="G2296" s="269"/>
      <c r="H2296" s="269"/>
      <c r="I2296" s="269"/>
      <c r="J2296" s="334"/>
      <c r="K2296" s="334"/>
      <c r="L2296" s="334"/>
      <c r="M2296" s="328"/>
      <c r="N2296" s="328"/>
      <c r="O2296" s="386"/>
      <c r="P2296" s="356"/>
      <c r="Q2296" s="380"/>
      <c r="S2296" s="336"/>
      <c r="T2296" s="62" ph="1"/>
      <c r="V2296" s="232"/>
      <c r="W2296" s="269"/>
      <c r="X2296" s="201"/>
      <c r="Y2296" s="269"/>
      <c r="Z2296" s="269"/>
      <c r="AA2296" s="269"/>
      <c r="AB2296" s="269"/>
      <c r="AC2296" s="269"/>
      <c r="AD2296" s="269"/>
      <c r="AE2296" s="269"/>
    </row>
    <row r="2297" spans="1:31" ht="26.25">
      <c r="A2297" s="269"/>
      <c r="B2297" s="269"/>
      <c r="C2297" s="269"/>
      <c r="D2297" s="269"/>
      <c r="E2297" s="269"/>
      <c r="F2297" s="269"/>
      <c r="G2297" s="269"/>
      <c r="H2297" s="269"/>
      <c r="I2297" s="269"/>
      <c r="J2297" s="334"/>
      <c r="K2297" s="334"/>
      <c r="L2297" s="334"/>
      <c r="M2297" s="328"/>
      <c r="N2297" s="328"/>
      <c r="O2297" s="386"/>
      <c r="P2297" s="356"/>
      <c r="Q2297" s="380"/>
      <c r="S2297" s="336"/>
      <c r="T2297" s="62" ph="1"/>
      <c r="V2297" s="232"/>
      <c r="W2297" s="269"/>
      <c r="X2297" s="201"/>
      <c r="Y2297" s="269"/>
      <c r="Z2297" s="269"/>
      <c r="AA2297" s="269"/>
      <c r="AB2297" s="269"/>
      <c r="AC2297" s="269"/>
      <c r="AD2297" s="269"/>
      <c r="AE2297" s="269"/>
    </row>
    <row r="2298" spans="1:31" ht="26.25">
      <c r="A2298" s="269"/>
      <c r="B2298" s="269"/>
      <c r="C2298" s="269"/>
      <c r="D2298" s="269"/>
      <c r="E2298" s="269"/>
      <c r="F2298" s="269"/>
      <c r="G2298" s="269"/>
      <c r="H2298" s="269"/>
      <c r="I2298" s="269"/>
      <c r="J2298" s="334"/>
      <c r="K2298" s="334"/>
      <c r="L2298" s="334"/>
      <c r="M2298" s="328"/>
      <c r="N2298" s="328"/>
      <c r="O2298" s="386"/>
      <c r="P2298" s="356"/>
      <c r="Q2298" s="380"/>
      <c r="S2298" s="336"/>
      <c r="T2298" s="62" ph="1"/>
      <c r="V2298" s="232"/>
      <c r="W2298" s="269"/>
      <c r="X2298" s="201"/>
      <c r="Y2298" s="269"/>
      <c r="Z2298" s="269"/>
      <c r="AA2298" s="269"/>
      <c r="AB2298" s="269"/>
      <c r="AC2298" s="269"/>
      <c r="AD2298" s="269"/>
      <c r="AE2298" s="269"/>
    </row>
    <row r="2299" spans="1:31" ht="26.25">
      <c r="A2299" s="269"/>
      <c r="B2299" s="269"/>
      <c r="C2299" s="269"/>
      <c r="D2299" s="269"/>
      <c r="E2299" s="269"/>
      <c r="F2299" s="269"/>
      <c r="G2299" s="269"/>
      <c r="H2299" s="269"/>
      <c r="I2299" s="269"/>
      <c r="J2299" s="334"/>
      <c r="K2299" s="334"/>
      <c r="L2299" s="334"/>
      <c r="M2299" s="328"/>
      <c r="N2299" s="328"/>
      <c r="O2299" s="386"/>
      <c r="P2299" s="356"/>
      <c r="Q2299" s="380"/>
      <c r="S2299" s="336"/>
      <c r="T2299" s="62" ph="1"/>
      <c r="V2299" s="232"/>
      <c r="W2299" s="269"/>
      <c r="X2299" s="201"/>
      <c r="Y2299" s="269"/>
      <c r="Z2299" s="269"/>
      <c r="AA2299" s="269"/>
      <c r="AB2299" s="269"/>
      <c r="AC2299" s="269"/>
      <c r="AD2299" s="269"/>
      <c r="AE2299" s="269"/>
    </row>
    <row r="2300" spans="1:31" ht="26.25">
      <c r="A2300" s="269"/>
      <c r="B2300" s="269"/>
      <c r="C2300" s="269"/>
      <c r="D2300" s="269"/>
      <c r="E2300" s="269"/>
      <c r="F2300" s="269"/>
      <c r="G2300" s="269"/>
      <c r="H2300" s="269"/>
      <c r="I2300" s="269"/>
      <c r="J2300" s="334"/>
      <c r="K2300" s="334"/>
      <c r="L2300" s="334"/>
      <c r="M2300" s="328"/>
      <c r="N2300" s="328"/>
      <c r="O2300" s="386"/>
      <c r="P2300" s="356"/>
      <c r="Q2300" s="380"/>
      <c r="S2300" s="336"/>
      <c r="T2300" s="62" ph="1"/>
      <c r="V2300" s="232"/>
      <c r="W2300" s="269"/>
      <c r="X2300" s="201"/>
      <c r="Y2300" s="269"/>
      <c r="Z2300" s="269"/>
      <c r="AA2300" s="269"/>
      <c r="AB2300" s="269"/>
      <c r="AC2300" s="269"/>
      <c r="AD2300" s="269"/>
      <c r="AE2300" s="269"/>
    </row>
    <row r="2301" spans="1:31" ht="26.25">
      <c r="A2301" s="269"/>
      <c r="B2301" s="269"/>
      <c r="C2301" s="269"/>
      <c r="D2301" s="269"/>
      <c r="E2301" s="269"/>
      <c r="F2301" s="269"/>
      <c r="G2301" s="269"/>
      <c r="H2301" s="269"/>
      <c r="I2301" s="269"/>
      <c r="J2301" s="334"/>
      <c r="K2301" s="334"/>
      <c r="L2301" s="334"/>
      <c r="M2301" s="328"/>
      <c r="N2301" s="328"/>
      <c r="O2301" s="386"/>
      <c r="P2301" s="356"/>
      <c r="Q2301" s="380"/>
      <c r="S2301" s="336"/>
      <c r="T2301" s="62" ph="1"/>
      <c r="V2301" s="232"/>
      <c r="W2301" s="269"/>
      <c r="X2301" s="201"/>
      <c r="Y2301" s="269"/>
      <c r="Z2301" s="269"/>
      <c r="AA2301" s="269"/>
      <c r="AB2301" s="269"/>
      <c r="AC2301" s="269"/>
      <c r="AD2301" s="269"/>
      <c r="AE2301" s="269"/>
    </row>
    <row r="2302" spans="1:31" ht="26.25">
      <c r="A2302" s="269"/>
      <c r="B2302" s="269"/>
      <c r="C2302" s="269"/>
      <c r="D2302" s="269"/>
      <c r="E2302" s="269"/>
      <c r="F2302" s="269"/>
      <c r="G2302" s="269"/>
      <c r="H2302" s="269"/>
      <c r="I2302" s="269"/>
      <c r="J2302" s="334"/>
      <c r="K2302" s="334"/>
      <c r="L2302" s="334"/>
      <c r="M2302" s="328"/>
      <c r="N2302" s="328"/>
      <c r="O2302" s="386"/>
      <c r="P2302" s="356"/>
      <c r="Q2302" s="380"/>
      <c r="S2302" s="336"/>
      <c r="T2302" s="62" ph="1"/>
      <c r="V2302" s="232"/>
      <c r="W2302" s="269"/>
      <c r="X2302" s="201"/>
      <c r="Y2302" s="269"/>
      <c r="Z2302" s="269"/>
      <c r="AA2302" s="269"/>
      <c r="AB2302" s="269"/>
      <c r="AC2302" s="269"/>
      <c r="AD2302" s="269"/>
      <c r="AE2302" s="269"/>
    </row>
    <row r="2303" spans="1:31" ht="26.25">
      <c r="A2303" s="269"/>
      <c r="B2303" s="269"/>
      <c r="C2303" s="269"/>
      <c r="D2303" s="269"/>
      <c r="E2303" s="269"/>
      <c r="F2303" s="269"/>
      <c r="G2303" s="269"/>
      <c r="H2303" s="269"/>
      <c r="I2303" s="269"/>
      <c r="J2303" s="334"/>
      <c r="K2303" s="334"/>
      <c r="L2303" s="334"/>
      <c r="M2303" s="328"/>
      <c r="N2303" s="328"/>
      <c r="O2303" s="386"/>
      <c r="P2303" s="356"/>
      <c r="Q2303" s="380"/>
      <c r="S2303" s="336"/>
      <c r="T2303" s="62" ph="1"/>
      <c r="V2303" s="232"/>
      <c r="W2303" s="269"/>
      <c r="X2303" s="201"/>
      <c r="Y2303" s="269"/>
      <c r="Z2303" s="269"/>
      <c r="AA2303" s="269"/>
      <c r="AB2303" s="269"/>
      <c r="AC2303" s="269"/>
      <c r="AD2303" s="269"/>
      <c r="AE2303" s="269"/>
    </row>
    <row r="2304" spans="1:31" ht="26.25">
      <c r="A2304" s="269"/>
      <c r="B2304" s="269"/>
      <c r="C2304" s="269"/>
      <c r="D2304" s="269"/>
      <c r="E2304" s="269"/>
      <c r="F2304" s="269"/>
      <c r="G2304" s="269"/>
      <c r="H2304" s="269"/>
      <c r="I2304" s="269"/>
      <c r="J2304" s="334"/>
      <c r="K2304" s="334"/>
      <c r="L2304" s="334"/>
      <c r="M2304" s="328"/>
      <c r="N2304" s="328"/>
      <c r="O2304" s="386"/>
      <c r="P2304" s="356"/>
      <c r="Q2304" s="380"/>
      <c r="S2304" s="336"/>
      <c r="T2304" s="62" ph="1"/>
      <c r="V2304" s="232"/>
      <c r="W2304" s="269"/>
      <c r="X2304" s="201"/>
      <c r="Y2304" s="269"/>
      <c r="Z2304" s="269"/>
      <c r="AA2304" s="269"/>
      <c r="AB2304" s="269"/>
      <c r="AC2304" s="269"/>
      <c r="AD2304" s="269"/>
      <c r="AE2304" s="269"/>
    </row>
    <row r="2305" spans="1:31" ht="26.25">
      <c r="A2305" s="269"/>
      <c r="B2305" s="269"/>
      <c r="C2305" s="269"/>
      <c r="D2305" s="269"/>
      <c r="E2305" s="269"/>
      <c r="F2305" s="269"/>
      <c r="G2305" s="269"/>
      <c r="H2305" s="269"/>
      <c r="I2305" s="269"/>
      <c r="J2305" s="334"/>
      <c r="K2305" s="334"/>
      <c r="L2305" s="334"/>
      <c r="M2305" s="328"/>
      <c r="N2305" s="328"/>
      <c r="O2305" s="386"/>
      <c r="P2305" s="356"/>
      <c r="Q2305" s="380"/>
      <c r="S2305" s="336"/>
      <c r="T2305" s="62" ph="1"/>
      <c r="V2305" s="232"/>
      <c r="W2305" s="269"/>
      <c r="X2305" s="201"/>
      <c r="Y2305" s="269"/>
      <c r="Z2305" s="269"/>
      <c r="AA2305" s="269"/>
      <c r="AB2305" s="269"/>
      <c r="AC2305" s="269"/>
      <c r="AD2305" s="269"/>
      <c r="AE2305" s="269"/>
    </row>
    <row r="2306" spans="1:31" ht="26.25">
      <c r="A2306" s="269"/>
      <c r="B2306" s="269"/>
      <c r="C2306" s="269"/>
      <c r="D2306" s="269"/>
      <c r="E2306" s="269"/>
      <c r="F2306" s="269"/>
      <c r="G2306" s="269"/>
      <c r="H2306" s="269"/>
      <c r="I2306" s="269"/>
      <c r="J2306" s="334"/>
      <c r="K2306" s="334"/>
      <c r="L2306" s="334"/>
      <c r="M2306" s="328"/>
      <c r="N2306" s="328"/>
      <c r="O2306" s="386"/>
      <c r="P2306" s="356"/>
      <c r="Q2306" s="380"/>
      <c r="S2306" s="336"/>
      <c r="T2306" s="62" ph="1"/>
      <c r="V2306" s="232"/>
      <c r="W2306" s="269"/>
      <c r="X2306" s="201"/>
      <c r="Y2306" s="269"/>
      <c r="Z2306" s="269"/>
      <c r="AA2306" s="269"/>
      <c r="AB2306" s="269"/>
      <c r="AC2306" s="269"/>
      <c r="AD2306" s="269"/>
      <c r="AE2306" s="269"/>
    </row>
    <row r="2307" spans="1:31" ht="26.25">
      <c r="A2307" s="269"/>
      <c r="B2307" s="269"/>
      <c r="C2307" s="269"/>
      <c r="D2307" s="269"/>
      <c r="E2307" s="269"/>
      <c r="F2307" s="269"/>
      <c r="G2307" s="269"/>
      <c r="H2307" s="269"/>
      <c r="I2307" s="269"/>
      <c r="J2307" s="334"/>
      <c r="K2307" s="334"/>
      <c r="L2307" s="334"/>
      <c r="M2307" s="328"/>
      <c r="N2307" s="328"/>
      <c r="O2307" s="386"/>
      <c r="P2307" s="356"/>
      <c r="Q2307" s="380"/>
      <c r="S2307" s="336"/>
      <c r="T2307" s="62" ph="1"/>
      <c r="V2307" s="232"/>
      <c r="W2307" s="269"/>
      <c r="X2307" s="201"/>
      <c r="Y2307" s="269"/>
      <c r="Z2307" s="269"/>
      <c r="AA2307" s="269"/>
      <c r="AB2307" s="269"/>
      <c r="AC2307" s="269"/>
      <c r="AD2307" s="269"/>
      <c r="AE2307" s="269"/>
    </row>
    <row r="2308" spans="1:31" ht="26.25">
      <c r="A2308" s="269"/>
      <c r="B2308" s="269"/>
      <c r="C2308" s="269"/>
      <c r="D2308" s="269"/>
      <c r="E2308" s="269"/>
      <c r="F2308" s="269"/>
      <c r="G2308" s="269"/>
      <c r="H2308" s="269"/>
      <c r="I2308" s="269"/>
      <c r="J2308" s="334"/>
      <c r="K2308" s="334"/>
      <c r="L2308" s="334"/>
      <c r="M2308" s="328"/>
      <c r="N2308" s="328"/>
      <c r="O2308" s="386"/>
      <c r="P2308" s="356"/>
      <c r="Q2308" s="380"/>
      <c r="S2308" s="336"/>
      <c r="T2308" s="62" ph="1"/>
      <c r="V2308" s="232"/>
      <c r="W2308" s="269"/>
      <c r="X2308" s="201"/>
      <c r="Y2308" s="269"/>
      <c r="Z2308" s="269"/>
      <c r="AA2308" s="269"/>
      <c r="AB2308" s="269"/>
      <c r="AC2308" s="269"/>
      <c r="AD2308" s="269"/>
      <c r="AE2308" s="269"/>
    </row>
    <row r="2309" spans="1:31" ht="26.25">
      <c r="A2309" s="269"/>
      <c r="B2309" s="269"/>
      <c r="C2309" s="269"/>
      <c r="D2309" s="269"/>
      <c r="E2309" s="269"/>
      <c r="F2309" s="269"/>
      <c r="G2309" s="269"/>
      <c r="H2309" s="269"/>
      <c r="I2309" s="269"/>
      <c r="J2309" s="334"/>
      <c r="K2309" s="334"/>
      <c r="L2309" s="334"/>
      <c r="M2309" s="328"/>
      <c r="N2309" s="328"/>
      <c r="O2309" s="386"/>
      <c r="P2309" s="356"/>
      <c r="Q2309" s="380"/>
      <c r="S2309" s="336"/>
      <c r="T2309" s="62" ph="1"/>
      <c r="V2309" s="232"/>
      <c r="W2309" s="269"/>
      <c r="X2309" s="201"/>
      <c r="Y2309" s="269"/>
      <c r="Z2309" s="269"/>
      <c r="AA2309" s="269"/>
      <c r="AB2309" s="269"/>
      <c r="AC2309" s="269"/>
      <c r="AD2309" s="269"/>
      <c r="AE2309" s="269"/>
    </row>
    <row r="2310" spans="1:31" ht="26.25">
      <c r="A2310" s="269"/>
      <c r="B2310" s="269"/>
      <c r="C2310" s="269"/>
      <c r="D2310" s="269"/>
      <c r="E2310" s="269"/>
      <c r="F2310" s="269"/>
      <c r="G2310" s="269"/>
      <c r="H2310" s="269"/>
      <c r="I2310" s="269"/>
      <c r="J2310" s="334"/>
      <c r="K2310" s="334"/>
      <c r="L2310" s="334"/>
      <c r="M2310" s="328"/>
      <c r="N2310" s="328"/>
      <c r="O2310" s="386"/>
      <c r="P2310" s="356"/>
      <c r="Q2310" s="380"/>
      <c r="S2310" s="336"/>
      <c r="T2310" s="62" ph="1"/>
      <c r="V2310" s="232"/>
      <c r="W2310" s="269"/>
      <c r="X2310" s="201"/>
      <c r="Y2310" s="269"/>
      <c r="Z2310" s="269"/>
      <c r="AA2310" s="269"/>
      <c r="AB2310" s="269"/>
      <c r="AC2310" s="269"/>
      <c r="AD2310" s="269"/>
      <c r="AE2310" s="269"/>
    </row>
    <row r="2311" spans="1:31" ht="26.25">
      <c r="A2311" s="269"/>
      <c r="B2311" s="269"/>
      <c r="C2311" s="269"/>
      <c r="D2311" s="269"/>
      <c r="E2311" s="269"/>
      <c r="F2311" s="269"/>
      <c r="G2311" s="269"/>
      <c r="H2311" s="269"/>
      <c r="I2311" s="269"/>
      <c r="J2311" s="334"/>
      <c r="K2311" s="334"/>
      <c r="L2311" s="334"/>
      <c r="M2311" s="328"/>
      <c r="N2311" s="328"/>
      <c r="O2311" s="386"/>
      <c r="P2311" s="356"/>
      <c r="Q2311" s="380"/>
      <c r="S2311" s="336"/>
      <c r="T2311" s="62" ph="1"/>
      <c r="V2311" s="232"/>
      <c r="W2311" s="269"/>
      <c r="X2311" s="201"/>
      <c r="Y2311" s="269"/>
      <c r="Z2311" s="269"/>
      <c r="AA2311" s="269"/>
      <c r="AB2311" s="269"/>
      <c r="AC2311" s="269"/>
      <c r="AD2311" s="269"/>
      <c r="AE2311" s="269"/>
    </row>
    <row r="2312" spans="1:31" ht="26.25">
      <c r="A2312" s="269"/>
      <c r="B2312" s="269"/>
      <c r="C2312" s="269"/>
      <c r="D2312" s="269"/>
      <c r="E2312" s="269"/>
      <c r="F2312" s="269"/>
      <c r="G2312" s="269"/>
      <c r="H2312" s="269"/>
      <c r="I2312" s="269"/>
      <c r="J2312" s="334"/>
      <c r="K2312" s="334"/>
      <c r="L2312" s="334"/>
      <c r="M2312" s="328"/>
      <c r="N2312" s="328"/>
      <c r="O2312" s="386"/>
      <c r="P2312" s="356"/>
      <c r="Q2312" s="380"/>
      <c r="S2312" s="336"/>
      <c r="T2312" s="62" ph="1"/>
      <c r="V2312" s="232"/>
      <c r="W2312" s="269"/>
      <c r="X2312" s="201"/>
      <c r="Y2312" s="269"/>
      <c r="Z2312" s="269"/>
      <c r="AA2312" s="269"/>
      <c r="AB2312" s="269"/>
      <c r="AC2312" s="269"/>
      <c r="AD2312" s="269"/>
      <c r="AE2312" s="269"/>
    </row>
    <row r="2313" spans="1:31" ht="26.25">
      <c r="A2313" s="269"/>
      <c r="B2313" s="269"/>
      <c r="C2313" s="269"/>
      <c r="D2313" s="269"/>
      <c r="E2313" s="269"/>
      <c r="F2313" s="269"/>
      <c r="G2313" s="269"/>
      <c r="H2313" s="269"/>
      <c r="I2313" s="269"/>
      <c r="J2313" s="334"/>
      <c r="K2313" s="334"/>
      <c r="L2313" s="334"/>
      <c r="M2313" s="328"/>
      <c r="N2313" s="328"/>
      <c r="O2313" s="386"/>
      <c r="P2313" s="356"/>
      <c r="Q2313" s="380"/>
      <c r="S2313" s="336"/>
      <c r="T2313" s="62" ph="1"/>
      <c r="V2313" s="232"/>
      <c r="W2313" s="269"/>
      <c r="X2313" s="201"/>
      <c r="Y2313" s="269"/>
      <c r="Z2313" s="269"/>
      <c r="AA2313" s="269"/>
      <c r="AB2313" s="269"/>
      <c r="AC2313" s="269"/>
      <c r="AD2313" s="269"/>
      <c r="AE2313" s="269"/>
    </row>
    <row r="2314" spans="1:31" ht="26.25">
      <c r="A2314" s="269"/>
      <c r="B2314" s="269"/>
      <c r="C2314" s="269"/>
      <c r="D2314" s="269"/>
      <c r="E2314" s="269"/>
      <c r="F2314" s="269"/>
      <c r="G2314" s="269"/>
      <c r="H2314" s="269"/>
      <c r="I2314" s="269"/>
      <c r="J2314" s="334"/>
      <c r="K2314" s="334"/>
      <c r="L2314" s="334"/>
      <c r="M2314" s="328"/>
      <c r="N2314" s="328"/>
      <c r="O2314" s="386"/>
      <c r="P2314" s="356"/>
      <c r="Q2314" s="380"/>
      <c r="S2314" s="336"/>
      <c r="T2314" s="62" ph="1"/>
      <c r="V2314" s="232"/>
      <c r="W2314" s="269"/>
      <c r="X2314" s="201"/>
      <c r="Y2314" s="269"/>
      <c r="Z2314" s="269"/>
      <c r="AA2314" s="269"/>
      <c r="AB2314" s="269"/>
      <c r="AC2314" s="269"/>
      <c r="AD2314" s="269"/>
      <c r="AE2314" s="269"/>
    </row>
    <row r="2315" spans="1:31" ht="26.25">
      <c r="A2315" s="269"/>
      <c r="B2315" s="269"/>
      <c r="C2315" s="269"/>
      <c r="D2315" s="269"/>
      <c r="E2315" s="269"/>
      <c r="F2315" s="269"/>
      <c r="G2315" s="269"/>
      <c r="H2315" s="269"/>
      <c r="I2315" s="269"/>
      <c r="J2315" s="334"/>
      <c r="K2315" s="334"/>
      <c r="L2315" s="334"/>
      <c r="M2315" s="328"/>
      <c r="N2315" s="328"/>
      <c r="O2315" s="386"/>
      <c r="P2315" s="356"/>
      <c r="Q2315" s="380"/>
      <c r="S2315" s="336"/>
      <c r="T2315" s="62" ph="1"/>
      <c r="V2315" s="232"/>
      <c r="W2315" s="269"/>
      <c r="X2315" s="201"/>
      <c r="Y2315" s="269"/>
      <c r="Z2315" s="269"/>
      <c r="AA2315" s="269"/>
      <c r="AB2315" s="269"/>
      <c r="AC2315" s="269"/>
      <c r="AD2315" s="269"/>
      <c r="AE2315" s="269"/>
    </row>
    <row r="2316" spans="1:31" ht="26.25">
      <c r="A2316" s="269"/>
      <c r="B2316" s="269"/>
      <c r="C2316" s="269"/>
      <c r="D2316" s="269"/>
      <c r="E2316" s="269"/>
      <c r="F2316" s="269"/>
      <c r="G2316" s="269"/>
      <c r="H2316" s="269"/>
      <c r="I2316" s="269"/>
      <c r="J2316" s="334"/>
      <c r="K2316" s="334"/>
      <c r="L2316" s="334"/>
      <c r="M2316" s="328"/>
      <c r="N2316" s="328"/>
      <c r="O2316" s="386"/>
      <c r="P2316" s="356"/>
      <c r="Q2316" s="380"/>
      <c r="S2316" s="336"/>
      <c r="T2316" s="62" ph="1"/>
      <c r="V2316" s="232"/>
      <c r="W2316" s="269"/>
      <c r="X2316" s="201"/>
      <c r="Y2316" s="269"/>
      <c r="Z2316" s="269"/>
      <c r="AA2316" s="269"/>
      <c r="AB2316" s="269"/>
      <c r="AC2316" s="269"/>
      <c r="AD2316" s="269"/>
      <c r="AE2316" s="269"/>
    </row>
    <row r="2317" spans="1:31" ht="26.25">
      <c r="A2317" s="269"/>
      <c r="B2317" s="269"/>
      <c r="C2317" s="269"/>
      <c r="D2317" s="269"/>
      <c r="E2317" s="269"/>
      <c r="F2317" s="269"/>
      <c r="G2317" s="269"/>
      <c r="H2317" s="269"/>
      <c r="I2317" s="269"/>
      <c r="J2317" s="334"/>
      <c r="K2317" s="334"/>
      <c r="L2317" s="334"/>
      <c r="M2317" s="328"/>
      <c r="N2317" s="328"/>
      <c r="O2317" s="386"/>
      <c r="P2317" s="356"/>
      <c r="Q2317" s="380"/>
      <c r="S2317" s="336"/>
      <c r="T2317" s="62" ph="1"/>
      <c r="V2317" s="232"/>
      <c r="W2317" s="269"/>
      <c r="X2317" s="201"/>
      <c r="Y2317" s="269"/>
      <c r="Z2317" s="269"/>
      <c r="AA2317" s="269"/>
      <c r="AB2317" s="269"/>
      <c r="AC2317" s="269"/>
      <c r="AD2317" s="269"/>
      <c r="AE2317" s="269"/>
    </row>
    <row r="2318" spans="1:31" ht="26.25">
      <c r="A2318" s="269"/>
      <c r="B2318" s="269"/>
      <c r="C2318" s="269"/>
      <c r="D2318" s="269"/>
      <c r="E2318" s="269"/>
      <c r="F2318" s="269"/>
      <c r="G2318" s="269"/>
      <c r="H2318" s="269"/>
      <c r="I2318" s="269"/>
      <c r="J2318" s="334"/>
      <c r="K2318" s="334"/>
      <c r="L2318" s="334"/>
      <c r="M2318" s="328"/>
      <c r="N2318" s="328"/>
      <c r="O2318" s="386"/>
      <c r="P2318" s="356"/>
      <c r="Q2318" s="380"/>
      <c r="S2318" s="336"/>
      <c r="T2318" s="62" ph="1"/>
      <c r="V2318" s="232"/>
      <c r="W2318" s="269"/>
      <c r="X2318" s="201"/>
      <c r="Y2318" s="269"/>
      <c r="Z2318" s="269"/>
      <c r="AA2318" s="269"/>
      <c r="AB2318" s="269"/>
      <c r="AC2318" s="269"/>
      <c r="AD2318" s="269"/>
      <c r="AE2318" s="269"/>
    </row>
    <row r="2319" spans="1:31" ht="26.25">
      <c r="A2319" s="269"/>
      <c r="B2319" s="269"/>
      <c r="C2319" s="269"/>
      <c r="D2319" s="269"/>
      <c r="E2319" s="269"/>
      <c r="F2319" s="269"/>
      <c r="G2319" s="269"/>
      <c r="H2319" s="269"/>
      <c r="I2319" s="269"/>
      <c r="J2319" s="334"/>
      <c r="K2319" s="334"/>
      <c r="L2319" s="334"/>
      <c r="M2319" s="328"/>
      <c r="N2319" s="328"/>
      <c r="O2319" s="386"/>
      <c r="P2319" s="356"/>
      <c r="Q2319" s="380"/>
      <c r="S2319" s="336"/>
      <c r="T2319" s="62" ph="1"/>
      <c r="V2319" s="232"/>
      <c r="W2319" s="269"/>
      <c r="X2319" s="201"/>
      <c r="Y2319" s="269"/>
      <c r="Z2319" s="269"/>
      <c r="AA2319" s="269"/>
      <c r="AB2319" s="269"/>
      <c r="AC2319" s="269"/>
      <c r="AD2319" s="269"/>
      <c r="AE2319" s="269"/>
    </row>
    <row r="2320" spans="1:31" ht="26.25">
      <c r="A2320" s="269"/>
      <c r="B2320" s="269"/>
      <c r="C2320" s="269"/>
      <c r="D2320" s="269"/>
      <c r="E2320" s="269"/>
      <c r="F2320" s="269"/>
      <c r="G2320" s="269"/>
      <c r="H2320" s="269"/>
      <c r="I2320" s="269"/>
      <c r="J2320" s="334"/>
      <c r="K2320" s="334"/>
      <c r="L2320" s="334"/>
      <c r="M2320" s="328"/>
      <c r="N2320" s="328"/>
      <c r="O2320" s="386"/>
      <c r="P2320" s="356"/>
      <c r="Q2320" s="380"/>
      <c r="S2320" s="336"/>
      <c r="T2320" s="62" ph="1"/>
      <c r="V2320" s="232"/>
      <c r="W2320" s="269"/>
      <c r="X2320" s="201"/>
      <c r="Y2320" s="269"/>
      <c r="Z2320" s="269"/>
      <c r="AA2320" s="269"/>
      <c r="AB2320" s="269"/>
      <c r="AC2320" s="269"/>
      <c r="AD2320" s="269"/>
      <c r="AE2320" s="269"/>
    </row>
    <row r="2321" spans="1:31" ht="26.25">
      <c r="A2321" s="269"/>
      <c r="B2321" s="269"/>
      <c r="C2321" s="269"/>
      <c r="D2321" s="269"/>
      <c r="E2321" s="269"/>
      <c r="F2321" s="269"/>
      <c r="G2321" s="269"/>
      <c r="H2321" s="269"/>
      <c r="I2321" s="269"/>
      <c r="J2321" s="334"/>
      <c r="K2321" s="334"/>
      <c r="L2321" s="334"/>
      <c r="M2321" s="328"/>
      <c r="N2321" s="328"/>
      <c r="O2321" s="386"/>
      <c r="P2321" s="356"/>
      <c r="Q2321" s="380"/>
      <c r="S2321" s="336"/>
      <c r="T2321" s="62" ph="1"/>
      <c r="V2321" s="232"/>
      <c r="W2321" s="269"/>
      <c r="X2321" s="201"/>
      <c r="Y2321" s="269"/>
      <c r="Z2321" s="269"/>
      <c r="AA2321" s="269"/>
      <c r="AB2321" s="269"/>
      <c r="AC2321" s="269"/>
      <c r="AD2321" s="269"/>
      <c r="AE2321" s="269"/>
    </row>
    <row r="2322" spans="1:31" ht="26.25">
      <c r="O2322" s="386"/>
      <c r="P2322" s="356"/>
      <c r="Q2322" s="380"/>
      <c r="T2322" s="62" ph="1"/>
    </row>
    <row r="2323" spans="1:31" ht="26.25">
      <c r="O2323" s="386"/>
      <c r="P2323" s="356"/>
      <c r="Q2323" s="380"/>
      <c r="T2323" s="62" ph="1"/>
    </row>
    <row r="2324" spans="1:31" ht="26.25">
      <c r="O2324" s="386"/>
      <c r="P2324" s="356"/>
      <c r="Q2324" s="380"/>
      <c r="T2324" s="62" ph="1"/>
    </row>
    <row r="2325" spans="1:31" ht="26.25">
      <c r="O2325" s="386"/>
      <c r="P2325" s="356"/>
      <c r="Q2325" s="380"/>
      <c r="T2325" s="62" ph="1"/>
    </row>
    <row r="2326" spans="1:31" ht="26.25">
      <c r="O2326" s="386"/>
      <c r="P2326" s="356"/>
      <c r="Q2326" s="380"/>
      <c r="T2326" s="62" ph="1"/>
    </row>
    <row r="2327" spans="1:31" ht="26.25">
      <c r="O2327" s="386"/>
      <c r="P2327" s="356"/>
      <c r="Q2327" s="380"/>
      <c r="T2327" s="62" ph="1"/>
    </row>
    <row r="2328" spans="1:31" ht="26.25">
      <c r="O2328" s="386"/>
      <c r="P2328" s="356"/>
      <c r="Q2328" s="380"/>
      <c r="T2328" s="62" ph="1"/>
    </row>
    <row r="2329" spans="1:31" ht="26.25">
      <c r="O2329" s="386"/>
      <c r="P2329" s="356"/>
      <c r="Q2329" s="380"/>
      <c r="T2329" s="62" ph="1"/>
    </row>
    <row r="2330" spans="1:31" ht="26.25">
      <c r="O2330" s="386"/>
      <c r="P2330" s="356"/>
      <c r="Q2330" s="380"/>
      <c r="T2330" s="62" ph="1"/>
    </row>
    <row r="2331" spans="1:31" ht="26.25">
      <c r="O2331" s="386"/>
      <c r="P2331" s="356"/>
      <c r="Q2331" s="380"/>
      <c r="T2331" s="62" ph="1"/>
    </row>
    <row r="2332" spans="1:31" ht="26.25">
      <c r="O2332" s="386"/>
      <c r="P2332" s="356"/>
      <c r="Q2332" s="380"/>
      <c r="T2332" s="62" ph="1"/>
    </row>
    <row r="2333" spans="1:31" ht="26.25">
      <c r="O2333" s="386"/>
      <c r="P2333" s="356"/>
      <c r="Q2333" s="380"/>
      <c r="T2333" s="62" ph="1"/>
    </row>
    <row r="2334" spans="1:31" ht="26.25">
      <c r="T2334" s="62" ph="1"/>
    </row>
    <row r="2335" spans="1:31" ht="26.25">
      <c r="T2335" s="62" ph="1"/>
    </row>
    <row r="2336" spans="1:31" ht="26.25">
      <c r="T2336" s="62" ph="1"/>
    </row>
    <row r="2337" spans="20:20" ht="26.25">
      <c r="T2337" s="62" ph="1"/>
    </row>
    <row r="2338" spans="20:20" ht="26.25">
      <c r="T2338" s="62" ph="1"/>
    </row>
    <row r="2339" spans="20:20" ht="26.25">
      <c r="T2339" s="62" ph="1"/>
    </row>
    <row r="2340" spans="20:20" ht="26.25">
      <c r="T2340" s="62" ph="1"/>
    </row>
    <row r="2341" spans="20:20" ht="26.25">
      <c r="T2341" s="62" ph="1"/>
    </row>
    <row r="2342" spans="20:20" ht="26.25">
      <c r="T2342" s="62" ph="1"/>
    </row>
    <row r="2343" spans="20:20" ht="26.25">
      <c r="T2343" s="62" ph="1"/>
    </row>
    <row r="2344" spans="20:20" ht="26.25">
      <c r="T2344" s="62" ph="1"/>
    </row>
    <row r="2345" spans="20:20" ht="26.25">
      <c r="T2345" s="62" ph="1"/>
    </row>
    <row r="2346" spans="20:20" ht="26.25">
      <c r="T2346" s="62" ph="1"/>
    </row>
    <row r="2347" spans="20:20" ht="26.25">
      <c r="T2347" s="62" ph="1"/>
    </row>
    <row r="2348" spans="20:20" ht="26.25">
      <c r="T2348" s="62" ph="1"/>
    </row>
    <row r="2349" spans="20:20" ht="26.25">
      <c r="T2349" s="62" ph="1"/>
    </row>
    <row r="2350" spans="20:20" ht="26.25">
      <c r="T2350" s="62" ph="1"/>
    </row>
    <row r="2351" spans="20:20" ht="26.25">
      <c r="T2351" s="62" ph="1"/>
    </row>
    <row r="2352" spans="20:20" ht="26.25">
      <c r="T2352" s="62" ph="1"/>
    </row>
    <row r="2353" spans="20:20" ht="26.25">
      <c r="T2353" s="62" ph="1"/>
    </row>
    <row r="2354" spans="20:20" ht="26.25">
      <c r="T2354" s="62" ph="1"/>
    </row>
    <row r="2355" spans="20:20" ht="26.25">
      <c r="T2355" s="62" ph="1"/>
    </row>
    <row r="2356" spans="20:20" ht="26.25">
      <c r="T2356" s="62" ph="1"/>
    </row>
    <row r="2357" spans="20:20" ht="26.25">
      <c r="T2357" s="62" ph="1"/>
    </row>
    <row r="2358" spans="20:20" ht="26.25">
      <c r="T2358" s="62" ph="1"/>
    </row>
    <row r="2359" spans="20:20" ht="26.25">
      <c r="T2359" s="62" ph="1"/>
    </row>
    <row r="2360" spans="20:20" ht="26.25">
      <c r="T2360" s="62" ph="1"/>
    </row>
    <row r="2361" spans="20:20" ht="26.25">
      <c r="T2361" s="62" ph="1"/>
    </row>
    <row r="2362" spans="20:20" ht="26.25">
      <c r="T2362" s="62" ph="1"/>
    </row>
    <row r="2363" spans="20:20" ht="26.25">
      <c r="T2363" s="62" ph="1"/>
    </row>
    <row r="2364" spans="20:20" ht="26.25">
      <c r="T2364" s="62" ph="1"/>
    </row>
    <row r="2365" spans="20:20" ht="26.25">
      <c r="T2365" s="62" ph="1"/>
    </row>
    <row r="2366" spans="20:20" ht="26.25">
      <c r="T2366" s="62" ph="1"/>
    </row>
    <row r="2367" spans="20:20" ht="26.25">
      <c r="T2367" s="62" ph="1"/>
    </row>
    <row r="2368" spans="20:20" ht="26.25">
      <c r="T2368" s="62" ph="1"/>
    </row>
    <row r="2369" spans="20:20" ht="26.25">
      <c r="T2369" s="62" ph="1"/>
    </row>
    <row r="2370" spans="20:20" ht="26.25">
      <c r="T2370" s="62" ph="1"/>
    </row>
    <row r="2371" spans="20:20" ht="26.25">
      <c r="T2371" s="62" ph="1"/>
    </row>
    <row r="2372" spans="20:20" ht="26.25">
      <c r="T2372" s="62" ph="1"/>
    </row>
    <row r="2373" spans="20:20" ht="26.25">
      <c r="T2373" s="62" ph="1"/>
    </row>
    <row r="2374" spans="20:20" ht="26.25">
      <c r="T2374" s="62" ph="1"/>
    </row>
    <row r="2375" spans="20:20" ht="26.25">
      <c r="T2375" s="62" ph="1"/>
    </row>
    <row r="2376" spans="20:20" ht="26.25">
      <c r="T2376" s="62" ph="1"/>
    </row>
    <row r="2377" spans="20:20" ht="26.25">
      <c r="T2377" s="62" ph="1"/>
    </row>
    <row r="2378" spans="20:20" ht="26.25">
      <c r="T2378" s="62" ph="1"/>
    </row>
    <row r="2379" spans="20:20" ht="26.25">
      <c r="T2379" s="62" ph="1"/>
    </row>
    <row r="2380" spans="20:20" ht="26.25">
      <c r="T2380" s="62" ph="1"/>
    </row>
    <row r="2381" spans="20:20" ht="26.25">
      <c r="T2381" s="62" ph="1"/>
    </row>
    <row r="2382" spans="20:20" ht="26.25">
      <c r="T2382" s="62" ph="1"/>
    </row>
    <row r="2383" spans="20:20" ht="26.25">
      <c r="T2383" s="62" ph="1"/>
    </row>
    <row r="2384" spans="20:20" ht="26.25">
      <c r="T2384" s="62" ph="1"/>
    </row>
    <row r="2385" spans="20:20" ht="26.25">
      <c r="T2385" s="62" ph="1"/>
    </row>
    <row r="2386" spans="20:20" ht="26.25">
      <c r="T2386" s="62" ph="1"/>
    </row>
    <row r="2387" spans="20:20" ht="26.25">
      <c r="T2387" s="62" ph="1"/>
    </row>
    <row r="2388" spans="20:20" ht="26.25">
      <c r="T2388" s="62" ph="1"/>
    </row>
    <row r="2389" spans="20:20" ht="26.25">
      <c r="T2389" s="62" ph="1"/>
    </row>
    <row r="2390" spans="20:20" ht="26.25">
      <c r="T2390" s="62" ph="1"/>
    </row>
    <row r="2391" spans="20:20" ht="26.25">
      <c r="T2391" s="62" ph="1"/>
    </row>
    <row r="2392" spans="20:20" ht="26.25">
      <c r="T2392" s="62" ph="1"/>
    </row>
    <row r="2393" spans="20:20" ht="26.25">
      <c r="T2393" s="62" ph="1"/>
    </row>
    <row r="2394" spans="20:20" ht="26.25">
      <c r="T2394" s="62" ph="1"/>
    </row>
    <row r="2395" spans="20:20" ht="26.25">
      <c r="T2395" s="62" ph="1"/>
    </row>
    <row r="2396" spans="20:20" ht="26.25">
      <c r="T2396" s="62" ph="1"/>
    </row>
    <row r="2397" spans="20:20" ht="26.25">
      <c r="T2397" s="62" ph="1"/>
    </row>
    <row r="2398" spans="20:20" ht="26.25">
      <c r="T2398" s="62" ph="1"/>
    </row>
    <row r="2399" spans="20:20" ht="26.25">
      <c r="T2399" s="62" ph="1"/>
    </row>
    <row r="2400" spans="20:20" ht="26.25">
      <c r="T2400" s="62" ph="1"/>
    </row>
    <row r="2401" spans="20:20" ht="26.25">
      <c r="T2401" s="62" ph="1"/>
    </row>
    <row r="2402" spans="20:20" ht="26.25">
      <c r="T2402" s="62" ph="1"/>
    </row>
    <row r="2403" spans="20:20" ht="26.25">
      <c r="T2403" s="62" ph="1"/>
    </row>
    <row r="2404" spans="20:20" ht="26.25">
      <c r="T2404" s="62" ph="1"/>
    </row>
    <row r="2405" spans="20:20" ht="26.25">
      <c r="T2405" s="62" ph="1"/>
    </row>
    <row r="2406" spans="20:20" ht="26.25">
      <c r="T2406" s="62" ph="1"/>
    </row>
    <row r="2407" spans="20:20" ht="26.25">
      <c r="T2407" s="62" ph="1"/>
    </row>
    <row r="2408" spans="20:20" ht="26.25">
      <c r="T2408" s="62" ph="1"/>
    </row>
    <row r="2409" spans="20:20" ht="26.25">
      <c r="T2409" s="62" ph="1"/>
    </row>
    <row r="2410" spans="20:20" ht="26.25">
      <c r="T2410" s="62" ph="1"/>
    </row>
    <row r="2411" spans="20:20" ht="26.25">
      <c r="T2411" s="62" ph="1"/>
    </row>
    <row r="2412" spans="20:20" ht="26.25">
      <c r="T2412" s="62" ph="1"/>
    </row>
    <row r="2413" spans="20:20" ht="26.25">
      <c r="T2413" s="62" ph="1"/>
    </row>
    <row r="2414" spans="20:20" ht="26.25">
      <c r="T2414" s="62" ph="1"/>
    </row>
    <row r="2415" spans="20:20" ht="26.25">
      <c r="T2415" s="62" ph="1"/>
    </row>
    <row r="2416" spans="20:20" ht="26.25">
      <c r="T2416" s="62" ph="1"/>
    </row>
    <row r="2417" spans="20:20" ht="26.25">
      <c r="T2417" s="62" ph="1"/>
    </row>
    <row r="2418" spans="20:20" ht="26.25">
      <c r="T2418" s="62" ph="1"/>
    </row>
    <row r="2419" spans="20:20" ht="26.25">
      <c r="T2419" s="62" ph="1"/>
    </row>
    <row r="2420" spans="20:20" ht="26.25">
      <c r="T2420" s="62" ph="1"/>
    </row>
    <row r="2421" spans="20:20" ht="26.25">
      <c r="T2421" s="62" ph="1"/>
    </row>
    <row r="2422" spans="20:20" ht="26.25">
      <c r="T2422" s="62" ph="1"/>
    </row>
    <row r="2423" spans="20:20" ht="26.25">
      <c r="T2423" s="62" ph="1"/>
    </row>
    <row r="2424" spans="20:20" ht="26.25">
      <c r="T2424" s="62" ph="1"/>
    </row>
    <row r="2425" spans="20:20" ht="26.25">
      <c r="T2425" s="62" ph="1"/>
    </row>
    <row r="2426" spans="20:20" ht="26.25">
      <c r="T2426" s="62" ph="1"/>
    </row>
    <row r="2427" spans="20:20" ht="26.25">
      <c r="T2427" s="62" ph="1"/>
    </row>
    <row r="2428" spans="20:20" ht="26.25">
      <c r="T2428" s="62" ph="1"/>
    </row>
    <row r="2429" spans="20:20" ht="26.25">
      <c r="T2429" s="62" ph="1"/>
    </row>
    <row r="2430" spans="20:20" ht="26.25">
      <c r="T2430" s="62" ph="1"/>
    </row>
    <row r="2431" spans="20:20" ht="26.25">
      <c r="T2431" s="62" ph="1"/>
    </row>
    <row r="2432" spans="20:20" ht="26.25">
      <c r="T2432" s="62" ph="1"/>
    </row>
    <row r="2433" spans="20:20" ht="26.25">
      <c r="T2433" s="62" ph="1"/>
    </row>
    <row r="2434" spans="20:20" ht="26.25">
      <c r="T2434" s="62" ph="1"/>
    </row>
    <row r="2435" spans="20:20" ht="26.25">
      <c r="T2435" s="62" ph="1"/>
    </row>
    <row r="2436" spans="20:20" ht="26.25">
      <c r="T2436" s="62" ph="1"/>
    </row>
    <row r="2437" spans="20:20" ht="26.25">
      <c r="T2437" s="62" ph="1"/>
    </row>
    <row r="2438" spans="20:20" ht="26.25">
      <c r="T2438" s="62" ph="1"/>
    </row>
    <row r="2439" spans="20:20" ht="26.25">
      <c r="T2439" s="62" ph="1"/>
    </row>
    <row r="2440" spans="20:20" ht="26.25">
      <c r="T2440" s="62" ph="1"/>
    </row>
    <row r="2441" spans="20:20" ht="26.25">
      <c r="T2441" s="62" ph="1"/>
    </row>
    <row r="2442" spans="20:20" ht="26.25">
      <c r="T2442" s="62" ph="1"/>
    </row>
    <row r="2443" spans="20:20" ht="26.25">
      <c r="T2443" s="62" ph="1"/>
    </row>
    <row r="2444" spans="20:20" ht="26.25">
      <c r="T2444" s="62" ph="1"/>
    </row>
    <row r="2445" spans="20:20" ht="26.25">
      <c r="T2445" s="62" ph="1"/>
    </row>
    <row r="2446" spans="20:20" ht="26.25">
      <c r="T2446" s="62" ph="1"/>
    </row>
    <row r="2447" spans="20:20" ht="26.25">
      <c r="T2447" s="62" ph="1"/>
    </row>
    <row r="2448" spans="20:20" ht="26.25">
      <c r="T2448" s="62" ph="1"/>
    </row>
    <row r="2449" spans="20:20" ht="26.25">
      <c r="T2449" s="62" ph="1"/>
    </row>
    <row r="2450" spans="20:20" ht="26.25">
      <c r="T2450" s="62" ph="1"/>
    </row>
    <row r="2451" spans="20:20" ht="26.25">
      <c r="T2451" s="62" ph="1"/>
    </row>
    <row r="2452" spans="20:20" ht="26.25">
      <c r="T2452" s="62" ph="1"/>
    </row>
    <row r="2453" spans="20:20" ht="26.25">
      <c r="T2453" s="62" ph="1"/>
    </row>
    <row r="2454" spans="20:20" ht="26.25">
      <c r="T2454" s="62" ph="1"/>
    </row>
    <row r="2455" spans="20:20" ht="26.25">
      <c r="T2455" s="62" ph="1"/>
    </row>
    <row r="2456" spans="20:20" ht="26.25">
      <c r="T2456" s="62" ph="1"/>
    </row>
    <row r="2457" spans="20:20" ht="26.25">
      <c r="T2457" s="62" ph="1"/>
    </row>
    <row r="2458" spans="20:20" ht="26.25">
      <c r="T2458" s="62" ph="1"/>
    </row>
    <row r="2459" spans="20:20" ht="26.25">
      <c r="T2459" s="62" ph="1"/>
    </row>
    <row r="2460" spans="20:20" ht="26.25">
      <c r="T2460" s="62" ph="1"/>
    </row>
    <row r="2461" spans="20:20" ht="26.25">
      <c r="T2461" s="62" ph="1"/>
    </row>
    <row r="2462" spans="20:20" ht="26.25">
      <c r="T2462" s="62" ph="1"/>
    </row>
    <row r="2463" spans="20:20" ht="26.25">
      <c r="T2463" s="62" ph="1"/>
    </row>
    <row r="2464" spans="20:20" ht="26.25">
      <c r="T2464" s="62" ph="1"/>
    </row>
    <row r="2465" spans="20:20" ht="26.25">
      <c r="T2465" s="62" ph="1"/>
    </row>
    <row r="2466" spans="20:20" ht="26.25">
      <c r="T2466" s="62" ph="1"/>
    </row>
    <row r="2467" spans="20:20" ht="26.25">
      <c r="T2467" s="62" ph="1"/>
    </row>
    <row r="2468" spans="20:20" ht="26.25">
      <c r="T2468" s="62" ph="1"/>
    </row>
    <row r="2469" spans="20:20" ht="26.25">
      <c r="T2469" s="62" ph="1"/>
    </row>
    <row r="2470" spans="20:20" ht="26.25">
      <c r="T2470" s="62" ph="1"/>
    </row>
    <row r="2471" spans="20:20" ht="26.25">
      <c r="T2471" s="62" ph="1"/>
    </row>
    <row r="2472" spans="20:20" ht="26.25">
      <c r="T2472" s="62" ph="1"/>
    </row>
    <row r="2473" spans="20:20" ht="26.25">
      <c r="T2473" s="62" ph="1"/>
    </row>
    <row r="2474" spans="20:20" ht="26.25">
      <c r="T2474" s="62" ph="1"/>
    </row>
    <row r="2475" spans="20:20" ht="26.25">
      <c r="T2475" s="62" ph="1"/>
    </row>
    <row r="2476" spans="20:20" ht="26.25">
      <c r="T2476" s="62" ph="1"/>
    </row>
    <row r="2477" spans="20:20" ht="26.25">
      <c r="T2477" s="62" ph="1"/>
    </row>
    <row r="2478" spans="20:20" ht="26.25">
      <c r="T2478" s="62" ph="1"/>
    </row>
    <row r="2479" spans="20:20" ht="26.25">
      <c r="T2479" s="62" ph="1"/>
    </row>
    <row r="2480" spans="20:20" ht="26.25">
      <c r="T2480" s="62" ph="1"/>
    </row>
    <row r="2481" spans="20:20" ht="26.25">
      <c r="T2481" s="62" ph="1"/>
    </row>
    <row r="2482" spans="20:20" ht="26.25">
      <c r="T2482" s="62" ph="1"/>
    </row>
    <row r="2483" spans="20:20" ht="26.25">
      <c r="T2483" s="62" ph="1"/>
    </row>
    <row r="2484" spans="20:20" ht="26.25">
      <c r="T2484" s="62" ph="1"/>
    </row>
    <row r="2485" spans="20:20" ht="26.25">
      <c r="T2485" s="62" ph="1"/>
    </row>
    <row r="2486" spans="20:20" ht="26.25">
      <c r="T2486" s="62" ph="1"/>
    </row>
    <row r="2487" spans="20:20" ht="26.25">
      <c r="T2487" s="62" ph="1"/>
    </row>
    <row r="2488" spans="20:20" ht="26.25">
      <c r="T2488" s="62" ph="1"/>
    </row>
    <row r="2489" spans="20:20" ht="26.25">
      <c r="T2489" s="62" ph="1"/>
    </row>
    <row r="2490" spans="20:20" ht="26.25">
      <c r="T2490" s="62" ph="1"/>
    </row>
    <row r="2491" spans="20:20" ht="26.25">
      <c r="T2491" s="62" ph="1"/>
    </row>
    <row r="2492" spans="20:20" ht="26.25">
      <c r="T2492" s="62" ph="1"/>
    </row>
    <row r="2493" spans="20:20" ht="26.25">
      <c r="T2493" s="62" ph="1"/>
    </row>
    <row r="2494" spans="20:20" ht="26.25">
      <c r="T2494" s="62" ph="1"/>
    </row>
    <row r="2495" spans="20:20" ht="26.25">
      <c r="T2495" s="62" ph="1"/>
    </row>
    <row r="2496" spans="20:20" ht="26.25">
      <c r="T2496" s="62" ph="1"/>
    </row>
    <row r="2497" spans="20:20" ht="26.25">
      <c r="T2497" s="62" ph="1"/>
    </row>
    <row r="2498" spans="20:20" ht="26.25">
      <c r="T2498" s="62" ph="1"/>
    </row>
    <row r="2499" spans="20:20" ht="26.25">
      <c r="T2499" s="62" ph="1"/>
    </row>
    <row r="2500" spans="20:20" ht="26.25">
      <c r="T2500" s="62" ph="1"/>
    </row>
    <row r="2501" spans="20:20" ht="26.25">
      <c r="T2501" s="62" ph="1"/>
    </row>
    <row r="2502" spans="20:20" ht="26.25">
      <c r="T2502" s="62" ph="1"/>
    </row>
    <row r="2503" spans="20:20" ht="26.25">
      <c r="T2503" s="62" ph="1"/>
    </row>
    <row r="2504" spans="20:20" ht="26.25">
      <c r="T2504" s="62" ph="1"/>
    </row>
    <row r="2505" spans="20:20" ht="26.25">
      <c r="T2505" s="62" ph="1"/>
    </row>
    <row r="2506" spans="20:20" ht="26.25">
      <c r="T2506" s="62" ph="1"/>
    </row>
    <row r="2507" spans="20:20" ht="26.25">
      <c r="T2507" s="62" ph="1"/>
    </row>
    <row r="2508" spans="20:20" ht="26.25">
      <c r="T2508" s="62" ph="1"/>
    </row>
    <row r="2509" spans="20:20" ht="26.25">
      <c r="T2509" s="62" ph="1"/>
    </row>
    <row r="2510" spans="20:20" ht="26.25">
      <c r="T2510" s="62" ph="1"/>
    </row>
    <row r="2511" spans="20:20" ht="26.25">
      <c r="T2511" s="62" ph="1"/>
    </row>
    <row r="2512" spans="20:20" ht="26.25">
      <c r="T2512" s="62" ph="1"/>
    </row>
    <row r="2513" spans="20:20" ht="26.25">
      <c r="T2513" s="62" ph="1"/>
    </row>
    <row r="2514" spans="20:20" ht="26.25">
      <c r="T2514" s="62" ph="1"/>
    </row>
    <row r="2515" spans="20:20" ht="26.25">
      <c r="T2515" s="62" ph="1"/>
    </row>
    <row r="2516" spans="20:20" ht="26.25">
      <c r="T2516" s="62" ph="1"/>
    </row>
    <row r="2517" spans="20:20" ht="26.25">
      <c r="T2517" s="62" ph="1"/>
    </row>
    <row r="2518" spans="20:20" ht="26.25">
      <c r="T2518" s="62" ph="1"/>
    </row>
    <row r="2519" spans="20:20" ht="26.25">
      <c r="T2519" s="62" ph="1"/>
    </row>
    <row r="2520" spans="20:20" ht="26.25">
      <c r="T2520" s="62" ph="1"/>
    </row>
    <row r="2521" spans="20:20" ht="26.25">
      <c r="T2521" s="62" ph="1"/>
    </row>
    <row r="2522" spans="20:20" ht="26.25">
      <c r="T2522" s="62" ph="1"/>
    </row>
    <row r="2523" spans="20:20" ht="26.25">
      <c r="T2523" s="62" ph="1"/>
    </row>
    <row r="2524" spans="20:20" ht="26.25">
      <c r="T2524" s="62" ph="1"/>
    </row>
    <row r="2525" spans="20:20" ht="26.25">
      <c r="T2525" s="62" ph="1"/>
    </row>
    <row r="2526" spans="20:20" ht="26.25">
      <c r="T2526" s="62" ph="1"/>
    </row>
    <row r="2527" spans="20:20" ht="26.25">
      <c r="T2527" s="62" ph="1"/>
    </row>
    <row r="2528" spans="20:20" ht="26.25">
      <c r="T2528" s="62" ph="1"/>
    </row>
    <row r="2529" spans="20:20" ht="26.25">
      <c r="T2529" s="62" ph="1"/>
    </row>
    <row r="2530" spans="20:20" ht="26.25">
      <c r="T2530" s="62" ph="1"/>
    </row>
    <row r="2531" spans="20:20" ht="26.25">
      <c r="T2531" s="62" ph="1"/>
    </row>
    <row r="2532" spans="20:20" ht="26.25">
      <c r="T2532" s="62" ph="1"/>
    </row>
    <row r="2533" spans="20:20" ht="26.25">
      <c r="T2533" s="62" ph="1"/>
    </row>
    <row r="2534" spans="20:20" ht="26.25">
      <c r="T2534" s="62" ph="1"/>
    </row>
    <row r="2535" spans="20:20" ht="26.25">
      <c r="T2535" s="62" ph="1"/>
    </row>
    <row r="2536" spans="20:20" ht="26.25">
      <c r="T2536" s="62" ph="1"/>
    </row>
    <row r="2537" spans="20:20" ht="26.25">
      <c r="T2537" s="62" ph="1"/>
    </row>
    <row r="2538" spans="20:20" ht="26.25">
      <c r="T2538" s="62" ph="1"/>
    </row>
    <row r="2539" spans="20:20" ht="26.25">
      <c r="T2539" s="62" ph="1"/>
    </row>
    <row r="2540" spans="20:20" ht="26.25">
      <c r="T2540" s="62" ph="1"/>
    </row>
    <row r="2541" spans="20:20" ht="26.25">
      <c r="T2541" s="62" ph="1"/>
    </row>
    <row r="2542" spans="20:20" ht="26.25">
      <c r="T2542" s="62" ph="1"/>
    </row>
    <row r="2543" spans="20:20" ht="26.25">
      <c r="T2543" s="62" ph="1"/>
    </row>
    <row r="2544" spans="20:20" ht="26.25">
      <c r="T2544" s="62" ph="1"/>
    </row>
    <row r="2545" spans="20:20" ht="26.25">
      <c r="T2545" s="62" ph="1"/>
    </row>
    <row r="2546" spans="20:20" ht="26.25">
      <c r="T2546" s="62" ph="1"/>
    </row>
    <row r="2547" spans="20:20" ht="26.25">
      <c r="T2547" s="62" ph="1"/>
    </row>
    <row r="2548" spans="20:20" ht="26.25">
      <c r="T2548" s="62" ph="1"/>
    </row>
    <row r="2549" spans="20:20" ht="26.25">
      <c r="T2549" s="62" ph="1"/>
    </row>
    <row r="2550" spans="20:20" ht="26.25">
      <c r="T2550" s="62" ph="1"/>
    </row>
    <row r="2551" spans="20:20" ht="26.25">
      <c r="T2551" s="62" ph="1"/>
    </row>
    <row r="2552" spans="20:20" ht="26.25">
      <c r="T2552" s="62" ph="1"/>
    </row>
    <row r="2553" spans="20:20" ht="26.25">
      <c r="T2553" s="62" ph="1"/>
    </row>
    <row r="2554" spans="20:20" ht="26.25">
      <c r="T2554" s="62" ph="1"/>
    </row>
    <row r="2555" spans="20:20" ht="26.25">
      <c r="T2555" s="62" ph="1"/>
    </row>
    <row r="2556" spans="20:20" ht="26.25">
      <c r="T2556" s="62" ph="1"/>
    </row>
    <row r="2557" spans="20:20" ht="26.25">
      <c r="T2557" s="62" ph="1"/>
    </row>
    <row r="2558" spans="20:20" ht="26.25">
      <c r="T2558" s="62" ph="1"/>
    </row>
    <row r="2559" spans="20:20" ht="26.25">
      <c r="T2559" s="62" ph="1"/>
    </row>
    <row r="2560" spans="20:20" ht="26.25">
      <c r="T2560" s="62" ph="1"/>
    </row>
    <row r="2561" spans="20:20" ht="26.25">
      <c r="T2561" s="62" ph="1"/>
    </row>
    <row r="2562" spans="20:20" ht="26.25">
      <c r="T2562" s="62" ph="1"/>
    </row>
    <row r="2563" spans="20:20" ht="26.25">
      <c r="T2563" s="62" ph="1"/>
    </row>
    <row r="2564" spans="20:20" ht="26.25">
      <c r="T2564" s="62" ph="1"/>
    </row>
    <row r="2565" spans="20:20" ht="26.25">
      <c r="T2565" s="62" ph="1"/>
    </row>
    <row r="2566" spans="20:20" ht="26.25">
      <c r="T2566" s="62" ph="1"/>
    </row>
    <row r="2567" spans="20:20" ht="26.25">
      <c r="T2567" s="62" ph="1"/>
    </row>
    <row r="2568" spans="20:20" ht="26.25">
      <c r="T2568" s="62" ph="1"/>
    </row>
    <row r="2569" spans="20:20" ht="26.25">
      <c r="T2569" s="62" ph="1"/>
    </row>
    <row r="2570" spans="20:20" ht="26.25">
      <c r="T2570" s="62" ph="1"/>
    </row>
    <row r="2571" spans="20:20" ht="26.25">
      <c r="T2571" s="62" ph="1"/>
    </row>
    <row r="2572" spans="20:20" ht="26.25">
      <c r="T2572" s="62" ph="1"/>
    </row>
    <row r="2573" spans="20:20" ht="26.25">
      <c r="T2573" s="62" ph="1"/>
    </row>
    <row r="2574" spans="20:20" ht="26.25">
      <c r="T2574" s="62" ph="1"/>
    </row>
    <row r="2575" spans="20:20" ht="26.25">
      <c r="T2575" s="62" ph="1"/>
    </row>
    <row r="2576" spans="20:20" ht="26.25">
      <c r="T2576" s="62" ph="1"/>
    </row>
    <row r="2577" spans="20:20" ht="26.25">
      <c r="T2577" s="62" ph="1"/>
    </row>
    <row r="2578" spans="20:20" ht="26.25">
      <c r="T2578" s="62" ph="1"/>
    </row>
    <row r="2579" spans="20:20" ht="26.25">
      <c r="T2579" s="62" ph="1"/>
    </row>
    <row r="2580" spans="20:20" ht="26.25">
      <c r="T2580" s="62" ph="1"/>
    </row>
    <row r="2581" spans="20:20" ht="26.25">
      <c r="T2581" s="62" ph="1"/>
    </row>
    <row r="2582" spans="20:20" ht="26.25">
      <c r="T2582" s="62" ph="1"/>
    </row>
    <row r="2583" spans="20:20" ht="26.25">
      <c r="T2583" s="62" ph="1"/>
    </row>
    <row r="2584" spans="20:20" ht="26.25">
      <c r="T2584" s="62" ph="1"/>
    </row>
    <row r="2585" spans="20:20" ht="26.25">
      <c r="T2585" s="62" ph="1"/>
    </row>
    <row r="2586" spans="20:20" ht="26.25">
      <c r="T2586" s="62" ph="1"/>
    </row>
    <row r="2587" spans="20:20" ht="26.25">
      <c r="T2587" s="62" ph="1"/>
    </row>
    <row r="2588" spans="20:20" ht="26.25">
      <c r="T2588" s="62" ph="1"/>
    </row>
    <row r="2589" spans="20:20" ht="26.25">
      <c r="T2589" s="62" ph="1"/>
    </row>
    <row r="2590" spans="20:20" ht="26.25">
      <c r="T2590" s="62" ph="1"/>
    </row>
    <row r="2591" spans="20:20" ht="26.25">
      <c r="T2591" s="62" ph="1"/>
    </row>
    <row r="2592" spans="20:20" ht="26.25">
      <c r="T2592" s="62" ph="1"/>
    </row>
    <row r="2593" spans="20:20" ht="26.25">
      <c r="T2593" s="62" ph="1"/>
    </row>
    <row r="2594" spans="20:20" ht="26.25">
      <c r="T2594" s="62" ph="1"/>
    </row>
    <row r="2595" spans="20:20" ht="26.25">
      <c r="T2595" s="62" ph="1"/>
    </row>
    <row r="2596" spans="20:20" ht="26.25">
      <c r="T2596" s="62" ph="1"/>
    </row>
    <row r="2597" spans="20:20" ht="26.25">
      <c r="T2597" s="62" ph="1"/>
    </row>
    <row r="2598" spans="20:20" ht="26.25">
      <c r="T2598" s="62" ph="1"/>
    </row>
    <row r="2599" spans="20:20" ht="26.25">
      <c r="T2599" s="62" ph="1"/>
    </row>
    <row r="2600" spans="20:20" ht="26.25">
      <c r="T2600" s="62" ph="1"/>
    </row>
    <row r="2601" spans="20:20" ht="26.25">
      <c r="T2601" s="62" ph="1"/>
    </row>
    <row r="2602" spans="20:20" ht="26.25">
      <c r="T2602" s="62" ph="1"/>
    </row>
    <row r="2603" spans="20:20" ht="26.25">
      <c r="T2603" s="62" ph="1"/>
    </row>
    <row r="2604" spans="20:20" ht="26.25">
      <c r="T2604" s="62" ph="1"/>
    </row>
    <row r="2605" spans="20:20" ht="26.25">
      <c r="T2605" s="62" ph="1"/>
    </row>
    <row r="2606" spans="20:20" ht="26.25">
      <c r="T2606" s="62" ph="1"/>
    </row>
    <row r="2607" spans="20:20" ht="26.25">
      <c r="T2607" s="62" ph="1"/>
    </row>
    <row r="2608" spans="20:20" ht="26.25">
      <c r="T2608" s="62" ph="1"/>
    </row>
    <row r="2609" spans="20:20" ht="26.25">
      <c r="T2609" s="62" ph="1"/>
    </row>
    <row r="2610" spans="20:20" ht="26.25">
      <c r="T2610" s="62" ph="1"/>
    </row>
    <row r="2611" spans="20:20" ht="26.25">
      <c r="T2611" s="62" ph="1"/>
    </row>
    <row r="2612" spans="20:20" ht="26.25">
      <c r="T2612" s="62" ph="1"/>
    </row>
    <row r="2613" spans="20:20" ht="26.25">
      <c r="T2613" s="62" ph="1"/>
    </row>
    <row r="2614" spans="20:20" ht="26.25">
      <c r="T2614" s="62" ph="1"/>
    </row>
    <row r="2615" spans="20:20" ht="26.25">
      <c r="T2615" s="62" ph="1"/>
    </row>
    <row r="2616" spans="20:20" ht="26.25">
      <c r="T2616" s="62" ph="1"/>
    </row>
    <row r="2617" spans="20:20" ht="26.25">
      <c r="T2617" s="62" ph="1"/>
    </row>
    <row r="2618" spans="20:20" ht="26.25">
      <c r="T2618" s="62" ph="1"/>
    </row>
    <row r="2619" spans="20:20" ht="26.25">
      <c r="T2619" s="62" ph="1"/>
    </row>
    <row r="2620" spans="20:20" ht="26.25">
      <c r="T2620" s="62" ph="1"/>
    </row>
    <row r="2621" spans="20:20" ht="26.25">
      <c r="T2621" s="62" ph="1"/>
    </row>
    <row r="2622" spans="20:20" ht="26.25">
      <c r="T2622" s="62" ph="1"/>
    </row>
    <row r="2623" spans="20:20" ht="26.25">
      <c r="T2623" s="62" ph="1"/>
    </row>
    <row r="2624" spans="20:20" ht="26.25">
      <c r="T2624" s="62" ph="1"/>
    </row>
    <row r="2625" spans="20:20" ht="26.25">
      <c r="T2625" s="62" ph="1"/>
    </row>
    <row r="2626" spans="20:20" ht="26.25">
      <c r="T2626" s="62" ph="1"/>
    </row>
    <row r="2627" spans="20:20" ht="26.25">
      <c r="T2627" s="62" ph="1"/>
    </row>
    <row r="2628" spans="20:20" ht="26.25">
      <c r="T2628" s="62" ph="1"/>
    </row>
    <row r="2629" spans="20:20" ht="26.25">
      <c r="T2629" s="62" ph="1"/>
    </row>
    <row r="2630" spans="20:20" ht="26.25">
      <c r="T2630" s="62" ph="1"/>
    </row>
    <row r="2631" spans="20:20" ht="26.25">
      <c r="T2631" s="62" ph="1"/>
    </row>
    <row r="2632" spans="20:20" ht="26.25">
      <c r="T2632" s="62" ph="1"/>
    </row>
    <row r="2633" spans="20:20" ht="26.25">
      <c r="T2633" s="62" ph="1"/>
    </row>
    <row r="2634" spans="20:20" ht="26.25">
      <c r="T2634" s="62" ph="1"/>
    </row>
    <row r="2635" spans="20:20" ht="26.25">
      <c r="T2635" s="62" ph="1"/>
    </row>
    <row r="2636" spans="20:20" ht="26.25">
      <c r="T2636" s="62" ph="1"/>
    </row>
    <row r="2637" spans="20:20" ht="26.25">
      <c r="T2637" s="62" ph="1"/>
    </row>
    <row r="2638" spans="20:20" ht="26.25">
      <c r="T2638" s="62" ph="1"/>
    </row>
    <row r="2639" spans="20:20" ht="26.25">
      <c r="T2639" s="62" ph="1"/>
    </row>
    <row r="2640" spans="20:20" ht="26.25">
      <c r="T2640" s="62" ph="1"/>
    </row>
    <row r="2641" spans="20:20" ht="26.25">
      <c r="T2641" s="62" ph="1"/>
    </row>
    <row r="2642" spans="20:20" ht="26.25">
      <c r="T2642" s="62" ph="1"/>
    </row>
    <row r="2643" spans="20:20" ht="26.25">
      <c r="T2643" s="62" ph="1"/>
    </row>
    <row r="2644" spans="20:20" ht="26.25">
      <c r="T2644" s="62" ph="1"/>
    </row>
    <row r="2645" spans="20:20" ht="26.25">
      <c r="T2645" s="62" ph="1"/>
    </row>
    <row r="2646" spans="20:20" ht="26.25">
      <c r="T2646" s="62" ph="1"/>
    </row>
    <row r="2647" spans="20:20" ht="26.25">
      <c r="T2647" s="62" ph="1"/>
    </row>
    <row r="2648" spans="20:20" ht="26.25">
      <c r="T2648" s="62" ph="1"/>
    </row>
    <row r="2649" spans="20:20" ht="26.25">
      <c r="T2649" s="62" ph="1"/>
    </row>
    <row r="2650" spans="20:20" ht="26.25">
      <c r="T2650" s="62" ph="1"/>
    </row>
    <row r="2651" spans="20:20" ht="26.25">
      <c r="T2651" s="62" ph="1"/>
    </row>
    <row r="2652" spans="20:20" ht="26.25">
      <c r="T2652" s="62" ph="1"/>
    </row>
    <row r="2653" spans="20:20" ht="26.25">
      <c r="T2653" s="62" ph="1"/>
    </row>
    <row r="2654" spans="20:20" ht="26.25">
      <c r="T2654" s="62" ph="1"/>
    </row>
    <row r="2655" spans="20:20" ht="26.25">
      <c r="T2655" s="62" ph="1"/>
    </row>
    <row r="2656" spans="20:20" ht="26.25">
      <c r="T2656" s="62" ph="1"/>
    </row>
    <row r="2657" spans="20:20" ht="26.25">
      <c r="T2657" s="62" ph="1"/>
    </row>
    <row r="2658" spans="20:20" ht="26.25">
      <c r="T2658" s="62" ph="1"/>
    </row>
    <row r="2659" spans="20:20" ht="26.25">
      <c r="T2659" s="62" ph="1"/>
    </row>
    <row r="2660" spans="20:20" ht="26.25">
      <c r="T2660" s="62" ph="1"/>
    </row>
    <row r="2661" spans="20:20" ht="26.25">
      <c r="T2661" s="62" ph="1"/>
    </row>
    <row r="2662" spans="20:20" ht="26.25">
      <c r="T2662" s="62" ph="1"/>
    </row>
    <row r="2663" spans="20:20" ht="26.25">
      <c r="T2663" s="62" ph="1"/>
    </row>
    <row r="2664" spans="20:20" ht="26.25">
      <c r="T2664" s="62" ph="1"/>
    </row>
    <row r="2665" spans="20:20" ht="26.25">
      <c r="T2665" s="62" ph="1"/>
    </row>
    <row r="2666" spans="20:20" ht="26.25">
      <c r="T2666" s="62" ph="1"/>
    </row>
    <row r="2667" spans="20:20" ht="26.25">
      <c r="T2667" s="62" ph="1"/>
    </row>
    <row r="2668" spans="20:20" ht="26.25">
      <c r="T2668" s="62" ph="1"/>
    </row>
    <row r="2669" spans="20:20" ht="26.25">
      <c r="T2669" s="62" ph="1"/>
    </row>
    <row r="2670" spans="20:20" ht="26.25">
      <c r="T2670" s="62" ph="1"/>
    </row>
    <row r="2671" spans="20:20" ht="26.25">
      <c r="T2671" s="62" ph="1"/>
    </row>
    <row r="2672" spans="20:20" ht="26.25">
      <c r="T2672" s="62" ph="1"/>
    </row>
    <row r="2673" spans="20:20" ht="26.25">
      <c r="T2673" s="62" ph="1"/>
    </row>
    <row r="2674" spans="20:20" ht="26.25">
      <c r="T2674" s="62" ph="1"/>
    </row>
    <row r="2675" spans="20:20" ht="26.25">
      <c r="T2675" s="62" ph="1"/>
    </row>
    <row r="2676" spans="20:20" ht="26.25">
      <c r="T2676" s="62" ph="1"/>
    </row>
    <row r="2677" spans="20:20" ht="26.25">
      <c r="T2677" s="62" ph="1"/>
    </row>
    <row r="2678" spans="20:20" ht="26.25">
      <c r="T2678" s="62" ph="1"/>
    </row>
    <row r="2679" spans="20:20" ht="26.25">
      <c r="T2679" s="62" ph="1"/>
    </row>
    <row r="2680" spans="20:20" ht="26.25">
      <c r="T2680" s="62" ph="1"/>
    </row>
    <row r="2681" spans="20:20" ht="26.25">
      <c r="T2681" s="62" ph="1"/>
    </row>
    <row r="2682" spans="20:20" ht="26.25">
      <c r="T2682" s="62" ph="1"/>
    </row>
    <row r="2683" spans="20:20" ht="26.25">
      <c r="T2683" s="62" ph="1"/>
    </row>
    <row r="2684" spans="20:20" ht="26.25">
      <c r="T2684" s="62" ph="1"/>
    </row>
    <row r="2685" spans="20:20" ht="26.25">
      <c r="T2685" s="62" ph="1"/>
    </row>
    <row r="2686" spans="20:20" ht="26.25">
      <c r="T2686" s="62" ph="1"/>
    </row>
    <row r="2687" spans="20:20" ht="26.25">
      <c r="T2687" s="62" ph="1"/>
    </row>
    <row r="2688" spans="20:20" ht="26.25">
      <c r="T2688" s="62" ph="1"/>
    </row>
    <row r="2689" spans="20:20" ht="26.25">
      <c r="T2689" s="62" ph="1"/>
    </row>
    <row r="2690" spans="20:20" ht="26.25">
      <c r="T2690" s="62" ph="1"/>
    </row>
    <row r="2691" spans="20:20" ht="26.25">
      <c r="T2691" s="62" ph="1"/>
    </row>
    <row r="2692" spans="20:20" ht="26.25">
      <c r="T2692" s="62" ph="1"/>
    </row>
    <row r="2693" spans="20:20" ht="26.25">
      <c r="T2693" s="62" ph="1"/>
    </row>
    <row r="2694" spans="20:20" ht="26.25">
      <c r="T2694" s="62" ph="1"/>
    </row>
    <row r="2695" spans="20:20" ht="26.25">
      <c r="T2695" s="62" ph="1"/>
    </row>
    <row r="2696" spans="20:20" ht="26.25">
      <c r="T2696" s="62" ph="1"/>
    </row>
    <row r="2697" spans="20:20" ht="26.25">
      <c r="T2697" s="62" ph="1"/>
    </row>
    <row r="2698" spans="20:20" ht="26.25">
      <c r="T2698" s="62" ph="1"/>
    </row>
    <row r="2699" spans="20:20" ht="26.25">
      <c r="T2699" s="62" ph="1"/>
    </row>
    <row r="2700" spans="20:20" ht="26.25">
      <c r="T2700" s="62" ph="1"/>
    </row>
    <row r="2701" spans="20:20" ht="26.25">
      <c r="T2701" s="62" ph="1"/>
    </row>
    <row r="2702" spans="20:20" ht="26.25">
      <c r="T2702" s="62" ph="1"/>
    </row>
    <row r="2703" spans="20:20" ht="26.25">
      <c r="T2703" s="62" ph="1"/>
    </row>
    <row r="2704" spans="20:20" ht="26.25">
      <c r="T2704" s="62" ph="1"/>
    </row>
    <row r="2705" spans="20:20" ht="26.25">
      <c r="T2705" s="62" ph="1"/>
    </row>
    <row r="2706" spans="20:20" ht="26.25">
      <c r="T2706" s="62" ph="1"/>
    </row>
    <row r="2707" spans="20:20" ht="26.25">
      <c r="T2707" s="62" ph="1"/>
    </row>
    <row r="2708" spans="20:20" ht="26.25">
      <c r="T2708" s="62" ph="1"/>
    </row>
    <row r="2709" spans="20:20" ht="26.25">
      <c r="T2709" s="62" ph="1"/>
    </row>
    <row r="2710" spans="20:20" ht="26.25">
      <c r="T2710" s="62" ph="1"/>
    </row>
    <row r="2711" spans="20:20" ht="26.25">
      <c r="T2711" s="62" ph="1"/>
    </row>
    <row r="2712" spans="20:20" ht="26.25">
      <c r="T2712" s="62" ph="1"/>
    </row>
    <row r="2713" spans="20:20" ht="26.25">
      <c r="T2713" s="62" ph="1"/>
    </row>
    <row r="2714" spans="20:20" ht="26.25">
      <c r="T2714" s="62" ph="1"/>
    </row>
    <row r="2715" spans="20:20" ht="26.25">
      <c r="T2715" s="62" ph="1"/>
    </row>
    <row r="2716" spans="20:20" ht="26.25">
      <c r="T2716" s="62" ph="1"/>
    </row>
    <row r="2717" spans="20:20" ht="26.25">
      <c r="T2717" s="62" ph="1"/>
    </row>
    <row r="2718" spans="20:20" ht="26.25">
      <c r="T2718" s="62" ph="1"/>
    </row>
    <row r="2719" spans="20:20" ht="26.25">
      <c r="T2719" s="62" ph="1"/>
    </row>
    <row r="2720" spans="20:20" ht="26.25">
      <c r="T2720" s="62" ph="1"/>
    </row>
    <row r="2721" spans="20:20" ht="26.25">
      <c r="T2721" s="62" ph="1"/>
    </row>
    <row r="2722" spans="20:20" ht="26.25">
      <c r="T2722" s="62" ph="1"/>
    </row>
    <row r="2723" spans="20:20" ht="26.25">
      <c r="T2723" s="62" ph="1"/>
    </row>
    <row r="2724" spans="20:20" ht="26.25">
      <c r="T2724" s="62" ph="1"/>
    </row>
    <row r="2725" spans="20:20" ht="26.25">
      <c r="T2725" s="62" ph="1"/>
    </row>
    <row r="2726" spans="20:20" ht="26.25">
      <c r="T2726" s="62" ph="1"/>
    </row>
    <row r="2727" spans="20:20" ht="26.25">
      <c r="T2727" s="62" ph="1"/>
    </row>
    <row r="2728" spans="20:20" ht="26.25">
      <c r="T2728" s="62" ph="1"/>
    </row>
    <row r="2729" spans="20:20" ht="26.25">
      <c r="T2729" s="62" ph="1"/>
    </row>
    <row r="2730" spans="20:20" ht="26.25">
      <c r="T2730" s="62" ph="1"/>
    </row>
    <row r="2731" spans="20:20" ht="26.25">
      <c r="T2731" s="62" ph="1"/>
    </row>
    <row r="2732" spans="20:20" ht="26.25">
      <c r="T2732" s="62" ph="1"/>
    </row>
    <row r="2733" spans="20:20" ht="26.25">
      <c r="T2733" s="62" ph="1"/>
    </row>
    <row r="2734" spans="20:20" ht="26.25">
      <c r="T2734" s="62" ph="1"/>
    </row>
    <row r="2735" spans="20:20" ht="26.25">
      <c r="T2735" s="62" ph="1"/>
    </row>
    <row r="2736" spans="20:20" ht="26.25">
      <c r="T2736" s="62" ph="1"/>
    </row>
    <row r="2737" spans="20:20" ht="26.25">
      <c r="T2737" s="62" ph="1"/>
    </row>
    <row r="2738" spans="20:20" ht="26.25">
      <c r="T2738" s="62" ph="1"/>
    </row>
    <row r="2739" spans="20:20" ht="26.25">
      <c r="T2739" s="62" ph="1"/>
    </row>
    <row r="2740" spans="20:20" ht="26.25">
      <c r="T2740" s="62" ph="1"/>
    </row>
    <row r="2741" spans="20:20" ht="26.25">
      <c r="T2741" s="62" ph="1"/>
    </row>
    <row r="2742" spans="20:20" ht="26.25">
      <c r="T2742" s="62" ph="1"/>
    </row>
    <row r="2743" spans="20:20" ht="26.25">
      <c r="T2743" s="62" ph="1"/>
    </row>
    <row r="2744" spans="20:20" ht="26.25">
      <c r="T2744" s="62" ph="1"/>
    </row>
    <row r="2745" spans="20:20" ht="26.25">
      <c r="T2745" s="62" ph="1"/>
    </row>
    <row r="2746" spans="20:20" ht="26.25">
      <c r="T2746" s="62" ph="1"/>
    </row>
    <row r="2747" spans="20:20" ht="26.25">
      <c r="T2747" s="62" ph="1"/>
    </row>
    <row r="2748" spans="20:20" ht="26.25">
      <c r="T2748" s="62" ph="1"/>
    </row>
    <row r="2749" spans="20:20" ht="26.25">
      <c r="T2749" s="62" ph="1"/>
    </row>
    <row r="2750" spans="20:20" ht="26.25">
      <c r="T2750" s="62" ph="1"/>
    </row>
    <row r="2751" spans="20:20" ht="26.25">
      <c r="T2751" s="62" ph="1"/>
    </row>
    <row r="2752" spans="20:20" ht="26.25">
      <c r="T2752" s="62" ph="1"/>
    </row>
    <row r="2753" spans="20:20" ht="26.25">
      <c r="T2753" s="62" ph="1"/>
    </row>
    <row r="2754" spans="20:20" ht="26.25">
      <c r="T2754" s="62" ph="1"/>
    </row>
    <row r="2755" spans="20:20" ht="26.25">
      <c r="T2755" s="62" ph="1"/>
    </row>
    <row r="2756" spans="20:20" ht="26.25">
      <c r="T2756" s="62" ph="1"/>
    </row>
    <row r="2757" spans="20:20" ht="26.25">
      <c r="T2757" s="62" ph="1"/>
    </row>
    <row r="2758" spans="20:20" ht="26.25">
      <c r="T2758" s="62" ph="1"/>
    </row>
    <row r="2759" spans="20:20" ht="26.25">
      <c r="T2759" s="62" ph="1"/>
    </row>
    <row r="2760" spans="20:20" ht="26.25">
      <c r="T2760" s="62" ph="1"/>
    </row>
    <row r="2761" spans="20:20" ht="26.25">
      <c r="T2761" s="62" ph="1"/>
    </row>
    <row r="2762" spans="20:20" ht="26.25">
      <c r="T2762" s="62" ph="1"/>
    </row>
    <row r="2763" spans="20:20" ht="26.25">
      <c r="T2763" s="62" ph="1"/>
    </row>
    <row r="2764" spans="20:20" ht="26.25">
      <c r="T2764" s="62" ph="1"/>
    </row>
    <row r="2765" spans="20:20" ht="26.25">
      <c r="T2765" s="62" ph="1"/>
    </row>
    <row r="2766" spans="20:20" ht="26.25">
      <c r="T2766" s="62" ph="1"/>
    </row>
    <row r="2767" spans="20:20" ht="26.25">
      <c r="T2767" s="62" ph="1"/>
    </row>
    <row r="2768" spans="20:20" ht="26.25">
      <c r="T2768" s="62" ph="1"/>
    </row>
    <row r="2769" spans="20:20" ht="26.25">
      <c r="T2769" s="62" ph="1"/>
    </row>
    <row r="2770" spans="20:20" ht="26.25">
      <c r="T2770" s="62" ph="1"/>
    </row>
    <row r="2771" spans="20:20" ht="26.25">
      <c r="T2771" s="62" ph="1"/>
    </row>
    <row r="2772" spans="20:20" ht="26.25">
      <c r="T2772" s="62" ph="1"/>
    </row>
    <row r="2773" spans="20:20" ht="26.25">
      <c r="T2773" s="62" ph="1"/>
    </row>
    <row r="2774" spans="20:20" ht="26.25">
      <c r="T2774" s="62" ph="1"/>
    </row>
    <row r="2775" spans="20:20" ht="26.25">
      <c r="T2775" s="62" ph="1"/>
    </row>
    <row r="2776" spans="20:20" ht="26.25">
      <c r="T2776" s="62" ph="1"/>
    </row>
    <row r="2777" spans="20:20" ht="26.25">
      <c r="T2777" s="62" ph="1"/>
    </row>
    <row r="2778" spans="20:20" ht="26.25">
      <c r="T2778" s="62" ph="1"/>
    </row>
    <row r="2779" spans="20:20" ht="26.25">
      <c r="T2779" s="62" ph="1"/>
    </row>
    <row r="2780" spans="20:20" ht="26.25">
      <c r="T2780" s="62" ph="1"/>
    </row>
    <row r="2781" spans="20:20" ht="26.25">
      <c r="T2781" s="62" ph="1"/>
    </row>
    <row r="2782" spans="20:20" ht="26.25">
      <c r="T2782" s="62" ph="1"/>
    </row>
    <row r="2783" spans="20:20" ht="26.25">
      <c r="T2783" s="62" ph="1"/>
    </row>
    <row r="2784" spans="20:20" ht="26.25">
      <c r="T2784" s="62" ph="1"/>
    </row>
    <row r="2785" spans="20:20" ht="26.25">
      <c r="T2785" s="62" ph="1"/>
    </row>
    <row r="2786" spans="20:20" ht="26.25">
      <c r="T2786" s="62" ph="1"/>
    </row>
    <row r="2787" spans="20:20" ht="26.25">
      <c r="T2787" s="62" ph="1"/>
    </row>
    <row r="2788" spans="20:20" ht="26.25">
      <c r="T2788" s="62" ph="1"/>
    </row>
    <row r="2789" spans="20:20" ht="26.25">
      <c r="T2789" s="62" ph="1"/>
    </row>
    <row r="2790" spans="20:20" ht="26.25">
      <c r="T2790" s="62" ph="1"/>
    </row>
    <row r="2791" spans="20:20" ht="26.25">
      <c r="T2791" s="62" ph="1"/>
    </row>
    <row r="2792" spans="20:20" ht="26.25">
      <c r="T2792" s="62" ph="1"/>
    </row>
    <row r="2793" spans="20:20" ht="26.25">
      <c r="T2793" s="62" ph="1"/>
    </row>
    <row r="2794" spans="20:20" ht="26.25">
      <c r="T2794" s="62" ph="1"/>
    </row>
    <row r="2795" spans="20:20" ht="26.25">
      <c r="T2795" s="62" ph="1"/>
    </row>
    <row r="2796" spans="20:20" ht="26.25">
      <c r="T2796" s="62" ph="1"/>
    </row>
    <row r="2797" spans="20:20" ht="26.25">
      <c r="T2797" s="62" ph="1"/>
    </row>
    <row r="2798" spans="20:20" ht="26.25">
      <c r="T2798" s="62" ph="1"/>
    </row>
    <row r="2799" spans="20:20" ht="26.25">
      <c r="T2799" s="62" ph="1"/>
    </row>
    <row r="2800" spans="20:20" ht="26.25">
      <c r="T2800" s="62" ph="1"/>
    </row>
    <row r="2801" spans="20:20" ht="26.25">
      <c r="T2801" s="62" ph="1"/>
    </row>
    <row r="2802" spans="20:20" ht="26.25">
      <c r="T2802" s="62" ph="1"/>
    </row>
    <row r="2803" spans="20:20" ht="26.25">
      <c r="T2803" s="62" ph="1"/>
    </row>
    <row r="2804" spans="20:20" ht="26.25">
      <c r="T2804" s="62" ph="1"/>
    </row>
    <row r="2805" spans="20:20" ht="26.25">
      <c r="T2805" s="62" ph="1"/>
    </row>
    <row r="2806" spans="20:20" ht="26.25">
      <c r="T2806" s="62" ph="1"/>
    </row>
    <row r="2807" spans="20:20" ht="26.25">
      <c r="T2807" s="62" ph="1"/>
    </row>
    <row r="2808" spans="20:20" ht="26.25">
      <c r="T2808" s="62" ph="1"/>
    </row>
    <row r="2809" spans="20:20" ht="26.25">
      <c r="T2809" s="62" ph="1"/>
    </row>
    <row r="2810" spans="20:20" ht="26.25">
      <c r="T2810" s="62" ph="1"/>
    </row>
    <row r="2811" spans="20:20" ht="26.25">
      <c r="T2811" s="62" ph="1"/>
    </row>
    <row r="2812" spans="20:20" ht="26.25">
      <c r="T2812" s="62" ph="1"/>
    </row>
    <row r="2813" spans="20:20" ht="26.25">
      <c r="T2813" s="62" ph="1"/>
    </row>
    <row r="2814" spans="20:20" ht="26.25">
      <c r="T2814" s="62" ph="1"/>
    </row>
    <row r="2815" spans="20:20" ht="26.25">
      <c r="T2815" s="62" ph="1"/>
    </row>
    <row r="2816" spans="20:20" ht="26.25">
      <c r="T2816" s="62" ph="1"/>
    </row>
    <row r="2817" spans="20:20" ht="26.25">
      <c r="T2817" s="62" ph="1"/>
    </row>
    <row r="2818" spans="20:20" ht="26.25">
      <c r="T2818" s="62" ph="1"/>
    </row>
    <row r="2819" spans="20:20" ht="26.25">
      <c r="T2819" s="62" ph="1"/>
    </row>
    <row r="2820" spans="20:20" ht="26.25">
      <c r="T2820" s="62" ph="1"/>
    </row>
    <row r="2821" spans="20:20" ht="26.25">
      <c r="T2821" s="62" ph="1"/>
    </row>
    <row r="2822" spans="20:20" ht="26.25">
      <c r="T2822" s="62" ph="1"/>
    </row>
    <row r="2823" spans="20:20" ht="26.25">
      <c r="T2823" s="62" ph="1"/>
    </row>
    <row r="2824" spans="20:20" ht="26.25">
      <c r="T2824" s="62" ph="1"/>
    </row>
    <row r="2825" spans="20:20" ht="26.25">
      <c r="T2825" s="62" ph="1"/>
    </row>
    <row r="2826" spans="20:20" ht="26.25">
      <c r="T2826" s="62" ph="1"/>
    </row>
    <row r="2827" spans="20:20" ht="26.25">
      <c r="T2827" s="62" ph="1"/>
    </row>
    <row r="2828" spans="20:20" ht="26.25">
      <c r="T2828" s="62" ph="1"/>
    </row>
    <row r="2829" spans="20:20" ht="26.25">
      <c r="T2829" s="62" ph="1"/>
    </row>
    <row r="2830" spans="20:20" ht="26.25">
      <c r="T2830" s="62" ph="1"/>
    </row>
    <row r="2831" spans="20:20" ht="26.25">
      <c r="T2831" s="62" ph="1"/>
    </row>
    <row r="2832" spans="20:20" ht="26.25">
      <c r="T2832" s="62" ph="1"/>
    </row>
    <row r="2833" spans="20:20" ht="26.25">
      <c r="T2833" s="62" ph="1"/>
    </row>
    <row r="2834" spans="20:20" ht="26.25">
      <c r="T2834" s="62" ph="1"/>
    </row>
    <row r="2835" spans="20:20" ht="26.25">
      <c r="T2835" s="62" ph="1"/>
    </row>
    <row r="2836" spans="20:20" ht="26.25">
      <c r="T2836" s="62" ph="1"/>
    </row>
    <row r="2837" spans="20:20" ht="26.25">
      <c r="T2837" s="62" ph="1"/>
    </row>
    <row r="2838" spans="20:20" ht="26.25">
      <c r="T2838" s="62" ph="1"/>
    </row>
    <row r="2839" spans="20:20" ht="26.25">
      <c r="T2839" s="62" ph="1"/>
    </row>
    <row r="2840" spans="20:20" ht="26.25">
      <c r="T2840" s="62" ph="1"/>
    </row>
    <row r="2841" spans="20:20" ht="26.25">
      <c r="T2841" s="62" ph="1"/>
    </row>
    <row r="2842" spans="20:20" ht="26.25">
      <c r="T2842" s="62" ph="1"/>
    </row>
    <row r="2843" spans="20:20" ht="26.25">
      <c r="T2843" s="62" ph="1"/>
    </row>
    <row r="2844" spans="20:20" ht="26.25">
      <c r="T2844" s="62" ph="1"/>
    </row>
    <row r="2845" spans="20:20" ht="26.25">
      <c r="T2845" s="62" ph="1"/>
    </row>
    <row r="2846" spans="20:20" ht="26.25">
      <c r="T2846" s="62" ph="1"/>
    </row>
    <row r="2847" spans="20:20" ht="26.25">
      <c r="T2847" s="62" ph="1"/>
    </row>
    <row r="2848" spans="20:20" ht="26.25">
      <c r="T2848" s="62" ph="1"/>
    </row>
    <row r="2849" spans="20:20" ht="26.25">
      <c r="T2849" s="62" ph="1"/>
    </row>
    <row r="2850" spans="20:20" ht="26.25">
      <c r="T2850" s="62" ph="1"/>
    </row>
    <row r="2851" spans="20:20" ht="26.25">
      <c r="T2851" s="62" ph="1"/>
    </row>
    <row r="2852" spans="20:20" ht="26.25">
      <c r="T2852" s="62" ph="1"/>
    </row>
    <row r="2853" spans="20:20" ht="26.25">
      <c r="T2853" s="62" ph="1"/>
    </row>
    <row r="2854" spans="20:20" ht="26.25">
      <c r="T2854" s="62" ph="1"/>
    </row>
    <row r="2855" spans="20:20" ht="26.25">
      <c r="T2855" s="62" ph="1"/>
    </row>
    <row r="2856" spans="20:20" ht="26.25">
      <c r="T2856" s="62" ph="1"/>
    </row>
    <row r="2857" spans="20:20" ht="26.25">
      <c r="T2857" s="62" ph="1"/>
    </row>
    <row r="2858" spans="20:20" ht="26.25">
      <c r="T2858" s="62" ph="1"/>
    </row>
    <row r="2859" spans="20:20" ht="26.25">
      <c r="T2859" s="62" ph="1"/>
    </row>
    <row r="2860" spans="20:20" ht="26.25">
      <c r="T2860" s="62" ph="1"/>
    </row>
    <row r="2861" spans="20:20" ht="26.25">
      <c r="T2861" s="62" ph="1"/>
    </row>
    <row r="2862" spans="20:20" ht="26.25">
      <c r="T2862" s="62" ph="1"/>
    </row>
    <row r="2863" spans="20:20" ht="26.25">
      <c r="T2863" s="62" ph="1"/>
    </row>
    <row r="2864" spans="20:20" ht="26.25">
      <c r="T2864" s="62" ph="1"/>
    </row>
    <row r="2865" spans="20:20" ht="26.25">
      <c r="T2865" s="62" ph="1"/>
    </row>
    <row r="2866" spans="20:20" ht="26.25">
      <c r="T2866" s="62" ph="1"/>
    </row>
    <row r="2867" spans="20:20" ht="26.25">
      <c r="T2867" s="62" ph="1"/>
    </row>
    <row r="2868" spans="20:20" ht="26.25">
      <c r="T2868" s="62" ph="1"/>
    </row>
    <row r="2869" spans="20:20" ht="26.25">
      <c r="T2869" s="62" ph="1"/>
    </row>
    <row r="2870" spans="20:20" ht="26.25">
      <c r="T2870" s="62" ph="1"/>
    </row>
    <row r="2871" spans="20:20" ht="26.25">
      <c r="T2871" s="62" ph="1"/>
    </row>
    <row r="2872" spans="20:20" ht="26.25">
      <c r="T2872" s="62" ph="1"/>
    </row>
    <row r="2873" spans="20:20" ht="26.25">
      <c r="T2873" s="62" ph="1"/>
    </row>
    <row r="2874" spans="20:20" ht="26.25">
      <c r="T2874" s="62" ph="1"/>
    </row>
    <row r="2875" spans="20:20" ht="26.25">
      <c r="T2875" s="62" ph="1"/>
    </row>
    <row r="2876" spans="20:20" ht="26.25">
      <c r="T2876" s="62" ph="1"/>
    </row>
    <row r="2877" spans="20:20" ht="26.25">
      <c r="T2877" s="62" ph="1"/>
    </row>
    <row r="2878" spans="20:20" ht="26.25">
      <c r="T2878" s="62" ph="1"/>
    </row>
    <row r="2879" spans="20:20" ht="26.25">
      <c r="T2879" s="62" ph="1"/>
    </row>
    <row r="2880" spans="20:20" ht="26.25">
      <c r="T2880" s="62" ph="1"/>
    </row>
    <row r="2881" spans="20:20" ht="26.25">
      <c r="T2881" s="62" ph="1"/>
    </row>
    <row r="2882" spans="20:20" ht="26.25">
      <c r="T2882" s="62" ph="1"/>
    </row>
    <row r="2883" spans="20:20" ht="26.25">
      <c r="T2883" s="62" ph="1"/>
    </row>
    <row r="2884" spans="20:20" ht="26.25">
      <c r="T2884" s="62" ph="1"/>
    </row>
    <row r="2885" spans="20:20" ht="26.25">
      <c r="T2885" s="62" ph="1"/>
    </row>
    <row r="2886" spans="20:20" ht="26.25">
      <c r="T2886" s="62" ph="1"/>
    </row>
    <row r="2887" spans="20:20" ht="26.25">
      <c r="T2887" s="62" ph="1"/>
    </row>
    <row r="2888" spans="20:20" ht="26.25">
      <c r="T2888" s="62" ph="1"/>
    </row>
    <row r="2889" spans="20:20" ht="26.25">
      <c r="T2889" s="62" ph="1"/>
    </row>
    <row r="2890" spans="20:20" ht="26.25">
      <c r="T2890" s="62" ph="1"/>
    </row>
    <row r="2891" spans="20:20" ht="26.25">
      <c r="T2891" s="62" ph="1"/>
    </row>
    <row r="2892" spans="20:20" ht="26.25">
      <c r="T2892" s="62" ph="1"/>
    </row>
    <row r="2893" spans="20:20" ht="26.25">
      <c r="T2893" s="62" ph="1"/>
    </row>
    <row r="2894" spans="20:20" ht="26.25">
      <c r="T2894" s="62" ph="1"/>
    </row>
    <row r="2895" spans="20:20" ht="26.25">
      <c r="T2895" s="62" ph="1"/>
    </row>
    <row r="2896" spans="20:20" ht="26.25">
      <c r="T2896" s="62" ph="1"/>
    </row>
    <row r="2897" spans="20:20" ht="26.25">
      <c r="T2897" s="62" ph="1"/>
    </row>
    <row r="2898" spans="20:20" ht="26.25">
      <c r="T2898" s="62" ph="1"/>
    </row>
    <row r="2899" spans="20:20" ht="26.25">
      <c r="T2899" s="62" ph="1"/>
    </row>
    <row r="2900" spans="20:20" ht="26.25">
      <c r="T2900" s="62" ph="1"/>
    </row>
    <row r="2901" spans="20:20" ht="26.25">
      <c r="T2901" s="62" ph="1"/>
    </row>
    <row r="2902" spans="20:20" ht="26.25">
      <c r="T2902" s="62" ph="1"/>
    </row>
    <row r="2903" spans="20:20" ht="26.25">
      <c r="T2903" s="62" ph="1"/>
    </row>
    <row r="2904" spans="20:20" ht="26.25">
      <c r="T2904" s="62" ph="1"/>
    </row>
    <row r="2905" spans="20:20" ht="26.25">
      <c r="T2905" s="62" ph="1"/>
    </row>
    <row r="2906" spans="20:20" ht="26.25">
      <c r="T2906" s="62" ph="1"/>
    </row>
    <row r="2907" spans="20:20" ht="26.25">
      <c r="T2907" s="62" ph="1"/>
    </row>
    <row r="2908" spans="20:20" ht="26.25">
      <c r="T2908" s="62" ph="1"/>
    </row>
    <row r="2909" spans="20:20" ht="26.25">
      <c r="T2909" s="62" ph="1"/>
    </row>
    <row r="2910" spans="20:20" ht="26.25">
      <c r="T2910" s="62" ph="1"/>
    </row>
    <row r="2911" spans="20:20" ht="26.25">
      <c r="T2911" s="62" ph="1"/>
    </row>
    <row r="2912" spans="20:20" ht="26.25">
      <c r="T2912" s="62" ph="1"/>
    </row>
    <row r="2913" spans="20:20" ht="26.25">
      <c r="T2913" s="62" ph="1"/>
    </row>
    <row r="2914" spans="20:20" ht="26.25">
      <c r="T2914" s="62" ph="1"/>
    </row>
    <row r="2915" spans="20:20" ht="26.25">
      <c r="T2915" s="62" ph="1"/>
    </row>
    <row r="2916" spans="20:20" ht="26.25">
      <c r="T2916" s="62" ph="1"/>
    </row>
    <row r="2917" spans="20:20" ht="26.25">
      <c r="T2917" s="62" ph="1"/>
    </row>
    <row r="2918" spans="20:20" ht="26.25">
      <c r="T2918" s="62" ph="1"/>
    </row>
    <row r="2919" spans="20:20" ht="26.25">
      <c r="T2919" s="62" ph="1"/>
    </row>
    <row r="2920" spans="20:20" ht="26.25">
      <c r="T2920" s="62" ph="1"/>
    </row>
    <row r="2921" spans="20:20" ht="26.25">
      <c r="T2921" s="62" ph="1"/>
    </row>
    <row r="2922" spans="20:20" ht="26.25">
      <c r="T2922" s="62" ph="1"/>
    </row>
    <row r="2923" spans="20:20" ht="26.25">
      <c r="T2923" s="62" ph="1"/>
    </row>
    <row r="2924" spans="20:20" ht="26.25">
      <c r="T2924" s="62" ph="1"/>
    </row>
    <row r="2925" spans="20:20" ht="26.25">
      <c r="T2925" s="62" ph="1"/>
    </row>
    <row r="2926" spans="20:20" ht="26.25">
      <c r="T2926" s="62" ph="1"/>
    </row>
    <row r="2927" spans="20:20" ht="26.25">
      <c r="T2927" s="62" ph="1"/>
    </row>
    <row r="2928" spans="20:20" ht="26.25">
      <c r="T2928" s="62" ph="1"/>
    </row>
    <row r="2929" spans="20:20" ht="26.25">
      <c r="T2929" s="62" ph="1"/>
    </row>
    <row r="2930" spans="20:20" ht="26.25">
      <c r="T2930" s="62" ph="1"/>
    </row>
    <row r="2931" spans="20:20" ht="26.25">
      <c r="T2931" s="62" ph="1"/>
    </row>
    <row r="2932" spans="20:20" ht="26.25">
      <c r="T2932" s="62" ph="1"/>
    </row>
    <row r="2933" spans="20:20" ht="26.25">
      <c r="T2933" s="62" ph="1"/>
    </row>
    <row r="2934" spans="20:20" ht="26.25">
      <c r="T2934" s="62" ph="1"/>
    </row>
    <row r="2935" spans="20:20" ht="26.25">
      <c r="T2935" s="62" ph="1"/>
    </row>
    <row r="2936" spans="20:20" ht="26.25">
      <c r="T2936" s="62" ph="1"/>
    </row>
    <row r="2937" spans="20:20" ht="26.25">
      <c r="T2937" s="62" ph="1"/>
    </row>
    <row r="2938" spans="20:20" ht="26.25">
      <c r="T2938" s="62" ph="1"/>
    </row>
    <row r="2939" spans="20:20" ht="26.25">
      <c r="T2939" s="62" ph="1"/>
    </row>
    <row r="2940" spans="20:20" ht="26.25">
      <c r="T2940" s="62" ph="1"/>
    </row>
    <row r="2941" spans="20:20" ht="26.25">
      <c r="T2941" s="62" ph="1"/>
    </row>
    <row r="2942" spans="20:20" ht="26.25">
      <c r="T2942" s="62" ph="1"/>
    </row>
    <row r="2943" spans="20:20" ht="26.25">
      <c r="T2943" s="62" ph="1"/>
    </row>
    <row r="2944" spans="20:20" ht="26.25">
      <c r="T2944" s="62" ph="1"/>
    </row>
    <row r="2945" spans="20:20" ht="26.25">
      <c r="T2945" s="62" ph="1"/>
    </row>
    <row r="2946" spans="20:20" ht="26.25">
      <c r="T2946" s="62" ph="1"/>
    </row>
    <row r="2947" spans="20:20" ht="26.25">
      <c r="T2947" s="62" ph="1"/>
    </row>
    <row r="2948" spans="20:20" ht="26.25">
      <c r="T2948" s="62" ph="1"/>
    </row>
    <row r="2949" spans="20:20" ht="26.25">
      <c r="T2949" s="62" ph="1"/>
    </row>
    <row r="2950" spans="20:20" ht="26.25">
      <c r="T2950" s="62" ph="1"/>
    </row>
    <row r="2951" spans="20:20" ht="26.25">
      <c r="T2951" s="62" ph="1"/>
    </row>
    <row r="2952" spans="20:20" ht="26.25">
      <c r="T2952" s="62" ph="1"/>
    </row>
    <row r="2953" spans="20:20" ht="26.25">
      <c r="T2953" s="62" ph="1"/>
    </row>
    <row r="2954" spans="20:20" ht="26.25">
      <c r="T2954" s="62" ph="1"/>
    </row>
    <row r="2955" spans="20:20" ht="26.25">
      <c r="T2955" s="62" ph="1"/>
    </row>
    <row r="2956" spans="20:20" ht="26.25">
      <c r="T2956" s="62" ph="1"/>
    </row>
    <row r="2957" spans="20:20" ht="26.25">
      <c r="T2957" s="62" ph="1"/>
    </row>
    <row r="2958" spans="20:20" ht="26.25">
      <c r="T2958" s="62" ph="1"/>
    </row>
    <row r="2959" spans="20:20" ht="26.25">
      <c r="T2959" s="62" ph="1"/>
    </row>
    <row r="2960" spans="20:20" ht="26.25">
      <c r="T2960" s="62" ph="1"/>
    </row>
    <row r="2961" spans="20:20" ht="26.25">
      <c r="T2961" s="62" ph="1"/>
    </row>
    <row r="2962" spans="20:20" ht="26.25">
      <c r="T2962" s="62" ph="1"/>
    </row>
    <row r="2963" spans="20:20" ht="26.25">
      <c r="T2963" s="62" ph="1"/>
    </row>
    <row r="2964" spans="20:20" ht="26.25">
      <c r="T2964" s="62" ph="1"/>
    </row>
    <row r="2965" spans="20:20" ht="26.25">
      <c r="T2965" s="62" ph="1"/>
    </row>
    <row r="2966" spans="20:20" ht="26.25">
      <c r="T2966" s="62" ph="1"/>
    </row>
    <row r="2967" spans="20:20" ht="26.25">
      <c r="T2967" s="62" ph="1"/>
    </row>
    <row r="2968" spans="20:20" ht="26.25">
      <c r="T2968" s="62" ph="1"/>
    </row>
    <row r="2969" spans="20:20" ht="26.25">
      <c r="T2969" s="62" ph="1"/>
    </row>
    <row r="2970" spans="20:20" ht="26.25">
      <c r="T2970" s="62" ph="1"/>
    </row>
    <row r="2971" spans="20:20" ht="26.25">
      <c r="T2971" s="62" ph="1"/>
    </row>
    <row r="2972" spans="20:20" ht="26.25">
      <c r="T2972" s="62" ph="1"/>
    </row>
    <row r="2973" spans="20:20" ht="26.25">
      <c r="T2973" s="62" ph="1"/>
    </row>
    <row r="2974" spans="20:20" ht="26.25">
      <c r="T2974" s="62" ph="1"/>
    </row>
    <row r="2975" spans="20:20" ht="26.25">
      <c r="T2975" s="62" ph="1"/>
    </row>
    <row r="2976" spans="20:20" ht="26.25">
      <c r="T2976" s="62" ph="1"/>
    </row>
    <row r="2977" spans="20:20" ht="26.25">
      <c r="T2977" s="62" ph="1"/>
    </row>
    <row r="2978" spans="20:20" ht="26.25">
      <c r="T2978" s="62" ph="1"/>
    </row>
    <row r="2979" spans="20:20" ht="26.25">
      <c r="T2979" s="62" ph="1"/>
    </row>
    <row r="2980" spans="20:20" ht="26.25">
      <c r="T2980" s="62" ph="1"/>
    </row>
    <row r="2981" spans="20:20" ht="26.25">
      <c r="T2981" s="62" ph="1"/>
    </row>
    <row r="2982" spans="20:20" ht="26.25">
      <c r="T2982" s="62" ph="1"/>
    </row>
    <row r="2983" spans="20:20" ht="26.25">
      <c r="T2983" s="62" ph="1"/>
    </row>
    <row r="2984" spans="20:20" ht="26.25">
      <c r="T2984" s="62" ph="1"/>
    </row>
    <row r="2985" spans="20:20" ht="26.25">
      <c r="T2985" s="62" ph="1"/>
    </row>
    <row r="2986" spans="20:20" ht="26.25">
      <c r="T2986" s="62" ph="1"/>
    </row>
    <row r="2987" spans="20:20" ht="26.25">
      <c r="T2987" s="62" ph="1"/>
    </row>
    <row r="2988" spans="20:20" ht="26.25">
      <c r="T2988" s="62" ph="1"/>
    </row>
    <row r="2989" spans="20:20" ht="26.25">
      <c r="T2989" s="62" ph="1"/>
    </row>
    <row r="2990" spans="20:20" ht="26.25">
      <c r="T2990" s="62" ph="1"/>
    </row>
    <row r="2991" spans="20:20" ht="26.25">
      <c r="T2991" s="62" ph="1"/>
    </row>
    <row r="2992" spans="20:20" ht="26.25">
      <c r="T2992" s="62" ph="1"/>
    </row>
    <row r="2993" spans="20:20" ht="26.25">
      <c r="T2993" s="62" ph="1"/>
    </row>
    <row r="2994" spans="20:20" ht="26.25">
      <c r="T2994" s="62" ph="1"/>
    </row>
    <row r="2995" spans="20:20" ht="26.25">
      <c r="T2995" s="62" ph="1"/>
    </row>
    <row r="2996" spans="20:20" ht="26.25">
      <c r="T2996" s="62" ph="1"/>
    </row>
    <row r="2997" spans="20:20" ht="26.25">
      <c r="T2997" s="62" ph="1"/>
    </row>
    <row r="2998" spans="20:20" ht="26.25">
      <c r="T2998" s="62" ph="1"/>
    </row>
    <row r="2999" spans="20:20" ht="26.25">
      <c r="T2999" s="62" ph="1"/>
    </row>
    <row r="3000" spans="20:20" ht="26.25">
      <c r="T3000" s="62" ph="1"/>
    </row>
    <row r="3001" spans="20:20" ht="26.25">
      <c r="T3001" s="62" ph="1"/>
    </row>
    <row r="3002" spans="20:20" ht="26.25">
      <c r="T3002" s="62" ph="1"/>
    </row>
    <row r="3003" spans="20:20" ht="26.25">
      <c r="T3003" s="62" ph="1"/>
    </row>
    <row r="3004" spans="20:20" ht="26.25">
      <c r="T3004" s="62" ph="1"/>
    </row>
    <row r="3005" spans="20:20" ht="26.25">
      <c r="T3005" s="62" ph="1"/>
    </row>
    <row r="3006" spans="20:20" ht="26.25">
      <c r="T3006" s="62" ph="1"/>
    </row>
    <row r="3007" spans="20:20" ht="26.25">
      <c r="T3007" s="62" ph="1"/>
    </row>
    <row r="3008" spans="20:20" ht="26.25">
      <c r="T3008" s="62" ph="1"/>
    </row>
    <row r="3009" spans="20:20" ht="26.25">
      <c r="T3009" s="62" ph="1"/>
    </row>
    <row r="3010" spans="20:20" ht="26.25">
      <c r="T3010" s="62" ph="1"/>
    </row>
    <row r="3011" spans="20:20" ht="26.25">
      <c r="T3011" s="62" ph="1"/>
    </row>
    <row r="3012" spans="20:20" ht="26.25">
      <c r="T3012" s="62" ph="1"/>
    </row>
    <row r="3013" spans="20:20" ht="26.25">
      <c r="T3013" s="62" ph="1"/>
    </row>
    <row r="3014" spans="20:20" ht="26.25">
      <c r="T3014" s="62" ph="1"/>
    </row>
    <row r="3015" spans="20:20" ht="26.25">
      <c r="T3015" s="62" ph="1"/>
    </row>
    <row r="3016" spans="20:20" ht="26.25">
      <c r="T3016" s="62" ph="1"/>
    </row>
    <row r="3017" spans="20:20" ht="26.25">
      <c r="T3017" s="62" ph="1"/>
    </row>
    <row r="3018" spans="20:20" ht="26.25">
      <c r="T3018" s="62" ph="1"/>
    </row>
    <row r="3019" spans="20:20" ht="26.25">
      <c r="T3019" s="62" ph="1"/>
    </row>
    <row r="3020" spans="20:20" ht="26.25">
      <c r="T3020" s="62" ph="1"/>
    </row>
    <row r="3021" spans="20:20" ht="26.25">
      <c r="T3021" s="62" ph="1"/>
    </row>
    <row r="3022" spans="20:20" ht="26.25">
      <c r="T3022" s="62" ph="1"/>
    </row>
    <row r="3023" spans="20:20" ht="26.25">
      <c r="T3023" s="62" ph="1"/>
    </row>
    <row r="3024" spans="20:20" ht="26.25">
      <c r="T3024" s="62" ph="1"/>
    </row>
    <row r="3025" spans="20:20" ht="26.25">
      <c r="T3025" s="62" ph="1"/>
    </row>
    <row r="3026" spans="20:20" ht="26.25">
      <c r="T3026" s="62" ph="1"/>
    </row>
    <row r="3027" spans="20:20" ht="26.25">
      <c r="T3027" s="62" ph="1"/>
    </row>
    <row r="3028" spans="20:20" ht="26.25">
      <c r="T3028" s="62" ph="1"/>
    </row>
    <row r="3029" spans="20:20" ht="26.25">
      <c r="T3029" s="62" ph="1"/>
    </row>
    <row r="3030" spans="20:20" ht="26.25">
      <c r="T3030" s="62" ph="1"/>
    </row>
    <row r="3031" spans="20:20" ht="26.25">
      <c r="T3031" s="62" ph="1"/>
    </row>
    <row r="3032" spans="20:20" ht="26.25">
      <c r="T3032" s="62" ph="1"/>
    </row>
    <row r="3033" spans="20:20" ht="26.25">
      <c r="T3033" s="62" ph="1"/>
    </row>
    <row r="3034" spans="20:20" ht="26.25">
      <c r="T3034" s="62" ph="1"/>
    </row>
    <row r="3035" spans="20:20" ht="26.25">
      <c r="T3035" s="62" ph="1"/>
    </row>
    <row r="3036" spans="20:20" ht="26.25">
      <c r="T3036" s="62" ph="1"/>
    </row>
    <row r="3037" spans="20:20" ht="26.25">
      <c r="T3037" s="62" ph="1"/>
    </row>
    <row r="3038" spans="20:20" ht="26.25">
      <c r="T3038" s="62" ph="1"/>
    </row>
    <row r="3039" spans="20:20" ht="26.25">
      <c r="T3039" s="62" ph="1"/>
    </row>
    <row r="3040" spans="20:20" ht="26.25">
      <c r="T3040" s="62" ph="1"/>
    </row>
    <row r="3041" spans="20:20" ht="26.25">
      <c r="T3041" s="62" ph="1"/>
    </row>
    <row r="3042" spans="20:20" ht="26.25">
      <c r="T3042" s="62" ph="1"/>
    </row>
    <row r="3043" spans="20:20" ht="26.25">
      <c r="T3043" s="62" ph="1"/>
    </row>
    <row r="3044" spans="20:20" ht="26.25">
      <c r="T3044" s="62" ph="1"/>
    </row>
    <row r="3045" spans="20:20" ht="26.25">
      <c r="T3045" s="62" ph="1"/>
    </row>
    <row r="3046" spans="20:20" ht="26.25">
      <c r="T3046" s="62" ph="1"/>
    </row>
    <row r="3047" spans="20:20" ht="26.25">
      <c r="T3047" s="62" ph="1"/>
    </row>
    <row r="3048" spans="20:20" ht="26.25">
      <c r="T3048" s="62" ph="1"/>
    </row>
    <row r="3049" spans="20:20" ht="26.25">
      <c r="T3049" s="62" ph="1"/>
    </row>
    <row r="3050" spans="20:20" ht="26.25">
      <c r="T3050" s="62" ph="1"/>
    </row>
    <row r="3051" spans="20:20" ht="26.25">
      <c r="T3051" s="62" ph="1"/>
    </row>
    <row r="3052" spans="20:20" ht="26.25">
      <c r="T3052" s="62" ph="1"/>
    </row>
    <row r="3053" spans="20:20" ht="26.25">
      <c r="T3053" s="62" ph="1"/>
    </row>
    <row r="3054" spans="20:20" ht="26.25">
      <c r="T3054" s="62" ph="1"/>
    </row>
    <row r="3055" spans="20:20" ht="26.25">
      <c r="T3055" s="62" ph="1"/>
    </row>
    <row r="3056" spans="20:20" ht="26.25">
      <c r="T3056" s="62" ph="1"/>
    </row>
    <row r="3057" spans="20:20" ht="26.25">
      <c r="T3057" s="62" ph="1"/>
    </row>
    <row r="3058" spans="20:20" ht="26.25">
      <c r="T3058" s="62" ph="1"/>
    </row>
    <row r="3059" spans="20:20" ht="26.25">
      <c r="T3059" s="62" ph="1"/>
    </row>
    <row r="3060" spans="20:20" ht="26.25">
      <c r="T3060" s="62" ph="1"/>
    </row>
    <row r="3061" spans="20:20" ht="26.25">
      <c r="T3061" s="62" ph="1"/>
    </row>
    <row r="3062" spans="20:20" ht="26.25">
      <c r="T3062" s="62" ph="1"/>
    </row>
    <row r="3063" spans="20:20" ht="26.25">
      <c r="T3063" s="62" ph="1"/>
    </row>
    <row r="3064" spans="20:20" ht="26.25">
      <c r="T3064" s="62" ph="1"/>
    </row>
    <row r="3065" spans="20:20" ht="26.25">
      <c r="T3065" s="62" ph="1"/>
    </row>
    <row r="3066" spans="20:20" ht="26.25">
      <c r="T3066" s="62" ph="1"/>
    </row>
    <row r="3067" spans="20:20" ht="26.25">
      <c r="T3067" s="62" ph="1"/>
    </row>
    <row r="3068" spans="20:20" ht="26.25">
      <c r="T3068" s="62" ph="1"/>
    </row>
    <row r="3069" spans="20:20" ht="26.25">
      <c r="T3069" s="62" ph="1"/>
    </row>
    <row r="3070" spans="20:20" ht="26.25">
      <c r="T3070" s="62" ph="1"/>
    </row>
    <row r="3071" spans="20:20" ht="26.25">
      <c r="T3071" s="62" ph="1"/>
    </row>
    <row r="3072" spans="20:20" ht="26.25">
      <c r="T3072" s="62" ph="1"/>
    </row>
    <row r="3073" spans="20:20" ht="26.25">
      <c r="T3073" s="62" ph="1"/>
    </row>
    <row r="3074" spans="20:20" ht="26.25">
      <c r="T3074" s="62" ph="1"/>
    </row>
    <row r="3075" spans="20:20" ht="26.25">
      <c r="T3075" s="62" ph="1"/>
    </row>
    <row r="3076" spans="20:20" ht="26.25">
      <c r="T3076" s="62" ph="1"/>
    </row>
    <row r="3077" spans="20:20" ht="26.25">
      <c r="T3077" s="62" ph="1"/>
    </row>
    <row r="3078" spans="20:20" ht="26.25">
      <c r="T3078" s="62" ph="1"/>
    </row>
    <row r="3079" spans="20:20" ht="26.25">
      <c r="T3079" s="62" ph="1"/>
    </row>
    <row r="3080" spans="20:20" ht="26.25">
      <c r="T3080" s="62" ph="1"/>
    </row>
    <row r="3081" spans="20:20" ht="26.25">
      <c r="T3081" s="62" ph="1"/>
    </row>
    <row r="3082" spans="20:20" ht="26.25">
      <c r="T3082" s="62" ph="1"/>
    </row>
    <row r="3083" spans="20:20" ht="26.25">
      <c r="T3083" s="62" ph="1"/>
    </row>
    <row r="3084" spans="20:20" ht="26.25">
      <c r="T3084" s="62" ph="1"/>
    </row>
    <row r="3085" spans="20:20" ht="26.25">
      <c r="T3085" s="62" ph="1"/>
    </row>
    <row r="3086" spans="20:20" ht="26.25">
      <c r="T3086" s="62" ph="1"/>
    </row>
    <row r="3087" spans="20:20" ht="26.25">
      <c r="T3087" s="62" ph="1"/>
    </row>
    <row r="3088" spans="20:20" ht="26.25">
      <c r="T3088" s="62" ph="1"/>
    </row>
    <row r="3089" spans="20:20" ht="26.25">
      <c r="T3089" s="62" ph="1"/>
    </row>
    <row r="3090" spans="20:20" ht="26.25">
      <c r="T3090" s="62" ph="1"/>
    </row>
    <row r="3091" spans="20:20" ht="26.25">
      <c r="T3091" s="62" ph="1"/>
    </row>
    <row r="3092" spans="20:20" ht="26.25">
      <c r="T3092" s="62" ph="1"/>
    </row>
    <row r="3093" spans="20:20" ht="26.25">
      <c r="T3093" s="62" ph="1"/>
    </row>
    <row r="3094" spans="20:20" ht="26.25">
      <c r="T3094" s="62" ph="1"/>
    </row>
    <row r="3095" spans="20:20" ht="26.25">
      <c r="T3095" s="62" ph="1"/>
    </row>
    <row r="3096" spans="20:20" ht="26.25">
      <c r="T3096" s="62" ph="1"/>
    </row>
    <row r="3097" spans="20:20" ht="26.25">
      <c r="T3097" s="62" ph="1"/>
    </row>
    <row r="3098" spans="20:20" ht="26.25">
      <c r="T3098" s="62" ph="1"/>
    </row>
    <row r="3099" spans="20:20" ht="26.25">
      <c r="T3099" s="62" ph="1"/>
    </row>
    <row r="3100" spans="20:20" ht="26.25">
      <c r="T3100" s="62" ph="1"/>
    </row>
    <row r="3101" spans="20:20" ht="26.25">
      <c r="T3101" s="62" ph="1"/>
    </row>
    <row r="3102" spans="20:20" ht="26.25">
      <c r="T3102" s="62" ph="1"/>
    </row>
    <row r="3103" spans="20:20" ht="26.25">
      <c r="T3103" s="62" ph="1"/>
    </row>
    <row r="3104" spans="20:20" ht="26.25">
      <c r="T3104" s="62" ph="1"/>
    </row>
    <row r="3105" spans="20:20" ht="26.25">
      <c r="T3105" s="62" ph="1"/>
    </row>
    <row r="3106" spans="20:20" ht="26.25">
      <c r="T3106" s="62" ph="1"/>
    </row>
    <row r="3107" spans="20:20" ht="26.25">
      <c r="T3107" s="62" ph="1"/>
    </row>
    <row r="3108" spans="20:20" ht="26.25">
      <c r="T3108" s="62" ph="1"/>
    </row>
    <row r="3109" spans="20:20" ht="26.25">
      <c r="T3109" s="62" ph="1"/>
    </row>
    <row r="3110" spans="20:20" ht="26.25">
      <c r="T3110" s="62" ph="1"/>
    </row>
    <row r="3111" spans="20:20" ht="26.25">
      <c r="T3111" s="62" ph="1"/>
    </row>
    <row r="3112" spans="20:20" ht="26.25">
      <c r="T3112" s="62" ph="1"/>
    </row>
    <row r="3113" spans="20:20" ht="26.25">
      <c r="T3113" s="62" ph="1"/>
    </row>
    <row r="3114" spans="20:20" ht="26.25">
      <c r="T3114" s="62" ph="1"/>
    </row>
    <row r="3115" spans="20:20" ht="26.25">
      <c r="T3115" s="62" ph="1"/>
    </row>
    <row r="3116" spans="20:20" ht="26.25">
      <c r="T3116" s="62" ph="1"/>
    </row>
    <row r="3117" spans="20:20" ht="26.25">
      <c r="T3117" s="62" ph="1"/>
    </row>
    <row r="3118" spans="20:20" ht="26.25">
      <c r="T3118" s="62" ph="1"/>
    </row>
    <row r="3119" spans="20:20" ht="26.25">
      <c r="T3119" s="62" ph="1"/>
    </row>
    <row r="3120" spans="20:20" ht="26.25">
      <c r="T3120" s="62" ph="1"/>
    </row>
    <row r="3121" spans="20:20" ht="26.25">
      <c r="T3121" s="62" ph="1"/>
    </row>
    <row r="3122" spans="20:20" ht="26.25">
      <c r="T3122" s="62" ph="1"/>
    </row>
    <row r="3123" spans="20:20" ht="26.25">
      <c r="T3123" s="62" ph="1"/>
    </row>
    <row r="3124" spans="20:20" ht="26.25">
      <c r="T3124" s="62" ph="1"/>
    </row>
    <row r="3125" spans="20:20" ht="26.25">
      <c r="T3125" s="62" ph="1"/>
    </row>
    <row r="3126" spans="20:20" ht="26.25">
      <c r="T3126" s="62" ph="1"/>
    </row>
    <row r="3127" spans="20:20" ht="26.25">
      <c r="T3127" s="62" ph="1"/>
    </row>
    <row r="3128" spans="20:20" ht="26.25">
      <c r="T3128" s="62" ph="1"/>
    </row>
    <row r="3129" spans="20:20" ht="26.25">
      <c r="T3129" s="62" ph="1"/>
    </row>
    <row r="3130" spans="20:20" ht="26.25">
      <c r="T3130" s="62" ph="1"/>
    </row>
    <row r="3131" spans="20:20" ht="26.25">
      <c r="T3131" s="62" ph="1"/>
    </row>
    <row r="3132" spans="20:20" ht="26.25">
      <c r="T3132" s="62" ph="1"/>
    </row>
    <row r="3133" spans="20:20" ht="26.25">
      <c r="T3133" s="62" ph="1"/>
    </row>
    <row r="3134" spans="20:20" ht="26.25">
      <c r="T3134" s="62" ph="1"/>
    </row>
    <row r="3135" spans="20:20" ht="26.25">
      <c r="T3135" s="62" ph="1"/>
    </row>
    <row r="3136" spans="20:20" ht="26.25">
      <c r="T3136" s="62" ph="1"/>
    </row>
    <row r="3137" spans="20:20" ht="26.25">
      <c r="T3137" s="62" ph="1"/>
    </row>
    <row r="3138" spans="20:20" ht="26.25">
      <c r="T3138" s="62" ph="1"/>
    </row>
    <row r="3139" spans="20:20" ht="26.25">
      <c r="T3139" s="62" ph="1"/>
    </row>
    <row r="3140" spans="20:20" ht="26.25">
      <c r="T3140" s="62" ph="1"/>
    </row>
    <row r="3141" spans="20:20" ht="26.25">
      <c r="T3141" s="62" ph="1"/>
    </row>
    <row r="3142" spans="20:20" ht="26.25">
      <c r="T3142" s="62" ph="1"/>
    </row>
    <row r="3143" spans="20:20" ht="26.25">
      <c r="T3143" s="62" ph="1"/>
    </row>
    <row r="3144" spans="20:20" ht="26.25">
      <c r="T3144" s="62" ph="1"/>
    </row>
    <row r="3145" spans="20:20" ht="26.25">
      <c r="T3145" s="62" ph="1"/>
    </row>
    <row r="3146" spans="20:20" ht="26.25">
      <c r="T3146" s="62" ph="1"/>
    </row>
    <row r="3147" spans="20:20" ht="26.25">
      <c r="T3147" s="62" ph="1"/>
    </row>
    <row r="3148" spans="20:20" ht="26.25">
      <c r="T3148" s="62" ph="1"/>
    </row>
    <row r="3149" spans="20:20" ht="26.25">
      <c r="T3149" s="62" ph="1"/>
    </row>
    <row r="3150" spans="20:20" ht="26.25">
      <c r="T3150" s="62" ph="1"/>
    </row>
    <row r="3151" spans="20:20" ht="26.25">
      <c r="T3151" s="62" ph="1"/>
    </row>
    <row r="3152" spans="20:20" ht="26.25">
      <c r="T3152" s="62" ph="1"/>
    </row>
    <row r="3153" spans="20:20" ht="26.25">
      <c r="T3153" s="62" ph="1"/>
    </row>
    <row r="3154" spans="20:20" ht="26.25">
      <c r="T3154" s="62" ph="1"/>
    </row>
    <row r="3155" spans="20:20" ht="26.25">
      <c r="T3155" s="62" ph="1"/>
    </row>
    <row r="3156" spans="20:20" ht="26.25">
      <c r="T3156" s="62" ph="1"/>
    </row>
    <row r="3157" spans="20:20" ht="26.25">
      <c r="T3157" s="62" ph="1"/>
    </row>
    <row r="3158" spans="20:20" ht="26.25">
      <c r="T3158" s="62" ph="1"/>
    </row>
    <row r="3159" spans="20:20" ht="26.25">
      <c r="T3159" s="62" ph="1"/>
    </row>
    <row r="3160" spans="20:20" ht="26.25">
      <c r="T3160" s="62" ph="1"/>
    </row>
    <row r="3161" spans="20:20" ht="26.25">
      <c r="T3161" s="62" ph="1"/>
    </row>
    <row r="3162" spans="20:20" ht="26.25">
      <c r="T3162" s="62" ph="1"/>
    </row>
    <row r="3163" spans="20:20" ht="26.25">
      <c r="T3163" s="62" ph="1"/>
    </row>
    <row r="3164" spans="20:20" ht="26.25">
      <c r="T3164" s="62" ph="1"/>
    </row>
    <row r="3165" spans="20:20" ht="26.25">
      <c r="T3165" s="62" ph="1"/>
    </row>
    <row r="3166" spans="20:20" ht="26.25">
      <c r="T3166" s="62" ph="1"/>
    </row>
    <row r="3167" spans="20:20" ht="26.25">
      <c r="T3167" s="62" ph="1"/>
    </row>
    <row r="3168" spans="20:20" ht="26.25">
      <c r="T3168" s="62" ph="1"/>
    </row>
    <row r="3169" spans="20:20" ht="26.25">
      <c r="T3169" s="62" ph="1"/>
    </row>
    <row r="3170" spans="20:20" ht="26.25">
      <c r="T3170" s="62" ph="1"/>
    </row>
    <row r="3171" spans="20:20" ht="26.25">
      <c r="T3171" s="62" ph="1"/>
    </row>
    <row r="3172" spans="20:20" ht="26.25">
      <c r="T3172" s="62" ph="1"/>
    </row>
    <row r="3173" spans="20:20" ht="26.25">
      <c r="T3173" s="62" ph="1"/>
    </row>
    <row r="3174" spans="20:20" ht="26.25">
      <c r="T3174" s="62" ph="1"/>
    </row>
    <row r="3175" spans="20:20" ht="26.25">
      <c r="T3175" s="62" ph="1"/>
    </row>
    <row r="3176" spans="20:20" ht="26.25">
      <c r="T3176" s="62" ph="1"/>
    </row>
    <row r="3177" spans="20:20" ht="26.25">
      <c r="T3177" s="62" ph="1"/>
    </row>
    <row r="3178" spans="20:20" ht="26.25">
      <c r="T3178" s="62" ph="1"/>
    </row>
    <row r="3179" spans="20:20" ht="26.25">
      <c r="T3179" s="62" ph="1"/>
    </row>
    <row r="3180" spans="20:20" ht="26.25">
      <c r="T3180" s="62" ph="1"/>
    </row>
    <row r="3181" spans="20:20" ht="26.25">
      <c r="T3181" s="62" ph="1"/>
    </row>
    <row r="3182" spans="20:20" ht="26.25">
      <c r="T3182" s="62" ph="1"/>
    </row>
    <row r="3183" spans="20:20" ht="26.25">
      <c r="T3183" s="62" ph="1"/>
    </row>
    <row r="3184" spans="20:20" ht="26.25">
      <c r="T3184" s="62" ph="1"/>
    </row>
    <row r="3185" spans="20:20" ht="26.25">
      <c r="T3185" s="62" ph="1"/>
    </row>
    <row r="3186" spans="20:20" ht="26.25">
      <c r="T3186" s="62" ph="1"/>
    </row>
    <row r="3187" spans="20:20" ht="26.25">
      <c r="T3187" s="62" ph="1"/>
    </row>
    <row r="3188" spans="20:20" ht="26.25">
      <c r="T3188" s="62" ph="1"/>
    </row>
    <row r="3189" spans="20:20" ht="26.25">
      <c r="T3189" s="62" ph="1"/>
    </row>
    <row r="3190" spans="20:20" ht="26.25">
      <c r="T3190" s="62" ph="1"/>
    </row>
    <row r="3191" spans="20:20" ht="26.25">
      <c r="T3191" s="62" ph="1"/>
    </row>
    <row r="3192" spans="20:20" ht="26.25">
      <c r="T3192" s="62" ph="1"/>
    </row>
    <row r="3193" spans="20:20" ht="26.25">
      <c r="T3193" s="62" ph="1"/>
    </row>
    <row r="3194" spans="20:20" ht="26.25">
      <c r="T3194" s="62" ph="1"/>
    </row>
    <row r="3195" spans="20:20" ht="26.25">
      <c r="T3195" s="62" ph="1"/>
    </row>
    <row r="3196" spans="20:20" ht="26.25">
      <c r="T3196" s="62" ph="1"/>
    </row>
    <row r="3197" spans="20:20" ht="26.25">
      <c r="T3197" s="62" ph="1"/>
    </row>
    <row r="3198" spans="20:20" ht="26.25">
      <c r="T3198" s="62" ph="1"/>
    </row>
    <row r="3199" spans="20:20" ht="26.25">
      <c r="T3199" s="62" ph="1"/>
    </row>
    <row r="3200" spans="20:20" ht="26.25">
      <c r="T3200" s="62" ph="1"/>
    </row>
    <row r="3201" spans="20:20" ht="26.25">
      <c r="T3201" s="62" ph="1"/>
    </row>
    <row r="3202" spans="20:20" ht="26.25">
      <c r="T3202" s="62" ph="1"/>
    </row>
    <row r="3203" spans="20:20" ht="26.25">
      <c r="T3203" s="62" ph="1"/>
    </row>
    <row r="3204" spans="20:20" ht="26.25">
      <c r="T3204" s="62" ph="1"/>
    </row>
    <row r="3205" spans="20:20" ht="26.25">
      <c r="T3205" s="62" ph="1"/>
    </row>
    <row r="3206" spans="20:20" ht="26.25">
      <c r="T3206" s="62" ph="1"/>
    </row>
    <row r="3207" spans="20:20" ht="26.25">
      <c r="T3207" s="62" ph="1"/>
    </row>
    <row r="3208" spans="20:20" ht="26.25">
      <c r="T3208" s="62" ph="1"/>
    </row>
    <row r="3209" spans="20:20" ht="26.25">
      <c r="T3209" s="62" ph="1"/>
    </row>
    <row r="3210" spans="20:20" ht="26.25">
      <c r="T3210" s="62" ph="1"/>
    </row>
    <row r="3211" spans="20:20" ht="26.25">
      <c r="T3211" s="62" ph="1"/>
    </row>
    <row r="3212" spans="20:20" ht="26.25">
      <c r="T3212" s="62" ph="1"/>
    </row>
    <row r="3213" spans="20:20" ht="26.25">
      <c r="T3213" s="62" ph="1"/>
    </row>
    <row r="3214" spans="20:20" ht="26.25">
      <c r="T3214" s="62" ph="1"/>
    </row>
    <row r="3215" spans="20:20" ht="26.25">
      <c r="T3215" s="62" ph="1"/>
    </row>
    <row r="3216" spans="20:20" ht="26.25">
      <c r="T3216" s="62" ph="1"/>
    </row>
    <row r="3217" spans="20:20" ht="26.25">
      <c r="T3217" s="62" ph="1"/>
    </row>
    <row r="3218" spans="20:20" ht="26.25">
      <c r="T3218" s="62" ph="1"/>
    </row>
    <row r="3219" spans="20:20" ht="26.25">
      <c r="T3219" s="62" ph="1"/>
    </row>
    <row r="3220" spans="20:20" ht="26.25">
      <c r="T3220" s="62" ph="1"/>
    </row>
    <row r="3221" spans="20:20" ht="26.25">
      <c r="T3221" s="62" ph="1"/>
    </row>
    <row r="3222" spans="20:20" ht="26.25">
      <c r="T3222" s="62" ph="1"/>
    </row>
    <row r="3223" spans="20:20" ht="26.25">
      <c r="T3223" s="62" ph="1"/>
    </row>
    <row r="3224" spans="20:20" ht="26.25">
      <c r="T3224" s="62" ph="1"/>
    </row>
    <row r="3225" spans="20:20" ht="26.25">
      <c r="T3225" s="62" ph="1"/>
    </row>
    <row r="3226" spans="20:20" ht="26.25">
      <c r="T3226" s="62" ph="1"/>
    </row>
    <row r="3227" spans="20:20" ht="26.25">
      <c r="T3227" s="62" ph="1"/>
    </row>
    <row r="3228" spans="20:20" ht="26.25">
      <c r="T3228" s="62" ph="1"/>
    </row>
    <row r="3229" spans="20:20" ht="26.25">
      <c r="T3229" s="62" ph="1"/>
    </row>
    <row r="3230" spans="20:20" ht="26.25">
      <c r="T3230" s="62" ph="1"/>
    </row>
    <row r="3231" spans="20:20" ht="26.25">
      <c r="T3231" s="62" ph="1"/>
    </row>
    <row r="3232" spans="20:20" ht="26.25">
      <c r="T3232" s="62" ph="1"/>
    </row>
    <row r="3233" spans="20:20" ht="26.25">
      <c r="T3233" s="62" ph="1"/>
    </row>
    <row r="3234" spans="20:20" ht="26.25">
      <c r="T3234" s="62" ph="1"/>
    </row>
    <row r="3235" spans="20:20" ht="26.25">
      <c r="T3235" s="62" ph="1"/>
    </row>
    <row r="3236" spans="20:20" ht="26.25">
      <c r="T3236" s="62" ph="1"/>
    </row>
    <row r="3237" spans="20:20" ht="26.25">
      <c r="T3237" s="62" ph="1"/>
    </row>
    <row r="3238" spans="20:20" ht="26.25">
      <c r="T3238" s="62" ph="1"/>
    </row>
    <row r="3239" spans="20:20" ht="26.25">
      <c r="T3239" s="62" ph="1"/>
    </row>
    <row r="3240" spans="20:20" ht="26.25">
      <c r="T3240" s="62" ph="1"/>
    </row>
    <row r="3241" spans="20:20" ht="26.25">
      <c r="T3241" s="62" ph="1"/>
    </row>
    <row r="3242" spans="20:20" ht="26.25">
      <c r="T3242" s="62" ph="1"/>
    </row>
    <row r="3243" spans="20:20" ht="26.25">
      <c r="T3243" s="62" ph="1"/>
    </row>
    <row r="3244" spans="20:20" ht="26.25">
      <c r="T3244" s="62" ph="1"/>
    </row>
    <row r="3245" spans="20:20" ht="26.25">
      <c r="T3245" s="62" ph="1"/>
    </row>
    <row r="3246" spans="20:20" ht="26.25">
      <c r="T3246" s="62" ph="1"/>
    </row>
    <row r="3247" spans="20:20" ht="26.25">
      <c r="T3247" s="62" ph="1"/>
    </row>
    <row r="3248" spans="20:20" ht="26.25">
      <c r="T3248" s="62" ph="1"/>
    </row>
    <row r="3249" spans="20:20" ht="26.25">
      <c r="T3249" s="62" ph="1"/>
    </row>
    <row r="3250" spans="20:20" ht="26.25">
      <c r="T3250" s="62" ph="1"/>
    </row>
    <row r="3251" spans="20:20" ht="26.25">
      <c r="T3251" s="62" ph="1"/>
    </row>
    <row r="3252" spans="20:20" ht="26.25">
      <c r="T3252" s="62" ph="1"/>
    </row>
    <row r="3253" spans="20:20" ht="26.25">
      <c r="T3253" s="62" ph="1"/>
    </row>
    <row r="3254" spans="20:20" ht="26.25">
      <c r="T3254" s="62" ph="1"/>
    </row>
    <row r="3255" spans="20:20" ht="26.25">
      <c r="T3255" s="62" ph="1"/>
    </row>
    <row r="3256" spans="20:20" ht="26.25">
      <c r="T3256" s="62" ph="1"/>
    </row>
    <row r="3257" spans="20:20" ht="26.25">
      <c r="T3257" s="62" ph="1"/>
    </row>
    <row r="3258" spans="20:20" ht="26.25">
      <c r="T3258" s="62" ph="1"/>
    </row>
    <row r="3259" spans="20:20" ht="26.25">
      <c r="T3259" s="62" ph="1"/>
    </row>
    <row r="3260" spans="20:20" ht="26.25">
      <c r="T3260" s="62" ph="1"/>
    </row>
    <row r="3261" spans="20:20" ht="26.25">
      <c r="T3261" s="62" ph="1"/>
    </row>
    <row r="3262" spans="20:20" ht="26.25">
      <c r="T3262" s="62" ph="1"/>
    </row>
    <row r="3263" spans="20:20" ht="26.25">
      <c r="T3263" s="62" ph="1"/>
    </row>
    <row r="3264" spans="20:20" ht="26.25">
      <c r="T3264" s="62" ph="1"/>
    </row>
    <row r="3265" spans="20:20" ht="26.25">
      <c r="T3265" s="62" ph="1"/>
    </row>
    <row r="3266" spans="20:20" ht="26.25">
      <c r="T3266" s="62" ph="1"/>
    </row>
    <row r="3267" spans="20:20" ht="26.25">
      <c r="T3267" s="62" ph="1"/>
    </row>
    <row r="3268" spans="20:20" ht="26.25">
      <c r="T3268" s="62" ph="1"/>
    </row>
    <row r="3269" spans="20:20" ht="26.25">
      <c r="T3269" s="62" ph="1"/>
    </row>
    <row r="3270" spans="20:20" ht="26.25">
      <c r="T3270" s="62" ph="1"/>
    </row>
    <row r="3271" spans="20:20" ht="26.25">
      <c r="T3271" s="62" ph="1"/>
    </row>
    <row r="3272" spans="20:20" ht="26.25">
      <c r="T3272" s="62" ph="1"/>
    </row>
    <row r="3273" spans="20:20" ht="26.25">
      <c r="T3273" s="62" ph="1"/>
    </row>
    <row r="3274" spans="20:20" ht="26.25">
      <c r="T3274" s="62" ph="1"/>
    </row>
    <row r="3275" spans="20:20" ht="26.25">
      <c r="T3275" s="62" ph="1"/>
    </row>
    <row r="3276" spans="20:20" ht="26.25">
      <c r="T3276" s="62" ph="1"/>
    </row>
    <row r="3277" spans="20:20" ht="26.25">
      <c r="T3277" s="62" ph="1"/>
    </row>
    <row r="3278" spans="20:20" ht="26.25">
      <c r="T3278" s="62" ph="1"/>
    </row>
    <row r="3279" spans="20:20" ht="26.25">
      <c r="T3279" s="62" ph="1"/>
    </row>
    <row r="3280" spans="20:20" ht="26.25">
      <c r="T3280" s="62" ph="1"/>
    </row>
    <row r="3281" spans="20:20" ht="26.25">
      <c r="T3281" s="62" ph="1"/>
    </row>
    <row r="3282" spans="20:20" ht="26.25">
      <c r="T3282" s="62" ph="1"/>
    </row>
    <row r="3283" spans="20:20" ht="26.25">
      <c r="T3283" s="62" ph="1"/>
    </row>
    <row r="3284" spans="20:20" ht="26.25">
      <c r="T3284" s="62" ph="1"/>
    </row>
    <row r="3285" spans="20:20" ht="26.25">
      <c r="T3285" s="62" ph="1"/>
    </row>
    <row r="3286" spans="20:20" ht="26.25">
      <c r="T3286" s="62" ph="1"/>
    </row>
    <row r="3287" spans="20:20" ht="26.25">
      <c r="T3287" s="62" ph="1"/>
    </row>
    <row r="3288" spans="20:20" ht="26.25">
      <c r="T3288" s="62" ph="1"/>
    </row>
    <row r="3289" spans="20:20" ht="26.25">
      <c r="T3289" s="62" ph="1"/>
    </row>
    <row r="3290" spans="20:20" ht="26.25">
      <c r="T3290" s="62" ph="1"/>
    </row>
    <row r="3291" spans="20:20" ht="26.25">
      <c r="T3291" s="62" ph="1"/>
    </row>
    <row r="3292" spans="20:20" ht="26.25">
      <c r="T3292" s="62" ph="1"/>
    </row>
    <row r="3293" spans="20:20" ht="26.25">
      <c r="T3293" s="62" ph="1"/>
    </row>
    <row r="3294" spans="20:20" ht="26.25">
      <c r="T3294" s="62" ph="1"/>
    </row>
    <row r="3295" spans="20:20" ht="26.25">
      <c r="T3295" s="62" ph="1"/>
    </row>
    <row r="3296" spans="20:20" ht="26.25">
      <c r="T3296" s="62" ph="1"/>
    </row>
    <row r="3297" spans="20:20" ht="26.25">
      <c r="T3297" s="62" ph="1"/>
    </row>
    <row r="3298" spans="20:20" ht="26.25">
      <c r="T3298" s="62" ph="1"/>
    </row>
    <row r="3299" spans="20:20" ht="26.25">
      <c r="T3299" s="62" ph="1"/>
    </row>
    <row r="3300" spans="20:20" ht="26.25">
      <c r="T3300" s="62" ph="1"/>
    </row>
    <row r="3301" spans="20:20" ht="26.25">
      <c r="T3301" s="62" ph="1"/>
    </row>
    <row r="3302" spans="20:20" ht="26.25">
      <c r="T3302" s="62" ph="1"/>
    </row>
    <row r="3303" spans="20:20" ht="26.25">
      <c r="T3303" s="62" ph="1"/>
    </row>
    <row r="3304" spans="20:20" ht="26.25">
      <c r="T3304" s="62" ph="1"/>
    </row>
    <row r="3305" spans="20:20" ht="26.25">
      <c r="T3305" s="62" ph="1"/>
    </row>
    <row r="3306" spans="20:20" ht="26.25">
      <c r="T3306" s="62" ph="1"/>
    </row>
    <row r="3307" spans="20:20" ht="26.25">
      <c r="T3307" s="62" ph="1"/>
    </row>
    <row r="3308" spans="20:20" ht="26.25">
      <c r="T3308" s="62" ph="1"/>
    </row>
    <row r="3309" spans="20:20" ht="26.25">
      <c r="T3309" s="62" ph="1"/>
    </row>
    <row r="3310" spans="20:20" ht="26.25">
      <c r="T3310" s="62" ph="1"/>
    </row>
    <row r="3311" spans="20:20" ht="26.25">
      <c r="T3311" s="62" ph="1"/>
    </row>
    <row r="3312" spans="20:20" ht="26.25">
      <c r="T3312" s="62" ph="1"/>
    </row>
    <row r="3313" spans="20:20" ht="26.25">
      <c r="T3313" s="62" ph="1"/>
    </row>
    <row r="3314" spans="20:20" ht="26.25">
      <c r="T3314" s="62" ph="1"/>
    </row>
    <row r="3315" spans="20:20" ht="26.25">
      <c r="T3315" s="62" ph="1"/>
    </row>
    <row r="3316" spans="20:20" ht="26.25">
      <c r="T3316" s="62" ph="1"/>
    </row>
    <row r="3317" spans="20:20" ht="26.25">
      <c r="T3317" s="62" ph="1"/>
    </row>
    <row r="3318" spans="20:20" ht="26.25">
      <c r="T3318" s="62" ph="1"/>
    </row>
    <row r="3319" spans="20:20" ht="26.25">
      <c r="T3319" s="62" ph="1"/>
    </row>
    <row r="3320" spans="20:20" ht="26.25">
      <c r="T3320" s="62" ph="1"/>
    </row>
    <row r="3321" spans="20:20" ht="26.25">
      <c r="T3321" s="62" ph="1"/>
    </row>
    <row r="3322" spans="20:20" ht="26.25">
      <c r="T3322" s="62" ph="1"/>
    </row>
    <row r="3323" spans="20:20" ht="26.25">
      <c r="T3323" s="62" ph="1"/>
    </row>
    <row r="3324" spans="20:20" ht="26.25">
      <c r="T3324" s="62" ph="1"/>
    </row>
    <row r="3325" spans="20:20" ht="26.25">
      <c r="T3325" s="62" ph="1"/>
    </row>
    <row r="3326" spans="20:20" ht="26.25">
      <c r="T3326" s="62" ph="1"/>
    </row>
    <row r="3327" spans="20:20" ht="26.25">
      <c r="T3327" s="62" ph="1"/>
    </row>
    <row r="3328" spans="20:20" ht="26.25">
      <c r="T3328" s="62" ph="1"/>
    </row>
    <row r="3329" spans="20:20" ht="26.25">
      <c r="T3329" s="62" ph="1"/>
    </row>
    <row r="3330" spans="20:20" ht="26.25">
      <c r="T3330" s="62" ph="1"/>
    </row>
    <row r="3331" spans="20:20" ht="26.25">
      <c r="T3331" s="62" ph="1"/>
    </row>
    <row r="3332" spans="20:20" ht="26.25">
      <c r="T3332" s="62" ph="1"/>
    </row>
    <row r="3333" spans="20:20" ht="26.25">
      <c r="T3333" s="62" ph="1"/>
    </row>
    <row r="3334" spans="20:20" ht="26.25">
      <c r="T3334" s="62" ph="1"/>
    </row>
    <row r="3335" spans="20:20" ht="26.25">
      <c r="T3335" s="62" ph="1"/>
    </row>
    <row r="3336" spans="20:20" ht="26.25">
      <c r="T3336" s="62" ph="1"/>
    </row>
    <row r="3337" spans="20:20" ht="26.25">
      <c r="T3337" s="62" ph="1"/>
    </row>
    <row r="3338" spans="20:20" ht="26.25">
      <c r="T3338" s="62" ph="1"/>
    </row>
    <row r="3339" spans="20:20" ht="26.25">
      <c r="T3339" s="62" ph="1"/>
    </row>
    <row r="3340" spans="20:20" ht="26.25">
      <c r="T3340" s="62" ph="1"/>
    </row>
    <row r="3341" spans="20:20" ht="26.25">
      <c r="T3341" s="62" ph="1"/>
    </row>
    <row r="3342" spans="20:20" ht="26.25">
      <c r="T3342" s="62" ph="1"/>
    </row>
    <row r="3343" spans="20:20" ht="26.25">
      <c r="T3343" s="62" ph="1"/>
    </row>
    <row r="3344" spans="20:20" ht="26.25">
      <c r="T3344" s="62" ph="1"/>
    </row>
    <row r="3345" spans="20:20" ht="26.25">
      <c r="T3345" s="62" ph="1"/>
    </row>
    <row r="3346" spans="20:20" ht="26.25">
      <c r="T3346" s="62" ph="1"/>
    </row>
    <row r="3347" spans="20:20" ht="26.25">
      <c r="T3347" s="62" ph="1"/>
    </row>
    <row r="3348" spans="20:20" ht="26.25">
      <c r="T3348" s="62" ph="1"/>
    </row>
    <row r="3349" spans="20:20" ht="26.25">
      <c r="T3349" s="62" ph="1"/>
    </row>
    <row r="3350" spans="20:20" ht="26.25">
      <c r="T3350" s="62" ph="1"/>
    </row>
    <row r="3351" spans="20:20" ht="26.25">
      <c r="T3351" s="62" ph="1"/>
    </row>
    <row r="3352" spans="20:20" ht="26.25">
      <c r="T3352" s="62" ph="1"/>
    </row>
    <row r="3353" spans="20:20" ht="26.25">
      <c r="T3353" s="62" ph="1"/>
    </row>
    <row r="3354" spans="20:20" ht="26.25">
      <c r="T3354" s="62" ph="1"/>
    </row>
    <row r="3355" spans="20:20" ht="26.25">
      <c r="T3355" s="62" ph="1"/>
    </row>
    <row r="3356" spans="20:20" ht="26.25">
      <c r="T3356" s="62" ph="1"/>
    </row>
    <row r="3357" spans="20:20" ht="26.25">
      <c r="T3357" s="62" ph="1"/>
    </row>
    <row r="3358" spans="20:20" ht="26.25">
      <c r="T3358" s="62" ph="1"/>
    </row>
    <row r="3359" spans="20:20" ht="26.25">
      <c r="T3359" s="62" ph="1"/>
    </row>
    <row r="3360" spans="20:20" ht="26.25">
      <c r="T3360" s="62" ph="1"/>
    </row>
    <row r="3361" spans="20:20" ht="26.25">
      <c r="T3361" s="62" ph="1"/>
    </row>
    <row r="3362" spans="20:20" ht="26.25">
      <c r="T3362" s="62" ph="1"/>
    </row>
    <row r="3363" spans="20:20" ht="26.25">
      <c r="T3363" s="62" ph="1"/>
    </row>
    <row r="3364" spans="20:20" ht="26.25">
      <c r="T3364" s="62" ph="1"/>
    </row>
    <row r="3365" spans="20:20" ht="26.25">
      <c r="T3365" s="62" ph="1"/>
    </row>
    <row r="3366" spans="20:20" ht="26.25">
      <c r="T3366" s="62" ph="1"/>
    </row>
    <row r="3367" spans="20:20" ht="26.25">
      <c r="T3367" s="62" ph="1"/>
    </row>
    <row r="3368" spans="20:20" ht="26.25">
      <c r="T3368" s="62" ph="1"/>
    </row>
    <row r="3369" spans="20:20" ht="26.25">
      <c r="T3369" s="62" ph="1"/>
    </row>
    <row r="3370" spans="20:20" ht="26.25">
      <c r="T3370" s="62" ph="1"/>
    </row>
    <row r="3371" spans="20:20" ht="26.25">
      <c r="T3371" s="62" ph="1"/>
    </row>
    <row r="3372" spans="20:20" ht="26.25">
      <c r="T3372" s="62" ph="1"/>
    </row>
    <row r="3373" spans="20:20" ht="26.25">
      <c r="T3373" s="62" ph="1"/>
    </row>
    <row r="3374" spans="20:20" ht="26.25">
      <c r="T3374" s="62" ph="1"/>
    </row>
    <row r="3375" spans="20:20" ht="26.25">
      <c r="T3375" s="62" ph="1"/>
    </row>
    <row r="3376" spans="20:20" ht="26.25">
      <c r="T3376" s="62" ph="1"/>
    </row>
    <row r="3377" spans="20:20" ht="26.25">
      <c r="T3377" s="62" ph="1"/>
    </row>
    <row r="3378" spans="20:20" ht="26.25">
      <c r="T3378" s="62" ph="1"/>
    </row>
    <row r="3379" spans="20:20" ht="26.25">
      <c r="T3379" s="62" ph="1"/>
    </row>
    <row r="3380" spans="20:20" ht="26.25">
      <c r="T3380" s="62" ph="1"/>
    </row>
    <row r="3381" spans="20:20" ht="26.25">
      <c r="T3381" s="62" ph="1"/>
    </row>
    <row r="3382" spans="20:20" ht="26.25">
      <c r="T3382" s="62" ph="1"/>
    </row>
    <row r="3383" spans="20:20" ht="26.25">
      <c r="T3383" s="62" ph="1"/>
    </row>
    <row r="3384" spans="20:20" ht="26.25">
      <c r="T3384" s="62" ph="1"/>
    </row>
    <row r="3385" spans="20:20" ht="26.25">
      <c r="T3385" s="62" ph="1"/>
    </row>
    <row r="3386" spans="20:20" ht="26.25">
      <c r="T3386" s="62" ph="1"/>
    </row>
    <row r="3387" spans="20:20" ht="26.25">
      <c r="T3387" s="62" ph="1"/>
    </row>
    <row r="3388" spans="20:20" ht="26.25">
      <c r="T3388" s="62" ph="1"/>
    </row>
    <row r="3389" spans="20:20" ht="26.25">
      <c r="T3389" s="62" ph="1"/>
    </row>
    <row r="3390" spans="20:20" ht="26.25">
      <c r="T3390" s="62" ph="1"/>
    </row>
    <row r="3391" spans="20:20" ht="26.25">
      <c r="T3391" s="62" ph="1"/>
    </row>
    <row r="3392" spans="20:20" ht="26.25">
      <c r="T3392" s="62" ph="1"/>
    </row>
    <row r="3393" spans="20:20" ht="26.25">
      <c r="T3393" s="62" ph="1"/>
    </row>
    <row r="3394" spans="20:20" ht="26.25">
      <c r="T3394" s="62" ph="1"/>
    </row>
    <row r="3395" spans="20:20" ht="26.25">
      <c r="T3395" s="62" ph="1"/>
    </row>
    <row r="3396" spans="20:20" ht="26.25">
      <c r="T3396" s="62" ph="1"/>
    </row>
    <row r="3397" spans="20:20" ht="26.25">
      <c r="T3397" s="62" ph="1"/>
    </row>
    <row r="3398" spans="20:20" ht="26.25">
      <c r="T3398" s="62" ph="1"/>
    </row>
    <row r="3399" spans="20:20" ht="26.25">
      <c r="T3399" s="62" ph="1"/>
    </row>
    <row r="3400" spans="20:20" ht="26.25">
      <c r="T3400" s="62" ph="1"/>
    </row>
    <row r="3401" spans="20:20" ht="26.25">
      <c r="T3401" s="62" ph="1"/>
    </row>
    <row r="3402" spans="20:20" ht="26.25">
      <c r="T3402" s="62" ph="1"/>
    </row>
    <row r="3403" spans="20:20" ht="26.25">
      <c r="T3403" s="62" ph="1"/>
    </row>
    <row r="3404" spans="20:20" ht="26.25">
      <c r="T3404" s="62" ph="1"/>
    </row>
    <row r="3405" spans="20:20" ht="26.25">
      <c r="T3405" s="62" ph="1"/>
    </row>
    <row r="3406" spans="20:20" ht="26.25">
      <c r="T3406" s="62" ph="1"/>
    </row>
    <row r="3407" spans="20:20" ht="26.25">
      <c r="T3407" s="62" ph="1"/>
    </row>
    <row r="3408" spans="20:20" ht="26.25">
      <c r="T3408" s="62" ph="1"/>
    </row>
    <row r="3409" spans="20:20" ht="26.25">
      <c r="T3409" s="62" ph="1"/>
    </row>
    <row r="3410" spans="20:20" ht="26.25">
      <c r="T3410" s="62" ph="1"/>
    </row>
    <row r="3411" spans="20:20" ht="26.25">
      <c r="T3411" s="62" ph="1"/>
    </row>
    <row r="3412" spans="20:20" ht="26.25">
      <c r="T3412" s="62" ph="1"/>
    </row>
    <row r="3413" spans="20:20" ht="26.25">
      <c r="T3413" s="62" ph="1"/>
    </row>
    <row r="3414" spans="20:20" ht="26.25">
      <c r="T3414" s="62" ph="1"/>
    </row>
    <row r="3415" spans="20:20" ht="26.25">
      <c r="T3415" s="62" ph="1"/>
    </row>
    <row r="3416" spans="20:20" ht="26.25">
      <c r="T3416" s="62" ph="1"/>
    </row>
    <row r="3417" spans="20:20" ht="26.25">
      <c r="T3417" s="62" ph="1"/>
    </row>
    <row r="3418" spans="20:20" ht="26.25">
      <c r="T3418" s="62" ph="1"/>
    </row>
    <row r="3419" spans="20:20" ht="26.25">
      <c r="T3419" s="62" ph="1"/>
    </row>
    <row r="3420" spans="20:20" ht="26.25">
      <c r="T3420" s="62" ph="1"/>
    </row>
    <row r="3421" spans="20:20" ht="26.25">
      <c r="T3421" s="62" ph="1"/>
    </row>
    <row r="3422" spans="20:20" ht="26.25">
      <c r="T3422" s="62" ph="1"/>
    </row>
    <row r="3423" spans="20:20" ht="26.25">
      <c r="T3423" s="62" ph="1"/>
    </row>
    <row r="3424" spans="20:20" ht="26.25">
      <c r="T3424" s="62" ph="1"/>
    </row>
    <row r="3425" spans="20:20" ht="26.25">
      <c r="T3425" s="62" ph="1"/>
    </row>
    <row r="3426" spans="20:20" ht="26.25">
      <c r="T3426" s="62" ph="1"/>
    </row>
    <row r="3427" spans="20:20" ht="26.25">
      <c r="T3427" s="62" ph="1"/>
    </row>
    <row r="3428" spans="20:20" ht="26.25">
      <c r="T3428" s="62" ph="1"/>
    </row>
    <row r="3429" spans="20:20" ht="26.25">
      <c r="T3429" s="62" ph="1"/>
    </row>
    <row r="3430" spans="20:20" ht="26.25">
      <c r="T3430" s="62" ph="1"/>
    </row>
    <row r="3431" spans="20:20" ht="26.25">
      <c r="T3431" s="62" ph="1"/>
    </row>
    <row r="3432" spans="20:20" ht="26.25">
      <c r="T3432" s="62" ph="1"/>
    </row>
    <row r="3433" spans="20:20" ht="26.25">
      <c r="T3433" s="62" ph="1"/>
    </row>
    <row r="3434" spans="20:20" ht="26.25">
      <c r="T3434" s="62" ph="1"/>
    </row>
    <row r="3435" spans="20:20" ht="26.25">
      <c r="T3435" s="62" ph="1"/>
    </row>
    <row r="3436" spans="20:20" ht="26.25">
      <c r="T3436" s="62" ph="1"/>
    </row>
    <row r="3437" spans="20:20" ht="26.25">
      <c r="T3437" s="62" ph="1"/>
    </row>
    <row r="3438" spans="20:20" ht="26.25">
      <c r="T3438" s="62" ph="1"/>
    </row>
    <row r="3439" spans="20:20" ht="26.25">
      <c r="T3439" s="62" ph="1"/>
    </row>
    <row r="3440" spans="20:20" ht="26.25">
      <c r="T3440" s="62" ph="1"/>
    </row>
    <row r="3441" spans="20:20" ht="26.25">
      <c r="T3441" s="62" ph="1"/>
    </row>
    <row r="3442" spans="20:20" ht="26.25">
      <c r="T3442" s="62" ph="1"/>
    </row>
    <row r="3443" spans="20:20" ht="26.25">
      <c r="T3443" s="62" ph="1"/>
    </row>
    <row r="3444" spans="20:20" ht="26.25">
      <c r="T3444" s="62" ph="1"/>
    </row>
    <row r="3445" spans="20:20" ht="26.25">
      <c r="T3445" s="62" ph="1"/>
    </row>
    <row r="3446" spans="20:20" ht="26.25">
      <c r="T3446" s="62" ph="1"/>
    </row>
    <row r="3447" spans="20:20" ht="26.25">
      <c r="T3447" s="62" ph="1"/>
    </row>
    <row r="3448" spans="20:20" ht="26.25">
      <c r="T3448" s="62" ph="1"/>
    </row>
    <row r="3449" spans="20:20" ht="26.25">
      <c r="T3449" s="62" ph="1"/>
    </row>
    <row r="3450" spans="20:20" ht="26.25">
      <c r="T3450" s="62" ph="1"/>
    </row>
    <row r="3451" spans="20:20" ht="26.25">
      <c r="T3451" s="62" ph="1"/>
    </row>
    <row r="3452" spans="20:20" ht="26.25">
      <c r="T3452" s="62" ph="1"/>
    </row>
    <row r="3453" spans="20:20" ht="26.25">
      <c r="T3453" s="62" ph="1"/>
    </row>
    <row r="3454" spans="20:20" ht="26.25">
      <c r="T3454" s="62" ph="1"/>
    </row>
    <row r="3455" spans="20:20" ht="26.25">
      <c r="T3455" s="62" ph="1"/>
    </row>
    <row r="3456" spans="20:20" ht="26.25">
      <c r="T3456" s="62" ph="1"/>
    </row>
    <row r="3457" spans="20:20" ht="26.25">
      <c r="T3457" s="62" ph="1"/>
    </row>
    <row r="3458" spans="20:20" ht="26.25">
      <c r="T3458" s="62" ph="1"/>
    </row>
    <row r="3459" spans="20:20" ht="26.25">
      <c r="T3459" s="62" ph="1"/>
    </row>
    <row r="3460" spans="20:20" ht="26.25">
      <c r="T3460" s="62" ph="1"/>
    </row>
    <row r="3461" spans="20:20" ht="26.25">
      <c r="T3461" s="62" ph="1"/>
    </row>
    <row r="3462" spans="20:20" ht="26.25">
      <c r="T3462" s="62" ph="1"/>
    </row>
    <row r="3463" spans="20:20" ht="26.25">
      <c r="T3463" s="62" ph="1"/>
    </row>
    <row r="3464" spans="20:20" ht="26.25">
      <c r="T3464" s="62" ph="1"/>
    </row>
    <row r="3465" spans="20:20" ht="26.25">
      <c r="T3465" s="62" ph="1"/>
    </row>
    <row r="3466" spans="20:20" ht="26.25">
      <c r="T3466" s="62" ph="1"/>
    </row>
    <row r="3467" spans="20:20" ht="26.25">
      <c r="T3467" s="62" ph="1"/>
    </row>
    <row r="3468" spans="20:20" ht="26.25">
      <c r="T3468" s="62" ph="1"/>
    </row>
    <row r="3469" spans="20:20" ht="26.25">
      <c r="T3469" s="62" ph="1"/>
    </row>
    <row r="3470" spans="20:20" ht="26.25">
      <c r="T3470" s="62" ph="1"/>
    </row>
    <row r="3471" spans="20:20" ht="26.25">
      <c r="T3471" s="62" ph="1"/>
    </row>
    <row r="3472" spans="20:20" ht="26.25">
      <c r="T3472" s="62" ph="1"/>
    </row>
    <row r="3473" spans="20:20" ht="26.25">
      <c r="T3473" s="62" ph="1"/>
    </row>
    <row r="3474" spans="20:20" ht="26.25">
      <c r="T3474" s="62" ph="1"/>
    </row>
    <row r="3475" spans="20:20" ht="26.25">
      <c r="T3475" s="62" ph="1"/>
    </row>
    <row r="3476" spans="20:20" ht="26.25">
      <c r="T3476" s="62" ph="1"/>
    </row>
    <row r="3477" spans="20:20" ht="26.25">
      <c r="T3477" s="62" ph="1"/>
    </row>
    <row r="3478" spans="20:20" ht="26.25">
      <c r="T3478" s="62" ph="1"/>
    </row>
    <row r="3479" spans="20:20" ht="26.25">
      <c r="T3479" s="62" ph="1"/>
    </row>
    <row r="3480" spans="20:20" ht="26.25">
      <c r="T3480" s="62" ph="1"/>
    </row>
    <row r="3481" spans="20:20" ht="26.25">
      <c r="T3481" s="62" ph="1"/>
    </row>
    <row r="3482" spans="20:20" ht="26.25">
      <c r="T3482" s="62" ph="1"/>
    </row>
    <row r="3483" spans="20:20" ht="26.25">
      <c r="T3483" s="62" ph="1"/>
    </row>
    <row r="3484" spans="20:20" ht="26.25">
      <c r="T3484" s="62" ph="1"/>
    </row>
    <row r="3485" spans="20:20" ht="26.25">
      <c r="T3485" s="62" ph="1"/>
    </row>
    <row r="3486" spans="20:20" ht="26.25">
      <c r="T3486" s="62" ph="1"/>
    </row>
    <row r="3487" spans="20:20" ht="26.25">
      <c r="T3487" s="62" ph="1"/>
    </row>
    <row r="3488" spans="20:20" ht="26.25">
      <c r="T3488" s="62" ph="1"/>
    </row>
    <row r="3489" spans="20:20" ht="26.25">
      <c r="T3489" s="62" ph="1"/>
    </row>
    <row r="3490" spans="20:20" ht="26.25">
      <c r="T3490" s="62" ph="1"/>
    </row>
    <row r="3491" spans="20:20" ht="26.25">
      <c r="T3491" s="62" ph="1"/>
    </row>
    <row r="3492" spans="20:20" ht="26.25">
      <c r="T3492" s="62" ph="1"/>
    </row>
    <row r="3493" spans="20:20" ht="26.25">
      <c r="T3493" s="62" ph="1"/>
    </row>
    <row r="3494" spans="20:20" ht="26.25">
      <c r="T3494" s="62" ph="1"/>
    </row>
    <row r="3495" spans="20:20" ht="26.25">
      <c r="T3495" s="62" ph="1"/>
    </row>
    <row r="3496" spans="20:20" ht="26.25">
      <c r="T3496" s="62" ph="1"/>
    </row>
    <row r="3497" spans="20:20" ht="26.25">
      <c r="T3497" s="62" ph="1"/>
    </row>
    <row r="3498" spans="20:20" ht="26.25">
      <c r="T3498" s="62" ph="1"/>
    </row>
    <row r="3499" spans="20:20" ht="26.25">
      <c r="T3499" s="62" ph="1"/>
    </row>
    <row r="3500" spans="20:20" ht="26.25">
      <c r="T3500" s="62" ph="1"/>
    </row>
    <row r="3501" spans="20:20" ht="26.25">
      <c r="T3501" s="62" ph="1"/>
    </row>
    <row r="3502" spans="20:20" ht="26.25">
      <c r="T3502" s="62" ph="1"/>
    </row>
    <row r="3503" spans="20:20" ht="26.25">
      <c r="T3503" s="62" ph="1"/>
    </row>
    <row r="3504" spans="20:20" ht="26.25">
      <c r="T3504" s="62" ph="1"/>
    </row>
    <row r="3505" spans="20:20" ht="26.25">
      <c r="T3505" s="62" ph="1"/>
    </row>
    <row r="3506" spans="20:20" ht="26.25">
      <c r="T3506" s="62" ph="1"/>
    </row>
    <row r="3507" spans="20:20" ht="26.25">
      <c r="T3507" s="62" ph="1"/>
    </row>
    <row r="3508" spans="20:20" ht="26.25">
      <c r="T3508" s="62" ph="1"/>
    </row>
    <row r="3509" spans="20:20" ht="26.25">
      <c r="T3509" s="62" ph="1"/>
    </row>
    <row r="3510" spans="20:20" ht="26.25">
      <c r="T3510" s="62" ph="1"/>
    </row>
    <row r="3511" spans="20:20" ht="26.25">
      <c r="T3511" s="62" ph="1"/>
    </row>
    <row r="3512" spans="20:20" ht="26.25">
      <c r="T3512" s="62" ph="1"/>
    </row>
    <row r="3513" spans="20:20" ht="26.25">
      <c r="T3513" s="62" ph="1"/>
    </row>
    <row r="3514" spans="20:20" ht="26.25">
      <c r="T3514" s="62" ph="1"/>
    </row>
    <row r="3515" spans="20:20" ht="26.25">
      <c r="T3515" s="62" ph="1"/>
    </row>
    <row r="3516" spans="20:20" ht="26.25">
      <c r="T3516" s="62" ph="1"/>
    </row>
    <row r="3517" spans="20:20" ht="26.25">
      <c r="T3517" s="62" ph="1"/>
    </row>
    <row r="3518" spans="20:20" ht="26.25">
      <c r="T3518" s="62" ph="1"/>
    </row>
    <row r="3519" spans="20:20" ht="26.25">
      <c r="T3519" s="62" ph="1"/>
    </row>
    <row r="3520" spans="20:20" ht="26.25">
      <c r="T3520" s="62" ph="1"/>
    </row>
    <row r="3521" spans="20:20" ht="26.25">
      <c r="T3521" s="62" ph="1"/>
    </row>
    <row r="3522" spans="20:20" ht="26.25">
      <c r="T3522" s="62" ph="1"/>
    </row>
    <row r="3523" spans="20:20" ht="26.25">
      <c r="T3523" s="62" ph="1"/>
    </row>
    <row r="3524" spans="20:20" ht="26.25">
      <c r="T3524" s="62" ph="1"/>
    </row>
    <row r="3525" spans="20:20" ht="26.25">
      <c r="T3525" s="62" ph="1"/>
    </row>
    <row r="3526" spans="20:20" ht="26.25">
      <c r="T3526" s="62" ph="1"/>
    </row>
    <row r="3527" spans="20:20" ht="26.25">
      <c r="T3527" s="62" ph="1"/>
    </row>
    <row r="3528" spans="20:20" ht="26.25">
      <c r="T3528" s="62" ph="1"/>
    </row>
    <row r="3529" spans="20:20" ht="26.25">
      <c r="T3529" s="62" ph="1"/>
    </row>
    <row r="3530" spans="20:20" ht="26.25">
      <c r="T3530" s="62" ph="1"/>
    </row>
    <row r="3531" spans="20:20" ht="26.25">
      <c r="T3531" s="62" ph="1"/>
    </row>
    <row r="3532" spans="20:20" ht="26.25">
      <c r="T3532" s="62" ph="1"/>
    </row>
    <row r="3533" spans="20:20" ht="26.25">
      <c r="T3533" s="62" ph="1"/>
    </row>
    <row r="3534" spans="20:20" ht="26.25">
      <c r="T3534" s="62" ph="1"/>
    </row>
    <row r="3535" spans="20:20" ht="26.25">
      <c r="T3535" s="62" ph="1"/>
    </row>
    <row r="3536" spans="20:20" ht="26.25">
      <c r="T3536" s="62" ph="1"/>
    </row>
    <row r="3537" spans="20:20" ht="26.25">
      <c r="T3537" s="62" ph="1"/>
    </row>
    <row r="3538" spans="20:20" ht="26.25">
      <c r="T3538" s="62" ph="1"/>
    </row>
    <row r="3539" spans="20:20" ht="26.25">
      <c r="T3539" s="62" ph="1"/>
    </row>
    <row r="3540" spans="20:20" ht="26.25">
      <c r="T3540" s="62" ph="1"/>
    </row>
    <row r="3541" spans="20:20" ht="26.25">
      <c r="T3541" s="62" ph="1"/>
    </row>
    <row r="3542" spans="20:20" ht="26.25">
      <c r="T3542" s="62" ph="1"/>
    </row>
    <row r="3543" spans="20:20" ht="26.25">
      <c r="T3543" s="62" ph="1"/>
    </row>
    <row r="3544" spans="20:20" ht="26.25">
      <c r="T3544" s="62" ph="1"/>
    </row>
    <row r="3545" spans="20:20" ht="26.25">
      <c r="T3545" s="62" ph="1"/>
    </row>
    <row r="3546" spans="20:20" ht="26.25">
      <c r="T3546" s="62" ph="1"/>
    </row>
    <row r="3547" spans="20:20" ht="26.25">
      <c r="T3547" s="62" ph="1"/>
    </row>
    <row r="3548" spans="20:20" ht="26.25">
      <c r="T3548" s="62" ph="1"/>
    </row>
    <row r="3549" spans="20:20" ht="26.25">
      <c r="T3549" s="62" ph="1"/>
    </row>
    <row r="3550" spans="20:20" ht="26.25">
      <c r="T3550" s="62" ph="1"/>
    </row>
    <row r="3551" spans="20:20" ht="26.25">
      <c r="T3551" s="62" ph="1"/>
    </row>
    <row r="3552" spans="20:20" ht="26.25">
      <c r="T3552" s="62" ph="1"/>
    </row>
    <row r="3553" spans="20:20" ht="26.25">
      <c r="T3553" s="62" ph="1"/>
    </row>
    <row r="3554" spans="20:20" ht="26.25">
      <c r="T3554" s="62" ph="1"/>
    </row>
    <row r="3555" spans="20:20" ht="26.25">
      <c r="T3555" s="62" ph="1"/>
    </row>
    <row r="3556" spans="20:20" ht="26.25">
      <c r="T3556" s="62" ph="1"/>
    </row>
    <row r="3557" spans="20:20" ht="26.25">
      <c r="T3557" s="62" ph="1"/>
    </row>
    <row r="3558" spans="20:20" ht="26.25">
      <c r="T3558" s="62" ph="1"/>
    </row>
    <row r="3559" spans="20:20" ht="26.25">
      <c r="T3559" s="62" ph="1"/>
    </row>
    <row r="3560" spans="20:20" ht="26.25">
      <c r="T3560" s="62" ph="1"/>
    </row>
    <row r="3561" spans="20:20" ht="26.25">
      <c r="T3561" s="62" ph="1"/>
    </row>
    <row r="3562" spans="20:20" ht="26.25">
      <c r="T3562" s="62" ph="1"/>
    </row>
    <row r="3563" spans="20:20" ht="26.25">
      <c r="T3563" s="62" ph="1"/>
    </row>
    <row r="3564" spans="20:20" ht="26.25">
      <c r="T3564" s="62" ph="1"/>
    </row>
    <row r="3565" spans="20:20" ht="26.25">
      <c r="T3565" s="62" ph="1"/>
    </row>
    <row r="3566" spans="20:20" ht="26.25">
      <c r="T3566" s="62" ph="1"/>
    </row>
    <row r="3567" spans="20:20" ht="26.25">
      <c r="T3567" s="62" ph="1"/>
    </row>
    <row r="3568" spans="20:20" ht="26.25">
      <c r="T3568" s="62" ph="1"/>
    </row>
    <row r="3569" spans="20:20" ht="26.25">
      <c r="T3569" s="62" ph="1"/>
    </row>
    <row r="3570" spans="20:20" ht="26.25">
      <c r="T3570" s="62" ph="1"/>
    </row>
    <row r="3571" spans="20:20" ht="26.25">
      <c r="T3571" s="62" ph="1"/>
    </row>
    <row r="3572" spans="20:20" ht="26.25">
      <c r="T3572" s="62" ph="1"/>
    </row>
    <row r="3573" spans="20:20" ht="26.25">
      <c r="T3573" s="62" ph="1"/>
    </row>
    <row r="3574" spans="20:20" ht="26.25">
      <c r="T3574" s="62" ph="1"/>
    </row>
    <row r="3575" spans="20:20" ht="26.25">
      <c r="T3575" s="62" ph="1"/>
    </row>
    <row r="3576" spans="20:20" ht="26.25">
      <c r="T3576" s="62" ph="1"/>
    </row>
    <row r="3577" spans="20:20" ht="26.25">
      <c r="T3577" s="62" ph="1"/>
    </row>
    <row r="3578" spans="20:20" ht="26.25">
      <c r="T3578" s="62" ph="1"/>
    </row>
    <row r="3579" spans="20:20" ht="26.25">
      <c r="T3579" s="62" ph="1"/>
    </row>
    <row r="3580" spans="20:20" ht="26.25">
      <c r="T3580" s="62" ph="1"/>
    </row>
    <row r="3581" spans="20:20" ht="26.25">
      <c r="T3581" s="62" ph="1"/>
    </row>
    <row r="3582" spans="20:20" ht="26.25">
      <c r="T3582" s="62" ph="1"/>
    </row>
    <row r="3583" spans="20:20" ht="26.25">
      <c r="T3583" s="62" ph="1"/>
    </row>
    <row r="3584" spans="20:20" ht="26.25">
      <c r="T3584" s="62" ph="1"/>
    </row>
    <row r="3585" spans="20:20" ht="26.25">
      <c r="T3585" s="62" ph="1"/>
    </row>
    <row r="3586" spans="20:20" ht="26.25">
      <c r="T3586" s="62" ph="1"/>
    </row>
    <row r="3587" spans="20:20" ht="26.25">
      <c r="T3587" s="62" ph="1"/>
    </row>
    <row r="3588" spans="20:20" ht="26.25">
      <c r="T3588" s="62" ph="1"/>
    </row>
    <row r="3589" spans="20:20" ht="26.25">
      <c r="T3589" s="62" ph="1"/>
    </row>
    <row r="3590" spans="20:20" ht="26.25">
      <c r="T3590" s="62" ph="1"/>
    </row>
    <row r="3591" spans="20:20" ht="26.25">
      <c r="T3591" s="62" ph="1"/>
    </row>
    <row r="3592" spans="20:20" ht="26.25">
      <c r="T3592" s="62" ph="1"/>
    </row>
    <row r="3593" spans="20:20" ht="26.25">
      <c r="T3593" s="62" ph="1"/>
    </row>
    <row r="3594" spans="20:20" ht="26.25">
      <c r="T3594" s="62" ph="1"/>
    </row>
    <row r="3595" spans="20:20" ht="26.25">
      <c r="T3595" s="62" ph="1"/>
    </row>
    <row r="3596" spans="20:20" ht="26.25">
      <c r="T3596" s="62" ph="1"/>
    </row>
    <row r="3597" spans="20:20" ht="26.25">
      <c r="T3597" s="62" ph="1"/>
    </row>
    <row r="3598" spans="20:20" ht="26.25">
      <c r="T3598" s="62" ph="1"/>
    </row>
    <row r="3599" spans="20:20" ht="26.25">
      <c r="T3599" s="62" ph="1"/>
    </row>
    <row r="3600" spans="20:20" ht="26.25">
      <c r="T3600" s="62" ph="1"/>
    </row>
    <row r="3601" spans="20:20" ht="26.25">
      <c r="T3601" s="62" ph="1"/>
    </row>
    <row r="3602" spans="20:20" ht="26.25">
      <c r="T3602" s="62" ph="1"/>
    </row>
    <row r="3603" spans="20:20" ht="26.25">
      <c r="T3603" s="62" ph="1"/>
    </row>
    <row r="3604" spans="20:20" ht="26.25">
      <c r="T3604" s="62" ph="1"/>
    </row>
    <row r="3605" spans="20:20" ht="26.25">
      <c r="T3605" s="62" ph="1"/>
    </row>
    <row r="3606" spans="20:20" ht="26.25">
      <c r="T3606" s="62" ph="1"/>
    </row>
    <row r="3607" spans="20:20" ht="26.25">
      <c r="T3607" s="62" ph="1"/>
    </row>
    <row r="3608" spans="20:20" ht="26.25">
      <c r="T3608" s="62" ph="1"/>
    </row>
    <row r="3609" spans="20:20" ht="26.25">
      <c r="T3609" s="62" ph="1"/>
    </row>
    <row r="3610" spans="20:20" ht="26.25">
      <c r="T3610" s="62" ph="1"/>
    </row>
    <row r="3611" spans="20:20" ht="26.25">
      <c r="T3611" s="62" ph="1"/>
    </row>
    <row r="3612" spans="20:20" ht="26.25">
      <c r="T3612" s="62" ph="1"/>
    </row>
    <row r="3613" spans="20:20" ht="26.25">
      <c r="T3613" s="62" ph="1"/>
    </row>
    <row r="3614" spans="20:20" ht="26.25">
      <c r="T3614" s="62" ph="1"/>
    </row>
    <row r="3615" spans="20:20" ht="26.25">
      <c r="T3615" s="62" ph="1"/>
    </row>
    <row r="3616" spans="20:20" ht="26.25">
      <c r="T3616" s="62" ph="1"/>
    </row>
    <row r="3617" spans="20:20" ht="26.25">
      <c r="T3617" s="62" ph="1"/>
    </row>
    <row r="3618" spans="20:20" ht="26.25">
      <c r="T3618" s="62" ph="1"/>
    </row>
    <row r="3619" spans="20:20" ht="26.25">
      <c r="T3619" s="62" ph="1"/>
    </row>
    <row r="3620" spans="20:20" ht="26.25">
      <c r="T3620" s="62" ph="1"/>
    </row>
    <row r="3621" spans="20:20" ht="26.25">
      <c r="T3621" s="62" ph="1"/>
    </row>
    <row r="3622" spans="20:20" ht="26.25">
      <c r="T3622" s="62" ph="1"/>
    </row>
    <row r="3623" spans="20:20" ht="26.25">
      <c r="T3623" s="62" ph="1"/>
    </row>
    <row r="3624" spans="20:20" ht="26.25">
      <c r="T3624" s="62" ph="1"/>
    </row>
    <row r="3625" spans="20:20" ht="26.25">
      <c r="T3625" s="62" ph="1"/>
    </row>
    <row r="3626" spans="20:20" ht="26.25">
      <c r="T3626" s="62" ph="1"/>
    </row>
    <row r="3627" spans="20:20" ht="26.25">
      <c r="T3627" s="62" ph="1"/>
    </row>
    <row r="3628" spans="20:20" ht="26.25">
      <c r="T3628" s="62" ph="1"/>
    </row>
    <row r="3629" spans="20:20" ht="26.25">
      <c r="T3629" s="62" ph="1"/>
    </row>
    <row r="3630" spans="20:20" ht="26.25">
      <c r="T3630" s="62" ph="1"/>
    </row>
    <row r="3631" spans="20:20" ht="26.25">
      <c r="T3631" s="62" ph="1"/>
    </row>
    <row r="3632" spans="20:20" ht="26.25">
      <c r="T3632" s="62" ph="1"/>
    </row>
    <row r="3633" spans="20:20" ht="26.25">
      <c r="T3633" s="62" ph="1"/>
    </row>
    <row r="3634" spans="20:20" ht="26.25">
      <c r="T3634" s="62" ph="1"/>
    </row>
    <row r="3635" spans="20:20" ht="26.25">
      <c r="T3635" s="62" ph="1"/>
    </row>
    <row r="3636" spans="20:20" ht="26.25">
      <c r="T3636" s="62" ph="1"/>
    </row>
    <row r="3637" spans="20:20" ht="26.25">
      <c r="T3637" s="62" ph="1"/>
    </row>
    <row r="3638" spans="20:20" ht="26.25">
      <c r="T3638" s="62" ph="1"/>
    </row>
    <row r="3639" spans="20:20" ht="26.25">
      <c r="T3639" s="62" ph="1"/>
    </row>
    <row r="3640" spans="20:20" ht="26.25">
      <c r="T3640" s="62" ph="1"/>
    </row>
    <row r="3641" spans="20:20" ht="26.25">
      <c r="T3641" s="62" ph="1"/>
    </row>
    <row r="3642" spans="20:20" ht="26.25">
      <c r="T3642" s="62" ph="1"/>
    </row>
    <row r="3643" spans="20:20" ht="26.25">
      <c r="T3643" s="62" ph="1"/>
    </row>
    <row r="3644" spans="20:20" ht="26.25">
      <c r="T3644" s="62" ph="1"/>
    </row>
    <row r="3645" spans="20:20" ht="26.25">
      <c r="T3645" s="62" ph="1"/>
    </row>
    <row r="3646" spans="20:20" ht="26.25">
      <c r="T3646" s="62" ph="1"/>
    </row>
    <row r="3647" spans="20:20" ht="26.25">
      <c r="T3647" s="62" ph="1"/>
    </row>
    <row r="3648" spans="20:20" ht="26.25">
      <c r="T3648" s="62" ph="1"/>
    </row>
    <row r="3649" spans="20:20" ht="26.25">
      <c r="T3649" s="62" ph="1"/>
    </row>
    <row r="3650" spans="20:20" ht="26.25">
      <c r="T3650" s="62" ph="1"/>
    </row>
    <row r="3651" spans="20:20" ht="26.25">
      <c r="T3651" s="62" ph="1"/>
    </row>
    <row r="3652" spans="20:20" ht="26.25">
      <c r="T3652" s="62" ph="1"/>
    </row>
    <row r="3653" spans="20:20" ht="26.25">
      <c r="T3653" s="62" ph="1"/>
    </row>
    <row r="3654" spans="20:20" ht="26.25">
      <c r="T3654" s="62" ph="1"/>
    </row>
    <row r="3655" spans="20:20" ht="26.25">
      <c r="T3655" s="62" ph="1"/>
    </row>
    <row r="3656" spans="20:20" ht="26.25">
      <c r="T3656" s="62" ph="1"/>
    </row>
    <row r="3657" spans="20:20" ht="26.25">
      <c r="T3657" s="62" ph="1"/>
    </row>
    <row r="3658" spans="20:20" ht="26.25">
      <c r="T3658" s="62" ph="1"/>
    </row>
    <row r="3659" spans="20:20" ht="26.25">
      <c r="T3659" s="62" ph="1"/>
    </row>
    <row r="3660" spans="20:20" ht="26.25">
      <c r="T3660" s="62" ph="1"/>
    </row>
    <row r="3661" spans="20:20" ht="26.25">
      <c r="T3661" s="62" ph="1"/>
    </row>
    <row r="3662" spans="20:20" ht="26.25">
      <c r="T3662" s="62" ph="1"/>
    </row>
    <row r="3663" spans="20:20" ht="26.25">
      <c r="T3663" s="62" ph="1"/>
    </row>
    <row r="3664" spans="20:20" ht="26.25">
      <c r="T3664" s="62" ph="1"/>
    </row>
    <row r="3665" spans="20:20" ht="26.25">
      <c r="T3665" s="62" ph="1"/>
    </row>
    <row r="3666" spans="20:20" ht="26.25">
      <c r="T3666" s="62" ph="1"/>
    </row>
    <row r="3667" spans="20:20" ht="26.25">
      <c r="T3667" s="62" ph="1"/>
    </row>
    <row r="3668" spans="20:20" ht="26.25">
      <c r="T3668" s="62" ph="1"/>
    </row>
    <row r="3669" spans="20:20" ht="26.25">
      <c r="T3669" s="62" ph="1"/>
    </row>
    <row r="3670" spans="20:20" ht="26.25">
      <c r="T3670" s="62" ph="1"/>
    </row>
    <row r="3671" spans="20:20" ht="26.25">
      <c r="T3671" s="62" ph="1"/>
    </row>
    <row r="3672" spans="20:20" ht="26.25">
      <c r="T3672" s="62" ph="1"/>
    </row>
    <row r="3673" spans="20:20" ht="26.25">
      <c r="T3673" s="62" ph="1"/>
    </row>
    <row r="3674" spans="20:20" ht="26.25">
      <c r="T3674" s="62" ph="1"/>
    </row>
    <row r="3675" spans="20:20" ht="26.25">
      <c r="T3675" s="62" ph="1"/>
    </row>
    <row r="3676" spans="20:20" ht="26.25">
      <c r="T3676" s="62" ph="1"/>
    </row>
    <row r="3677" spans="20:20" ht="26.25">
      <c r="T3677" s="62" ph="1"/>
    </row>
    <row r="3678" spans="20:20" ht="26.25">
      <c r="T3678" s="62" ph="1"/>
    </row>
    <row r="3679" spans="20:20" ht="26.25">
      <c r="T3679" s="62" ph="1"/>
    </row>
    <row r="3680" spans="20:20" ht="26.25">
      <c r="T3680" s="62" ph="1"/>
    </row>
    <row r="3681" spans="20:20" ht="26.25">
      <c r="T3681" s="62" ph="1"/>
    </row>
    <row r="3682" spans="20:20" ht="26.25">
      <c r="T3682" s="62" ph="1"/>
    </row>
    <row r="3683" spans="20:20" ht="26.25">
      <c r="T3683" s="62" ph="1"/>
    </row>
    <row r="3684" spans="20:20" ht="26.25">
      <c r="T3684" s="62" ph="1"/>
    </row>
    <row r="3685" spans="20:20" ht="26.25">
      <c r="T3685" s="62" ph="1"/>
    </row>
    <row r="3686" spans="20:20" ht="26.25">
      <c r="T3686" s="62" ph="1"/>
    </row>
    <row r="3687" spans="20:20" ht="26.25">
      <c r="T3687" s="62" ph="1"/>
    </row>
    <row r="3688" spans="20:20" ht="26.25">
      <c r="T3688" s="62" ph="1"/>
    </row>
    <row r="3689" spans="20:20" ht="26.25">
      <c r="T3689" s="62" ph="1"/>
    </row>
    <row r="3690" spans="20:20" ht="26.25">
      <c r="T3690" s="62" ph="1"/>
    </row>
    <row r="3691" spans="20:20" ht="26.25">
      <c r="T3691" s="62" ph="1"/>
    </row>
    <row r="3692" spans="20:20" ht="26.25">
      <c r="T3692" s="62" ph="1"/>
    </row>
    <row r="3693" spans="20:20" ht="26.25">
      <c r="T3693" s="62" ph="1"/>
    </row>
    <row r="3694" spans="20:20" ht="26.25">
      <c r="T3694" s="62" ph="1"/>
    </row>
    <row r="3695" spans="20:20" ht="26.25">
      <c r="T3695" s="62" ph="1"/>
    </row>
    <row r="3696" spans="20:20" ht="26.25">
      <c r="T3696" s="62" ph="1"/>
    </row>
    <row r="3697" spans="20:20" ht="26.25">
      <c r="T3697" s="62" ph="1"/>
    </row>
    <row r="3698" spans="20:20" ht="26.25">
      <c r="T3698" s="62" ph="1"/>
    </row>
    <row r="3699" spans="20:20" ht="26.25">
      <c r="T3699" s="62" ph="1"/>
    </row>
    <row r="3700" spans="20:20" ht="26.25">
      <c r="T3700" s="62" ph="1"/>
    </row>
    <row r="3701" spans="20:20" ht="26.25">
      <c r="T3701" s="62" ph="1"/>
    </row>
    <row r="3702" spans="20:20" ht="26.25">
      <c r="T3702" s="62" ph="1"/>
    </row>
    <row r="3703" spans="20:20" ht="26.25">
      <c r="T3703" s="62" ph="1"/>
    </row>
    <row r="3704" spans="20:20" ht="26.25">
      <c r="T3704" s="62" ph="1"/>
    </row>
    <row r="3705" spans="20:20" ht="26.25">
      <c r="T3705" s="62" ph="1"/>
    </row>
    <row r="3706" spans="20:20" ht="26.25">
      <c r="T3706" s="62" ph="1"/>
    </row>
    <row r="3707" spans="20:20" ht="26.25">
      <c r="T3707" s="62" ph="1"/>
    </row>
    <row r="3708" spans="20:20" ht="26.25">
      <c r="T3708" s="62" ph="1"/>
    </row>
    <row r="3709" spans="20:20" ht="26.25">
      <c r="T3709" s="62" ph="1"/>
    </row>
    <row r="3710" spans="20:20" ht="26.25">
      <c r="T3710" s="62" ph="1"/>
    </row>
    <row r="3711" spans="20:20" ht="26.25">
      <c r="T3711" s="62" ph="1"/>
    </row>
    <row r="3712" spans="20:20" ht="26.25">
      <c r="T3712" s="62" ph="1"/>
    </row>
    <row r="3713" spans="20:20" ht="26.25">
      <c r="T3713" s="62" ph="1"/>
    </row>
    <row r="3714" spans="20:20" ht="26.25">
      <c r="T3714" s="62" ph="1"/>
    </row>
    <row r="3715" spans="20:20" ht="26.25">
      <c r="T3715" s="62" ph="1"/>
    </row>
    <row r="3716" spans="20:20" ht="26.25">
      <c r="T3716" s="62" ph="1"/>
    </row>
    <row r="3717" spans="20:20" ht="26.25">
      <c r="T3717" s="62" ph="1"/>
    </row>
    <row r="3718" spans="20:20" ht="26.25">
      <c r="T3718" s="62" ph="1"/>
    </row>
    <row r="3719" spans="20:20" ht="26.25">
      <c r="T3719" s="62" ph="1"/>
    </row>
    <row r="3720" spans="20:20" ht="26.25">
      <c r="T3720" s="62" ph="1"/>
    </row>
    <row r="3721" spans="20:20" ht="26.25">
      <c r="T3721" s="62" ph="1"/>
    </row>
    <row r="3722" spans="20:20" ht="26.25">
      <c r="T3722" s="62" ph="1"/>
    </row>
    <row r="3723" spans="20:20" ht="26.25">
      <c r="T3723" s="62" ph="1"/>
    </row>
    <row r="3724" spans="20:20" ht="26.25">
      <c r="T3724" s="62" ph="1"/>
    </row>
    <row r="3725" spans="20:20" ht="26.25">
      <c r="T3725" s="62" ph="1"/>
    </row>
    <row r="3726" spans="20:20" ht="26.25">
      <c r="T3726" s="62" ph="1"/>
    </row>
    <row r="3727" spans="20:20" ht="26.25">
      <c r="T3727" s="62" ph="1"/>
    </row>
    <row r="3728" spans="20:20" ht="26.25">
      <c r="T3728" s="62" ph="1"/>
    </row>
    <row r="3729" spans="20:20" ht="26.25">
      <c r="T3729" s="62" ph="1"/>
    </row>
    <row r="3730" spans="20:20" ht="26.25">
      <c r="T3730" s="62" ph="1"/>
    </row>
    <row r="3731" spans="20:20" ht="26.25">
      <c r="T3731" s="62" ph="1"/>
    </row>
    <row r="3732" spans="20:20" ht="26.25">
      <c r="T3732" s="62" ph="1"/>
    </row>
    <row r="3733" spans="20:20" ht="26.25">
      <c r="T3733" s="62" ph="1"/>
    </row>
    <row r="3734" spans="20:20" ht="26.25">
      <c r="T3734" s="62" ph="1"/>
    </row>
    <row r="3735" spans="20:20" ht="26.25">
      <c r="T3735" s="62" ph="1"/>
    </row>
    <row r="3736" spans="20:20" ht="26.25">
      <c r="T3736" s="62" ph="1"/>
    </row>
    <row r="3737" spans="20:20" ht="26.25">
      <c r="T3737" s="62" ph="1"/>
    </row>
    <row r="3738" spans="20:20" ht="26.25">
      <c r="T3738" s="62" ph="1"/>
    </row>
    <row r="3739" spans="20:20" ht="26.25">
      <c r="T3739" s="62" ph="1"/>
    </row>
    <row r="3740" spans="20:20" ht="26.25">
      <c r="T3740" s="62" ph="1"/>
    </row>
    <row r="3741" spans="20:20" ht="26.25">
      <c r="T3741" s="62" ph="1"/>
    </row>
    <row r="3742" spans="20:20" ht="26.25">
      <c r="T3742" s="62" ph="1"/>
    </row>
    <row r="3743" spans="20:20" ht="26.25">
      <c r="T3743" s="62" ph="1"/>
    </row>
    <row r="3744" spans="20:20" ht="26.25">
      <c r="T3744" s="62" ph="1"/>
    </row>
    <row r="3745" spans="20:20" ht="26.25">
      <c r="T3745" s="62" ph="1"/>
    </row>
    <row r="3746" spans="20:20" ht="26.25">
      <c r="T3746" s="62" ph="1"/>
    </row>
    <row r="3747" spans="20:20" ht="26.25">
      <c r="T3747" s="62" ph="1"/>
    </row>
    <row r="3748" spans="20:20" ht="26.25">
      <c r="T3748" s="62" ph="1"/>
    </row>
    <row r="3749" spans="20:20" ht="26.25">
      <c r="T3749" s="62" ph="1"/>
    </row>
    <row r="3750" spans="20:20" ht="26.25">
      <c r="T3750" s="62" ph="1"/>
    </row>
    <row r="3751" spans="20:20" ht="26.25">
      <c r="T3751" s="62" ph="1"/>
    </row>
    <row r="3752" spans="20:20" ht="26.25">
      <c r="T3752" s="62" ph="1"/>
    </row>
    <row r="3753" spans="20:20" ht="26.25">
      <c r="T3753" s="62" ph="1"/>
    </row>
    <row r="3754" spans="20:20" ht="26.25">
      <c r="T3754" s="62" ph="1"/>
    </row>
    <row r="3755" spans="20:20" ht="26.25">
      <c r="T3755" s="62" ph="1"/>
    </row>
    <row r="3756" spans="20:20" ht="26.25">
      <c r="T3756" s="62" ph="1"/>
    </row>
    <row r="3757" spans="20:20" ht="26.25">
      <c r="T3757" s="62" ph="1"/>
    </row>
    <row r="3758" spans="20:20" ht="26.25">
      <c r="T3758" s="62" ph="1"/>
    </row>
    <row r="3759" spans="20:20" ht="26.25">
      <c r="T3759" s="62" ph="1"/>
    </row>
    <row r="3760" spans="20:20" ht="26.25">
      <c r="T3760" s="62" ph="1"/>
    </row>
    <row r="3761" spans="20:20" ht="26.25">
      <c r="T3761" s="62" ph="1"/>
    </row>
    <row r="3762" spans="20:20" ht="26.25">
      <c r="T3762" s="62" ph="1"/>
    </row>
    <row r="3763" spans="20:20" ht="26.25">
      <c r="T3763" s="62" ph="1"/>
    </row>
    <row r="3764" spans="20:20" ht="26.25">
      <c r="T3764" s="62" ph="1"/>
    </row>
    <row r="3765" spans="20:20" ht="26.25">
      <c r="T3765" s="62" ph="1"/>
    </row>
    <row r="3766" spans="20:20" ht="26.25">
      <c r="T3766" s="62" ph="1"/>
    </row>
    <row r="3767" spans="20:20" ht="26.25">
      <c r="T3767" s="62" ph="1"/>
    </row>
    <row r="3768" spans="20:20" ht="26.25">
      <c r="T3768" s="62" ph="1"/>
    </row>
    <row r="3769" spans="20:20" ht="26.25">
      <c r="T3769" s="62" ph="1"/>
    </row>
    <row r="3770" spans="20:20" ht="26.25">
      <c r="T3770" s="62" ph="1"/>
    </row>
    <row r="3771" spans="20:20" ht="26.25">
      <c r="T3771" s="62" ph="1"/>
    </row>
    <row r="3772" spans="20:20" ht="26.25">
      <c r="T3772" s="62" ph="1"/>
    </row>
    <row r="3773" spans="20:20" ht="26.25">
      <c r="T3773" s="62" ph="1"/>
    </row>
    <row r="3774" spans="20:20" ht="26.25">
      <c r="T3774" s="62" ph="1"/>
    </row>
    <row r="3775" spans="20:20" ht="26.25">
      <c r="T3775" s="62" ph="1"/>
    </row>
    <row r="3776" spans="20:20" ht="26.25">
      <c r="T3776" s="62" ph="1"/>
    </row>
    <row r="3777" spans="20:20" ht="26.25">
      <c r="T3777" s="62" ph="1"/>
    </row>
    <row r="3778" spans="20:20" ht="26.25">
      <c r="T3778" s="62" ph="1"/>
    </row>
    <row r="3779" spans="20:20" ht="26.25">
      <c r="T3779" s="62" ph="1"/>
    </row>
    <row r="3780" spans="20:20" ht="26.25">
      <c r="T3780" s="62" ph="1"/>
    </row>
    <row r="3781" spans="20:20" ht="26.25">
      <c r="T3781" s="62" ph="1"/>
    </row>
    <row r="3782" spans="20:20" ht="26.25">
      <c r="T3782" s="62" ph="1"/>
    </row>
    <row r="3783" spans="20:20" ht="26.25">
      <c r="T3783" s="62" ph="1"/>
    </row>
    <row r="3784" spans="20:20" ht="26.25">
      <c r="T3784" s="62" ph="1"/>
    </row>
    <row r="3785" spans="20:20" ht="26.25">
      <c r="T3785" s="62" ph="1"/>
    </row>
    <row r="3786" spans="20:20" ht="26.25">
      <c r="T3786" s="62" ph="1"/>
    </row>
    <row r="3787" spans="20:20" ht="26.25">
      <c r="T3787" s="62" ph="1"/>
    </row>
    <row r="3788" spans="20:20" ht="26.25">
      <c r="T3788" s="62" ph="1"/>
    </row>
    <row r="3789" spans="20:20" ht="26.25">
      <c r="T3789" s="62" ph="1"/>
    </row>
    <row r="3790" spans="20:20" ht="26.25">
      <c r="T3790" s="62" ph="1"/>
    </row>
    <row r="3791" spans="20:20" ht="26.25">
      <c r="T3791" s="62" ph="1"/>
    </row>
    <row r="3792" spans="20:20" ht="26.25">
      <c r="T3792" s="62" ph="1"/>
    </row>
    <row r="3793" spans="20:20" ht="26.25">
      <c r="T3793" s="62" ph="1"/>
    </row>
    <row r="3794" spans="20:20" ht="26.25">
      <c r="T3794" s="62" ph="1"/>
    </row>
    <row r="3795" spans="20:20" ht="26.25">
      <c r="T3795" s="62" ph="1"/>
    </row>
    <row r="3796" spans="20:20" ht="26.25">
      <c r="T3796" s="62" ph="1"/>
    </row>
    <row r="3797" spans="20:20" ht="26.25">
      <c r="T3797" s="62" ph="1"/>
    </row>
    <row r="3798" spans="20:20" ht="26.25">
      <c r="T3798" s="62" ph="1"/>
    </row>
    <row r="3799" spans="20:20" ht="26.25">
      <c r="T3799" s="62" ph="1"/>
    </row>
    <row r="3800" spans="20:20" ht="26.25">
      <c r="T3800" s="62" ph="1"/>
    </row>
    <row r="3801" spans="20:20" ht="26.25">
      <c r="T3801" s="62" ph="1"/>
    </row>
    <row r="3802" spans="20:20" ht="26.25">
      <c r="T3802" s="62" ph="1"/>
    </row>
    <row r="3803" spans="20:20" ht="26.25">
      <c r="T3803" s="62" ph="1"/>
    </row>
    <row r="3804" spans="20:20" ht="26.25">
      <c r="T3804" s="62" ph="1"/>
    </row>
    <row r="3805" spans="20:20" ht="26.25">
      <c r="T3805" s="62" ph="1"/>
    </row>
    <row r="3806" spans="20:20" ht="26.25">
      <c r="T3806" s="62" ph="1"/>
    </row>
    <row r="3807" spans="20:20" ht="26.25">
      <c r="T3807" s="62" ph="1"/>
    </row>
    <row r="3808" spans="20:20" ht="26.25">
      <c r="T3808" s="62" ph="1"/>
    </row>
    <row r="3809" spans="20:20" ht="26.25">
      <c r="T3809" s="62" ph="1"/>
    </row>
    <row r="3810" spans="20:20" ht="26.25">
      <c r="T3810" s="62" ph="1"/>
    </row>
    <row r="3811" spans="20:20" ht="26.25">
      <c r="T3811" s="62" ph="1"/>
    </row>
    <row r="3812" spans="20:20" ht="26.25">
      <c r="T3812" s="62" ph="1"/>
    </row>
    <row r="3813" spans="20:20" ht="26.25">
      <c r="T3813" s="62" ph="1"/>
    </row>
    <row r="3814" spans="20:20" ht="26.25">
      <c r="T3814" s="62" ph="1"/>
    </row>
    <row r="3815" spans="20:20" ht="26.25">
      <c r="T3815" s="62" ph="1"/>
    </row>
    <row r="3816" spans="20:20" ht="26.25">
      <c r="T3816" s="62" ph="1"/>
    </row>
    <row r="3817" spans="20:20" ht="26.25">
      <c r="T3817" s="62" ph="1"/>
    </row>
    <row r="3818" spans="20:20" ht="26.25">
      <c r="T3818" s="62" ph="1"/>
    </row>
    <row r="3819" spans="20:20" ht="26.25">
      <c r="T3819" s="62" ph="1"/>
    </row>
    <row r="3820" spans="20:20" ht="26.25">
      <c r="T3820" s="62" ph="1"/>
    </row>
    <row r="3821" spans="20:20" ht="26.25">
      <c r="T3821" s="62" ph="1"/>
    </row>
    <row r="3822" spans="20:20" ht="26.25">
      <c r="T3822" s="62" ph="1"/>
    </row>
    <row r="3823" spans="20:20" ht="26.25">
      <c r="T3823" s="62" ph="1"/>
    </row>
    <row r="3824" spans="20:20" ht="26.25">
      <c r="T3824" s="62" ph="1"/>
    </row>
    <row r="3825" spans="20:20" ht="26.25">
      <c r="T3825" s="62" ph="1"/>
    </row>
    <row r="3826" spans="20:20" ht="26.25">
      <c r="T3826" s="62" ph="1"/>
    </row>
    <row r="3827" spans="20:20" ht="26.25">
      <c r="T3827" s="62" ph="1"/>
    </row>
    <row r="3828" spans="20:20" ht="26.25">
      <c r="T3828" s="62" ph="1"/>
    </row>
    <row r="3829" spans="20:20" ht="26.25">
      <c r="T3829" s="62" ph="1"/>
    </row>
    <row r="3830" spans="20:20" ht="26.25">
      <c r="T3830" s="62" ph="1"/>
    </row>
    <row r="3831" spans="20:20" ht="26.25">
      <c r="T3831" s="62" ph="1"/>
    </row>
    <row r="3832" spans="20:20" ht="26.25">
      <c r="T3832" s="62" ph="1"/>
    </row>
    <row r="3833" spans="20:20" ht="26.25">
      <c r="T3833" s="62" ph="1"/>
    </row>
    <row r="3834" spans="20:20" ht="26.25">
      <c r="T3834" s="62" ph="1"/>
    </row>
    <row r="3835" spans="20:20" ht="26.25">
      <c r="T3835" s="62" ph="1"/>
    </row>
    <row r="3836" spans="20:20" ht="26.25">
      <c r="T3836" s="62" ph="1"/>
    </row>
    <row r="3837" spans="20:20" ht="26.25">
      <c r="T3837" s="62" ph="1"/>
    </row>
    <row r="3838" spans="20:20" ht="26.25">
      <c r="T3838" s="62" ph="1"/>
    </row>
    <row r="3839" spans="20:20" ht="26.25">
      <c r="T3839" s="62" ph="1"/>
    </row>
    <row r="3840" spans="20:20" ht="26.25">
      <c r="T3840" s="62" ph="1"/>
    </row>
    <row r="3841" spans="20:20" ht="26.25">
      <c r="T3841" s="62" ph="1"/>
    </row>
    <row r="3842" spans="20:20" ht="26.25">
      <c r="T3842" s="62" ph="1"/>
    </row>
    <row r="3843" spans="20:20" ht="26.25">
      <c r="T3843" s="62" ph="1"/>
    </row>
    <row r="3844" spans="20:20" ht="26.25">
      <c r="T3844" s="62" ph="1"/>
    </row>
    <row r="3845" spans="20:20" ht="26.25">
      <c r="T3845" s="62" ph="1"/>
    </row>
    <row r="3846" spans="20:20" ht="26.25">
      <c r="T3846" s="62" ph="1"/>
    </row>
    <row r="3847" spans="20:20" ht="26.25">
      <c r="T3847" s="62" ph="1"/>
    </row>
    <row r="3848" spans="20:20" ht="26.25">
      <c r="T3848" s="62" ph="1"/>
    </row>
    <row r="3849" spans="20:20" ht="26.25">
      <c r="T3849" s="62" ph="1"/>
    </row>
    <row r="3850" spans="20:20" ht="26.25">
      <c r="T3850" s="62" ph="1"/>
    </row>
    <row r="3851" spans="20:20" ht="26.25">
      <c r="T3851" s="62" ph="1"/>
    </row>
    <row r="3852" spans="20:20" ht="26.25">
      <c r="T3852" s="62" ph="1"/>
    </row>
    <row r="3853" spans="20:20" ht="26.25">
      <c r="T3853" s="62" ph="1"/>
    </row>
    <row r="3854" spans="20:20" ht="26.25">
      <c r="T3854" s="62" ph="1"/>
    </row>
    <row r="3855" spans="20:20" ht="26.25">
      <c r="T3855" s="62" ph="1"/>
    </row>
    <row r="3856" spans="20:20" ht="26.25">
      <c r="T3856" s="62" ph="1"/>
    </row>
    <row r="3857" spans="20:20" ht="26.25">
      <c r="T3857" s="62" ph="1"/>
    </row>
    <row r="3858" spans="20:20" ht="26.25">
      <c r="T3858" s="62" ph="1"/>
    </row>
    <row r="3859" spans="20:20" ht="26.25">
      <c r="T3859" s="62" ph="1"/>
    </row>
    <row r="3860" spans="20:20" ht="26.25">
      <c r="T3860" s="62" ph="1"/>
    </row>
    <row r="3861" spans="20:20" ht="26.25">
      <c r="T3861" s="62" ph="1"/>
    </row>
    <row r="3862" spans="20:20" ht="26.25">
      <c r="T3862" s="62" ph="1"/>
    </row>
    <row r="3863" spans="20:20" ht="26.25">
      <c r="T3863" s="62" ph="1"/>
    </row>
    <row r="3864" spans="20:20" ht="26.25">
      <c r="T3864" s="62" ph="1"/>
    </row>
    <row r="3865" spans="20:20" ht="26.25">
      <c r="T3865" s="62" ph="1"/>
    </row>
    <row r="3866" spans="20:20" ht="26.25">
      <c r="T3866" s="62" ph="1"/>
    </row>
    <row r="3867" spans="20:20" ht="26.25">
      <c r="T3867" s="62" ph="1"/>
    </row>
    <row r="3868" spans="20:20" ht="26.25">
      <c r="T3868" s="62" ph="1"/>
    </row>
    <row r="3869" spans="20:20" ht="26.25">
      <c r="T3869" s="62" ph="1"/>
    </row>
    <row r="3870" spans="20:20" ht="26.25">
      <c r="T3870" s="62" ph="1"/>
    </row>
    <row r="3871" spans="20:20" ht="26.25">
      <c r="T3871" s="62" ph="1"/>
    </row>
    <row r="3872" spans="20:20" ht="26.25">
      <c r="T3872" s="62" ph="1"/>
    </row>
    <row r="3873" spans="20:20" ht="26.25">
      <c r="T3873" s="62" ph="1"/>
    </row>
    <row r="3874" spans="20:20" ht="26.25">
      <c r="T3874" s="62" ph="1"/>
    </row>
    <row r="3875" spans="20:20" ht="26.25">
      <c r="T3875" s="62" ph="1"/>
    </row>
    <row r="3876" spans="20:20" ht="26.25">
      <c r="T3876" s="62" ph="1"/>
    </row>
    <row r="3877" spans="20:20" ht="26.25">
      <c r="T3877" s="62" ph="1"/>
    </row>
    <row r="3878" spans="20:20" ht="26.25">
      <c r="T3878" s="62" ph="1"/>
    </row>
    <row r="3879" spans="20:20" ht="26.25">
      <c r="T3879" s="62" ph="1"/>
    </row>
    <row r="3880" spans="20:20" ht="26.25">
      <c r="T3880" s="62" ph="1"/>
    </row>
    <row r="3881" spans="20:20" ht="26.25">
      <c r="T3881" s="62" ph="1"/>
    </row>
    <row r="3882" spans="20:20" ht="26.25">
      <c r="T3882" s="62" ph="1"/>
    </row>
    <row r="3883" spans="20:20" ht="26.25">
      <c r="T3883" s="62" ph="1"/>
    </row>
    <row r="3884" spans="20:20" ht="26.25">
      <c r="T3884" s="62" ph="1"/>
    </row>
    <row r="3885" spans="20:20" ht="26.25">
      <c r="T3885" s="62" ph="1"/>
    </row>
    <row r="3886" spans="20:20" ht="26.25">
      <c r="T3886" s="62" ph="1"/>
    </row>
    <row r="3887" spans="20:20" ht="26.25">
      <c r="T3887" s="62" ph="1"/>
    </row>
    <row r="3888" spans="20:20" ht="26.25">
      <c r="T3888" s="62" ph="1"/>
    </row>
    <row r="3889" spans="20:20" ht="26.25">
      <c r="T3889" s="62" ph="1"/>
    </row>
    <row r="3890" spans="20:20" ht="26.25">
      <c r="T3890" s="62" ph="1"/>
    </row>
    <row r="3891" spans="20:20" ht="26.25">
      <c r="T3891" s="62" ph="1"/>
    </row>
    <row r="3892" spans="20:20" ht="26.25">
      <c r="T3892" s="62" ph="1"/>
    </row>
    <row r="3893" spans="20:20" ht="26.25">
      <c r="T3893" s="62" ph="1"/>
    </row>
    <row r="3894" spans="20:20" ht="26.25">
      <c r="T3894" s="62" ph="1"/>
    </row>
    <row r="3895" spans="20:20" ht="26.25">
      <c r="T3895" s="62" ph="1"/>
    </row>
    <row r="3896" spans="20:20" ht="26.25">
      <c r="T3896" s="62" ph="1"/>
    </row>
    <row r="3897" spans="20:20" ht="26.25">
      <c r="T3897" s="62" ph="1"/>
    </row>
    <row r="3898" spans="20:20" ht="26.25">
      <c r="T3898" s="62" ph="1"/>
    </row>
    <row r="3899" spans="20:20" ht="26.25">
      <c r="T3899" s="62" ph="1"/>
    </row>
    <row r="3900" spans="20:20" ht="26.25">
      <c r="T3900" s="62" ph="1"/>
    </row>
    <row r="3901" spans="20:20" ht="26.25">
      <c r="T3901" s="62" ph="1"/>
    </row>
    <row r="3902" spans="20:20" ht="26.25">
      <c r="T3902" s="62" ph="1"/>
    </row>
    <row r="3903" spans="20:20" ht="26.25">
      <c r="T3903" s="62" ph="1"/>
    </row>
    <row r="3904" spans="20:20" ht="26.25">
      <c r="T3904" s="62" ph="1"/>
    </row>
    <row r="3905" spans="20:20" ht="26.25">
      <c r="T3905" s="62" ph="1"/>
    </row>
    <row r="3906" spans="20:20" ht="26.25">
      <c r="T3906" s="62" ph="1"/>
    </row>
    <row r="3907" spans="20:20" ht="26.25">
      <c r="T3907" s="62" ph="1"/>
    </row>
    <row r="3908" spans="20:20" ht="26.25">
      <c r="T3908" s="62" ph="1"/>
    </row>
    <row r="3909" spans="20:20" ht="26.25">
      <c r="T3909" s="62" ph="1"/>
    </row>
    <row r="3910" spans="20:20" ht="26.25">
      <c r="T3910" s="62" ph="1"/>
    </row>
    <row r="3911" spans="20:20" ht="26.25">
      <c r="T3911" s="62" ph="1"/>
    </row>
    <row r="3912" spans="20:20" ht="26.25">
      <c r="T3912" s="62" ph="1"/>
    </row>
    <row r="3913" spans="20:20" ht="26.25">
      <c r="T3913" s="62" ph="1"/>
    </row>
    <row r="3914" spans="20:20" ht="26.25">
      <c r="T3914" s="62" ph="1"/>
    </row>
    <row r="3915" spans="20:20" ht="26.25">
      <c r="T3915" s="62" ph="1"/>
    </row>
    <row r="3916" spans="20:20" ht="26.25">
      <c r="T3916" s="62" ph="1"/>
    </row>
    <row r="3917" spans="20:20" ht="26.25">
      <c r="T3917" s="62" ph="1"/>
    </row>
    <row r="3918" spans="20:20" ht="26.25">
      <c r="T3918" s="62" ph="1"/>
    </row>
    <row r="3919" spans="20:20" ht="26.25">
      <c r="T3919" s="62" ph="1"/>
    </row>
    <row r="3920" spans="20:20" ht="26.25">
      <c r="T3920" s="62" ph="1"/>
    </row>
    <row r="3921" spans="20:20" ht="26.25">
      <c r="T3921" s="62" ph="1"/>
    </row>
    <row r="3922" spans="20:20" ht="26.25">
      <c r="T3922" s="62" ph="1"/>
    </row>
    <row r="3923" spans="20:20" ht="26.25">
      <c r="T3923" s="62" ph="1"/>
    </row>
    <row r="3924" spans="20:20" ht="26.25">
      <c r="T3924" s="62" ph="1"/>
    </row>
    <row r="3925" spans="20:20" ht="26.25">
      <c r="T3925" s="62" ph="1"/>
    </row>
    <row r="3926" spans="20:20" ht="26.25">
      <c r="T3926" s="62" ph="1"/>
    </row>
    <row r="3927" spans="20:20" ht="26.25">
      <c r="T3927" s="62" ph="1"/>
    </row>
    <row r="3928" spans="20:20" ht="26.25">
      <c r="T3928" s="62" ph="1"/>
    </row>
    <row r="3929" spans="20:20" ht="26.25">
      <c r="T3929" s="62" ph="1"/>
    </row>
    <row r="3930" spans="20:20" ht="26.25">
      <c r="T3930" s="62" ph="1"/>
    </row>
    <row r="3931" spans="20:20" ht="26.25">
      <c r="T3931" s="62" ph="1"/>
    </row>
    <row r="3932" spans="20:20" ht="26.25">
      <c r="T3932" s="62" ph="1"/>
    </row>
    <row r="3933" spans="20:20" ht="26.25">
      <c r="T3933" s="62" ph="1"/>
    </row>
    <row r="3934" spans="20:20" ht="26.25">
      <c r="T3934" s="62" ph="1"/>
    </row>
    <row r="3935" spans="20:20" ht="26.25">
      <c r="T3935" s="62" ph="1"/>
    </row>
    <row r="3936" spans="20:20" ht="26.25">
      <c r="T3936" s="62" ph="1"/>
    </row>
    <row r="3937" spans="20:20" ht="26.25">
      <c r="T3937" s="62" ph="1"/>
    </row>
    <row r="3938" spans="20:20" ht="26.25">
      <c r="T3938" s="62" ph="1"/>
    </row>
    <row r="3939" spans="20:20" ht="26.25">
      <c r="T3939" s="62" ph="1"/>
    </row>
    <row r="3940" spans="20:20" ht="26.25">
      <c r="T3940" s="62" ph="1"/>
    </row>
    <row r="3941" spans="20:20" ht="26.25">
      <c r="T3941" s="62" ph="1"/>
    </row>
    <row r="3942" spans="20:20" ht="26.25">
      <c r="T3942" s="62" ph="1"/>
    </row>
    <row r="3943" spans="20:20" ht="26.25">
      <c r="T3943" s="62" ph="1"/>
    </row>
    <row r="3944" spans="20:20" ht="26.25">
      <c r="T3944" s="62" ph="1"/>
    </row>
    <row r="3945" spans="20:20" ht="26.25">
      <c r="T3945" s="62" ph="1"/>
    </row>
    <row r="3946" spans="20:20" ht="26.25">
      <c r="T3946" s="62" ph="1"/>
    </row>
    <row r="3947" spans="20:20" ht="26.25">
      <c r="T3947" s="62" ph="1"/>
    </row>
    <row r="3948" spans="20:20" ht="26.25">
      <c r="T3948" s="62" ph="1"/>
    </row>
    <row r="3949" spans="20:20" ht="26.25">
      <c r="T3949" s="62" ph="1"/>
    </row>
    <row r="3950" spans="20:20" ht="26.25">
      <c r="T3950" s="62" ph="1"/>
    </row>
    <row r="3951" spans="20:20" ht="26.25">
      <c r="T3951" s="62" ph="1"/>
    </row>
    <row r="3952" spans="20:20" ht="26.25">
      <c r="T3952" s="62" ph="1"/>
    </row>
    <row r="3953" spans="20:20" ht="26.25">
      <c r="T3953" s="62" ph="1"/>
    </row>
    <row r="3954" spans="20:20" ht="26.25">
      <c r="T3954" s="62" ph="1"/>
    </row>
    <row r="3955" spans="20:20" ht="26.25">
      <c r="T3955" s="62" ph="1"/>
    </row>
    <row r="3956" spans="20:20" ht="26.25">
      <c r="T3956" s="62" ph="1"/>
    </row>
    <row r="3957" spans="20:20" ht="26.25">
      <c r="T3957" s="62" ph="1"/>
    </row>
    <row r="3958" spans="20:20" ht="26.25">
      <c r="T3958" s="62" ph="1"/>
    </row>
    <row r="3959" spans="20:20" ht="26.25">
      <c r="T3959" s="62" ph="1"/>
    </row>
    <row r="3960" spans="20:20" ht="26.25">
      <c r="T3960" s="62" ph="1"/>
    </row>
    <row r="3961" spans="20:20" ht="26.25">
      <c r="T3961" s="62" ph="1"/>
    </row>
    <row r="3962" spans="20:20" ht="26.25">
      <c r="T3962" s="62" ph="1"/>
    </row>
    <row r="3963" spans="20:20" ht="26.25">
      <c r="T3963" s="62" ph="1"/>
    </row>
    <row r="3964" spans="20:20" ht="26.25">
      <c r="T3964" s="62" ph="1"/>
    </row>
    <row r="3965" spans="20:20" ht="26.25">
      <c r="T3965" s="62" ph="1"/>
    </row>
    <row r="3966" spans="20:20" ht="26.25">
      <c r="T3966" s="62" ph="1"/>
    </row>
    <row r="3967" spans="20:20" ht="26.25">
      <c r="T3967" s="62" ph="1"/>
    </row>
    <row r="3968" spans="20:20" ht="26.25">
      <c r="T3968" s="62" ph="1"/>
    </row>
    <row r="3969" spans="20:20" ht="26.25">
      <c r="T3969" s="62" ph="1"/>
    </row>
    <row r="3970" spans="20:20" ht="26.25">
      <c r="T3970" s="62" ph="1"/>
    </row>
    <row r="3971" spans="20:20" ht="26.25">
      <c r="T3971" s="62" ph="1"/>
    </row>
    <row r="3972" spans="20:20" ht="26.25">
      <c r="T3972" s="62" ph="1"/>
    </row>
    <row r="3973" spans="20:20" ht="26.25">
      <c r="T3973" s="62" ph="1"/>
    </row>
    <row r="3974" spans="20:20" ht="26.25">
      <c r="T3974" s="62" ph="1"/>
    </row>
    <row r="3975" spans="20:20" ht="26.25">
      <c r="T3975" s="62" ph="1"/>
    </row>
    <row r="3976" spans="20:20" ht="26.25">
      <c r="T3976" s="62" ph="1"/>
    </row>
    <row r="3977" spans="20:20" ht="26.25">
      <c r="T3977" s="62" ph="1"/>
    </row>
    <row r="3978" spans="20:20" ht="26.25">
      <c r="T3978" s="62" ph="1"/>
    </row>
    <row r="3979" spans="20:20" ht="26.25">
      <c r="T3979" s="62" ph="1"/>
    </row>
    <row r="3980" spans="20:20" ht="26.25">
      <c r="T3980" s="62" ph="1"/>
    </row>
    <row r="3981" spans="20:20" ht="26.25">
      <c r="T3981" s="62" ph="1"/>
    </row>
    <row r="3982" spans="20:20" ht="26.25">
      <c r="T3982" s="62" ph="1"/>
    </row>
    <row r="3983" spans="20:20" ht="26.25">
      <c r="T3983" s="62" ph="1"/>
    </row>
    <row r="3984" spans="20:20" ht="26.25">
      <c r="T3984" s="62" ph="1"/>
    </row>
    <row r="3985" spans="20:20" ht="26.25">
      <c r="T3985" s="62" ph="1"/>
    </row>
    <row r="3986" spans="20:20" ht="26.25">
      <c r="T3986" s="62" ph="1"/>
    </row>
    <row r="3987" spans="20:20" ht="26.25">
      <c r="T3987" s="62" ph="1"/>
    </row>
    <row r="3988" spans="20:20" ht="26.25">
      <c r="T3988" s="62" ph="1"/>
    </row>
    <row r="3989" spans="20:20" ht="26.25">
      <c r="T3989" s="62" ph="1"/>
    </row>
    <row r="3990" spans="20:20" ht="26.25">
      <c r="T3990" s="62" ph="1"/>
    </row>
    <row r="3991" spans="20:20" ht="26.25">
      <c r="T3991" s="62" ph="1"/>
    </row>
    <row r="3992" spans="20:20" ht="26.25">
      <c r="T3992" s="62" ph="1"/>
    </row>
    <row r="3993" spans="20:20" ht="26.25">
      <c r="T3993" s="62" ph="1"/>
    </row>
    <row r="3994" spans="20:20" ht="26.25">
      <c r="T3994" s="62" ph="1"/>
    </row>
    <row r="3995" spans="20:20" ht="26.25">
      <c r="T3995" s="62" ph="1"/>
    </row>
    <row r="3996" spans="20:20" ht="26.25">
      <c r="T3996" s="62" ph="1"/>
    </row>
    <row r="3997" spans="20:20" ht="26.25">
      <c r="T3997" s="62" ph="1"/>
    </row>
    <row r="3998" spans="20:20" ht="26.25">
      <c r="T3998" s="62" ph="1"/>
    </row>
    <row r="3999" spans="20:20" ht="26.25">
      <c r="T3999" s="62" ph="1"/>
    </row>
    <row r="4000" spans="20:20" ht="26.25">
      <c r="T4000" s="62" ph="1"/>
    </row>
    <row r="4001" spans="20:20" ht="26.25">
      <c r="T4001" s="62" ph="1"/>
    </row>
    <row r="4002" spans="20:20" ht="26.25">
      <c r="T4002" s="62" ph="1"/>
    </row>
    <row r="4003" spans="20:20" ht="26.25">
      <c r="T4003" s="62" ph="1"/>
    </row>
    <row r="4004" spans="20:20" ht="26.25">
      <c r="T4004" s="62" ph="1"/>
    </row>
    <row r="4005" spans="20:20" ht="26.25">
      <c r="T4005" s="62" ph="1"/>
    </row>
    <row r="4006" spans="20:20" ht="26.25">
      <c r="T4006" s="62" ph="1"/>
    </row>
    <row r="4007" spans="20:20" ht="26.25">
      <c r="T4007" s="62" ph="1"/>
    </row>
    <row r="4008" spans="20:20" ht="26.25">
      <c r="T4008" s="62" ph="1"/>
    </row>
    <row r="4009" spans="20:20" ht="26.25">
      <c r="T4009" s="62" ph="1"/>
    </row>
    <row r="4010" spans="20:20" ht="26.25">
      <c r="T4010" s="62" ph="1"/>
    </row>
    <row r="4011" spans="20:20" ht="26.25">
      <c r="T4011" s="62" ph="1"/>
    </row>
    <row r="4012" spans="20:20" ht="26.25">
      <c r="T4012" s="62" ph="1"/>
    </row>
    <row r="4013" spans="20:20" ht="26.25">
      <c r="T4013" s="62" ph="1"/>
    </row>
    <row r="4014" spans="20:20" ht="26.25">
      <c r="T4014" s="62" ph="1"/>
    </row>
    <row r="4015" spans="20:20" ht="26.25">
      <c r="T4015" s="62" ph="1"/>
    </row>
    <row r="4016" spans="20:20" ht="26.25">
      <c r="T4016" s="62" ph="1"/>
    </row>
    <row r="4017" spans="20:20" ht="26.25">
      <c r="T4017" s="62" ph="1"/>
    </row>
    <row r="4018" spans="20:20" ht="26.25">
      <c r="T4018" s="62" ph="1"/>
    </row>
    <row r="4019" spans="20:20" ht="26.25">
      <c r="T4019" s="62" ph="1"/>
    </row>
    <row r="4020" spans="20:20" ht="26.25">
      <c r="T4020" s="62" ph="1"/>
    </row>
    <row r="4021" spans="20:20" ht="26.25">
      <c r="T4021" s="62" ph="1"/>
    </row>
    <row r="4022" spans="20:20" ht="26.25">
      <c r="T4022" s="62" ph="1"/>
    </row>
    <row r="4023" spans="20:20" ht="26.25">
      <c r="T4023" s="62" ph="1"/>
    </row>
    <row r="4024" spans="20:20" ht="26.25">
      <c r="T4024" s="62" ph="1"/>
    </row>
    <row r="4025" spans="20:20" ht="26.25">
      <c r="T4025" s="62" ph="1"/>
    </row>
    <row r="4026" spans="20:20" ht="26.25">
      <c r="T4026" s="62" ph="1"/>
    </row>
    <row r="4027" spans="20:20" ht="26.25">
      <c r="T4027" s="62" ph="1"/>
    </row>
    <row r="4028" spans="20:20" ht="26.25">
      <c r="T4028" s="62" ph="1"/>
    </row>
    <row r="4029" spans="20:20" ht="26.25">
      <c r="T4029" s="62" ph="1"/>
    </row>
    <row r="4030" spans="20:20" ht="26.25">
      <c r="T4030" s="62" ph="1"/>
    </row>
    <row r="4031" spans="20:20" ht="26.25">
      <c r="T4031" s="62" ph="1"/>
    </row>
    <row r="4032" spans="20:20" ht="26.25">
      <c r="T4032" s="62" ph="1"/>
    </row>
    <row r="4033" spans="20:20" ht="26.25">
      <c r="T4033" s="62" ph="1"/>
    </row>
    <row r="4034" spans="20:20" ht="26.25">
      <c r="T4034" s="62" ph="1"/>
    </row>
    <row r="4035" spans="20:20" ht="26.25">
      <c r="T4035" s="62" ph="1"/>
    </row>
    <row r="4036" spans="20:20" ht="26.25">
      <c r="T4036" s="62" ph="1"/>
    </row>
    <row r="4037" spans="20:20" ht="26.25">
      <c r="T4037" s="62" ph="1"/>
    </row>
    <row r="4038" spans="20:20" ht="26.25">
      <c r="T4038" s="62" ph="1"/>
    </row>
    <row r="4039" spans="20:20" ht="26.25">
      <c r="T4039" s="62" ph="1"/>
    </row>
    <row r="4040" spans="20:20" ht="26.25">
      <c r="T4040" s="62" ph="1"/>
    </row>
    <row r="4041" spans="20:20" ht="26.25">
      <c r="T4041" s="62" ph="1"/>
    </row>
    <row r="4042" spans="20:20" ht="26.25">
      <c r="T4042" s="62" ph="1"/>
    </row>
    <row r="4043" spans="20:20" ht="26.25">
      <c r="T4043" s="62" ph="1"/>
    </row>
    <row r="4044" spans="20:20" ht="26.25">
      <c r="T4044" s="62" ph="1"/>
    </row>
    <row r="4045" spans="20:20" ht="26.25">
      <c r="T4045" s="62" ph="1"/>
    </row>
    <row r="4046" spans="20:20" ht="26.25">
      <c r="T4046" s="62" ph="1"/>
    </row>
    <row r="4047" spans="20:20" ht="26.25">
      <c r="T4047" s="62" ph="1"/>
    </row>
    <row r="4048" spans="20:20" ht="26.25">
      <c r="T4048" s="62" ph="1"/>
    </row>
    <row r="4049" spans="20:20" ht="26.25">
      <c r="T4049" s="62" ph="1"/>
    </row>
    <row r="4050" spans="20:20" ht="26.25">
      <c r="T4050" s="62" ph="1"/>
    </row>
    <row r="4051" spans="20:20" ht="26.25">
      <c r="T4051" s="62" ph="1"/>
    </row>
    <row r="4052" spans="20:20" ht="26.25">
      <c r="T4052" s="62" ph="1"/>
    </row>
    <row r="4053" spans="20:20" ht="26.25">
      <c r="T4053" s="62" ph="1"/>
    </row>
    <row r="4054" spans="20:20" ht="26.25">
      <c r="T4054" s="62" ph="1"/>
    </row>
    <row r="4055" spans="20:20" ht="26.25">
      <c r="T4055" s="62" ph="1"/>
    </row>
    <row r="4056" spans="20:20" ht="26.25">
      <c r="T4056" s="62" ph="1"/>
    </row>
    <row r="4057" spans="20:20" ht="26.25">
      <c r="T4057" s="62" ph="1"/>
    </row>
    <row r="4058" spans="20:20" ht="26.25">
      <c r="T4058" s="62" ph="1"/>
    </row>
    <row r="4059" spans="20:20" ht="26.25">
      <c r="T4059" s="62" ph="1"/>
    </row>
    <row r="4060" spans="20:20" ht="26.25">
      <c r="T4060" s="62" ph="1"/>
    </row>
    <row r="4061" spans="20:20" ht="26.25">
      <c r="T4061" s="62" ph="1"/>
    </row>
    <row r="4062" spans="20:20" ht="26.25">
      <c r="T4062" s="62" ph="1"/>
    </row>
    <row r="4063" spans="20:20" ht="26.25">
      <c r="T4063" s="62" ph="1"/>
    </row>
    <row r="4064" spans="20:20" ht="26.25">
      <c r="T4064" s="62" ph="1"/>
    </row>
    <row r="4065" spans="20:20" ht="26.25">
      <c r="T4065" s="62" ph="1"/>
    </row>
    <row r="4066" spans="20:20" ht="26.25">
      <c r="T4066" s="62" ph="1"/>
    </row>
    <row r="4067" spans="20:20" ht="26.25">
      <c r="T4067" s="62" ph="1"/>
    </row>
    <row r="4068" spans="20:20" ht="26.25">
      <c r="T4068" s="62" ph="1"/>
    </row>
    <row r="4069" spans="20:20" ht="26.25">
      <c r="T4069" s="62" ph="1"/>
    </row>
    <row r="4070" spans="20:20" ht="26.25">
      <c r="T4070" s="62" ph="1"/>
    </row>
    <row r="4071" spans="20:20" ht="26.25">
      <c r="T4071" s="62" ph="1"/>
    </row>
    <row r="4072" spans="20:20" ht="26.25">
      <c r="T4072" s="62" ph="1"/>
    </row>
    <row r="4073" spans="20:20" ht="26.25">
      <c r="T4073" s="62" ph="1"/>
    </row>
    <row r="4074" spans="20:20" ht="26.25">
      <c r="T4074" s="62" ph="1"/>
    </row>
    <row r="4075" spans="20:20" ht="26.25">
      <c r="T4075" s="62" ph="1"/>
    </row>
    <row r="4076" spans="20:20" ht="26.25">
      <c r="T4076" s="62" ph="1"/>
    </row>
    <row r="4077" spans="20:20" ht="26.25">
      <c r="T4077" s="62" ph="1"/>
    </row>
    <row r="4078" spans="20:20" ht="26.25">
      <c r="T4078" s="62" ph="1"/>
    </row>
    <row r="4079" spans="20:20" ht="26.25">
      <c r="T4079" s="62" ph="1"/>
    </row>
    <row r="4080" spans="20:20" ht="26.25">
      <c r="T4080" s="62" ph="1"/>
    </row>
    <row r="4081" spans="20:20" ht="26.25">
      <c r="T4081" s="62" ph="1"/>
    </row>
    <row r="4082" spans="20:20" ht="26.25">
      <c r="T4082" s="62" ph="1"/>
    </row>
    <row r="4083" spans="20:20" ht="26.25">
      <c r="T4083" s="62" ph="1"/>
    </row>
    <row r="4084" spans="20:20" ht="26.25">
      <c r="T4084" s="62" ph="1"/>
    </row>
    <row r="4085" spans="20:20" ht="26.25">
      <c r="T4085" s="62" ph="1"/>
    </row>
    <row r="4086" spans="20:20" ht="26.25">
      <c r="T4086" s="62" ph="1"/>
    </row>
    <row r="4087" spans="20:20" ht="26.25">
      <c r="T4087" s="62" ph="1"/>
    </row>
    <row r="4088" spans="20:20" ht="26.25">
      <c r="T4088" s="62" ph="1"/>
    </row>
    <row r="4089" spans="20:20" ht="26.25">
      <c r="T4089" s="62" ph="1"/>
    </row>
    <row r="4090" spans="20:20" ht="26.25">
      <c r="T4090" s="62" ph="1"/>
    </row>
    <row r="4091" spans="20:20" ht="26.25">
      <c r="T4091" s="62" ph="1"/>
    </row>
    <row r="4092" spans="20:20" ht="26.25">
      <c r="T4092" s="62" ph="1"/>
    </row>
    <row r="4093" spans="20:20" ht="26.25">
      <c r="T4093" s="62" ph="1"/>
    </row>
    <row r="4094" spans="20:20" ht="26.25">
      <c r="T4094" s="62" ph="1"/>
    </row>
    <row r="4095" spans="20:20" ht="26.25">
      <c r="T4095" s="62" ph="1"/>
    </row>
    <row r="4096" spans="20:20" ht="26.25">
      <c r="T4096" s="62" ph="1"/>
    </row>
    <row r="4097" spans="20:20" ht="26.25">
      <c r="T4097" s="62" ph="1"/>
    </row>
    <row r="4098" spans="20:20" ht="26.25">
      <c r="T4098" s="62" ph="1"/>
    </row>
    <row r="4099" spans="20:20" ht="26.25">
      <c r="T4099" s="62" ph="1"/>
    </row>
    <row r="4100" spans="20:20" ht="26.25">
      <c r="T4100" s="62" ph="1"/>
    </row>
    <row r="4101" spans="20:20" ht="26.25">
      <c r="T4101" s="62" ph="1"/>
    </row>
    <row r="4102" spans="20:20" ht="26.25">
      <c r="T4102" s="62" ph="1"/>
    </row>
    <row r="4103" spans="20:20" ht="26.25">
      <c r="T4103" s="62" ph="1"/>
    </row>
    <row r="4104" spans="20:20" ht="26.25">
      <c r="T4104" s="62" ph="1"/>
    </row>
    <row r="4105" spans="20:20" ht="26.25">
      <c r="T4105" s="62" ph="1"/>
    </row>
    <row r="4106" spans="20:20" ht="26.25">
      <c r="T4106" s="62" ph="1"/>
    </row>
    <row r="4107" spans="20:20" ht="26.25">
      <c r="T4107" s="62" ph="1"/>
    </row>
    <row r="4108" spans="20:20" ht="26.25">
      <c r="T4108" s="62" ph="1"/>
    </row>
    <row r="4109" spans="20:20" ht="26.25">
      <c r="T4109" s="62" ph="1"/>
    </row>
    <row r="4110" spans="20:20" ht="26.25">
      <c r="T4110" s="62" ph="1"/>
    </row>
    <row r="4111" spans="20:20" ht="26.25">
      <c r="T4111" s="62" ph="1"/>
    </row>
    <row r="4112" spans="20:20" ht="26.25">
      <c r="T4112" s="62" ph="1"/>
    </row>
    <row r="4113" spans="20:20" ht="26.25">
      <c r="T4113" s="62" ph="1"/>
    </row>
    <row r="4114" spans="20:20" ht="26.25">
      <c r="T4114" s="62" ph="1"/>
    </row>
    <row r="4115" spans="20:20" ht="26.25">
      <c r="T4115" s="62" ph="1"/>
    </row>
    <row r="4116" spans="20:20" ht="26.25">
      <c r="T4116" s="62" ph="1"/>
    </row>
    <row r="4117" spans="20:20" ht="26.25">
      <c r="T4117" s="62" ph="1"/>
    </row>
    <row r="4118" spans="20:20" ht="26.25">
      <c r="T4118" s="62" ph="1"/>
    </row>
    <row r="4119" spans="20:20" ht="26.25">
      <c r="T4119" s="62" ph="1"/>
    </row>
    <row r="4120" spans="20:20" ht="26.25">
      <c r="T4120" s="62" ph="1"/>
    </row>
    <row r="4121" spans="20:20" ht="26.25">
      <c r="T4121" s="62" ph="1"/>
    </row>
    <row r="4122" spans="20:20" ht="26.25">
      <c r="T4122" s="62" ph="1"/>
    </row>
    <row r="4123" spans="20:20" ht="26.25">
      <c r="T4123" s="62" ph="1"/>
    </row>
    <row r="4124" spans="20:20" ht="26.25">
      <c r="T4124" s="62" ph="1"/>
    </row>
    <row r="4125" spans="20:20" ht="26.25">
      <c r="T4125" s="62" ph="1"/>
    </row>
    <row r="4126" spans="20:20" ht="26.25">
      <c r="T4126" s="62" ph="1"/>
    </row>
    <row r="4127" spans="20:20" ht="26.25">
      <c r="T4127" s="62" ph="1"/>
    </row>
    <row r="4128" spans="20:20" ht="26.25">
      <c r="T4128" s="62" ph="1"/>
    </row>
    <row r="4129" spans="20:20" ht="26.25">
      <c r="T4129" s="62" ph="1"/>
    </row>
    <row r="4130" spans="20:20" ht="26.25">
      <c r="T4130" s="62" ph="1"/>
    </row>
    <row r="4131" spans="20:20" ht="26.25">
      <c r="T4131" s="62" ph="1"/>
    </row>
    <row r="4132" spans="20:20" ht="26.25">
      <c r="T4132" s="62" ph="1"/>
    </row>
    <row r="4133" spans="20:20" ht="26.25">
      <c r="T4133" s="62" ph="1"/>
    </row>
    <row r="4134" spans="20:20" ht="26.25">
      <c r="T4134" s="62" ph="1"/>
    </row>
    <row r="4135" spans="20:20" ht="26.25">
      <c r="T4135" s="62" ph="1"/>
    </row>
    <row r="4136" spans="20:20" ht="26.25">
      <c r="T4136" s="62" ph="1"/>
    </row>
    <row r="4137" spans="20:20" ht="26.25">
      <c r="T4137" s="62" ph="1"/>
    </row>
    <row r="4138" spans="20:20" ht="26.25">
      <c r="T4138" s="62" ph="1"/>
    </row>
    <row r="4139" spans="20:20" ht="26.25">
      <c r="T4139" s="62" ph="1"/>
    </row>
    <row r="4140" spans="20:20" ht="26.25">
      <c r="T4140" s="62" ph="1"/>
    </row>
    <row r="4141" spans="20:20" ht="26.25">
      <c r="T4141" s="62" ph="1"/>
    </row>
    <row r="4142" spans="20:20" ht="26.25">
      <c r="T4142" s="62" ph="1"/>
    </row>
    <row r="4143" spans="20:20" ht="26.25">
      <c r="T4143" s="62" ph="1"/>
    </row>
    <row r="4144" spans="20:20" ht="26.25">
      <c r="T4144" s="62" ph="1"/>
    </row>
    <row r="4145" spans="20:20" ht="26.25">
      <c r="T4145" s="62" ph="1"/>
    </row>
    <row r="4146" spans="20:20" ht="26.25">
      <c r="T4146" s="62" ph="1"/>
    </row>
    <row r="4147" spans="20:20" ht="26.25">
      <c r="T4147" s="62" ph="1"/>
    </row>
    <row r="4148" spans="20:20" ht="26.25">
      <c r="T4148" s="62" ph="1"/>
    </row>
    <row r="4149" spans="20:20" ht="26.25">
      <c r="T4149" s="62" ph="1"/>
    </row>
    <row r="4150" spans="20:20" ht="26.25">
      <c r="T4150" s="62" ph="1"/>
    </row>
    <row r="4151" spans="20:20" ht="26.25">
      <c r="T4151" s="62" ph="1"/>
    </row>
    <row r="4152" spans="20:20" ht="26.25">
      <c r="T4152" s="62" ph="1"/>
    </row>
    <row r="4153" spans="20:20" ht="26.25">
      <c r="T4153" s="62" ph="1"/>
    </row>
    <row r="4154" spans="20:20" ht="26.25">
      <c r="T4154" s="62" ph="1"/>
    </row>
    <row r="4155" spans="20:20" ht="26.25">
      <c r="T4155" s="62" ph="1"/>
    </row>
    <row r="4156" spans="20:20" ht="26.25">
      <c r="T4156" s="62" ph="1"/>
    </row>
    <row r="4157" spans="20:20" ht="26.25">
      <c r="T4157" s="62" ph="1"/>
    </row>
    <row r="4158" spans="20:20" ht="26.25">
      <c r="T4158" s="62" ph="1"/>
    </row>
    <row r="4159" spans="20:20" ht="26.25">
      <c r="T4159" s="62" ph="1"/>
    </row>
    <row r="4160" spans="20:20" ht="26.25">
      <c r="T4160" s="62" ph="1"/>
    </row>
    <row r="4161" spans="20:20" ht="26.25">
      <c r="T4161" s="62" ph="1"/>
    </row>
    <row r="4162" spans="20:20" ht="26.25">
      <c r="T4162" s="62" ph="1"/>
    </row>
    <row r="4163" spans="20:20" ht="26.25">
      <c r="T4163" s="62" ph="1"/>
    </row>
    <row r="4164" spans="20:20" ht="26.25">
      <c r="T4164" s="62" ph="1"/>
    </row>
    <row r="4165" spans="20:20" ht="26.25">
      <c r="T4165" s="62" ph="1"/>
    </row>
    <row r="4166" spans="20:20" ht="26.25">
      <c r="T4166" s="62" ph="1"/>
    </row>
    <row r="4167" spans="20:20" ht="26.25">
      <c r="T4167" s="62" ph="1"/>
    </row>
    <row r="4168" spans="20:20" ht="26.25">
      <c r="T4168" s="62" ph="1"/>
    </row>
    <row r="4169" spans="20:20" ht="26.25">
      <c r="T4169" s="62" ph="1"/>
    </row>
    <row r="4170" spans="20:20" ht="26.25">
      <c r="T4170" s="62" ph="1"/>
    </row>
    <row r="4171" spans="20:20" ht="26.25">
      <c r="T4171" s="62" ph="1"/>
    </row>
    <row r="4172" spans="20:20" ht="26.25">
      <c r="T4172" s="62" ph="1"/>
    </row>
    <row r="4173" spans="20:20" ht="26.25">
      <c r="T4173" s="62" ph="1"/>
    </row>
    <row r="4174" spans="20:20" ht="26.25">
      <c r="T4174" s="62" ph="1"/>
    </row>
    <row r="4175" spans="20:20" ht="26.25">
      <c r="T4175" s="62" ph="1"/>
    </row>
    <row r="4176" spans="20:20" ht="26.25">
      <c r="T4176" s="62" ph="1"/>
    </row>
    <row r="4177" spans="20:20" ht="26.25">
      <c r="T4177" s="62" ph="1"/>
    </row>
    <row r="4178" spans="20:20" ht="26.25">
      <c r="T4178" s="62" ph="1"/>
    </row>
    <row r="4179" spans="20:20" ht="26.25">
      <c r="T4179" s="62" ph="1"/>
    </row>
    <row r="4180" spans="20:20" ht="26.25">
      <c r="T4180" s="62" ph="1"/>
    </row>
    <row r="4181" spans="20:20" ht="26.25">
      <c r="T4181" s="62" ph="1"/>
    </row>
    <row r="4182" spans="20:20" ht="26.25">
      <c r="T4182" s="62" ph="1"/>
    </row>
    <row r="4183" spans="20:20" ht="26.25">
      <c r="T4183" s="62" ph="1"/>
    </row>
    <row r="4184" spans="20:20" ht="26.25">
      <c r="T4184" s="62" ph="1"/>
    </row>
    <row r="4185" spans="20:20" ht="26.25">
      <c r="T4185" s="62" ph="1"/>
    </row>
    <row r="4186" spans="20:20" ht="26.25">
      <c r="T4186" s="62" ph="1"/>
    </row>
    <row r="4187" spans="20:20" ht="26.25">
      <c r="T4187" s="62" ph="1"/>
    </row>
    <row r="4188" spans="20:20" ht="26.25">
      <c r="T4188" s="62" ph="1"/>
    </row>
    <row r="4189" spans="20:20" ht="26.25">
      <c r="T4189" s="62" ph="1"/>
    </row>
    <row r="4190" spans="20:20" ht="26.25">
      <c r="T4190" s="62" ph="1"/>
    </row>
    <row r="4191" spans="20:20" ht="26.25">
      <c r="T4191" s="62" ph="1"/>
    </row>
    <row r="4192" spans="20:20" ht="26.25">
      <c r="T4192" s="62" ph="1"/>
    </row>
    <row r="4193" spans="20:20" ht="26.25">
      <c r="T4193" s="62" ph="1"/>
    </row>
    <row r="4194" spans="20:20" ht="26.25">
      <c r="T4194" s="62" ph="1"/>
    </row>
    <row r="4195" spans="20:20" ht="26.25">
      <c r="T4195" s="62" ph="1"/>
    </row>
    <row r="4196" spans="20:20" ht="26.25">
      <c r="T4196" s="62" ph="1"/>
    </row>
    <row r="4197" spans="20:20" ht="26.25">
      <c r="T4197" s="62" ph="1"/>
    </row>
    <row r="4198" spans="20:20" ht="26.25">
      <c r="T4198" s="62" ph="1"/>
    </row>
    <row r="4199" spans="20:20" ht="26.25">
      <c r="T4199" s="62" ph="1"/>
    </row>
    <row r="4200" spans="20:20" ht="26.25">
      <c r="T4200" s="62" ph="1"/>
    </row>
    <row r="4201" spans="20:20" ht="26.25">
      <c r="T4201" s="62" ph="1"/>
    </row>
    <row r="4202" spans="20:20" ht="26.25">
      <c r="T4202" s="62" ph="1"/>
    </row>
    <row r="4203" spans="20:20" ht="26.25">
      <c r="T4203" s="62" ph="1"/>
    </row>
    <row r="4204" spans="20:20" ht="26.25">
      <c r="T4204" s="62" ph="1"/>
    </row>
    <row r="4205" spans="20:20" ht="26.25">
      <c r="T4205" s="62" ph="1"/>
    </row>
    <row r="4206" spans="20:20" ht="26.25">
      <c r="T4206" s="62" ph="1"/>
    </row>
    <row r="4207" spans="20:20" ht="26.25">
      <c r="T4207" s="62" ph="1"/>
    </row>
    <row r="4208" spans="20:20" ht="26.25">
      <c r="T4208" s="62" ph="1"/>
    </row>
    <row r="4209" spans="20:20" ht="26.25">
      <c r="T4209" s="62" ph="1"/>
    </row>
    <row r="4210" spans="20:20" ht="26.25">
      <c r="T4210" s="62" ph="1"/>
    </row>
    <row r="4211" spans="20:20" ht="26.25">
      <c r="T4211" s="62" ph="1"/>
    </row>
    <row r="4212" spans="20:20" ht="26.25">
      <c r="T4212" s="62" ph="1"/>
    </row>
    <row r="4213" spans="20:20" ht="26.25">
      <c r="T4213" s="62" ph="1"/>
    </row>
    <row r="4214" spans="20:20" ht="26.25">
      <c r="T4214" s="62" ph="1"/>
    </row>
    <row r="4215" spans="20:20" ht="26.25">
      <c r="T4215" s="62" ph="1"/>
    </row>
    <row r="4216" spans="20:20" ht="26.25">
      <c r="T4216" s="62" ph="1"/>
    </row>
    <row r="4217" spans="20:20" ht="26.25">
      <c r="T4217" s="62" ph="1"/>
    </row>
    <row r="4218" spans="20:20" ht="26.25">
      <c r="T4218" s="62" ph="1"/>
    </row>
    <row r="4219" spans="20:20" ht="26.25">
      <c r="T4219" s="62" ph="1"/>
    </row>
    <row r="4220" spans="20:20" ht="26.25">
      <c r="T4220" s="62" ph="1"/>
    </row>
    <row r="4221" spans="20:20" ht="26.25">
      <c r="T4221" s="62" ph="1"/>
    </row>
    <row r="4222" spans="20:20" ht="26.25">
      <c r="T4222" s="62" ph="1"/>
    </row>
    <row r="4223" spans="20:20" ht="26.25">
      <c r="T4223" s="62" ph="1"/>
    </row>
    <row r="4224" spans="20:20" ht="26.25">
      <c r="T4224" s="62" ph="1"/>
    </row>
    <row r="4225" spans="20:20" ht="26.25">
      <c r="T4225" s="62" ph="1"/>
    </row>
    <row r="4226" spans="20:20" ht="26.25">
      <c r="T4226" s="62" ph="1"/>
    </row>
    <row r="4227" spans="20:20" ht="26.25">
      <c r="T4227" s="62" ph="1"/>
    </row>
    <row r="4228" spans="20:20" ht="26.25">
      <c r="T4228" s="62" ph="1"/>
    </row>
    <row r="4229" spans="20:20" ht="26.25">
      <c r="T4229" s="62" ph="1"/>
    </row>
    <row r="4230" spans="20:20" ht="26.25">
      <c r="T4230" s="62" ph="1"/>
    </row>
    <row r="4231" spans="20:20" ht="26.25">
      <c r="T4231" s="62" ph="1"/>
    </row>
    <row r="4232" spans="20:20" ht="26.25">
      <c r="T4232" s="62" ph="1"/>
    </row>
    <row r="4233" spans="20:20" ht="26.25">
      <c r="T4233" s="62" ph="1"/>
    </row>
    <row r="4234" spans="20:20" ht="26.25">
      <c r="T4234" s="62" ph="1"/>
    </row>
    <row r="4235" spans="20:20" ht="26.25">
      <c r="T4235" s="62" ph="1"/>
    </row>
    <row r="4236" spans="20:20" ht="26.25">
      <c r="T4236" s="62" ph="1"/>
    </row>
    <row r="4237" spans="20:20" ht="26.25">
      <c r="T4237" s="62" ph="1"/>
    </row>
    <row r="4238" spans="20:20" ht="26.25">
      <c r="T4238" s="62" ph="1"/>
    </row>
    <row r="4239" spans="20:20" ht="26.25">
      <c r="T4239" s="62" ph="1"/>
    </row>
    <row r="4240" spans="20:20" ht="26.25">
      <c r="T4240" s="62" ph="1"/>
    </row>
    <row r="4241" spans="20:20" ht="26.25">
      <c r="T4241" s="62" ph="1"/>
    </row>
    <row r="4242" spans="20:20" ht="26.25">
      <c r="T4242" s="62" ph="1"/>
    </row>
    <row r="4243" spans="20:20" ht="26.25">
      <c r="T4243" s="62" ph="1"/>
    </row>
    <row r="4244" spans="20:20" ht="26.25">
      <c r="T4244" s="62" ph="1"/>
    </row>
    <row r="4245" spans="20:20" ht="26.25">
      <c r="T4245" s="62" ph="1"/>
    </row>
    <row r="4246" spans="20:20" ht="26.25">
      <c r="T4246" s="62" ph="1"/>
    </row>
    <row r="4247" spans="20:20" ht="26.25">
      <c r="T4247" s="62" ph="1"/>
    </row>
    <row r="4248" spans="20:20" ht="26.25">
      <c r="T4248" s="62" ph="1"/>
    </row>
    <row r="4249" spans="20:20" ht="26.25">
      <c r="T4249" s="62" ph="1"/>
    </row>
    <row r="4250" spans="20:20" ht="26.25">
      <c r="T4250" s="62" ph="1"/>
    </row>
    <row r="4251" spans="20:20" ht="26.25">
      <c r="T4251" s="62" ph="1"/>
    </row>
    <row r="4252" spans="20:20" ht="26.25">
      <c r="T4252" s="62" ph="1"/>
    </row>
    <row r="4253" spans="20:20" ht="26.25">
      <c r="T4253" s="62" ph="1"/>
    </row>
    <row r="4254" spans="20:20" ht="26.25">
      <c r="T4254" s="62" ph="1"/>
    </row>
    <row r="4255" spans="20:20" ht="26.25">
      <c r="T4255" s="62" ph="1"/>
    </row>
    <row r="4256" spans="20:20" ht="26.25">
      <c r="T4256" s="62" ph="1"/>
    </row>
    <row r="4257" spans="20:20" ht="26.25">
      <c r="T4257" s="62" ph="1"/>
    </row>
    <row r="4258" spans="20:20" ht="26.25">
      <c r="T4258" s="62" ph="1"/>
    </row>
    <row r="4259" spans="20:20" ht="26.25">
      <c r="T4259" s="62" ph="1"/>
    </row>
    <row r="4260" spans="20:20" ht="26.25">
      <c r="T4260" s="62" ph="1"/>
    </row>
    <row r="4261" spans="20:20" ht="26.25">
      <c r="T4261" s="62" ph="1"/>
    </row>
    <row r="4262" spans="20:20" ht="26.25">
      <c r="T4262" s="62" ph="1"/>
    </row>
    <row r="4263" spans="20:20" ht="26.25">
      <c r="T4263" s="62" ph="1"/>
    </row>
    <row r="4264" spans="20:20" ht="26.25">
      <c r="T4264" s="62" ph="1"/>
    </row>
    <row r="4265" spans="20:20" ht="26.25">
      <c r="T4265" s="62" ph="1"/>
    </row>
    <row r="4266" spans="20:20" ht="26.25">
      <c r="T4266" s="62" ph="1"/>
    </row>
    <row r="4267" spans="20:20" ht="26.25">
      <c r="T4267" s="62" ph="1"/>
    </row>
    <row r="4268" spans="20:20" ht="26.25">
      <c r="T4268" s="62" ph="1"/>
    </row>
    <row r="4269" spans="20:20" ht="26.25">
      <c r="T4269" s="62" ph="1"/>
    </row>
    <row r="4270" spans="20:20" ht="26.25">
      <c r="T4270" s="62" ph="1"/>
    </row>
    <row r="4271" spans="20:20" ht="26.25">
      <c r="T4271" s="62" ph="1"/>
    </row>
    <row r="4272" spans="20:20" ht="26.25">
      <c r="T4272" s="62" ph="1"/>
    </row>
    <row r="4273" spans="20:20" ht="26.25">
      <c r="T4273" s="62" ph="1"/>
    </row>
    <row r="4274" spans="20:20" ht="26.25">
      <c r="T4274" s="62" ph="1"/>
    </row>
    <row r="4275" spans="20:20" ht="26.25">
      <c r="T4275" s="62" ph="1"/>
    </row>
    <row r="4276" spans="20:20" ht="26.25">
      <c r="T4276" s="62" ph="1"/>
    </row>
    <row r="4277" spans="20:20" ht="26.25">
      <c r="T4277" s="62" ph="1"/>
    </row>
    <row r="4278" spans="20:20" ht="26.25">
      <c r="T4278" s="62" ph="1"/>
    </row>
    <row r="4279" spans="20:20" ht="26.25">
      <c r="T4279" s="62" ph="1"/>
    </row>
    <row r="4280" spans="20:20" ht="26.25">
      <c r="T4280" s="62" ph="1"/>
    </row>
    <row r="4281" spans="20:20" ht="26.25">
      <c r="T4281" s="62" ph="1"/>
    </row>
    <row r="4282" spans="20:20" ht="26.25">
      <c r="T4282" s="62" ph="1"/>
    </row>
    <row r="4283" spans="20:20" ht="26.25">
      <c r="T4283" s="62" ph="1"/>
    </row>
    <row r="4284" spans="20:20" ht="26.25">
      <c r="T4284" s="62" ph="1"/>
    </row>
    <row r="4285" spans="20:20" ht="26.25">
      <c r="T4285" s="62" ph="1"/>
    </row>
    <row r="4286" spans="20:20" ht="26.25">
      <c r="T4286" s="62" ph="1"/>
    </row>
    <row r="4287" spans="20:20" ht="26.25">
      <c r="T4287" s="62" ph="1"/>
    </row>
    <row r="4288" spans="20:20" ht="26.25">
      <c r="T4288" s="62" ph="1"/>
    </row>
    <row r="4289" spans="20:20" ht="26.25">
      <c r="T4289" s="62" ph="1"/>
    </row>
    <row r="4290" spans="20:20" ht="26.25">
      <c r="T4290" s="62" ph="1"/>
    </row>
    <row r="4291" spans="20:20" ht="26.25">
      <c r="T4291" s="62" ph="1"/>
    </row>
    <row r="4292" spans="20:20" ht="26.25">
      <c r="T4292" s="62" ph="1"/>
    </row>
    <row r="4293" spans="20:20" ht="26.25">
      <c r="T4293" s="62" ph="1"/>
    </row>
    <row r="4294" spans="20:20" ht="26.25">
      <c r="T4294" s="62" ph="1"/>
    </row>
    <row r="4295" spans="20:20" ht="26.25">
      <c r="T4295" s="62" ph="1"/>
    </row>
    <row r="4296" spans="20:20" ht="26.25">
      <c r="T4296" s="62" ph="1"/>
    </row>
    <row r="4297" spans="20:20" ht="26.25">
      <c r="T4297" s="62" ph="1"/>
    </row>
    <row r="4298" spans="20:20" ht="26.25">
      <c r="T4298" s="62" ph="1"/>
    </row>
    <row r="4299" spans="20:20" ht="26.25">
      <c r="T4299" s="62" ph="1"/>
    </row>
    <row r="4300" spans="20:20" ht="26.25">
      <c r="T4300" s="62" ph="1"/>
    </row>
    <row r="4301" spans="20:20" ht="26.25">
      <c r="T4301" s="62" ph="1"/>
    </row>
    <row r="4302" spans="20:20" ht="26.25">
      <c r="T4302" s="62" ph="1"/>
    </row>
    <row r="4303" spans="20:20" ht="26.25">
      <c r="T4303" s="62" ph="1"/>
    </row>
    <row r="4304" spans="20:20" ht="26.25">
      <c r="T4304" s="62" ph="1"/>
    </row>
    <row r="4305" spans="20:20" ht="26.25">
      <c r="T4305" s="62" ph="1"/>
    </row>
    <row r="4306" spans="20:20" ht="26.25">
      <c r="T4306" s="62" ph="1"/>
    </row>
    <row r="4307" spans="20:20" ht="26.25">
      <c r="T4307" s="62" ph="1"/>
    </row>
    <row r="4308" spans="20:20" ht="26.25">
      <c r="T4308" s="62" ph="1"/>
    </row>
    <row r="4309" spans="20:20" ht="26.25">
      <c r="T4309" s="62" ph="1"/>
    </row>
    <row r="4310" spans="20:20" ht="26.25">
      <c r="T4310" s="62" ph="1"/>
    </row>
    <row r="4311" spans="20:20" ht="26.25">
      <c r="T4311" s="62" ph="1"/>
    </row>
    <row r="4312" spans="20:20" ht="26.25">
      <c r="T4312" s="62" ph="1"/>
    </row>
    <row r="4313" spans="20:20" ht="26.25">
      <c r="T4313" s="62" ph="1"/>
    </row>
    <row r="4314" spans="20:20" ht="26.25">
      <c r="T4314" s="62" ph="1"/>
    </row>
    <row r="4315" spans="20:20" ht="26.25">
      <c r="T4315" s="62" ph="1"/>
    </row>
    <row r="4316" spans="20:20" ht="26.25">
      <c r="T4316" s="62" ph="1"/>
    </row>
    <row r="4317" spans="20:20" ht="26.25">
      <c r="T4317" s="62" ph="1"/>
    </row>
    <row r="4318" spans="20:20" ht="26.25">
      <c r="T4318" s="62" ph="1"/>
    </row>
    <row r="4319" spans="20:20" ht="26.25">
      <c r="T4319" s="62" ph="1"/>
    </row>
    <row r="4320" spans="20:20" ht="26.25">
      <c r="T4320" s="62" ph="1"/>
    </row>
    <row r="4321" spans="20:20" ht="26.25">
      <c r="T4321" s="62" ph="1"/>
    </row>
    <row r="4322" spans="20:20" ht="26.25">
      <c r="T4322" s="62" ph="1"/>
    </row>
    <row r="4323" spans="20:20" ht="26.25">
      <c r="T4323" s="62" ph="1"/>
    </row>
    <row r="4324" spans="20:20" ht="26.25">
      <c r="T4324" s="62" ph="1"/>
    </row>
    <row r="4325" spans="20:20" ht="26.25">
      <c r="T4325" s="62" ph="1"/>
    </row>
    <row r="4326" spans="20:20" ht="26.25">
      <c r="T4326" s="62" ph="1"/>
    </row>
    <row r="4327" spans="20:20" ht="26.25">
      <c r="T4327" s="62" ph="1"/>
    </row>
    <row r="4328" spans="20:20" ht="26.25">
      <c r="T4328" s="62" ph="1"/>
    </row>
    <row r="4329" spans="20:20" ht="26.25">
      <c r="T4329" s="62" ph="1"/>
    </row>
    <row r="4330" spans="20:20" ht="26.25">
      <c r="T4330" s="62" ph="1"/>
    </row>
    <row r="4331" spans="20:20" ht="26.25">
      <c r="T4331" s="62" ph="1"/>
    </row>
    <row r="4332" spans="20:20" ht="26.25">
      <c r="T4332" s="62" ph="1"/>
    </row>
    <row r="4333" spans="20:20" ht="26.25">
      <c r="T4333" s="62" ph="1"/>
    </row>
    <row r="4334" spans="20:20" ht="26.25">
      <c r="T4334" s="62" ph="1"/>
    </row>
    <row r="4335" spans="20:20" ht="26.25">
      <c r="T4335" s="62" ph="1"/>
    </row>
    <row r="4336" spans="20:20" ht="26.25">
      <c r="T4336" s="62" ph="1"/>
    </row>
    <row r="4337" spans="20:20" ht="26.25">
      <c r="T4337" s="62" ph="1"/>
    </row>
    <row r="4338" spans="20:20" ht="26.25">
      <c r="T4338" s="62" ph="1"/>
    </row>
    <row r="4339" spans="20:20" ht="26.25">
      <c r="T4339" s="62" ph="1"/>
    </row>
    <row r="4340" spans="20:20" ht="26.25">
      <c r="T4340" s="62" ph="1"/>
    </row>
    <row r="4341" spans="20:20" ht="26.25">
      <c r="T4341" s="62" ph="1"/>
    </row>
    <row r="4342" spans="20:20" ht="26.25">
      <c r="T4342" s="62" ph="1"/>
    </row>
    <row r="4343" spans="20:20" ht="26.25">
      <c r="T4343" s="62" ph="1"/>
    </row>
    <row r="4344" spans="20:20" ht="26.25">
      <c r="T4344" s="62" ph="1"/>
    </row>
    <row r="4345" spans="20:20" ht="26.25">
      <c r="T4345" s="62" ph="1"/>
    </row>
    <row r="4346" spans="20:20" ht="26.25">
      <c r="T4346" s="62" ph="1"/>
    </row>
    <row r="4347" spans="20:20" ht="26.25">
      <c r="T4347" s="62" ph="1"/>
    </row>
    <row r="4348" spans="20:20" ht="26.25">
      <c r="T4348" s="62" ph="1"/>
    </row>
    <row r="4349" spans="20:20" ht="26.25">
      <c r="T4349" s="62" ph="1"/>
    </row>
    <row r="4350" spans="20:20" ht="26.25">
      <c r="T4350" s="62" ph="1"/>
    </row>
    <row r="4351" spans="20:20" ht="26.25">
      <c r="T4351" s="62" ph="1"/>
    </row>
    <row r="4352" spans="20:20" ht="26.25">
      <c r="T4352" s="62" ph="1"/>
    </row>
    <row r="4353" spans="20:20" ht="26.25">
      <c r="T4353" s="62" ph="1"/>
    </row>
    <row r="4354" spans="20:20" ht="26.25">
      <c r="T4354" s="62" ph="1"/>
    </row>
    <row r="4355" spans="20:20" ht="26.25">
      <c r="T4355" s="62" ph="1"/>
    </row>
    <row r="4356" spans="20:20" ht="26.25">
      <c r="T4356" s="62" ph="1"/>
    </row>
    <row r="4357" spans="20:20" ht="26.25">
      <c r="T4357" s="62" ph="1"/>
    </row>
    <row r="4358" spans="20:20" ht="26.25">
      <c r="T4358" s="62" ph="1"/>
    </row>
    <row r="4359" spans="20:20" ht="26.25">
      <c r="T4359" s="62" ph="1"/>
    </row>
    <row r="4360" spans="20:20" ht="26.25">
      <c r="T4360" s="62" ph="1"/>
    </row>
    <row r="4361" spans="20:20" ht="26.25">
      <c r="T4361" s="62" ph="1"/>
    </row>
    <row r="4362" spans="20:20" ht="26.25">
      <c r="T4362" s="62" ph="1"/>
    </row>
    <row r="4363" spans="20:20" ht="26.25">
      <c r="T4363" s="62" ph="1"/>
    </row>
    <row r="4364" spans="20:20" ht="26.25">
      <c r="T4364" s="62" ph="1"/>
    </row>
    <row r="4365" spans="20:20" ht="26.25">
      <c r="T4365" s="62" ph="1"/>
    </row>
    <row r="4366" spans="20:20" ht="26.25">
      <c r="T4366" s="62" ph="1"/>
    </row>
    <row r="4367" spans="20:20" ht="26.25">
      <c r="T4367" s="62" ph="1"/>
    </row>
    <row r="4368" spans="20:20" ht="26.25">
      <c r="T4368" s="62" ph="1"/>
    </row>
    <row r="4369" spans="20:20" ht="26.25">
      <c r="T4369" s="62" ph="1"/>
    </row>
    <row r="4370" spans="20:20" ht="26.25">
      <c r="T4370" s="62" ph="1"/>
    </row>
    <row r="4371" spans="20:20" ht="26.25">
      <c r="T4371" s="62" ph="1"/>
    </row>
    <row r="4372" spans="20:20" ht="26.25">
      <c r="T4372" s="62" ph="1"/>
    </row>
    <row r="4373" spans="20:20" ht="26.25">
      <c r="T4373" s="62" ph="1"/>
    </row>
    <row r="4374" spans="20:20" ht="26.25">
      <c r="T4374" s="62" ph="1"/>
    </row>
    <row r="4375" spans="20:20" ht="26.25">
      <c r="T4375" s="62" ph="1"/>
    </row>
    <row r="4376" spans="20:20" ht="26.25">
      <c r="T4376" s="62" ph="1"/>
    </row>
    <row r="4377" spans="20:20" ht="26.25">
      <c r="T4377" s="62" ph="1"/>
    </row>
    <row r="4378" spans="20:20" ht="26.25">
      <c r="T4378" s="62" ph="1"/>
    </row>
    <row r="4379" spans="20:20" ht="26.25">
      <c r="T4379" s="62" ph="1"/>
    </row>
    <row r="4380" spans="20:20" ht="26.25">
      <c r="T4380" s="62" ph="1"/>
    </row>
    <row r="4381" spans="20:20" ht="26.25">
      <c r="T4381" s="62" ph="1"/>
    </row>
    <row r="4382" spans="20:20" ht="26.25">
      <c r="T4382" s="62" ph="1"/>
    </row>
    <row r="4383" spans="20:20" ht="26.25">
      <c r="T4383" s="62" ph="1"/>
    </row>
    <row r="4384" spans="20:20" ht="26.25">
      <c r="T4384" s="62" ph="1"/>
    </row>
    <row r="4385" spans="20:20" ht="26.25">
      <c r="T4385" s="62" ph="1"/>
    </row>
    <row r="4386" spans="20:20" ht="26.25">
      <c r="T4386" s="62" ph="1"/>
    </row>
    <row r="4387" spans="20:20" ht="26.25">
      <c r="T4387" s="62" ph="1"/>
    </row>
    <row r="4388" spans="20:20" ht="26.25">
      <c r="T4388" s="62" ph="1"/>
    </row>
    <row r="4389" spans="20:20" ht="26.25">
      <c r="T4389" s="62" ph="1"/>
    </row>
    <row r="4390" spans="20:20" ht="26.25">
      <c r="T4390" s="62" ph="1"/>
    </row>
    <row r="4391" spans="20:20" ht="26.25">
      <c r="T4391" s="62" ph="1"/>
    </row>
    <row r="4392" spans="20:20" ht="26.25">
      <c r="T4392" s="62" ph="1"/>
    </row>
    <row r="4393" spans="20:20" ht="26.25">
      <c r="T4393" s="62" ph="1"/>
    </row>
    <row r="4394" spans="20:20" ht="26.25">
      <c r="T4394" s="62" ph="1"/>
    </row>
    <row r="4395" spans="20:20" ht="26.25">
      <c r="T4395" s="62" ph="1"/>
    </row>
    <row r="4396" spans="20:20" ht="26.25">
      <c r="T4396" s="62" ph="1"/>
    </row>
    <row r="4397" spans="20:20" ht="26.25">
      <c r="T4397" s="62" ph="1"/>
    </row>
    <row r="4398" spans="20:20" ht="26.25">
      <c r="T4398" s="62" ph="1"/>
    </row>
    <row r="4399" spans="20:20" ht="26.25">
      <c r="T4399" s="62" ph="1"/>
    </row>
    <row r="4400" spans="20:20" ht="26.25">
      <c r="T4400" s="62" ph="1"/>
    </row>
    <row r="4401" spans="20:20" ht="26.25">
      <c r="T4401" s="62" ph="1"/>
    </row>
    <row r="4402" spans="20:20" ht="26.25">
      <c r="T4402" s="62" ph="1"/>
    </row>
    <row r="4403" spans="20:20" ht="26.25">
      <c r="T4403" s="62" ph="1"/>
    </row>
    <row r="4404" spans="20:20" ht="26.25">
      <c r="T4404" s="62" ph="1"/>
    </row>
    <row r="4405" spans="20:20" ht="26.25">
      <c r="T4405" s="62" ph="1"/>
    </row>
    <row r="4406" spans="20:20" ht="26.25">
      <c r="T4406" s="62" ph="1"/>
    </row>
    <row r="4407" spans="20:20" ht="26.25">
      <c r="T4407" s="62" ph="1"/>
    </row>
    <row r="4408" spans="20:20" ht="26.25">
      <c r="T4408" s="62" ph="1"/>
    </row>
    <row r="4409" spans="20:20" ht="26.25">
      <c r="T4409" s="62" ph="1"/>
    </row>
    <row r="4410" spans="20:20" ht="26.25">
      <c r="T4410" s="62" ph="1"/>
    </row>
    <row r="4411" spans="20:20" ht="26.25">
      <c r="T4411" s="62" ph="1"/>
    </row>
    <row r="4412" spans="20:20" ht="26.25">
      <c r="T4412" s="62" ph="1"/>
    </row>
    <row r="4413" spans="20:20" ht="26.25">
      <c r="T4413" s="62" ph="1"/>
    </row>
    <row r="4414" spans="20:20" ht="26.25">
      <c r="T4414" s="62" ph="1"/>
    </row>
    <row r="4415" spans="20:20" ht="26.25">
      <c r="T4415" s="62" ph="1"/>
    </row>
    <row r="4416" spans="20:20" ht="26.25">
      <c r="T4416" s="62" ph="1"/>
    </row>
    <row r="4417" spans="20:20" ht="26.25">
      <c r="T4417" s="62" ph="1"/>
    </row>
    <row r="4418" spans="20:20" ht="26.25">
      <c r="T4418" s="62" ph="1"/>
    </row>
    <row r="4419" spans="20:20" ht="26.25">
      <c r="T4419" s="62" ph="1"/>
    </row>
    <row r="4420" spans="20:20" ht="26.25">
      <c r="T4420" s="62" ph="1"/>
    </row>
    <row r="4421" spans="20:20" ht="26.25">
      <c r="T4421" s="62" ph="1"/>
    </row>
    <row r="4422" spans="20:20" ht="26.25">
      <c r="T4422" s="62" ph="1"/>
    </row>
    <row r="4423" spans="20:20" ht="26.25">
      <c r="T4423" s="62" ph="1"/>
    </row>
    <row r="4424" spans="20:20" ht="26.25">
      <c r="T4424" s="62" ph="1"/>
    </row>
    <row r="4425" spans="20:20" ht="26.25">
      <c r="T4425" s="62" ph="1"/>
    </row>
    <row r="4426" spans="20:20" ht="26.25">
      <c r="T4426" s="62" ph="1"/>
    </row>
    <row r="4427" spans="20:20" ht="26.25">
      <c r="T4427" s="62" ph="1"/>
    </row>
    <row r="4428" spans="20:20" ht="26.25">
      <c r="T4428" s="62" ph="1"/>
    </row>
    <row r="4429" spans="20:20" ht="26.25">
      <c r="T4429" s="62" ph="1"/>
    </row>
    <row r="4430" spans="20:20" ht="26.25">
      <c r="T4430" s="62" ph="1"/>
    </row>
    <row r="4431" spans="20:20" ht="26.25">
      <c r="T4431" s="62" ph="1"/>
    </row>
    <row r="4432" spans="20:20" ht="26.25">
      <c r="T4432" s="62" ph="1"/>
    </row>
    <row r="4433" spans="20:20" ht="26.25">
      <c r="T4433" s="62" ph="1"/>
    </row>
    <row r="4434" spans="20:20" ht="26.25">
      <c r="T4434" s="62" ph="1"/>
    </row>
    <row r="4435" spans="20:20" ht="26.25">
      <c r="T4435" s="62" ph="1"/>
    </row>
    <row r="4436" spans="20:20" ht="26.25">
      <c r="T4436" s="62" ph="1"/>
    </row>
    <row r="4437" spans="20:20" ht="26.25">
      <c r="T4437" s="62" ph="1"/>
    </row>
    <row r="4438" spans="20:20" ht="26.25">
      <c r="T4438" s="62" ph="1"/>
    </row>
    <row r="4439" spans="20:20" ht="26.25">
      <c r="T4439" s="62" ph="1"/>
    </row>
    <row r="4440" spans="20:20" ht="26.25">
      <c r="T4440" s="62" ph="1"/>
    </row>
    <row r="4441" spans="20:20" ht="26.25">
      <c r="T4441" s="62" ph="1"/>
    </row>
    <row r="4442" spans="20:20" ht="26.25">
      <c r="T4442" s="62" ph="1"/>
    </row>
    <row r="4443" spans="20:20" ht="26.25">
      <c r="T4443" s="62" ph="1"/>
    </row>
    <row r="4444" spans="20:20" ht="26.25">
      <c r="T4444" s="62" ph="1"/>
    </row>
    <row r="4445" spans="20:20" ht="26.25">
      <c r="T4445" s="62" ph="1"/>
    </row>
    <row r="4446" spans="20:20" ht="26.25">
      <c r="T4446" s="62" ph="1"/>
    </row>
    <row r="4447" spans="20:20" ht="26.25">
      <c r="T4447" s="62" ph="1"/>
    </row>
    <row r="4448" spans="20:20" ht="26.25">
      <c r="T4448" s="62" ph="1"/>
    </row>
    <row r="4449" spans="20:20" ht="26.25">
      <c r="T4449" s="62" ph="1"/>
    </row>
    <row r="4450" spans="20:20" ht="26.25">
      <c r="T4450" s="62" ph="1"/>
    </row>
    <row r="4451" spans="20:20" ht="26.25">
      <c r="T4451" s="62" ph="1"/>
    </row>
    <row r="4452" spans="20:20" ht="26.25">
      <c r="T4452" s="62" ph="1"/>
    </row>
    <row r="4453" spans="20:20" ht="26.25">
      <c r="T4453" s="62" ph="1"/>
    </row>
    <row r="4454" spans="20:20" ht="26.25">
      <c r="T4454" s="62" ph="1"/>
    </row>
    <row r="4455" spans="20:20" ht="26.25">
      <c r="T4455" s="62" ph="1"/>
    </row>
    <row r="4456" spans="20:20" ht="26.25">
      <c r="T4456" s="62" ph="1"/>
    </row>
    <row r="4457" spans="20:20" ht="26.25">
      <c r="T4457" s="62" ph="1"/>
    </row>
    <row r="4458" spans="20:20" ht="26.25">
      <c r="T4458" s="62" ph="1"/>
    </row>
    <row r="4459" spans="20:20" ht="26.25">
      <c r="T4459" s="62" ph="1"/>
    </row>
    <row r="4460" spans="20:20" ht="26.25">
      <c r="T4460" s="62" ph="1"/>
    </row>
    <row r="4461" spans="20:20" ht="26.25">
      <c r="T4461" s="62" ph="1"/>
    </row>
    <row r="4462" spans="20:20" ht="26.25">
      <c r="T4462" s="62" ph="1"/>
    </row>
    <row r="4463" spans="20:20" ht="26.25">
      <c r="T4463" s="62" ph="1"/>
    </row>
    <row r="4464" spans="20:20" ht="26.25">
      <c r="T4464" s="62" ph="1"/>
    </row>
    <row r="4465" spans="20:20" ht="26.25">
      <c r="T4465" s="62" ph="1"/>
    </row>
    <row r="4466" spans="20:20" ht="26.25">
      <c r="T4466" s="62" ph="1"/>
    </row>
    <row r="4467" spans="20:20" ht="26.25">
      <c r="T4467" s="62" ph="1"/>
    </row>
    <row r="4468" spans="20:20" ht="26.25">
      <c r="T4468" s="62" ph="1"/>
    </row>
    <row r="4469" spans="20:20" ht="26.25">
      <c r="T4469" s="62" ph="1"/>
    </row>
    <row r="4470" spans="20:20" ht="26.25">
      <c r="T4470" s="62" ph="1"/>
    </row>
    <row r="4471" spans="20:20" ht="26.25">
      <c r="T4471" s="62" ph="1"/>
    </row>
    <row r="4472" spans="20:20" ht="26.25">
      <c r="T4472" s="62" ph="1"/>
    </row>
    <row r="4473" spans="20:20" ht="26.25">
      <c r="T4473" s="62" ph="1"/>
    </row>
    <row r="4474" spans="20:20" ht="26.25">
      <c r="T4474" s="62" ph="1"/>
    </row>
    <row r="4475" spans="20:20" ht="26.25">
      <c r="T4475" s="62" ph="1"/>
    </row>
    <row r="4476" spans="20:20" ht="26.25">
      <c r="T4476" s="62" ph="1"/>
    </row>
    <row r="4477" spans="20:20" ht="26.25">
      <c r="T4477" s="62" ph="1"/>
    </row>
    <row r="4478" spans="20:20" ht="26.25">
      <c r="T4478" s="62" ph="1"/>
    </row>
    <row r="4479" spans="20:20" ht="26.25">
      <c r="T4479" s="62" ph="1"/>
    </row>
    <row r="4480" spans="20:20" ht="26.25">
      <c r="T4480" s="62" ph="1"/>
    </row>
    <row r="4481" spans="20:20" ht="26.25">
      <c r="T4481" s="62" ph="1"/>
    </row>
    <row r="4482" spans="20:20" ht="26.25">
      <c r="T4482" s="62" ph="1"/>
    </row>
    <row r="4483" spans="20:20" ht="26.25">
      <c r="T4483" s="62" ph="1"/>
    </row>
    <row r="4484" spans="20:20" ht="26.25">
      <c r="T4484" s="62" ph="1"/>
    </row>
    <row r="4485" spans="20:20" ht="26.25">
      <c r="T4485" s="62" ph="1"/>
    </row>
    <row r="4486" spans="20:20" ht="26.25">
      <c r="T4486" s="62" ph="1"/>
    </row>
    <row r="4487" spans="20:20" ht="26.25">
      <c r="T4487" s="62" ph="1"/>
    </row>
    <row r="4488" spans="20:20" ht="26.25">
      <c r="T4488" s="62" ph="1"/>
    </row>
    <row r="4489" spans="20:20" ht="26.25">
      <c r="T4489" s="62" ph="1"/>
    </row>
    <row r="4490" spans="20:20" ht="26.25">
      <c r="T4490" s="62" ph="1"/>
    </row>
    <row r="4491" spans="20:20" ht="26.25">
      <c r="T4491" s="62" ph="1"/>
    </row>
    <row r="4492" spans="20:20" ht="26.25">
      <c r="T4492" s="62" ph="1"/>
    </row>
    <row r="4493" spans="20:20" ht="26.25">
      <c r="T4493" s="62" ph="1"/>
    </row>
    <row r="4494" spans="20:20" ht="26.25">
      <c r="T4494" s="62" ph="1"/>
    </row>
    <row r="4495" spans="20:20" ht="26.25">
      <c r="T4495" s="62" ph="1"/>
    </row>
    <row r="4496" spans="20:20" ht="26.25">
      <c r="T4496" s="62" ph="1"/>
    </row>
    <row r="4497" spans="20:20" ht="26.25">
      <c r="T4497" s="62" ph="1"/>
    </row>
    <row r="4498" spans="20:20" ht="26.25">
      <c r="T4498" s="62" ph="1"/>
    </row>
    <row r="4499" spans="20:20" ht="26.25">
      <c r="T4499" s="62" ph="1"/>
    </row>
    <row r="4500" spans="20:20" ht="26.25">
      <c r="T4500" s="62" ph="1"/>
    </row>
    <row r="4501" spans="20:20" ht="26.25">
      <c r="T4501" s="62" ph="1"/>
    </row>
    <row r="4502" spans="20:20" ht="26.25">
      <c r="T4502" s="62" ph="1"/>
    </row>
    <row r="4503" spans="20:20" ht="26.25">
      <c r="T4503" s="62" ph="1"/>
    </row>
    <row r="4504" spans="20:20" ht="26.25">
      <c r="T4504" s="62" ph="1"/>
    </row>
    <row r="4505" spans="20:20" ht="26.25">
      <c r="T4505" s="62" ph="1"/>
    </row>
    <row r="4506" spans="20:20" ht="26.25">
      <c r="T4506" s="62" ph="1"/>
    </row>
    <row r="4507" spans="20:20" ht="26.25">
      <c r="T4507" s="62" ph="1"/>
    </row>
    <row r="4508" spans="20:20" ht="26.25">
      <c r="T4508" s="62" ph="1"/>
    </row>
    <row r="4509" spans="20:20" ht="26.25">
      <c r="T4509" s="62" ph="1"/>
    </row>
    <row r="4510" spans="20:20" ht="26.25">
      <c r="T4510" s="62" ph="1"/>
    </row>
    <row r="4511" spans="20:20" ht="26.25">
      <c r="T4511" s="62" ph="1"/>
    </row>
    <row r="4512" spans="20:20" ht="26.25">
      <c r="T4512" s="62" ph="1"/>
    </row>
    <row r="4513" spans="20:20" ht="26.25">
      <c r="T4513" s="62" ph="1"/>
    </row>
    <row r="4514" spans="20:20" ht="26.25">
      <c r="T4514" s="62" ph="1"/>
    </row>
    <row r="4515" spans="20:20" ht="26.25">
      <c r="T4515" s="62" ph="1"/>
    </row>
    <row r="4516" spans="20:20" ht="26.25">
      <c r="T4516" s="62" ph="1"/>
    </row>
    <row r="4517" spans="20:20" ht="26.25">
      <c r="T4517" s="62" ph="1"/>
    </row>
    <row r="4518" spans="20:20" ht="26.25">
      <c r="T4518" s="62" ph="1"/>
    </row>
    <row r="4519" spans="20:20" ht="26.25">
      <c r="T4519" s="62" ph="1"/>
    </row>
    <row r="4520" spans="20:20" ht="26.25">
      <c r="T4520" s="62" ph="1"/>
    </row>
    <row r="4521" spans="20:20" ht="26.25">
      <c r="T4521" s="62" ph="1"/>
    </row>
    <row r="4522" spans="20:20" ht="26.25">
      <c r="T4522" s="62" ph="1"/>
    </row>
    <row r="4523" spans="20:20" ht="26.25">
      <c r="T4523" s="62" ph="1"/>
    </row>
    <row r="4524" spans="20:20" ht="26.25">
      <c r="T4524" s="62" ph="1"/>
    </row>
    <row r="4525" spans="20:20" ht="26.25">
      <c r="T4525" s="62" ph="1"/>
    </row>
    <row r="4526" spans="20:20" ht="26.25">
      <c r="T4526" s="62" ph="1"/>
    </row>
    <row r="4527" spans="20:20" ht="26.25">
      <c r="T4527" s="62" ph="1"/>
    </row>
    <row r="4528" spans="20:20" ht="26.25">
      <c r="T4528" s="62" ph="1"/>
    </row>
    <row r="4529" spans="20:20" ht="26.25">
      <c r="T4529" s="62" ph="1"/>
    </row>
    <row r="4530" spans="20:20" ht="26.25">
      <c r="T4530" s="62" ph="1"/>
    </row>
    <row r="4531" spans="20:20" ht="26.25">
      <c r="T4531" s="62" ph="1"/>
    </row>
    <row r="4532" spans="20:20" ht="26.25">
      <c r="T4532" s="62" ph="1"/>
    </row>
    <row r="4533" spans="20:20" ht="26.25">
      <c r="T4533" s="62" ph="1"/>
    </row>
    <row r="4534" spans="20:20" ht="26.25">
      <c r="T4534" s="62" ph="1"/>
    </row>
    <row r="4535" spans="20:20" ht="26.25">
      <c r="T4535" s="62" ph="1"/>
    </row>
    <row r="4536" spans="20:20" ht="26.25">
      <c r="T4536" s="62" ph="1"/>
    </row>
    <row r="4537" spans="20:20" ht="26.25">
      <c r="T4537" s="62" ph="1"/>
    </row>
    <row r="4538" spans="20:20" ht="26.25">
      <c r="T4538" s="62" ph="1"/>
    </row>
    <row r="4539" spans="20:20" ht="26.25">
      <c r="T4539" s="62" ph="1"/>
    </row>
    <row r="4540" spans="20:20" ht="26.25">
      <c r="T4540" s="62" ph="1"/>
    </row>
    <row r="4541" spans="20:20" ht="26.25">
      <c r="T4541" s="62" ph="1"/>
    </row>
    <row r="4542" spans="20:20" ht="26.25">
      <c r="T4542" s="62" ph="1"/>
    </row>
    <row r="4543" spans="20:20" ht="26.25">
      <c r="T4543" s="62" ph="1"/>
    </row>
    <row r="4544" spans="20:20" ht="26.25">
      <c r="T4544" s="62" ph="1"/>
    </row>
    <row r="4545" spans="20:20" ht="26.25">
      <c r="T4545" s="62" ph="1"/>
    </row>
    <row r="4546" spans="20:20" ht="26.25">
      <c r="T4546" s="62" ph="1"/>
    </row>
    <row r="4547" spans="20:20" ht="26.25">
      <c r="T4547" s="62" ph="1"/>
    </row>
    <row r="4548" spans="20:20" ht="26.25">
      <c r="T4548" s="62" ph="1"/>
    </row>
    <row r="4549" spans="20:20" ht="26.25">
      <c r="T4549" s="62" ph="1"/>
    </row>
    <row r="4550" spans="20:20" ht="26.25">
      <c r="T4550" s="62" ph="1"/>
    </row>
    <row r="4551" spans="20:20" ht="26.25">
      <c r="T4551" s="62" ph="1"/>
    </row>
    <row r="4552" spans="20:20" ht="26.25">
      <c r="T4552" s="62" ph="1"/>
    </row>
    <row r="4553" spans="20:20" ht="26.25">
      <c r="T4553" s="62" ph="1"/>
    </row>
    <row r="4554" spans="20:20" ht="26.25">
      <c r="T4554" s="62" ph="1"/>
    </row>
    <row r="4555" spans="20:20" ht="26.25">
      <c r="T4555" s="62" ph="1"/>
    </row>
    <row r="4556" spans="20:20" ht="26.25">
      <c r="T4556" s="62" ph="1"/>
    </row>
    <row r="4557" spans="20:20" ht="26.25">
      <c r="T4557" s="62" ph="1"/>
    </row>
    <row r="4558" spans="20:20" ht="26.25">
      <c r="T4558" s="62" ph="1"/>
    </row>
    <row r="4559" spans="20:20" ht="26.25">
      <c r="T4559" s="62" ph="1"/>
    </row>
    <row r="4560" spans="20:20" ht="26.25">
      <c r="T4560" s="62" ph="1"/>
    </row>
    <row r="4561" spans="20:20" ht="26.25">
      <c r="T4561" s="62" ph="1"/>
    </row>
    <row r="4562" spans="20:20" ht="26.25">
      <c r="T4562" s="62" ph="1"/>
    </row>
    <row r="4563" spans="20:20" ht="26.25">
      <c r="T4563" s="62" ph="1"/>
    </row>
    <row r="4564" spans="20:20" ht="26.25">
      <c r="T4564" s="62" ph="1"/>
    </row>
    <row r="4565" spans="20:20" ht="26.25">
      <c r="T4565" s="62" ph="1"/>
    </row>
    <row r="4566" spans="20:20" ht="26.25">
      <c r="T4566" s="62" ph="1"/>
    </row>
    <row r="4567" spans="20:20" ht="26.25">
      <c r="T4567" s="62" ph="1"/>
    </row>
    <row r="4568" spans="20:20" ht="26.25">
      <c r="T4568" s="62" ph="1"/>
    </row>
    <row r="4569" spans="20:20" ht="26.25">
      <c r="T4569" s="62" ph="1"/>
    </row>
    <row r="4570" spans="20:20" ht="26.25">
      <c r="T4570" s="62" ph="1"/>
    </row>
    <row r="4571" spans="20:20" ht="26.25">
      <c r="T4571" s="62" ph="1"/>
    </row>
    <row r="4572" spans="20:20" ht="26.25">
      <c r="T4572" s="62" ph="1"/>
    </row>
    <row r="4573" spans="20:20" ht="26.25">
      <c r="T4573" s="62" ph="1"/>
    </row>
    <row r="4574" spans="20:20" ht="26.25">
      <c r="T4574" s="62" ph="1"/>
    </row>
    <row r="4575" spans="20:20" ht="26.25">
      <c r="T4575" s="62" ph="1"/>
    </row>
    <row r="4576" spans="20:20" ht="26.25">
      <c r="T4576" s="62" ph="1"/>
    </row>
    <row r="4577" spans="20:20" ht="26.25">
      <c r="T4577" s="62" ph="1"/>
    </row>
    <row r="4578" spans="20:20" ht="26.25">
      <c r="T4578" s="62" ph="1"/>
    </row>
    <row r="4579" spans="20:20" ht="26.25">
      <c r="T4579" s="62" ph="1"/>
    </row>
    <row r="4580" spans="20:20" ht="26.25">
      <c r="T4580" s="62" ph="1"/>
    </row>
    <row r="4581" spans="20:20" ht="26.25">
      <c r="T4581" s="62" ph="1"/>
    </row>
    <row r="4582" spans="20:20" ht="26.25">
      <c r="T4582" s="62" ph="1"/>
    </row>
    <row r="4583" spans="20:20" ht="26.25">
      <c r="T4583" s="62" ph="1"/>
    </row>
    <row r="4584" spans="20:20" ht="26.25">
      <c r="T4584" s="62" ph="1"/>
    </row>
    <row r="4585" spans="20:20" ht="26.25">
      <c r="T4585" s="62" ph="1"/>
    </row>
    <row r="4586" spans="20:20" ht="26.25">
      <c r="T4586" s="62" ph="1"/>
    </row>
    <row r="4587" spans="20:20" ht="26.25">
      <c r="T4587" s="62" ph="1"/>
    </row>
    <row r="4588" spans="20:20" ht="26.25">
      <c r="T4588" s="62" ph="1"/>
    </row>
    <row r="4589" spans="20:20" ht="26.25">
      <c r="T4589" s="62" ph="1"/>
    </row>
    <row r="4590" spans="20:20" ht="26.25">
      <c r="T4590" s="62" ph="1"/>
    </row>
    <row r="4591" spans="20:20" ht="26.25">
      <c r="T4591" s="62" ph="1"/>
    </row>
    <row r="4592" spans="20:20" ht="26.25">
      <c r="T4592" s="62" ph="1"/>
    </row>
    <row r="4593" spans="20:20" ht="26.25">
      <c r="T4593" s="62" ph="1"/>
    </row>
    <row r="4594" spans="20:20" ht="26.25">
      <c r="T4594" s="62" ph="1"/>
    </row>
    <row r="4595" spans="20:20" ht="26.25">
      <c r="T4595" s="62" ph="1"/>
    </row>
    <row r="4596" spans="20:20" ht="26.25">
      <c r="T4596" s="62" ph="1"/>
    </row>
    <row r="4597" spans="20:20" ht="26.25">
      <c r="T4597" s="62" ph="1"/>
    </row>
    <row r="4598" spans="20:20" ht="26.25">
      <c r="T4598" s="62" ph="1"/>
    </row>
    <row r="4599" spans="20:20" ht="26.25">
      <c r="T4599" s="62" ph="1"/>
    </row>
    <row r="4600" spans="20:20" ht="26.25">
      <c r="T4600" s="62" ph="1"/>
    </row>
    <row r="4601" spans="20:20" ht="26.25">
      <c r="T4601" s="62" ph="1"/>
    </row>
    <row r="4602" spans="20:20" ht="26.25">
      <c r="T4602" s="62" ph="1"/>
    </row>
    <row r="4603" spans="20:20" ht="26.25">
      <c r="T4603" s="62" ph="1"/>
    </row>
    <row r="4604" spans="20:20" ht="26.25">
      <c r="T4604" s="62" ph="1"/>
    </row>
    <row r="4605" spans="20:20" ht="26.25">
      <c r="T4605" s="62" ph="1"/>
    </row>
    <row r="4606" spans="20:20" ht="26.25">
      <c r="T4606" s="62" ph="1"/>
    </row>
    <row r="4607" spans="20:20" ht="26.25">
      <c r="T4607" s="62" ph="1"/>
    </row>
    <row r="4608" spans="20:20" ht="26.25">
      <c r="T4608" s="62" ph="1"/>
    </row>
    <row r="4609" spans="20:20" ht="26.25">
      <c r="T4609" s="62" ph="1"/>
    </row>
    <row r="4610" spans="20:20" ht="26.25">
      <c r="T4610" s="62" ph="1"/>
    </row>
    <row r="4611" spans="20:20" ht="26.25">
      <c r="T4611" s="62" ph="1"/>
    </row>
    <row r="4612" spans="20:20" ht="26.25">
      <c r="T4612" s="62" ph="1"/>
    </row>
    <row r="4613" spans="20:20" ht="26.25">
      <c r="T4613" s="62" ph="1"/>
    </row>
    <row r="4614" spans="20:20" ht="26.25">
      <c r="T4614" s="62" ph="1"/>
    </row>
    <row r="4615" spans="20:20" ht="26.25">
      <c r="T4615" s="62" ph="1"/>
    </row>
    <row r="4616" spans="20:20" ht="26.25">
      <c r="T4616" s="62" ph="1"/>
    </row>
    <row r="4617" spans="20:20" ht="26.25">
      <c r="T4617" s="62" ph="1"/>
    </row>
    <row r="4618" spans="20:20" ht="26.25">
      <c r="T4618" s="62" ph="1"/>
    </row>
    <row r="4619" spans="20:20" ht="26.25">
      <c r="T4619" s="62" ph="1"/>
    </row>
    <row r="4620" spans="20:20" ht="26.25">
      <c r="T4620" s="62" ph="1"/>
    </row>
    <row r="4621" spans="20:20" ht="26.25">
      <c r="T4621" s="62" ph="1"/>
    </row>
    <row r="4622" spans="20:20" ht="26.25">
      <c r="T4622" s="62" ph="1"/>
    </row>
    <row r="4623" spans="20:20" ht="26.25">
      <c r="T4623" s="62" ph="1"/>
    </row>
    <row r="4624" spans="20:20" ht="26.25">
      <c r="T4624" s="62" ph="1"/>
    </row>
    <row r="4625" spans="20:20" ht="26.25">
      <c r="T4625" s="62" ph="1"/>
    </row>
    <row r="4626" spans="20:20" ht="26.25">
      <c r="T4626" s="62" ph="1"/>
    </row>
    <row r="4627" spans="20:20" ht="26.25">
      <c r="T4627" s="62" ph="1"/>
    </row>
    <row r="4628" spans="20:20" ht="26.25">
      <c r="T4628" s="62" ph="1"/>
    </row>
    <row r="4629" spans="20:20" ht="26.25">
      <c r="T4629" s="62" ph="1"/>
    </row>
    <row r="4630" spans="20:20" ht="26.25">
      <c r="T4630" s="62" ph="1"/>
    </row>
    <row r="4631" spans="20:20" ht="26.25">
      <c r="T4631" s="62" ph="1"/>
    </row>
    <row r="4632" spans="20:20" ht="26.25">
      <c r="T4632" s="62" ph="1"/>
    </row>
    <row r="4633" spans="20:20" ht="26.25">
      <c r="T4633" s="62" ph="1"/>
    </row>
    <row r="4634" spans="20:20" ht="26.25">
      <c r="T4634" s="62" ph="1"/>
    </row>
    <row r="4635" spans="20:20" ht="26.25">
      <c r="T4635" s="62" ph="1"/>
    </row>
    <row r="4636" spans="20:20" ht="26.25">
      <c r="T4636" s="62" ph="1"/>
    </row>
    <row r="4637" spans="20:20" ht="26.25">
      <c r="T4637" s="62" ph="1"/>
    </row>
    <row r="4638" spans="20:20" ht="26.25">
      <c r="T4638" s="62" ph="1"/>
    </row>
    <row r="4639" spans="20:20" ht="26.25">
      <c r="T4639" s="62" ph="1"/>
    </row>
    <row r="4640" spans="20:20" ht="26.25">
      <c r="T4640" s="62" ph="1"/>
    </row>
    <row r="4641" spans="20:20" ht="26.25">
      <c r="T4641" s="62" ph="1"/>
    </row>
    <row r="4642" spans="20:20" ht="26.25">
      <c r="T4642" s="62" ph="1"/>
    </row>
    <row r="4643" spans="20:20" ht="26.25">
      <c r="T4643" s="62" ph="1"/>
    </row>
    <row r="4644" spans="20:20" ht="26.25">
      <c r="T4644" s="62" ph="1"/>
    </row>
    <row r="4645" spans="20:20" ht="26.25">
      <c r="T4645" s="62" ph="1"/>
    </row>
    <row r="4646" spans="20:20" ht="26.25">
      <c r="T4646" s="62" ph="1"/>
    </row>
    <row r="4647" spans="20:20" ht="26.25">
      <c r="T4647" s="62" ph="1"/>
    </row>
    <row r="4648" spans="20:20" ht="26.25">
      <c r="T4648" s="62" ph="1"/>
    </row>
    <row r="4649" spans="20:20" ht="26.25">
      <c r="T4649" s="62" ph="1"/>
    </row>
    <row r="4650" spans="20:20" ht="26.25">
      <c r="T4650" s="62" ph="1"/>
    </row>
    <row r="4651" spans="20:20" ht="26.25">
      <c r="T4651" s="62" ph="1"/>
    </row>
    <row r="4652" spans="20:20" ht="26.25">
      <c r="T4652" s="62" ph="1"/>
    </row>
    <row r="4653" spans="20:20" ht="26.25">
      <c r="T4653" s="62" ph="1"/>
    </row>
    <row r="4654" spans="20:20" ht="26.25">
      <c r="T4654" s="62" ph="1"/>
    </row>
    <row r="4655" spans="20:20" ht="26.25">
      <c r="T4655" s="62" ph="1"/>
    </row>
    <row r="4656" spans="20:20" ht="26.25">
      <c r="T4656" s="62" ph="1"/>
    </row>
    <row r="4657" spans="20:20" ht="26.25">
      <c r="T4657" s="62" ph="1"/>
    </row>
    <row r="4658" spans="20:20" ht="26.25">
      <c r="T4658" s="62" ph="1"/>
    </row>
    <row r="4659" spans="20:20" ht="26.25">
      <c r="T4659" s="62" ph="1"/>
    </row>
    <row r="4660" spans="20:20" ht="26.25">
      <c r="T4660" s="62" ph="1"/>
    </row>
    <row r="4661" spans="20:20" ht="26.25">
      <c r="T4661" s="62" ph="1"/>
    </row>
    <row r="4662" spans="20:20" ht="26.25">
      <c r="T4662" s="62" ph="1"/>
    </row>
    <row r="4663" spans="20:20" ht="26.25">
      <c r="T4663" s="62" ph="1"/>
    </row>
    <row r="4664" spans="20:20" ht="26.25">
      <c r="T4664" s="62" ph="1"/>
    </row>
    <row r="4665" spans="20:20" ht="26.25">
      <c r="T4665" s="62" ph="1"/>
    </row>
    <row r="4666" spans="20:20" ht="26.25">
      <c r="T4666" s="62" ph="1"/>
    </row>
    <row r="4667" spans="20:20" ht="26.25">
      <c r="T4667" s="62" ph="1"/>
    </row>
    <row r="4668" spans="20:20" ht="26.25">
      <c r="T4668" s="62" ph="1"/>
    </row>
    <row r="4669" spans="20:20" ht="26.25">
      <c r="T4669" s="62" ph="1"/>
    </row>
    <row r="4670" spans="20:20" ht="26.25">
      <c r="T4670" s="62" ph="1"/>
    </row>
    <row r="4671" spans="20:20" ht="26.25">
      <c r="T4671" s="62" ph="1"/>
    </row>
    <row r="4672" spans="20:20" ht="26.25">
      <c r="T4672" s="62" ph="1"/>
    </row>
    <row r="4673" spans="20:20" ht="26.25">
      <c r="T4673" s="62" ph="1"/>
    </row>
    <row r="4674" spans="20:20" ht="26.25">
      <c r="T4674" s="62" ph="1"/>
    </row>
    <row r="4675" spans="20:20" ht="26.25">
      <c r="T4675" s="62" ph="1"/>
    </row>
    <row r="4676" spans="20:20" ht="26.25">
      <c r="T4676" s="62" ph="1"/>
    </row>
    <row r="4677" spans="20:20" ht="26.25">
      <c r="T4677" s="62" ph="1"/>
    </row>
    <row r="4678" spans="20:20" ht="26.25">
      <c r="T4678" s="62" ph="1"/>
    </row>
    <row r="4679" spans="20:20" ht="26.25">
      <c r="T4679" s="62" ph="1"/>
    </row>
    <row r="4680" spans="20:20" ht="26.25">
      <c r="T4680" s="62" ph="1"/>
    </row>
    <row r="4681" spans="20:20" ht="26.25">
      <c r="T4681" s="62" ph="1"/>
    </row>
    <row r="4682" spans="20:20" ht="26.25">
      <c r="T4682" s="62" ph="1"/>
    </row>
    <row r="4683" spans="20:20" ht="26.25">
      <c r="T4683" s="62" ph="1"/>
    </row>
    <row r="4684" spans="20:20" ht="26.25">
      <c r="T4684" s="62" ph="1"/>
    </row>
    <row r="4685" spans="20:20" ht="26.25">
      <c r="T4685" s="62" ph="1"/>
    </row>
    <row r="4686" spans="20:20" ht="26.25">
      <c r="T4686" s="62" ph="1"/>
    </row>
    <row r="4687" spans="20:20" ht="26.25">
      <c r="T4687" s="62" ph="1"/>
    </row>
    <row r="4688" spans="20:20" ht="26.25">
      <c r="T4688" s="62" ph="1"/>
    </row>
    <row r="4689" spans="20:20" ht="26.25">
      <c r="T4689" s="62" ph="1"/>
    </row>
    <row r="4690" spans="20:20" ht="26.25">
      <c r="T4690" s="62" ph="1"/>
    </row>
    <row r="4691" spans="20:20" ht="26.25">
      <c r="T4691" s="62" ph="1"/>
    </row>
    <row r="4692" spans="20:20" ht="26.25">
      <c r="T4692" s="62" ph="1"/>
    </row>
    <row r="4693" spans="20:20" ht="26.25">
      <c r="T4693" s="62" ph="1"/>
    </row>
    <row r="4694" spans="20:20" ht="26.25">
      <c r="T4694" s="62" ph="1"/>
    </row>
    <row r="4695" spans="20:20" ht="26.25">
      <c r="T4695" s="62" ph="1"/>
    </row>
    <row r="4696" spans="20:20" ht="26.25">
      <c r="T4696" s="62" ph="1"/>
    </row>
    <row r="4697" spans="20:20" ht="26.25">
      <c r="T4697" s="62" ph="1"/>
    </row>
    <row r="4698" spans="20:20" ht="26.25">
      <c r="T4698" s="62" ph="1"/>
    </row>
    <row r="4699" spans="20:20" ht="26.25">
      <c r="T4699" s="62" ph="1"/>
    </row>
    <row r="4700" spans="20:20" ht="26.25">
      <c r="T4700" s="62" ph="1"/>
    </row>
    <row r="4701" spans="20:20" ht="26.25">
      <c r="T4701" s="62" ph="1"/>
    </row>
    <row r="4702" spans="20:20" ht="26.25">
      <c r="T4702" s="62" ph="1"/>
    </row>
    <row r="4703" spans="20:20" ht="26.25">
      <c r="T4703" s="62" ph="1"/>
    </row>
    <row r="4704" spans="20:20" ht="26.25">
      <c r="T4704" s="62" ph="1"/>
    </row>
    <row r="4705" spans="20:20" ht="26.25">
      <c r="T4705" s="62" ph="1"/>
    </row>
    <row r="4706" spans="20:20" ht="26.25">
      <c r="T4706" s="62" ph="1"/>
    </row>
    <row r="4707" spans="20:20" ht="26.25">
      <c r="T4707" s="62" ph="1"/>
    </row>
    <row r="4708" spans="20:20" ht="26.25">
      <c r="T4708" s="62" ph="1"/>
    </row>
    <row r="4709" spans="20:20" ht="26.25">
      <c r="T4709" s="62" ph="1"/>
    </row>
    <row r="4710" spans="20:20" ht="26.25">
      <c r="T4710" s="62" ph="1"/>
    </row>
    <row r="4711" spans="20:20" ht="26.25">
      <c r="T4711" s="62" ph="1"/>
    </row>
    <row r="4712" spans="20:20" ht="26.25">
      <c r="T4712" s="62" ph="1"/>
    </row>
    <row r="4713" spans="20:20" ht="26.25">
      <c r="T4713" s="62" ph="1"/>
    </row>
    <row r="4714" spans="20:20" ht="26.25">
      <c r="T4714" s="62" ph="1"/>
    </row>
    <row r="4715" spans="20:20" ht="26.25">
      <c r="T4715" s="62" ph="1"/>
    </row>
    <row r="4716" spans="20:20" ht="26.25">
      <c r="T4716" s="62" ph="1"/>
    </row>
    <row r="4717" spans="20:20" ht="26.25">
      <c r="T4717" s="62" ph="1"/>
    </row>
    <row r="4718" spans="20:20" ht="26.25">
      <c r="T4718" s="62" ph="1"/>
    </row>
    <row r="4719" spans="20:20" ht="26.25">
      <c r="T4719" s="62" ph="1"/>
    </row>
    <row r="4720" spans="20:20" ht="26.25">
      <c r="T4720" s="62" ph="1"/>
    </row>
    <row r="4721" spans="20:20" ht="26.25">
      <c r="T4721" s="62" ph="1"/>
    </row>
    <row r="4722" spans="20:20" ht="26.25">
      <c r="T4722" s="62" ph="1"/>
    </row>
    <row r="4723" spans="20:20" ht="26.25">
      <c r="T4723" s="62" ph="1"/>
    </row>
    <row r="4724" spans="20:20" ht="26.25">
      <c r="T4724" s="62" ph="1"/>
    </row>
    <row r="4725" spans="20:20" ht="26.25">
      <c r="T4725" s="62" ph="1"/>
    </row>
    <row r="4726" spans="20:20" ht="26.25">
      <c r="T4726" s="62" ph="1"/>
    </row>
    <row r="4727" spans="20:20" ht="26.25">
      <c r="T4727" s="62" ph="1"/>
    </row>
    <row r="4728" spans="20:20" ht="26.25">
      <c r="T4728" s="62" ph="1"/>
    </row>
    <row r="4729" spans="20:20" ht="26.25">
      <c r="T4729" s="62" ph="1"/>
    </row>
    <row r="4730" spans="20:20" ht="26.25">
      <c r="T4730" s="62" ph="1"/>
    </row>
    <row r="4731" spans="20:20" ht="26.25">
      <c r="T4731" s="62" ph="1"/>
    </row>
    <row r="4732" spans="20:20" ht="26.25">
      <c r="T4732" s="62" ph="1"/>
    </row>
    <row r="4733" spans="20:20" ht="26.25">
      <c r="T4733" s="62" ph="1"/>
    </row>
    <row r="4734" spans="20:20" ht="26.25">
      <c r="T4734" s="62" ph="1"/>
    </row>
    <row r="4735" spans="20:20" ht="26.25">
      <c r="T4735" s="62" ph="1"/>
    </row>
    <row r="4736" spans="20:20" ht="26.25">
      <c r="T4736" s="62" ph="1"/>
    </row>
    <row r="4737" spans="20:20" ht="26.25">
      <c r="T4737" s="62" ph="1"/>
    </row>
    <row r="4738" spans="20:20" ht="26.25">
      <c r="T4738" s="62" ph="1"/>
    </row>
    <row r="4739" spans="20:20" ht="26.25">
      <c r="T4739" s="62" ph="1"/>
    </row>
    <row r="4740" spans="20:20" ht="26.25">
      <c r="T4740" s="62" ph="1"/>
    </row>
    <row r="4741" spans="20:20" ht="26.25">
      <c r="T4741" s="62" ph="1"/>
    </row>
    <row r="4742" spans="20:20" ht="26.25">
      <c r="T4742" s="62" ph="1"/>
    </row>
    <row r="4743" spans="20:20" ht="26.25">
      <c r="T4743" s="62" ph="1"/>
    </row>
    <row r="4744" spans="20:20" ht="26.25">
      <c r="T4744" s="62" ph="1"/>
    </row>
    <row r="4745" spans="20:20" ht="26.25">
      <c r="T4745" s="62" ph="1"/>
    </row>
    <row r="4746" spans="20:20" ht="26.25">
      <c r="T4746" s="62" ph="1"/>
    </row>
    <row r="4747" spans="20:20" ht="26.25">
      <c r="T4747" s="62" ph="1"/>
    </row>
    <row r="4748" spans="20:20" ht="26.25">
      <c r="T4748" s="62" ph="1"/>
    </row>
    <row r="4749" spans="20:20" ht="26.25">
      <c r="T4749" s="62" ph="1"/>
    </row>
    <row r="4750" spans="20:20" ht="26.25">
      <c r="T4750" s="62" ph="1"/>
    </row>
    <row r="4751" spans="20:20" ht="26.25">
      <c r="T4751" s="62" ph="1"/>
    </row>
    <row r="4752" spans="20:20" ht="26.25">
      <c r="T4752" s="62" ph="1"/>
    </row>
    <row r="4753" spans="20:20" ht="26.25">
      <c r="T4753" s="62" ph="1"/>
    </row>
    <row r="4754" spans="20:20" ht="26.25">
      <c r="T4754" s="62" ph="1"/>
    </row>
    <row r="4755" spans="20:20" ht="26.25">
      <c r="T4755" s="62" ph="1"/>
    </row>
    <row r="4756" spans="20:20" ht="26.25">
      <c r="T4756" s="62" ph="1"/>
    </row>
    <row r="4757" spans="20:20" ht="26.25">
      <c r="T4757" s="62" ph="1"/>
    </row>
    <row r="4758" spans="20:20" ht="26.25">
      <c r="T4758" s="62" ph="1"/>
    </row>
    <row r="4759" spans="20:20" ht="26.25">
      <c r="T4759" s="62" ph="1"/>
    </row>
    <row r="4760" spans="20:20" ht="26.25">
      <c r="T4760" s="62" ph="1"/>
    </row>
    <row r="4761" spans="20:20" ht="26.25">
      <c r="T4761" s="62" ph="1"/>
    </row>
    <row r="4762" spans="20:20" ht="26.25">
      <c r="T4762" s="62" ph="1"/>
    </row>
    <row r="4763" spans="20:20" ht="26.25">
      <c r="T4763" s="62" ph="1"/>
    </row>
    <row r="4764" spans="20:20" ht="26.25">
      <c r="T4764" s="62" ph="1"/>
    </row>
    <row r="4765" spans="20:20" ht="26.25">
      <c r="T4765" s="62" ph="1"/>
    </row>
    <row r="4766" spans="20:20" ht="26.25">
      <c r="T4766" s="62" ph="1"/>
    </row>
    <row r="4767" spans="20:20" ht="26.25">
      <c r="T4767" s="62" ph="1"/>
    </row>
    <row r="4768" spans="20:20" ht="26.25">
      <c r="T4768" s="62" ph="1"/>
    </row>
    <row r="4769" spans="20:20" ht="26.25">
      <c r="T4769" s="62" ph="1"/>
    </row>
    <row r="4770" spans="20:20" ht="26.25">
      <c r="T4770" s="62" ph="1"/>
    </row>
    <row r="4771" spans="20:20" ht="26.25">
      <c r="T4771" s="62" ph="1"/>
    </row>
    <row r="4772" spans="20:20" ht="26.25">
      <c r="T4772" s="62" ph="1"/>
    </row>
    <row r="4773" spans="20:20" ht="26.25">
      <c r="T4773" s="62" ph="1"/>
    </row>
    <row r="4774" spans="20:20" ht="26.25">
      <c r="T4774" s="62" ph="1"/>
    </row>
    <row r="4775" spans="20:20" ht="26.25">
      <c r="T4775" s="62" ph="1"/>
    </row>
    <row r="4776" spans="20:20" ht="26.25">
      <c r="T4776" s="62" ph="1"/>
    </row>
    <row r="4777" spans="20:20" ht="26.25">
      <c r="T4777" s="62" ph="1"/>
    </row>
    <row r="4778" spans="20:20" ht="26.25">
      <c r="T4778" s="62" ph="1"/>
    </row>
    <row r="4779" spans="20:20" ht="26.25">
      <c r="T4779" s="62" ph="1"/>
    </row>
    <row r="4780" spans="20:20" ht="26.25">
      <c r="T4780" s="62" ph="1"/>
    </row>
    <row r="4781" spans="20:20" ht="26.25">
      <c r="T4781" s="62" ph="1"/>
    </row>
    <row r="4782" spans="20:20" ht="26.25">
      <c r="T4782" s="62" ph="1"/>
    </row>
    <row r="4783" spans="20:20" ht="26.25">
      <c r="T4783" s="62" ph="1"/>
    </row>
    <row r="4784" spans="20:20" ht="26.25">
      <c r="T4784" s="62" ph="1"/>
    </row>
    <row r="4785" spans="20:20" ht="26.25">
      <c r="T4785" s="62" ph="1"/>
    </row>
    <row r="4786" spans="20:20" ht="26.25">
      <c r="T4786" s="62" ph="1"/>
    </row>
    <row r="4787" spans="20:20" ht="26.25">
      <c r="T4787" s="62" ph="1"/>
    </row>
    <row r="4788" spans="20:20" ht="26.25">
      <c r="T4788" s="62" ph="1"/>
    </row>
    <row r="4789" spans="20:20" ht="26.25">
      <c r="T4789" s="62" ph="1"/>
    </row>
    <row r="4790" spans="20:20" ht="26.25">
      <c r="T4790" s="62" ph="1"/>
    </row>
    <row r="4791" spans="20:20" ht="26.25">
      <c r="T4791" s="62" ph="1"/>
    </row>
    <row r="4792" spans="20:20" ht="26.25">
      <c r="T4792" s="62" ph="1"/>
    </row>
    <row r="4793" spans="20:20" ht="26.25">
      <c r="T4793" s="62" ph="1"/>
    </row>
    <row r="4794" spans="20:20" ht="26.25">
      <c r="T4794" s="62" ph="1"/>
    </row>
    <row r="4795" spans="20:20" ht="26.25">
      <c r="T4795" s="62" ph="1"/>
    </row>
    <row r="4796" spans="20:20" ht="26.25">
      <c r="T4796" s="62" ph="1"/>
    </row>
    <row r="4797" spans="20:20" ht="26.25">
      <c r="T4797" s="62" ph="1"/>
    </row>
    <row r="4798" spans="20:20" ht="26.25">
      <c r="T4798" s="62" ph="1"/>
    </row>
    <row r="4799" spans="20:20" ht="26.25">
      <c r="T4799" s="62" ph="1"/>
    </row>
    <row r="4800" spans="20:20" ht="26.25">
      <c r="T4800" s="62" ph="1"/>
    </row>
    <row r="4801" spans="20:20" ht="26.25">
      <c r="T4801" s="62" ph="1"/>
    </row>
    <row r="4802" spans="20:20" ht="26.25">
      <c r="T4802" s="62" ph="1"/>
    </row>
    <row r="4803" spans="20:20" ht="26.25">
      <c r="T4803" s="62" ph="1"/>
    </row>
    <row r="4804" spans="20:20" ht="26.25">
      <c r="T4804" s="62" ph="1"/>
    </row>
    <row r="4805" spans="20:20" ht="26.25">
      <c r="T4805" s="62" ph="1"/>
    </row>
    <row r="4806" spans="20:20" ht="26.25">
      <c r="T4806" s="62" ph="1"/>
    </row>
    <row r="4807" spans="20:20" ht="26.25">
      <c r="T4807" s="62" ph="1"/>
    </row>
    <row r="4808" spans="20:20" ht="26.25">
      <c r="T4808" s="62" ph="1"/>
    </row>
    <row r="4809" spans="20:20" ht="26.25">
      <c r="T4809" s="62" ph="1"/>
    </row>
    <row r="4810" spans="20:20" ht="26.25">
      <c r="T4810" s="62" ph="1"/>
    </row>
    <row r="4811" spans="20:20" ht="26.25">
      <c r="T4811" s="62" ph="1"/>
    </row>
    <row r="4812" spans="20:20" ht="26.25">
      <c r="T4812" s="62" ph="1"/>
    </row>
    <row r="4813" spans="20:20" ht="26.25">
      <c r="T4813" s="62" ph="1"/>
    </row>
    <row r="4814" spans="20:20" ht="26.25">
      <c r="T4814" s="62" ph="1"/>
    </row>
    <row r="4815" spans="20:20" ht="26.25">
      <c r="T4815" s="62" ph="1"/>
    </row>
    <row r="4816" spans="20:20" ht="26.25">
      <c r="T4816" s="62" ph="1"/>
    </row>
    <row r="4817" spans="20:20" ht="26.25">
      <c r="T4817" s="62" ph="1"/>
    </row>
    <row r="4818" spans="20:20" ht="26.25">
      <c r="T4818" s="62" ph="1"/>
    </row>
    <row r="4819" spans="20:20" ht="26.25">
      <c r="T4819" s="62" ph="1"/>
    </row>
    <row r="4820" spans="20:20" ht="26.25">
      <c r="T4820" s="62" ph="1"/>
    </row>
    <row r="4821" spans="20:20" ht="26.25">
      <c r="T4821" s="62" ph="1"/>
    </row>
    <row r="4822" spans="20:20" ht="26.25">
      <c r="T4822" s="62" ph="1"/>
    </row>
    <row r="4823" spans="20:20" ht="26.25">
      <c r="T4823" s="62" ph="1"/>
    </row>
    <row r="4824" spans="20:20" ht="26.25">
      <c r="T4824" s="62" ph="1"/>
    </row>
    <row r="4825" spans="20:20" ht="26.25">
      <c r="T4825" s="62" ph="1"/>
    </row>
    <row r="4826" spans="20:20" ht="26.25">
      <c r="T4826" s="62" ph="1"/>
    </row>
    <row r="4827" spans="20:20" ht="26.25">
      <c r="T4827" s="62" ph="1"/>
    </row>
    <row r="4828" spans="20:20" ht="26.25">
      <c r="T4828" s="62" ph="1"/>
    </row>
    <row r="4829" spans="20:20" ht="26.25">
      <c r="T4829" s="62" ph="1"/>
    </row>
    <row r="4830" spans="20:20" ht="26.25">
      <c r="T4830" s="62" ph="1"/>
    </row>
    <row r="4831" spans="20:20" ht="26.25">
      <c r="T4831" s="62" ph="1"/>
    </row>
    <row r="4832" spans="20:20" ht="26.25">
      <c r="T4832" s="62" ph="1"/>
    </row>
    <row r="4833" spans="20:20" ht="26.25">
      <c r="T4833" s="62" ph="1"/>
    </row>
    <row r="4834" spans="20:20" ht="26.25">
      <c r="T4834" s="62" ph="1"/>
    </row>
    <row r="4835" spans="20:20" ht="26.25">
      <c r="T4835" s="62" ph="1"/>
    </row>
    <row r="4836" spans="20:20" ht="26.25">
      <c r="T4836" s="62" ph="1"/>
    </row>
    <row r="4837" spans="20:20" ht="26.25">
      <c r="T4837" s="62" ph="1"/>
    </row>
    <row r="4838" spans="20:20" ht="26.25">
      <c r="T4838" s="62" ph="1"/>
    </row>
    <row r="4839" spans="20:20" ht="26.25">
      <c r="T4839" s="62" ph="1"/>
    </row>
    <row r="4840" spans="20:20" ht="26.25">
      <c r="T4840" s="62" ph="1"/>
    </row>
    <row r="4841" spans="20:20" ht="26.25">
      <c r="T4841" s="62" ph="1"/>
    </row>
    <row r="4842" spans="20:20" ht="26.25">
      <c r="T4842" s="62" ph="1"/>
    </row>
    <row r="4843" spans="20:20" ht="26.25">
      <c r="T4843" s="62" ph="1"/>
    </row>
    <row r="4844" spans="20:20" ht="26.25">
      <c r="T4844" s="62" ph="1"/>
    </row>
    <row r="4845" spans="20:20" ht="26.25">
      <c r="T4845" s="62" ph="1"/>
    </row>
    <row r="4846" spans="20:20" ht="26.25">
      <c r="T4846" s="62" ph="1"/>
    </row>
    <row r="4847" spans="20:20" ht="26.25">
      <c r="T4847" s="62" ph="1"/>
    </row>
    <row r="4848" spans="20:20" ht="26.25">
      <c r="T4848" s="62" ph="1"/>
    </row>
    <row r="4849" spans="20:20" ht="26.25">
      <c r="T4849" s="62" ph="1"/>
    </row>
    <row r="4850" spans="20:20" ht="26.25">
      <c r="T4850" s="62" ph="1"/>
    </row>
    <row r="4851" spans="20:20" ht="26.25">
      <c r="T4851" s="62" ph="1"/>
    </row>
    <row r="4852" spans="20:20" ht="26.25">
      <c r="T4852" s="62" ph="1"/>
    </row>
    <row r="4853" spans="20:20" ht="26.25">
      <c r="T4853" s="62" ph="1"/>
    </row>
    <row r="4854" spans="20:20" ht="26.25">
      <c r="T4854" s="62" ph="1"/>
    </row>
    <row r="4855" spans="20:20" ht="26.25">
      <c r="T4855" s="62" ph="1"/>
    </row>
    <row r="4856" spans="20:20" ht="26.25">
      <c r="T4856" s="62" ph="1"/>
    </row>
    <row r="4857" spans="20:20" ht="26.25">
      <c r="T4857" s="62" ph="1"/>
    </row>
    <row r="4858" spans="20:20" ht="26.25">
      <c r="T4858" s="62" ph="1"/>
    </row>
    <row r="4859" spans="20:20" ht="26.25">
      <c r="T4859" s="62" ph="1"/>
    </row>
    <row r="4860" spans="20:20" ht="26.25">
      <c r="T4860" s="62" ph="1"/>
    </row>
    <row r="4861" spans="20:20" ht="26.25">
      <c r="T4861" s="62" ph="1"/>
    </row>
    <row r="4862" spans="20:20" ht="26.25">
      <c r="T4862" s="62" ph="1"/>
    </row>
    <row r="4863" spans="20:20" ht="26.25">
      <c r="T4863" s="62" ph="1"/>
    </row>
    <row r="4864" spans="20:20" ht="26.25">
      <c r="T4864" s="62" ph="1"/>
    </row>
    <row r="4865" spans="20:20" ht="26.25">
      <c r="T4865" s="62" ph="1"/>
    </row>
    <row r="4866" spans="20:20" ht="26.25">
      <c r="T4866" s="62" ph="1"/>
    </row>
    <row r="4867" spans="20:20" ht="26.25">
      <c r="T4867" s="62" ph="1"/>
    </row>
    <row r="4868" spans="20:20" ht="26.25">
      <c r="T4868" s="62" ph="1"/>
    </row>
    <row r="4869" spans="20:20" ht="26.25">
      <c r="T4869" s="62" ph="1"/>
    </row>
    <row r="4870" spans="20:20" ht="26.25">
      <c r="T4870" s="62" ph="1"/>
    </row>
    <row r="4871" spans="20:20" ht="26.25">
      <c r="T4871" s="62" ph="1"/>
    </row>
    <row r="4872" spans="20:20" ht="26.25">
      <c r="T4872" s="62" ph="1"/>
    </row>
    <row r="4873" spans="20:20" ht="26.25">
      <c r="T4873" s="62" ph="1"/>
    </row>
    <row r="4874" spans="20:20" ht="26.25">
      <c r="T4874" s="62" ph="1"/>
    </row>
    <row r="4875" spans="20:20" ht="26.25">
      <c r="T4875" s="62" ph="1"/>
    </row>
    <row r="4876" spans="20:20" ht="26.25">
      <c r="T4876" s="62" ph="1"/>
    </row>
    <row r="4877" spans="20:20" ht="26.25">
      <c r="T4877" s="62" ph="1"/>
    </row>
    <row r="4878" spans="20:20" ht="26.25">
      <c r="T4878" s="62" ph="1"/>
    </row>
    <row r="4879" spans="20:20" ht="26.25">
      <c r="T4879" s="62" ph="1"/>
    </row>
    <row r="4880" spans="20:20" ht="26.25">
      <c r="T4880" s="62" ph="1"/>
    </row>
    <row r="4881" spans="20:20" ht="26.25">
      <c r="T4881" s="62" ph="1"/>
    </row>
    <row r="4882" spans="20:20" ht="26.25">
      <c r="T4882" s="62" ph="1"/>
    </row>
    <row r="4883" spans="20:20" ht="26.25">
      <c r="T4883" s="62" ph="1"/>
    </row>
    <row r="4884" spans="20:20" ht="26.25">
      <c r="T4884" s="62" ph="1"/>
    </row>
    <row r="4885" spans="20:20" ht="26.25">
      <c r="T4885" s="62" ph="1"/>
    </row>
    <row r="4886" spans="20:20" ht="26.25">
      <c r="T4886" s="62" ph="1"/>
    </row>
    <row r="4887" spans="20:20" ht="26.25">
      <c r="T4887" s="62" ph="1"/>
    </row>
    <row r="4888" spans="20:20" ht="26.25">
      <c r="T4888" s="62" ph="1"/>
    </row>
    <row r="4889" spans="20:20" ht="26.25">
      <c r="T4889" s="62" ph="1"/>
    </row>
    <row r="4890" spans="20:20" ht="26.25">
      <c r="T4890" s="62" ph="1"/>
    </row>
    <row r="4891" spans="20:20" ht="26.25">
      <c r="T4891" s="62" ph="1"/>
    </row>
    <row r="4892" spans="20:20" ht="26.25">
      <c r="T4892" s="62" ph="1"/>
    </row>
    <row r="4893" spans="20:20" ht="26.25">
      <c r="T4893" s="62" ph="1"/>
    </row>
    <row r="4894" spans="20:20" ht="26.25">
      <c r="T4894" s="62" ph="1"/>
    </row>
    <row r="4895" spans="20:20" ht="26.25">
      <c r="T4895" s="62" ph="1"/>
    </row>
    <row r="4896" spans="20:20" ht="26.25">
      <c r="T4896" s="62" ph="1"/>
    </row>
    <row r="4897" spans="20:20" ht="26.25">
      <c r="T4897" s="62" ph="1"/>
    </row>
    <row r="4898" spans="20:20" ht="26.25">
      <c r="T4898" s="62" ph="1"/>
    </row>
    <row r="4899" spans="20:20" ht="26.25">
      <c r="T4899" s="62" ph="1"/>
    </row>
    <row r="4900" spans="20:20" ht="26.25">
      <c r="T4900" s="62" ph="1"/>
    </row>
    <row r="4901" spans="20:20" ht="26.25">
      <c r="T4901" s="62" ph="1"/>
    </row>
    <row r="4902" spans="20:20" ht="26.25">
      <c r="T4902" s="62" ph="1"/>
    </row>
    <row r="4903" spans="20:20" ht="26.25">
      <c r="T4903" s="62" ph="1"/>
    </row>
    <row r="4904" spans="20:20" ht="26.25">
      <c r="T4904" s="62" ph="1"/>
    </row>
    <row r="4905" spans="20:20" ht="26.25">
      <c r="T4905" s="62" ph="1"/>
    </row>
    <row r="4906" spans="20:20" ht="26.25">
      <c r="T4906" s="62" ph="1"/>
    </row>
    <row r="4907" spans="20:20" ht="26.25">
      <c r="T4907" s="62" ph="1"/>
    </row>
    <row r="4908" spans="20:20" ht="26.25">
      <c r="T4908" s="62" ph="1"/>
    </row>
    <row r="4909" spans="20:20" ht="26.25">
      <c r="T4909" s="62" ph="1"/>
    </row>
    <row r="4910" spans="20:20" ht="26.25">
      <c r="T4910" s="62" ph="1"/>
    </row>
    <row r="4911" spans="20:20" ht="26.25">
      <c r="T4911" s="62" ph="1"/>
    </row>
    <row r="4912" spans="20:20" ht="26.25">
      <c r="T4912" s="62" ph="1"/>
    </row>
    <row r="4913" spans="20:20" ht="26.25">
      <c r="T4913" s="62" ph="1"/>
    </row>
    <row r="4914" spans="20:20" ht="26.25">
      <c r="T4914" s="62" ph="1"/>
    </row>
    <row r="4915" spans="20:20" ht="26.25">
      <c r="T4915" s="62" ph="1"/>
    </row>
    <row r="4916" spans="20:20" ht="26.25">
      <c r="T4916" s="62" ph="1"/>
    </row>
    <row r="4917" spans="20:20" ht="26.25">
      <c r="T4917" s="62" ph="1"/>
    </row>
    <row r="4918" spans="20:20" ht="26.25">
      <c r="T4918" s="62" ph="1"/>
    </row>
    <row r="4919" spans="20:20" ht="26.25">
      <c r="T4919" s="62" ph="1"/>
    </row>
    <row r="4920" spans="20:20" ht="26.25">
      <c r="T4920" s="62" ph="1"/>
    </row>
    <row r="4921" spans="20:20" ht="26.25">
      <c r="T4921" s="62" ph="1"/>
    </row>
    <row r="4922" spans="20:20" ht="26.25">
      <c r="T4922" s="62" ph="1"/>
    </row>
    <row r="4923" spans="20:20" ht="26.25">
      <c r="T4923" s="62" ph="1"/>
    </row>
    <row r="4924" spans="20:20" ht="26.25">
      <c r="T4924" s="62" ph="1"/>
    </row>
    <row r="4925" spans="20:20" ht="26.25">
      <c r="T4925" s="62" ph="1"/>
    </row>
    <row r="4926" spans="20:20" ht="26.25">
      <c r="T4926" s="62" ph="1"/>
    </row>
    <row r="4927" spans="20:20" ht="26.25">
      <c r="T4927" s="62" ph="1"/>
    </row>
    <row r="4928" spans="20:20" ht="26.25">
      <c r="T4928" s="62" ph="1"/>
    </row>
    <row r="4929" spans="20:20" ht="26.25">
      <c r="T4929" s="62" ph="1"/>
    </row>
    <row r="4930" spans="20:20" ht="26.25">
      <c r="T4930" s="62" ph="1"/>
    </row>
    <row r="4931" spans="20:20" ht="26.25">
      <c r="T4931" s="62" ph="1"/>
    </row>
    <row r="4932" spans="20:20" ht="26.25">
      <c r="T4932" s="62" ph="1"/>
    </row>
    <row r="4933" spans="20:20" ht="26.25">
      <c r="T4933" s="62" ph="1"/>
    </row>
    <row r="4934" spans="20:20" ht="26.25">
      <c r="T4934" s="62" ph="1"/>
    </row>
    <row r="4935" spans="20:20" ht="26.25">
      <c r="T4935" s="62" ph="1"/>
    </row>
    <row r="4936" spans="20:20" ht="26.25">
      <c r="T4936" s="62" ph="1"/>
    </row>
    <row r="4937" spans="20:20" ht="26.25">
      <c r="T4937" s="62" ph="1"/>
    </row>
    <row r="4938" spans="20:20" ht="26.25">
      <c r="T4938" s="62" ph="1"/>
    </row>
    <row r="4939" spans="20:20" ht="26.25">
      <c r="T4939" s="62" ph="1"/>
    </row>
    <row r="4940" spans="20:20" ht="26.25">
      <c r="T4940" s="62" ph="1"/>
    </row>
    <row r="4941" spans="20:20" ht="26.25">
      <c r="T4941" s="62" ph="1"/>
    </row>
    <row r="4942" spans="20:20" ht="26.25">
      <c r="T4942" s="62" ph="1"/>
    </row>
    <row r="4943" spans="20:20" ht="26.25">
      <c r="T4943" s="62" ph="1"/>
    </row>
    <row r="4944" spans="20:20" ht="26.25">
      <c r="T4944" s="62" ph="1"/>
    </row>
    <row r="4945" spans="20:20" ht="26.25">
      <c r="T4945" s="62" ph="1"/>
    </row>
    <row r="4946" spans="20:20" ht="26.25">
      <c r="T4946" s="62" ph="1"/>
    </row>
    <row r="4947" spans="20:20" ht="26.25">
      <c r="T4947" s="62" ph="1"/>
    </row>
    <row r="4948" spans="20:20" ht="26.25">
      <c r="T4948" s="62" ph="1"/>
    </row>
    <row r="4949" spans="20:20" ht="26.25">
      <c r="T4949" s="62" ph="1"/>
    </row>
    <row r="4950" spans="20:20" ht="26.25">
      <c r="T4950" s="62" ph="1"/>
    </row>
    <row r="4951" spans="20:20" ht="26.25">
      <c r="T4951" s="62" ph="1"/>
    </row>
    <row r="4952" spans="20:20" ht="26.25">
      <c r="T4952" s="62" ph="1"/>
    </row>
    <row r="4953" spans="20:20" ht="26.25">
      <c r="T4953" s="62" ph="1"/>
    </row>
    <row r="4954" spans="20:20" ht="26.25">
      <c r="T4954" s="62" ph="1"/>
    </row>
    <row r="4955" spans="20:20" ht="26.25">
      <c r="T4955" s="62" ph="1"/>
    </row>
    <row r="4956" spans="20:20" ht="26.25">
      <c r="T4956" s="62" ph="1"/>
    </row>
    <row r="4957" spans="20:20" ht="26.25">
      <c r="T4957" s="62" ph="1"/>
    </row>
    <row r="4958" spans="20:20" ht="26.25">
      <c r="T4958" s="62" ph="1"/>
    </row>
    <row r="4959" spans="20:20" ht="26.25">
      <c r="T4959" s="62" ph="1"/>
    </row>
    <row r="4960" spans="20:20" ht="26.25">
      <c r="T4960" s="62" ph="1"/>
    </row>
    <row r="4961" spans="20:20" ht="26.25">
      <c r="T4961" s="62" ph="1"/>
    </row>
    <row r="4962" spans="20:20" ht="26.25">
      <c r="T4962" s="62" ph="1"/>
    </row>
    <row r="4963" spans="20:20" ht="26.25">
      <c r="T4963" s="62" ph="1"/>
    </row>
    <row r="4964" spans="20:20" ht="26.25">
      <c r="T4964" s="62" ph="1"/>
    </row>
    <row r="4965" spans="20:20" ht="26.25">
      <c r="T4965" s="62" ph="1"/>
    </row>
    <row r="4966" spans="20:20" ht="26.25">
      <c r="T4966" s="62" ph="1"/>
    </row>
    <row r="4967" spans="20:20" ht="26.25">
      <c r="T4967" s="62" ph="1"/>
    </row>
    <row r="4968" spans="20:20" ht="26.25">
      <c r="T4968" s="62" ph="1"/>
    </row>
    <row r="4969" spans="20:20" ht="26.25">
      <c r="T4969" s="62" ph="1"/>
    </row>
    <row r="4970" spans="20:20" ht="26.25">
      <c r="T4970" s="62" ph="1"/>
    </row>
    <row r="4971" spans="20:20" ht="26.25">
      <c r="T4971" s="62" ph="1"/>
    </row>
    <row r="4972" spans="20:20" ht="26.25">
      <c r="T4972" s="62" ph="1"/>
    </row>
    <row r="4973" spans="20:20" ht="26.25">
      <c r="T4973" s="62" ph="1"/>
    </row>
    <row r="4974" spans="20:20" ht="26.25">
      <c r="T4974" s="62" ph="1"/>
    </row>
    <row r="4975" spans="20:20" ht="26.25">
      <c r="T4975" s="62" ph="1"/>
    </row>
    <row r="4976" spans="20:20" ht="26.25">
      <c r="T4976" s="62" ph="1"/>
    </row>
    <row r="4977" spans="20:20" ht="26.25">
      <c r="T4977" s="62" ph="1"/>
    </row>
    <row r="4978" spans="20:20" ht="26.25">
      <c r="T4978" s="62" ph="1"/>
    </row>
    <row r="4979" spans="20:20" ht="26.25">
      <c r="T4979" s="62" ph="1"/>
    </row>
    <row r="4980" spans="20:20" ht="26.25">
      <c r="T4980" s="62" ph="1"/>
    </row>
    <row r="4981" spans="20:20" ht="26.25">
      <c r="T4981" s="62" ph="1"/>
    </row>
    <row r="4982" spans="20:20" ht="26.25">
      <c r="T4982" s="62" ph="1"/>
    </row>
    <row r="4983" spans="20:20" ht="26.25">
      <c r="T4983" s="62" ph="1"/>
    </row>
    <row r="4984" spans="20:20" ht="26.25">
      <c r="T4984" s="62" ph="1"/>
    </row>
    <row r="4985" spans="20:20" ht="26.25">
      <c r="T4985" s="62" ph="1"/>
    </row>
    <row r="4986" spans="20:20" ht="26.25">
      <c r="T4986" s="62" ph="1"/>
    </row>
    <row r="4987" spans="20:20" ht="26.25">
      <c r="T4987" s="62" ph="1"/>
    </row>
    <row r="4988" spans="20:20" ht="26.25">
      <c r="T4988" s="62" ph="1"/>
    </row>
    <row r="4989" spans="20:20" ht="26.25">
      <c r="T4989" s="62" ph="1"/>
    </row>
    <row r="4990" spans="20:20" ht="26.25">
      <c r="T4990" s="62" ph="1"/>
    </row>
    <row r="4991" spans="20:20" ht="26.25">
      <c r="T4991" s="62" ph="1"/>
    </row>
    <row r="4992" spans="20:20" ht="26.25">
      <c r="T4992" s="62" ph="1"/>
    </row>
    <row r="4993" spans="20:20" ht="26.25">
      <c r="T4993" s="62" ph="1"/>
    </row>
    <row r="4994" spans="20:20" ht="26.25">
      <c r="T4994" s="62" ph="1"/>
    </row>
    <row r="4995" spans="20:20" ht="26.25">
      <c r="T4995" s="62" ph="1"/>
    </row>
    <row r="4996" spans="20:20" ht="26.25">
      <c r="T4996" s="62" ph="1"/>
    </row>
    <row r="4997" spans="20:20" ht="26.25">
      <c r="T4997" s="62" ph="1"/>
    </row>
    <row r="4998" spans="20:20" ht="26.25">
      <c r="T4998" s="62" ph="1"/>
    </row>
    <row r="4999" spans="20:20" ht="26.25">
      <c r="T4999" s="62" ph="1"/>
    </row>
    <row r="5000" spans="20:20" ht="26.25">
      <c r="T5000" s="62" ph="1"/>
    </row>
    <row r="5001" spans="20:20" ht="26.25">
      <c r="T5001" s="62" ph="1"/>
    </row>
    <row r="5002" spans="20:20" ht="26.25">
      <c r="T5002" s="62" ph="1"/>
    </row>
    <row r="5003" spans="20:20" ht="26.25">
      <c r="T5003" s="62" ph="1"/>
    </row>
    <row r="5004" spans="20:20" ht="26.25">
      <c r="T5004" s="62" ph="1"/>
    </row>
    <row r="5005" spans="20:20" ht="26.25">
      <c r="T5005" s="62" ph="1"/>
    </row>
    <row r="5006" spans="20:20" ht="26.25">
      <c r="T5006" s="62" ph="1"/>
    </row>
    <row r="5007" spans="20:20" ht="26.25">
      <c r="T5007" s="62" ph="1"/>
    </row>
    <row r="5008" spans="20:20" ht="26.25">
      <c r="T5008" s="62" ph="1"/>
    </row>
    <row r="5009" spans="20:20" ht="26.25">
      <c r="T5009" s="62" ph="1"/>
    </row>
    <row r="5010" spans="20:20" ht="26.25">
      <c r="T5010" s="62" ph="1"/>
    </row>
    <row r="5011" spans="20:20" ht="26.25">
      <c r="T5011" s="62" ph="1"/>
    </row>
    <row r="5012" spans="20:20" ht="26.25">
      <c r="T5012" s="62" ph="1"/>
    </row>
    <row r="5013" spans="20:20" ht="26.25">
      <c r="T5013" s="62" ph="1"/>
    </row>
    <row r="5014" spans="20:20" ht="26.25">
      <c r="T5014" s="62" ph="1"/>
    </row>
    <row r="5015" spans="20:20" ht="26.25">
      <c r="T5015" s="62" ph="1"/>
    </row>
    <row r="5016" spans="20:20" ht="26.25">
      <c r="T5016" s="62" ph="1"/>
    </row>
    <row r="5017" spans="20:20" ht="26.25">
      <c r="T5017" s="62" ph="1"/>
    </row>
    <row r="5018" spans="20:20" ht="26.25">
      <c r="T5018" s="62" ph="1"/>
    </row>
    <row r="5019" spans="20:20" ht="26.25">
      <c r="T5019" s="62" ph="1"/>
    </row>
    <row r="5020" spans="20:20" ht="26.25">
      <c r="T5020" s="62" ph="1"/>
    </row>
    <row r="5021" spans="20:20" ht="26.25">
      <c r="T5021" s="62" ph="1"/>
    </row>
    <row r="5022" spans="20:20" ht="26.25">
      <c r="T5022" s="62" ph="1"/>
    </row>
    <row r="5023" spans="20:20" ht="26.25">
      <c r="T5023" s="62" ph="1"/>
    </row>
    <row r="5024" spans="20:20" ht="26.25">
      <c r="T5024" s="62" ph="1"/>
    </row>
    <row r="5025" spans="20:20" ht="26.25">
      <c r="T5025" s="62" ph="1"/>
    </row>
    <row r="5026" spans="20:20" ht="26.25">
      <c r="T5026" s="62" ph="1"/>
    </row>
    <row r="5027" spans="20:20" ht="26.25">
      <c r="T5027" s="62" ph="1"/>
    </row>
    <row r="5028" spans="20:20" ht="26.25">
      <c r="T5028" s="62" ph="1"/>
    </row>
    <row r="5029" spans="20:20" ht="26.25">
      <c r="T5029" s="62" ph="1"/>
    </row>
    <row r="5030" spans="20:20" ht="26.25">
      <c r="T5030" s="62" ph="1"/>
    </row>
    <row r="5031" spans="20:20" ht="26.25">
      <c r="T5031" s="62" ph="1"/>
    </row>
    <row r="5032" spans="20:20" ht="26.25">
      <c r="T5032" s="62" ph="1"/>
    </row>
    <row r="5033" spans="20:20" ht="26.25">
      <c r="T5033" s="62" ph="1"/>
    </row>
    <row r="5034" spans="20:20" ht="26.25">
      <c r="T5034" s="62" ph="1"/>
    </row>
    <row r="5035" spans="20:20" ht="26.25">
      <c r="T5035" s="62" ph="1"/>
    </row>
    <row r="5036" spans="20:20" ht="26.25">
      <c r="T5036" s="62" ph="1"/>
    </row>
    <row r="5037" spans="20:20" ht="26.25">
      <c r="T5037" s="62" ph="1"/>
    </row>
    <row r="5038" spans="20:20" ht="26.25">
      <c r="T5038" s="62" ph="1"/>
    </row>
    <row r="5039" spans="20:20" ht="26.25">
      <c r="T5039" s="62" ph="1"/>
    </row>
    <row r="5040" spans="20:20" ht="26.25">
      <c r="T5040" s="62" ph="1"/>
    </row>
    <row r="5041" spans="20:20" ht="26.25">
      <c r="T5041" s="62" ph="1"/>
    </row>
    <row r="5042" spans="20:20" ht="26.25">
      <c r="T5042" s="62" ph="1"/>
    </row>
    <row r="5043" spans="20:20" ht="26.25">
      <c r="T5043" s="62" ph="1"/>
    </row>
    <row r="5044" spans="20:20" ht="26.25">
      <c r="T5044" s="62" ph="1"/>
    </row>
    <row r="5045" spans="20:20" ht="26.25">
      <c r="T5045" s="62" ph="1"/>
    </row>
    <row r="5046" spans="20:20" ht="26.25">
      <c r="T5046" s="62" ph="1"/>
    </row>
    <row r="5047" spans="20:20" ht="26.25">
      <c r="T5047" s="62" ph="1"/>
    </row>
    <row r="5048" spans="20:20" ht="26.25">
      <c r="T5048" s="62" ph="1"/>
    </row>
    <row r="5049" spans="20:20" ht="26.25">
      <c r="T5049" s="62" ph="1"/>
    </row>
    <row r="5050" spans="20:20" ht="26.25">
      <c r="T5050" s="62" ph="1"/>
    </row>
    <row r="5051" spans="20:20" ht="26.25">
      <c r="T5051" s="62" ph="1"/>
    </row>
    <row r="5052" spans="20:20" ht="26.25">
      <c r="T5052" s="62" ph="1"/>
    </row>
    <row r="5053" spans="20:20" ht="26.25">
      <c r="T5053" s="62" ph="1"/>
    </row>
    <row r="5054" spans="20:20" ht="26.25">
      <c r="T5054" s="62" ph="1"/>
    </row>
    <row r="5055" spans="20:20" ht="26.25">
      <c r="T5055" s="62" ph="1"/>
    </row>
    <row r="5056" spans="20:20" ht="26.25">
      <c r="T5056" s="62" ph="1"/>
    </row>
    <row r="5057" spans="20:20" ht="26.25">
      <c r="T5057" s="62" ph="1"/>
    </row>
    <row r="5058" spans="20:20" ht="26.25">
      <c r="T5058" s="62" ph="1"/>
    </row>
    <row r="5059" spans="20:20" ht="26.25">
      <c r="T5059" s="62" ph="1"/>
    </row>
    <row r="5060" spans="20:20" ht="26.25">
      <c r="T5060" s="62" ph="1"/>
    </row>
    <row r="5061" spans="20:20" ht="26.25">
      <c r="T5061" s="62" ph="1"/>
    </row>
    <row r="5062" spans="20:20" ht="26.25">
      <c r="T5062" s="62" ph="1"/>
    </row>
    <row r="5063" spans="20:20" ht="26.25">
      <c r="T5063" s="62" ph="1"/>
    </row>
    <row r="5064" spans="20:20" ht="26.25">
      <c r="T5064" s="62" ph="1"/>
    </row>
    <row r="5065" spans="20:20" ht="26.25">
      <c r="T5065" s="62" ph="1"/>
    </row>
    <row r="5066" spans="20:20" ht="26.25">
      <c r="T5066" s="62" ph="1"/>
    </row>
    <row r="5067" spans="20:20" ht="26.25">
      <c r="T5067" s="62" ph="1"/>
    </row>
    <row r="5068" spans="20:20" ht="26.25">
      <c r="T5068" s="62" ph="1"/>
    </row>
    <row r="5069" spans="20:20" ht="26.25">
      <c r="T5069" s="62" ph="1"/>
    </row>
    <row r="5070" spans="20:20" ht="26.25">
      <c r="T5070" s="62" ph="1"/>
    </row>
    <row r="5071" spans="20:20" ht="26.25">
      <c r="T5071" s="62" ph="1"/>
    </row>
    <row r="5072" spans="20:20" ht="26.25">
      <c r="T5072" s="62" ph="1"/>
    </row>
    <row r="5073" spans="20:20" ht="26.25">
      <c r="T5073" s="62" ph="1"/>
    </row>
    <row r="5074" spans="20:20" ht="26.25">
      <c r="T5074" s="62" ph="1"/>
    </row>
    <row r="5075" spans="20:20" ht="26.25">
      <c r="T5075" s="62" ph="1"/>
    </row>
    <row r="5076" spans="20:20" ht="26.25">
      <c r="T5076" s="62" ph="1"/>
    </row>
    <row r="5077" spans="20:20" ht="26.25">
      <c r="T5077" s="62" ph="1"/>
    </row>
    <row r="5078" spans="20:20" ht="26.25">
      <c r="T5078" s="62" ph="1"/>
    </row>
    <row r="5079" spans="20:20" ht="26.25">
      <c r="T5079" s="62" ph="1"/>
    </row>
    <row r="5080" spans="20:20" ht="26.25">
      <c r="T5080" s="62" ph="1"/>
    </row>
    <row r="5081" spans="20:20" ht="26.25">
      <c r="T5081" s="62" ph="1"/>
    </row>
    <row r="5082" spans="20:20" ht="26.25">
      <c r="T5082" s="62" ph="1"/>
    </row>
    <row r="5083" spans="20:20" ht="26.25">
      <c r="T5083" s="62" ph="1"/>
    </row>
    <row r="5084" spans="20:20" ht="26.25">
      <c r="T5084" s="62" ph="1"/>
    </row>
    <row r="5085" spans="20:20" ht="26.25">
      <c r="T5085" s="62" ph="1"/>
    </row>
    <row r="5086" spans="20:20" ht="26.25">
      <c r="T5086" s="62" ph="1"/>
    </row>
    <row r="5087" spans="20:20" ht="26.25">
      <c r="T5087" s="62" ph="1"/>
    </row>
    <row r="5088" spans="20:20" ht="26.25">
      <c r="T5088" s="62" ph="1"/>
    </row>
    <row r="5089" spans="20:20" ht="26.25">
      <c r="T5089" s="62" ph="1"/>
    </row>
    <row r="5090" spans="20:20" ht="26.25">
      <c r="T5090" s="62" ph="1"/>
    </row>
    <row r="5091" spans="20:20" ht="26.25">
      <c r="T5091" s="62" ph="1"/>
    </row>
    <row r="5092" spans="20:20" ht="26.25">
      <c r="T5092" s="62" ph="1"/>
    </row>
    <row r="5093" spans="20:20" ht="26.25">
      <c r="T5093" s="62" ph="1"/>
    </row>
    <row r="5094" spans="20:20" ht="26.25">
      <c r="T5094" s="62" ph="1"/>
    </row>
    <row r="5095" spans="20:20" ht="26.25">
      <c r="T5095" s="62" ph="1"/>
    </row>
    <row r="5096" spans="20:20" ht="26.25">
      <c r="T5096" s="62" ph="1"/>
    </row>
    <row r="5097" spans="20:20" ht="26.25">
      <c r="T5097" s="62" ph="1"/>
    </row>
    <row r="5098" spans="20:20" ht="26.25">
      <c r="T5098" s="62" ph="1"/>
    </row>
    <row r="5099" spans="20:20" ht="26.25">
      <c r="T5099" s="62" ph="1"/>
    </row>
    <row r="5100" spans="20:20" ht="26.25">
      <c r="T5100" s="62" ph="1"/>
    </row>
    <row r="5101" spans="20:20" ht="26.25">
      <c r="T5101" s="62" ph="1"/>
    </row>
    <row r="5102" spans="20:20" ht="26.25">
      <c r="T5102" s="62" ph="1"/>
    </row>
    <row r="5103" spans="20:20" ht="26.25">
      <c r="T5103" s="62" ph="1"/>
    </row>
    <row r="5104" spans="20:20" ht="26.25">
      <c r="T5104" s="62" ph="1"/>
    </row>
    <row r="5105" spans="20:20" ht="26.25">
      <c r="T5105" s="62" ph="1"/>
    </row>
    <row r="5106" spans="20:20" ht="26.25">
      <c r="T5106" s="62" ph="1"/>
    </row>
    <row r="5107" spans="20:20" ht="26.25">
      <c r="T5107" s="62" ph="1"/>
    </row>
    <row r="5108" spans="20:20" ht="26.25">
      <c r="T5108" s="62" ph="1"/>
    </row>
    <row r="5109" spans="20:20" ht="26.25">
      <c r="T5109" s="62" ph="1"/>
    </row>
    <row r="5110" spans="20:20" ht="26.25">
      <c r="T5110" s="62" ph="1"/>
    </row>
    <row r="5111" spans="20:20" ht="26.25">
      <c r="T5111" s="62" ph="1"/>
    </row>
    <row r="5112" spans="20:20" ht="26.25">
      <c r="T5112" s="62" ph="1"/>
    </row>
    <row r="5113" spans="20:20" ht="26.25">
      <c r="T5113" s="62" ph="1"/>
    </row>
    <row r="5114" spans="20:20" ht="26.25">
      <c r="T5114" s="62" ph="1"/>
    </row>
    <row r="5115" spans="20:20" ht="26.25">
      <c r="T5115" s="62" ph="1"/>
    </row>
    <row r="5116" spans="20:20" ht="26.25">
      <c r="T5116" s="62" ph="1"/>
    </row>
    <row r="5117" spans="20:20" ht="26.25">
      <c r="T5117" s="62" ph="1"/>
    </row>
    <row r="5118" spans="20:20" ht="26.25">
      <c r="T5118" s="62" ph="1"/>
    </row>
    <row r="5119" spans="20:20" ht="26.25">
      <c r="T5119" s="62" ph="1"/>
    </row>
    <row r="5120" spans="20:20" ht="26.25">
      <c r="T5120" s="62" ph="1"/>
    </row>
    <row r="5121" spans="20:20" ht="26.25">
      <c r="T5121" s="62" ph="1"/>
    </row>
    <row r="5122" spans="20:20" ht="26.25">
      <c r="T5122" s="62" ph="1"/>
    </row>
    <row r="5123" spans="20:20" ht="26.25">
      <c r="T5123" s="62" ph="1"/>
    </row>
    <row r="5124" spans="20:20" ht="26.25">
      <c r="T5124" s="62" ph="1"/>
    </row>
    <row r="5125" spans="20:20" ht="26.25">
      <c r="T5125" s="62" ph="1"/>
    </row>
    <row r="5126" spans="20:20" ht="26.25">
      <c r="T5126" s="62" ph="1"/>
    </row>
    <row r="5127" spans="20:20" ht="26.25">
      <c r="T5127" s="62" ph="1"/>
    </row>
    <row r="5128" spans="20:20" ht="26.25">
      <c r="T5128" s="62" ph="1"/>
    </row>
    <row r="5129" spans="20:20" ht="26.25">
      <c r="T5129" s="62" ph="1"/>
    </row>
    <row r="5130" spans="20:20" ht="26.25">
      <c r="T5130" s="62" ph="1"/>
    </row>
    <row r="5131" spans="20:20" ht="26.25">
      <c r="T5131" s="62" ph="1"/>
    </row>
    <row r="5132" spans="20:20" ht="26.25">
      <c r="T5132" s="62" ph="1"/>
    </row>
    <row r="5133" spans="20:20" ht="26.25">
      <c r="T5133" s="62" ph="1"/>
    </row>
    <row r="5134" spans="20:20" ht="26.25">
      <c r="T5134" s="62" ph="1"/>
    </row>
    <row r="5135" spans="20:20" ht="26.25">
      <c r="T5135" s="62" ph="1"/>
    </row>
    <row r="5136" spans="20:20" ht="26.25">
      <c r="T5136" s="62" ph="1"/>
    </row>
    <row r="5137" spans="20:20" ht="26.25">
      <c r="T5137" s="62" ph="1"/>
    </row>
    <row r="5138" spans="20:20" ht="26.25">
      <c r="T5138" s="62" ph="1"/>
    </row>
    <row r="5139" spans="20:20" ht="26.25">
      <c r="T5139" s="62" ph="1"/>
    </row>
    <row r="5140" spans="20:20" ht="26.25">
      <c r="T5140" s="62" ph="1"/>
    </row>
    <row r="5141" spans="20:20" ht="26.25">
      <c r="T5141" s="62" ph="1"/>
    </row>
    <row r="5142" spans="20:20" ht="26.25">
      <c r="T5142" s="62" ph="1"/>
    </row>
    <row r="5143" spans="20:20" ht="26.25">
      <c r="T5143" s="62" ph="1"/>
    </row>
    <row r="5144" spans="20:20" ht="26.25">
      <c r="T5144" s="62" ph="1"/>
    </row>
    <row r="5145" spans="20:20" ht="26.25">
      <c r="T5145" s="62" ph="1"/>
    </row>
    <row r="5146" spans="20:20" ht="26.25">
      <c r="T5146" s="62" ph="1"/>
    </row>
    <row r="5147" spans="20:20" ht="26.25">
      <c r="T5147" s="62" ph="1"/>
    </row>
    <row r="5148" spans="20:20" ht="26.25">
      <c r="T5148" s="62" ph="1"/>
    </row>
    <row r="5149" spans="20:20" ht="26.25">
      <c r="T5149" s="62" ph="1"/>
    </row>
    <row r="5150" spans="20:20" ht="26.25">
      <c r="T5150" s="62" ph="1"/>
    </row>
    <row r="5151" spans="20:20" ht="26.25">
      <c r="T5151" s="62" ph="1"/>
    </row>
    <row r="5152" spans="20:20" ht="26.25">
      <c r="T5152" s="62" ph="1"/>
    </row>
    <row r="5153" spans="20:20" ht="26.25">
      <c r="T5153" s="62" ph="1"/>
    </row>
    <row r="5154" spans="20:20" ht="26.25">
      <c r="T5154" s="62" ph="1"/>
    </row>
    <row r="5155" spans="20:20" ht="26.25">
      <c r="T5155" s="62" ph="1"/>
    </row>
    <row r="5156" spans="20:20" ht="26.25">
      <c r="T5156" s="62" ph="1"/>
    </row>
    <row r="5157" spans="20:20" ht="26.25">
      <c r="T5157" s="62" ph="1"/>
    </row>
    <row r="5158" spans="20:20" ht="26.25">
      <c r="T5158" s="62" ph="1"/>
    </row>
    <row r="5159" spans="20:20" ht="26.25">
      <c r="T5159" s="62" ph="1"/>
    </row>
    <row r="5160" spans="20:20" ht="26.25">
      <c r="T5160" s="62" ph="1"/>
    </row>
    <row r="5161" spans="20:20" ht="26.25">
      <c r="T5161" s="62" ph="1"/>
    </row>
    <row r="5162" spans="20:20" ht="26.25">
      <c r="T5162" s="62" ph="1"/>
    </row>
    <row r="5163" spans="20:20" ht="26.25">
      <c r="T5163" s="62" ph="1"/>
    </row>
    <row r="5164" spans="20:20" ht="26.25">
      <c r="T5164" s="62" ph="1"/>
    </row>
    <row r="5165" spans="20:20" ht="26.25">
      <c r="T5165" s="62" ph="1"/>
    </row>
    <row r="5166" spans="20:20" ht="26.25">
      <c r="T5166" s="62" ph="1"/>
    </row>
    <row r="5167" spans="20:20" ht="26.25">
      <c r="T5167" s="62" ph="1"/>
    </row>
    <row r="5168" spans="20:20" ht="26.25">
      <c r="T5168" s="62" ph="1"/>
    </row>
    <row r="5169" spans="20:20" ht="26.25">
      <c r="T5169" s="62" ph="1"/>
    </row>
    <row r="5170" spans="20:20" ht="26.25">
      <c r="T5170" s="62" ph="1"/>
    </row>
    <row r="5171" spans="20:20" ht="26.25">
      <c r="T5171" s="62" ph="1"/>
    </row>
    <row r="5172" spans="20:20" ht="26.25">
      <c r="T5172" s="62" ph="1"/>
    </row>
    <row r="5173" spans="20:20" ht="26.25">
      <c r="T5173" s="62" ph="1"/>
    </row>
    <row r="5174" spans="20:20" ht="26.25">
      <c r="T5174" s="62" ph="1"/>
    </row>
    <row r="5175" spans="20:20" ht="26.25">
      <c r="T5175" s="62" ph="1"/>
    </row>
    <row r="5176" spans="20:20" ht="26.25">
      <c r="T5176" s="62" ph="1"/>
    </row>
    <row r="5177" spans="20:20" ht="26.25">
      <c r="T5177" s="62" ph="1"/>
    </row>
    <row r="5178" spans="20:20" ht="26.25">
      <c r="T5178" s="62" ph="1"/>
    </row>
    <row r="5179" spans="20:20" ht="26.25">
      <c r="T5179" s="62" ph="1"/>
    </row>
    <row r="5180" spans="20:20" ht="26.25">
      <c r="T5180" s="62" ph="1"/>
    </row>
    <row r="5181" spans="20:20" ht="26.25">
      <c r="T5181" s="62" ph="1"/>
    </row>
    <row r="5182" spans="20:20" ht="26.25">
      <c r="T5182" s="62" ph="1"/>
    </row>
    <row r="5183" spans="20:20" ht="26.25">
      <c r="T5183" s="62" ph="1"/>
    </row>
    <row r="5184" spans="20:20" ht="26.25">
      <c r="T5184" s="62" ph="1"/>
    </row>
    <row r="5185" spans="20:20" ht="26.25">
      <c r="T5185" s="62" ph="1"/>
    </row>
    <row r="5186" spans="20:20" ht="26.25">
      <c r="T5186" s="62" ph="1"/>
    </row>
    <row r="5187" spans="20:20" ht="26.25">
      <c r="T5187" s="62" ph="1"/>
    </row>
    <row r="5188" spans="20:20" ht="26.25">
      <c r="T5188" s="62" ph="1"/>
    </row>
    <row r="5189" spans="20:20" ht="26.25">
      <c r="T5189" s="62" ph="1"/>
    </row>
    <row r="5190" spans="20:20" ht="26.25">
      <c r="T5190" s="62" ph="1"/>
    </row>
    <row r="5191" spans="20:20" ht="26.25">
      <c r="T5191" s="62" ph="1"/>
    </row>
    <row r="5192" spans="20:20" ht="26.25">
      <c r="T5192" s="62" ph="1"/>
    </row>
    <row r="5193" spans="20:20" ht="26.25">
      <c r="T5193" s="62" ph="1"/>
    </row>
    <row r="5194" spans="20:20" ht="26.25">
      <c r="T5194" s="62" ph="1"/>
    </row>
    <row r="5195" spans="20:20" ht="26.25">
      <c r="T5195" s="62" ph="1"/>
    </row>
    <row r="5196" spans="20:20" ht="26.25">
      <c r="T5196" s="62" ph="1"/>
    </row>
    <row r="5197" spans="20:20" ht="26.25">
      <c r="T5197" s="62" ph="1"/>
    </row>
    <row r="5198" spans="20:20" ht="26.25">
      <c r="T5198" s="62" ph="1"/>
    </row>
    <row r="5199" spans="20:20" ht="26.25">
      <c r="T5199" s="62" ph="1"/>
    </row>
    <row r="5200" spans="20:20" ht="26.25">
      <c r="T5200" s="62" ph="1"/>
    </row>
    <row r="5201" spans="20:20" ht="26.25">
      <c r="T5201" s="62" ph="1"/>
    </row>
    <row r="5202" spans="20:20" ht="26.25">
      <c r="T5202" s="62" ph="1"/>
    </row>
    <row r="5203" spans="20:20" ht="26.25">
      <c r="T5203" s="62" ph="1"/>
    </row>
    <row r="5204" spans="20:20" ht="26.25">
      <c r="T5204" s="62" ph="1"/>
    </row>
    <row r="5205" spans="20:20" ht="26.25">
      <c r="T5205" s="62" ph="1"/>
    </row>
    <row r="5206" spans="20:20" ht="26.25">
      <c r="T5206" s="62" ph="1"/>
    </row>
    <row r="5207" spans="20:20" ht="26.25">
      <c r="T5207" s="62" ph="1"/>
    </row>
    <row r="5208" spans="20:20" ht="26.25">
      <c r="T5208" s="62" ph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5"/>
  <dimension ref="A1:AQ5766"/>
  <sheetViews>
    <sheetView workbookViewId="0">
      <selection activeCell="V25" sqref="V25"/>
    </sheetView>
  </sheetViews>
  <sheetFormatPr defaultRowHeight="16.5"/>
  <cols>
    <col min="1" max="1" width="5.7109375" style="132" customWidth="1"/>
    <col min="2" max="5" width="5.7109375" style="94" customWidth="1"/>
    <col min="6" max="6" width="8.7109375" style="64" customWidth="1"/>
    <col min="7" max="7" width="7.7109375" style="19" customWidth="1"/>
    <col min="8" max="8" width="5.7109375" style="12" customWidth="1"/>
    <col min="9" max="9" width="8.7109375" style="9" customWidth="1"/>
    <col min="10" max="10" width="6.7109375" style="31" customWidth="1"/>
    <col min="11" max="11" width="6.7109375" style="327" customWidth="1"/>
    <col min="12" max="12" width="6.7109375" style="75" customWidth="1"/>
    <col min="13" max="13" width="6.7109375" style="325" customWidth="1"/>
    <col min="14" max="14" width="7.7109375" style="327" customWidth="1"/>
    <col min="15" max="15" width="4.7109375" style="27" customWidth="1"/>
    <col min="16" max="16" width="4.7109375" style="56" customWidth="1"/>
    <col min="17" max="17" width="4.7109375" style="26" customWidth="1"/>
    <col min="18" max="18" width="2.7109375" style="308" customWidth="1"/>
    <col min="19" max="19" width="6.7109375" style="330" customWidth="1"/>
    <col min="20" max="20" width="7.7109375" style="62" customWidth="1"/>
    <col min="21" max="21" width="6.7109375" style="367" customWidth="1"/>
    <col min="22" max="22" width="7.7109375" style="231" customWidth="1"/>
    <col min="23" max="23" width="9.7109375" style="270" customWidth="1"/>
    <col min="24" max="24" width="9.7109375" style="70" customWidth="1"/>
    <col min="25" max="25" width="9.7109375" style="59" customWidth="1"/>
    <col min="26" max="26" width="8.7109375" style="11" customWidth="1"/>
    <col min="27" max="27" width="6.7109375" style="101" customWidth="1"/>
    <col min="28" max="28" width="8.7109375" style="9" customWidth="1"/>
    <col min="29" max="29" width="11.7109375" style="86" customWidth="1"/>
    <col min="30" max="30" width="11.7109375" style="85" customWidth="1"/>
    <col min="31" max="31" width="4.7109375" style="80" customWidth="1"/>
    <col min="32" max="32" width="14.7109375" style="269" customWidth="1"/>
    <col min="33" max="33" width="2.7109375" style="126" customWidth="1"/>
    <col min="34" max="34" width="2.7109375" style="254" customWidth="1"/>
    <col min="35" max="35" width="7.7109375" style="243" customWidth="1"/>
    <col min="36" max="36" width="7.7109375" style="269" customWidth="1"/>
    <col min="37" max="37" width="7.7109375" style="348" customWidth="1"/>
    <col min="38" max="38" width="2.7109375" style="308" customWidth="1"/>
    <col min="39" max="16384" width="9.140625" style="269"/>
  </cols>
  <sheetData>
    <row r="1" spans="1:43">
      <c r="A1" s="132" t="s">
        <v>1854</v>
      </c>
      <c r="B1" s="93" t="s">
        <v>1657</v>
      </c>
      <c r="C1" s="93" t="s">
        <v>1658</v>
      </c>
      <c r="D1" s="93" t="s">
        <v>1659</v>
      </c>
      <c r="E1" s="93" t="s">
        <v>1660</v>
      </c>
      <c r="F1" s="8" t="s">
        <v>1122</v>
      </c>
      <c r="G1" s="26" t="s">
        <v>4231</v>
      </c>
      <c r="H1" s="55" t="s">
        <v>342</v>
      </c>
      <c r="I1" s="50" t="s">
        <v>6332</v>
      </c>
      <c r="J1" s="324" t="s">
        <v>1529</v>
      </c>
      <c r="K1" s="324" t="s">
        <v>1217</v>
      </c>
      <c r="L1" s="324" t="s">
        <v>298</v>
      </c>
      <c r="M1" s="324" t="s">
        <v>1115</v>
      </c>
      <c r="N1" s="324" t="s">
        <v>6091</v>
      </c>
      <c r="O1" s="27" t="s">
        <v>6253</v>
      </c>
      <c r="P1" s="56" t="s">
        <v>6219</v>
      </c>
      <c r="Q1" s="26" t="s">
        <v>6313</v>
      </c>
      <c r="R1" s="309" t="s">
        <v>6212</v>
      </c>
      <c r="S1" s="335" t="s">
        <v>4398</v>
      </c>
      <c r="T1" s="10" t="s">
        <v>75</v>
      </c>
      <c r="U1" s="364" t="s">
        <v>6152</v>
      </c>
      <c r="V1" s="69" t="s">
        <v>4406</v>
      </c>
      <c r="W1" s="28" t="s">
        <v>4424</v>
      </c>
      <c r="X1" s="17" t="s">
        <v>1465</v>
      </c>
      <c r="Y1" s="14" t="s">
        <v>2755</v>
      </c>
      <c r="Z1" s="21" t="s">
        <v>1539</v>
      </c>
      <c r="AA1" s="25" t="s">
        <v>117</v>
      </c>
      <c r="AB1" s="50" t="s">
        <v>6332</v>
      </c>
      <c r="AC1" s="73" t="s">
        <v>1466</v>
      </c>
      <c r="AD1" s="74" t="s">
        <v>1223</v>
      </c>
      <c r="AE1" s="32" t="s">
        <v>1224</v>
      </c>
      <c r="AF1" s="253" t="s">
        <v>6210</v>
      </c>
      <c r="AG1" s="269"/>
      <c r="AI1" s="8" t="s">
        <v>4414</v>
      </c>
      <c r="AJ1" s="50" t="s">
        <v>4121</v>
      </c>
      <c r="AK1" s="348" t="s">
        <v>6074</v>
      </c>
    </row>
    <row r="2" spans="1:43">
      <c r="B2" s="93"/>
      <c r="C2" s="93"/>
      <c r="D2" s="93"/>
      <c r="E2" s="93"/>
      <c r="F2" s="8"/>
      <c r="G2" s="26"/>
      <c r="H2" s="55"/>
      <c r="I2" s="50"/>
      <c r="J2" s="324"/>
      <c r="K2" s="324"/>
      <c r="L2" s="324"/>
      <c r="M2" s="324"/>
      <c r="N2" s="324"/>
      <c r="R2" s="309"/>
      <c r="S2" s="335"/>
      <c r="T2" s="10"/>
      <c r="U2" s="364"/>
      <c r="V2" s="69"/>
      <c r="W2" s="28"/>
      <c r="X2" s="17"/>
      <c r="Y2" s="14"/>
      <c r="Z2" s="21"/>
      <c r="AA2" s="25"/>
      <c r="AB2" s="50"/>
      <c r="AC2" s="73"/>
      <c r="AD2" s="74"/>
      <c r="AE2" s="32"/>
      <c r="AF2" s="253"/>
      <c r="AG2" s="269"/>
      <c r="AI2" s="8"/>
      <c r="AJ2" s="50"/>
    </row>
    <row r="3" spans="1:43">
      <c r="A3" s="132" t="s">
        <v>1738</v>
      </c>
      <c r="B3" s="81">
        <v>30</v>
      </c>
      <c r="C3" s="81">
        <v>30</v>
      </c>
      <c r="D3" s="82">
        <v>-13</v>
      </c>
      <c r="E3" s="81">
        <v>32</v>
      </c>
      <c r="F3" s="58">
        <v>45.42</v>
      </c>
      <c r="G3" s="82">
        <v>5274</v>
      </c>
      <c r="H3" s="151" t="s">
        <v>3761</v>
      </c>
      <c r="I3" s="16" t="s">
        <v>231</v>
      </c>
      <c r="J3" s="75">
        <v>21.57</v>
      </c>
      <c r="K3" s="75">
        <v>68.739999999999995</v>
      </c>
      <c r="L3" s="330">
        <v>1.51</v>
      </c>
      <c r="M3" s="75">
        <v>21.8</v>
      </c>
      <c r="N3" s="325">
        <f t="shared" ref="N3:N4" si="0">J3+K3+L3+M3</f>
        <v>113.62</v>
      </c>
      <c r="R3" s="309" t="s">
        <v>4375</v>
      </c>
      <c r="S3" s="330">
        <v>1.48</v>
      </c>
      <c r="T3" s="67">
        <v>36</v>
      </c>
      <c r="U3" s="366">
        <f t="shared" ref="U3:U4" si="1">T3/W3</f>
        <v>1.2413793103448275E-2</v>
      </c>
      <c r="V3" s="97">
        <v>38.32</v>
      </c>
      <c r="W3" s="157">
        <f>RTD("money.excel",,"5274","Price")</f>
        <v>2900</v>
      </c>
      <c r="X3" s="67">
        <v>2935</v>
      </c>
      <c r="Y3" s="143">
        <f t="shared" ref="Y3:Y4" si="2">W3-X3</f>
        <v>-35</v>
      </c>
      <c r="Z3" s="3">
        <f t="shared" ref="Z3:Z4" si="3">Y3/X3</f>
        <v>-1.192504258943782E-2</v>
      </c>
      <c r="AA3" s="174" t="s">
        <v>6509</v>
      </c>
      <c r="AB3" s="16" t="s">
        <v>231</v>
      </c>
      <c r="AC3" s="86">
        <v>44631</v>
      </c>
      <c r="AE3" s="33">
        <f t="shared" ref="AE3:AE4" si="4">AD3-AC3</f>
        <v>-44631</v>
      </c>
      <c r="AF3" s="122" t="s">
        <v>2878</v>
      </c>
      <c r="AG3" s="128"/>
      <c r="AI3" s="64">
        <f t="shared" ref="AI3:AI4" si="5">AJ3/(A3*10000)</f>
        <v>4.941860465116279E-3</v>
      </c>
      <c r="AJ3" s="313">
        <f>RTD("money.excel",,$G3,"PredictVolume")</f>
        <v>170</v>
      </c>
      <c r="AK3" s="348">
        <v>3.92</v>
      </c>
    </row>
    <row r="4" spans="1:43">
      <c r="A4" s="148" t="s">
        <v>1840</v>
      </c>
      <c r="B4" s="81">
        <v>213</v>
      </c>
      <c r="C4" s="81">
        <v>106</v>
      </c>
      <c r="D4" s="82">
        <v>-11</v>
      </c>
      <c r="E4" s="81">
        <v>26</v>
      </c>
      <c r="F4" s="6">
        <v>9.9600000000000009</v>
      </c>
      <c r="G4" s="81">
        <v>2612</v>
      </c>
      <c r="H4" s="8" t="s">
        <v>320</v>
      </c>
      <c r="I4" s="22" t="s">
        <v>923</v>
      </c>
      <c r="J4" s="75">
        <v>64.7</v>
      </c>
      <c r="K4" s="75">
        <v>3.38</v>
      </c>
      <c r="L4" s="75">
        <v>13.2</v>
      </c>
      <c r="M4" s="75">
        <v>22.74</v>
      </c>
      <c r="N4" s="325">
        <f t="shared" si="0"/>
        <v>104.02</v>
      </c>
      <c r="R4" s="309" t="s">
        <v>4372</v>
      </c>
      <c r="S4" s="330">
        <v>1.53</v>
      </c>
      <c r="T4" s="34">
        <v>2.68</v>
      </c>
      <c r="U4" s="366">
        <f t="shared" si="1"/>
        <v>4.7857142857142862E-2</v>
      </c>
      <c r="V4" s="58">
        <v>5.27</v>
      </c>
      <c r="W4" s="36">
        <f>RTD("money.excel",,"2612","Price")</f>
        <v>56</v>
      </c>
      <c r="X4" s="67">
        <v>58.6</v>
      </c>
      <c r="Y4" s="15">
        <f t="shared" si="2"/>
        <v>-2.6000000000000014</v>
      </c>
      <c r="Z4" s="3">
        <f t="shared" si="3"/>
        <v>-4.4368600682593878E-2</v>
      </c>
      <c r="AA4" s="174" t="s">
        <v>6510</v>
      </c>
      <c r="AB4" s="22" t="s">
        <v>923</v>
      </c>
      <c r="AC4" s="86">
        <v>44631</v>
      </c>
      <c r="AE4" s="33">
        <f t="shared" si="4"/>
        <v>-44631</v>
      </c>
      <c r="AF4" s="43" t="s">
        <v>2562</v>
      </c>
      <c r="AG4" s="128"/>
      <c r="AI4" s="64">
        <f t="shared" si="5"/>
        <v>3.6060913705583758E-2</v>
      </c>
      <c r="AJ4" s="313">
        <f>RTD("money.excel",,$G4,"PredictVolume")</f>
        <v>7104</v>
      </c>
      <c r="AK4" s="348">
        <v>37.24</v>
      </c>
    </row>
    <row r="5" spans="1:43">
      <c r="A5" s="132" t="s">
        <v>2278</v>
      </c>
      <c r="B5" s="81">
        <v>146</v>
      </c>
      <c r="C5" s="81">
        <v>356</v>
      </c>
      <c r="D5" s="82">
        <v>-6</v>
      </c>
      <c r="E5" s="81">
        <v>47</v>
      </c>
      <c r="F5" s="58">
        <v>35.82</v>
      </c>
      <c r="G5" s="82">
        <v>6531</v>
      </c>
      <c r="H5" s="8" t="s">
        <v>3761</v>
      </c>
      <c r="I5" s="22" t="s">
        <v>383</v>
      </c>
      <c r="J5" s="330">
        <v>49.15</v>
      </c>
      <c r="K5" s="75">
        <v>17.8</v>
      </c>
      <c r="L5" s="330">
        <v>36.11</v>
      </c>
      <c r="M5" s="330">
        <v>18.329999999999998</v>
      </c>
      <c r="N5" s="325">
        <f t="shared" ref="N5" si="6">J5+K5+L5+M5</f>
        <v>121.39</v>
      </c>
      <c r="P5" s="56" t="s">
        <v>6485</v>
      </c>
      <c r="Q5" s="26" t="s">
        <v>6486</v>
      </c>
      <c r="R5" s="309" t="s">
        <v>4373</v>
      </c>
      <c r="S5" s="330">
        <v>4.4000000000000004</v>
      </c>
      <c r="T5" s="67">
        <v>6</v>
      </c>
      <c r="U5" s="366">
        <f t="shared" ref="U5" si="7">T5/W5</f>
        <v>1.7804154302670624E-2</v>
      </c>
      <c r="V5" s="97">
        <v>10.94</v>
      </c>
      <c r="W5" s="36">
        <f>RTD("money.excel",,"6531","Price")</f>
        <v>337</v>
      </c>
      <c r="X5" s="67">
        <v>367.5</v>
      </c>
      <c r="Y5" s="15">
        <f t="shared" ref="Y5" si="8">W5-X5</f>
        <v>-30.5</v>
      </c>
      <c r="Z5" s="3">
        <f t="shared" ref="Z5" si="9">Y5/X5</f>
        <v>-8.2993197278911565E-2</v>
      </c>
      <c r="AA5" s="174" t="s">
        <v>6487</v>
      </c>
      <c r="AB5" s="22" t="s">
        <v>383</v>
      </c>
      <c r="AC5" s="86">
        <v>44627</v>
      </c>
      <c r="AE5" s="33">
        <f t="shared" ref="AE5" si="10">AD5-AC5</f>
        <v>-44627</v>
      </c>
      <c r="AF5" s="61" t="s">
        <v>2592</v>
      </c>
      <c r="AG5" s="128"/>
      <c r="AI5" s="64">
        <f t="shared" ref="AI5" si="11">AJ5/(A5*10000)</f>
        <v>2.9913258983890953E-2</v>
      </c>
      <c r="AJ5" s="313">
        <f>RTD("money.excel",,$G5,"PredictVolume")</f>
        <v>2414</v>
      </c>
      <c r="AK5" s="348">
        <v>30.22</v>
      </c>
    </row>
    <row r="6" spans="1:43">
      <c r="A6" s="132" t="s">
        <v>2804</v>
      </c>
      <c r="B6" s="81">
        <v>141</v>
      </c>
      <c r="C6" s="81">
        <v>145</v>
      </c>
      <c r="D6" s="81">
        <v>3</v>
      </c>
      <c r="E6" s="81">
        <v>59</v>
      </c>
      <c r="F6" s="58">
        <v>34.74</v>
      </c>
      <c r="G6" s="82">
        <v>3169</v>
      </c>
      <c r="H6" s="151" t="s">
        <v>3761</v>
      </c>
      <c r="I6" s="16" t="s">
        <v>388</v>
      </c>
      <c r="J6" s="75">
        <v>28.47</v>
      </c>
      <c r="K6" s="75">
        <v>10.57</v>
      </c>
      <c r="L6" s="330">
        <v>52.61</v>
      </c>
      <c r="M6" s="330">
        <v>24.21</v>
      </c>
      <c r="N6" s="325">
        <f t="shared" ref="N6" si="12">J6+K6+L6+M6</f>
        <v>115.86000000000001</v>
      </c>
      <c r="P6" s="56" t="s">
        <v>6480</v>
      </c>
      <c r="Q6" s="26" t="s">
        <v>6481</v>
      </c>
      <c r="R6" s="385" t="s">
        <v>6290</v>
      </c>
      <c r="S6" s="330">
        <v>2.58</v>
      </c>
      <c r="T6" s="67">
        <v>5</v>
      </c>
      <c r="U6" s="366">
        <f t="shared" ref="U6" si="13">T6/W6</f>
        <v>2.4937655860349128E-2</v>
      </c>
      <c r="V6" s="97">
        <v>5.5</v>
      </c>
      <c r="W6" s="36">
        <f>RTD("money.excel",,"3169","Price")</f>
        <v>200.5</v>
      </c>
      <c r="X6" s="67">
        <v>230</v>
      </c>
      <c r="Y6" s="15">
        <f t="shared" ref="Y6" si="14">W6-X6</f>
        <v>-29.5</v>
      </c>
      <c r="Z6" s="3">
        <f t="shared" ref="Z6" si="15">Y6/X6</f>
        <v>-0.1282608695652174</v>
      </c>
      <c r="AA6" s="174" t="s">
        <v>6483</v>
      </c>
      <c r="AB6" s="16" t="s">
        <v>388</v>
      </c>
      <c r="AC6" s="86">
        <v>44627</v>
      </c>
      <c r="AE6" s="33">
        <f t="shared" ref="AE6" si="16">AD6-AC6</f>
        <v>-44627</v>
      </c>
      <c r="AF6" s="43" t="s">
        <v>3418</v>
      </c>
      <c r="AG6" s="128"/>
      <c r="AI6" s="64">
        <f t="shared" ref="AI6" si="17">AJ6/(A6*10000)</f>
        <v>5.4228295819935692E-2</v>
      </c>
      <c r="AJ6" s="313">
        <f>RTD("money.excel",,$G6,"PredictVolume")</f>
        <v>3373</v>
      </c>
      <c r="AK6" s="348">
        <v>70.58</v>
      </c>
    </row>
    <row r="7" spans="1:43">
      <c r="A7" s="132" t="s">
        <v>2735</v>
      </c>
      <c r="B7" s="81">
        <v>691</v>
      </c>
      <c r="C7" s="81">
        <v>515</v>
      </c>
      <c r="D7" s="81">
        <v>16</v>
      </c>
      <c r="E7" s="81">
        <v>81</v>
      </c>
      <c r="F7" s="58">
        <v>11.81</v>
      </c>
      <c r="G7" s="81">
        <v>2636</v>
      </c>
      <c r="H7" s="8" t="s">
        <v>320</v>
      </c>
      <c r="I7" s="22" t="s">
        <v>2240</v>
      </c>
      <c r="J7" s="75">
        <v>36.18</v>
      </c>
      <c r="K7" s="75">
        <v>13.51</v>
      </c>
      <c r="L7" s="75">
        <v>31.72</v>
      </c>
      <c r="M7" s="330">
        <v>19.309999999999999</v>
      </c>
      <c r="N7" s="325">
        <f t="shared" ref="N7:N8" si="18">J7+K7+L7+M7</f>
        <v>100.72</v>
      </c>
      <c r="O7" s="27" t="s">
        <v>1735</v>
      </c>
      <c r="P7" s="56" t="s">
        <v>1735</v>
      </c>
      <c r="Q7" s="26" t="s">
        <v>6283</v>
      </c>
      <c r="R7" s="309" t="s">
        <v>4374</v>
      </c>
      <c r="S7" s="330">
        <v>4.38</v>
      </c>
      <c r="T7" s="67">
        <v>3.02</v>
      </c>
      <c r="U7" s="366">
        <f>T7/W7</f>
        <v>2.1571428571428571E-2</v>
      </c>
      <c r="V7" s="97">
        <v>24.5</v>
      </c>
      <c r="W7" s="36">
        <f>RTD("money.excel",,"2636","Price")</f>
        <v>140</v>
      </c>
      <c r="X7" s="67">
        <v>152</v>
      </c>
      <c r="Y7" s="15">
        <f t="shared" ref="Y7:Y8" si="19">W7-X7</f>
        <v>-12</v>
      </c>
      <c r="Z7" s="3">
        <f t="shared" ref="Z7:Z8" si="20">Y7/X7</f>
        <v>-7.8947368421052627E-2</v>
      </c>
      <c r="AA7" s="174" t="s">
        <v>6467</v>
      </c>
      <c r="AB7" s="22" t="s">
        <v>2240</v>
      </c>
      <c r="AC7" s="86">
        <v>44624</v>
      </c>
      <c r="AE7" s="33">
        <f t="shared" ref="AE7:AE8" si="21">AD7-AC7</f>
        <v>-44624</v>
      </c>
      <c r="AF7" s="43" t="s">
        <v>2410</v>
      </c>
      <c r="AG7" s="128"/>
      <c r="AI7" s="64">
        <f>AJ7/(A7*10000)</f>
        <v>2.5133333333333334E-2</v>
      </c>
      <c r="AJ7" s="313">
        <f>RTD("money.excel",,$G7,"PredictVolume")</f>
        <v>3770</v>
      </c>
      <c r="AK7" s="348">
        <v>53.41</v>
      </c>
    </row>
    <row r="8" spans="1:43">
      <c r="A8" s="132" t="s">
        <v>1945</v>
      </c>
      <c r="B8" s="81">
        <v>166</v>
      </c>
      <c r="C8" s="81">
        <v>154</v>
      </c>
      <c r="D8" s="82">
        <v>-8</v>
      </c>
      <c r="E8" s="81">
        <v>12</v>
      </c>
      <c r="F8" s="58">
        <v>11.56</v>
      </c>
      <c r="G8" s="82">
        <v>2351</v>
      </c>
      <c r="H8" s="206" t="s">
        <v>3761</v>
      </c>
      <c r="I8" s="22" t="s">
        <v>68</v>
      </c>
      <c r="J8" s="330">
        <v>68.27</v>
      </c>
      <c r="K8" s="75">
        <v>24.92</v>
      </c>
      <c r="L8" s="75">
        <v>7.66</v>
      </c>
      <c r="M8" s="330">
        <v>11.24</v>
      </c>
      <c r="N8" s="325">
        <f t="shared" si="18"/>
        <v>112.08999999999999</v>
      </c>
      <c r="P8" s="56" t="s">
        <v>6463</v>
      </c>
      <c r="Q8" s="26" t="s">
        <v>6464</v>
      </c>
      <c r="R8" s="309" t="s">
        <v>4374</v>
      </c>
      <c r="S8" s="330">
        <v>3.4</v>
      </c>
      <c r="T8" s="67">
        <v>3</v>
      </c>
      <c r="U8" s="366">
        <f>T8/W8</f>
        <v>2.1505376344086023E-2</v>
      </c>
      <c r="V8" s="58">
        <v>4.3099999999999996</v>
      </c>
      <c r="W8" s="36">
        <f>RTD("money.excel",,"2351","Price")</f>
        <v>139.5</v>
      </c>
      <c r="X8" s="67">
        <v>141</v>
      </c>
      <c r="Y8" s="15">
        <f t="shared" si="19"/>
        <v>-1.5</v>
      </c>
      <c r="Z8" s="3">
        <f t="shared" si="20"/>
        <v>-1.0638297872340425E-2</v>
      </c>
      <c r="AA8" s="174" t="s">
        <v>6468</v>
      </c>
      <c r="AB8" s="22" t="s">
        <v>68</v>
      </c>
      <c r="AC8" s="86">
        <v>44624</v>
      </c>
      <c r="AE8" s="33">
        <f t="shared" si="21"/>
        <v>-44624</v>
      </c>
      <c r="AF8" s="122" t="s">
        <v>4129</v>
      </c>
      <c r="AG8" s="269"/>
      <c r="AI8" s="64">
        <f>AJ8/(A8*10000)</f>
        <v>7.7527472527472528E-3</v>
      </c>
      <c r="AJ8" s="313">
        <f>RTD("money.excel",,$G8,"PredictVolume")</f>
        <v>1411</v>
      </c>
      <c r="AK8" s="348">
        <v>16.02</v>
      </c>
    </row>
    <row r="9" spans="1:43">
      <c r="A9" s="148" t="s">
        <v>1784</v>
      </c>
      <c r="B9" s="81">
        <v>116</v>
      </c>
      <c r="C9" s="81">
        <v>35</v>
      </c>
      <c r="D9" s="81">
        <v>1</v>
      </c>
      <c r="E9" s="81">
        <v>13</v>
      </c>
      <c r="F9" s="6">
        <v>7.23</v>
      </c>
      <c r="G9" s="81">
        <v>3260</v>
      </c>
      <c r="H9" s="197" t="s">
        <v>3761</v>
      </c>
      <c r="I9" s="16" t="s">
        <v>229</v>
      </c>
      <c r="J9" s="75">
        <v>20.6</v>
      </c>
      <c r="K9" s="75">
        <v>9.59</v>
      </c>
      <c r="L9" s="75">
        <v>29.86</v>
      </c>
      <c r="M9" s="75">
        <v>5.58</v>
      </c>
      <c r="N9" s="325">
        <f t="shared" ref="N9" si="22">J9+K9+L9+M9</f>
        <v>65.63</v>
      </c>
      <c r="P9" s="56" t="s">
        <v>6270</v>
      </c>
      <c r="Q9" s="26" t="s">
        <v>6231</v>
      </c>
      <c r="R9" s="385" t="s">
        <v>6290</v>
      </c>
      <c r="S9" s="330">
        <v>7.35</v>
      </c>
      <c r="T9" s="67">
        <v>3.18</v>
      </c>
      <c r="U9" s="366">
        <f t="shared" ref="U9:U13" si="23">T9/W9</f>
        <v>3.5570469798657717E-2</v>
      </c>
      <c r="V9" s="97">
        <v>10.55</v>
      </c>
      <c r="W9" s="36">
        <f>RTD("money.excel",,"3260","Price")</f>
        <v>89.4</v>
      </c>
      <c r="X9" s="67">
        <v>99.4</v>
      </c>
      <c r="Y9" s="15">
        <f t="shared" ref="Y9" si="24">W9-X9</f>
        <v>-10</v>
      </c>
      <c r="Z9" s="3">
        <f t="shared" ref="Z9" si="25">Y9/X9</f>
        <v>-0.10060362173038229</v>
      </c>
      <c r="AA9" s="174" t="s">
        <v>6454</v>
      </c>
      <c r="AB9" s="16" t="s">
        <v>229</v>
      </c>
      <c r="AC9" s="86">
        <v>44623</v>
      </c>
      <c r="AE9" s="33">
        <f t="shared" ref="AE9" si="26">AD9-AC9</f>
        <v>-44623</v>
      </c>
      <c r="AF9" s="122" t="s">
        <v>1482</v>
      </c>
      <c r="AG9" s="128"/>
      <c r="AI9" s="64">
        <f t="shared" ref="AI9:AI13" si="27">AJ9/(A9*10000)</f>
        <v>9.1596958174904944E-3</v>
      </c>
      <c r="AJ9" s="313">
        <f>RTD("money.excel",,$G9,"PredictVolume")</f>
        <v>2409</v>
      </c>
      <c r="AK9" s="348">
        <v>35.89</v>
      </c>
    </row>
    <row r="10" spans="1:43">
      <c r="A10" s="148" t="s">
        <v>1784</v>
      </c>
      <c r="B10" s="81">
        <v>116</v>
      </c>
      <c r="C10" s="81">
        <v>35</v>
      </c>
      <c r="D10" s="81">
        <v>1</v>
      </c>
      <c r="E10" s="81">
        <v>13</v>
      </c>
      <c r="F10" s="6">
        <v>7.23</v>
      </c>
      <c r="G10" s="81">
        <v>3260</v>
      </c>
      <c r="H10" s="151" t="s">
        <v>3761</v>
      </c>
      <c r="I10" s="16" t="s">
        <v>229</v>
      </c>
      <c r="J10" s="75">
        <v>16.920000000000002</v>
      </c>
      <c r="K10" s="75">
        <v>9.1999999999999993</v>
      </c>
      <c r="L10" s="75">
        <v>30.38</v>
      </c>
      <c r="M10" s="75">
        <v>5.58</v>
      </c>
      <c r="N10" s="325">
        <f t="shared" ref="N10" si="28">J10+K10+L10+M10</f>
        <v>62.08</v>
      </c>
      <c r="P10" s="56" t="s">
        <v>6270</v>
      </c>
      <c r="Q10" s="26" t="s">
        <v>6231</v>
      </c>
      <c r="R10" s="385" t="s">
        <v>6290</v>
      </c>
      <c r="S10" s="330">
        <v>8.1</v>
      </c>
      <c r="T10" s="67">
        <v>3.18</v>
      </c>
      <c r="U10" s="366">
        <f t="shared" si="23"/>
        <v>3.5570469798657717E-2</v>
      </c>
      <c r="V10" s="97">
        <v>10.55</v>
      </c>
      <c r="W10" s="36">
        <f>RTD("money.excel",,"3260","Price")</f>
        <v>89.4</v>
      </c>
      <c r="X10" s="67">
        <v>100.5</v>
      </c>
      <c r="Y10" s="15">
        <f t="shared" ref="Y10" si="29">W10-X10</f>
        <v>-11.099999999999994</v>
      </c>
      <c r="Z10" s="3">
        <f t="shared" ref="Z10" si="30">Y10/X10</f>
        <v>-0.1104477611940298</v>
      </c>
      <c r="AA10" s="174" t="s">
        <v>6330</v>
      </c>
      <c r="AB10" s="16" t="s">
        <v>229</v>
      </c>
      <c r="AC10" s="86">
        <v>44613</v>
      </c>
      <c r="AE10" s="33">
        <f t="shared" ref="AE10" si="31">AD10-AC10</f>
        <v>-44613</v>
      </c>
      <c r="AF10" s="122" t="s">
        <v>1482</v>
      </c>
      <c r="AG10" s="128"/>
      <c r="AI10" s="64">
        <f t="shared" si="27"/>
        <v>9.1596958174904944E-3</v>
      </c>
      <c r="AJ10" s="313">
        <f>RTD("money.excel",,$G10,"PredictVolume")</f>
        <v>2409</v>
      </c>
      <c r="AK10" s="348">
        <v>35.89</v>
      </c>
    </row>
    <row r="11" spans="1:43">
      <c r="A11" s="132" t="s">
        <v>1576</v>
      </c>
      <c r="B11" s="81">
        <v>75</v>
      </c>
      <c r="C11" s="81">
        <v>77</v>
      </c>
      <c r="D11" s="81">
        <v>3</v>
      </c>
      <c r="E11" s="81">
        <v>24</v>
      </c>
      <c r="F11" s="58">
        <v>24.43</v>
      </c>
      <c r="G11" s="82">
        <v>6411</v>
      </c>
      <c r="H11" s="151" t="s">
        <v>3761</v>
      </c>
      <c r="I11" s="16" t="s">
        <v>267</v>
      </c>
      <c r="J11" s="75">
        <v>26.05</v>
      </c>
      <c r="K11" s="330">
        <v>17.43</v>
      </c>
      <c r="L11" s="75">
        <v>35.590000000000003</v>
      </c>
      <c r="M11" s="330">
        <v>13.98</v>
      </c>
      <c r="N11" s="325">
        <f t="shared" ref="N11" si="32">J11+K11+L11+M11</f>
        <v>93.050000000000011</v>
      </c>
      <c r="P11" s="56" t="s">
        <v>6379</v>
      </c>
      <c r="Q11" s="26" t="s">
        <v>6375</v>
      </c>
      <c r="R11" s="385" t="s">
        <v>6290</v>
      </c>
      <c r="S11" s="330">
        <v>3.14</v>
      </c>
      <c r="T11" s="67">
        <v>5.03</v>
      </c>
      <c r="U11" s="366">
        <f t="shared" si="23"/>
        <v>2.7944444444444445E-2</v>
      </c>
      <c r="V11" s="97">
        <v>8.82</v>
      </c>
      <c r="W11" s="36">
        <f>RTD("money.excel",,"6411","Price")</f>
        <v>180</v>
      </c>
      <c r="X11" s="67">
        <v>217</v>
      </c>
      <c r="Y11" s="15">
        <f t="shared" ref="Y11" si="33">W11-X11</f>
        <v>-37</v>
      </c>
      <c r="Z11" s="3">
        <f t="shared" ref="Z11" si="34">Y11/X11</f>
        <v>-0.17050691244239632</v>
      </c>
      <c r="AA11" s="174" t="s">
        <v>6277</v>
      </c>
      <c r="AB11" s="16" t="s">
        <v>267</v>
      </c>
      <c r="AC11" s="86">
        <v>44602</v>
      </c>
      <c r="AE11" s="33">
        <f t="shared" ref="AE11" si="35">AD11-AC11</f>
        <v>-44602</v>
      </c>
      <c r="AF11" s="43" t="s">
        <v>2615</v>
      </c>
      <c r="AG11" s="128"/>
      <c r="AI11" s="64">
        <f t="shared" si="27"/>
        <v>1.5486338797814208E-2</v>
      </c>
      <c r="AJ11" s="313">
        <f>RTD("money.excel",,$G11,"PredictVolume")</f>
        <v>1417</v>
      </c>
      <c r="AK11" s="348">
        <v>48.2</v>
      </c>
    </row>
    <row r="12" spans="1:43">
      <c r="A12" s="148">
        <v>29.4</v>
      </c>
      <c r="B12" s="81">
        <v>32</v>
      </c>
      <c r="C12" s="81">
        <v>18</v>
      </c>
      <c r="D12" s="81">
        <v>24</v>
      </c>
      <c r="E12" s="81">
        <v>9</v>
      </c>
      <c r="F12" s="6">
        <v>9.16</v>
      </c>
      <c r="G12" s="81">
        <v>1702</v>
      </c>
      <c r="H12" s="17" t="s">
        <v>310</v>
      </c>
      <c r="I12" s="160" t="s">
        <v>6</v>
      </c>
      <c r="J12" s="330">
        <v>62.97</v>
      </c>
      <c r="K12" s="75">
        <v>15.33</v>
      </c>
      <c r="L12" s="330">
        <v>1.07</v>
      </c>
      <c r="M12" s="330">
        <v>35.76</v>
      </c>
      <c r="N12" s="325">
        <f t="shared" ref="N12" si="36">J12+K12+L12+M12</f>
        <v>115.13</v>
      </c>
      <c r="O12" s="27" t="s">
        <v>6382</v>
      </c>
      <c r="P12" s="56" t="s">
        <v>6382</v>
      </c>
      <c r="Q12" s="26" t="s">
        <v>6377</v>
      </c>
      <c r="R12" s="309" t="s">
        <v>6256</v>
      </c>
      <c r="S12" s="330">
        <v>0.85</v>
      </c>
      <c r="T12" s="199">
        <v>2</v>
      </c>
      <c r="U12" s="366">
        <f t="shared" si="23"/>
        <v>4.1237113402061855E-2</v>
      </c>
      <c r="V12" s="58">
        <v>4.45</v>
      </c>
      <c r="W12" s="36">
        <f>RTD("money.excel",,"1702","Price")</f>
        <v>48.5</v>
      </c>
      <c r="X12" s="67">
        <v>49.9</v>
      </c>
      <c r="Y12" s="15">
        <f t="shared" ref="Y12" si="37">W12-X12</f>
        <v>-1.3999999999999986</v>
      </c>
      <c r="Z12" s="3">
        <f t="shared" ref="Z12" si="38">Y12/X12</f>
        <v>-2.805611222444887E-2</v>
      </c>
      <c r="AA12" s="174" t="s">
        <v>1675</v>
      </c>
      <c r="AB12" s="22" t="s">
        <v>6</v>
      </c>
      <c r="AC12" s="86">
        <v>44600</v>
      </c>
      <c r="AE12" s="33">
        <f t="shared" ref="AE12" si="39">AD12-AC12</f>
        <v>-44600</v>
      </c>
      <c r="AF12" s="43" t="s">
        <v>3142</v>
      </c>
      <c r="AG12" s="128"/>
      <c r="AI12" s="64">
        <f t="shared" si="27"/>
        <v>5.204081632653061E-4</v>
      </c>
      <c r="AJ12" s="313">
        <f>RTD("money.excel",,$G12,"PredictVolume")</f>
        <v>153</v>
      </c>
      <c r="AK12" s="348">
        <v>2.6</v>
      </c>
    </row>
    <row r="13" spans="1:43">
      <c r="A13" s="148" t="s">
        <v>1733</v>
      </c>
      <c r="B13" s="82">
        <v>-16</v>
      </c>
      <c r="C13" s="82">
        <v>-5</v>
      </c>
      <c r="D13" s="81">
        <v>0</v>
      </c>
      <c r="E13" s="81">
        <v>41</v>
      </c>
      <c r="F13" s="6">
        <v>8.8800000000000008</v>
      </c>
      <c r="G13" s="81">
        <v>4927</v>
      </c>
      <c r="H13" s="18" t="s">
        <v>4155</v>
      </c>
      <c r="I13" s="22" t="s">
        <v>478</v>
      </c>
      <c r="J13" s="75">
        <v>64.66</v>
      </c>
      <c r="K13" s="330">
        <v>38.61</v>
      </c>
      <c r="L13" s="75">
        <v>13.02</v>
      </c>
      <c r="M13" s="75">
        <v>1.57</v>
      </c>
      <c r="N13" s="325">
        <f t="shared" ref="N13" si="40">J13+K13+L13+M13</f>
        <v>117.85999999999999</v>
      </c>
      <c r="O13" s="27" t="s">
        <v>6377</v>
      </c>
      <c r="P13" s="56" t="s">
        <v>6383</v>
      </c>
      <c r="Q13" s="26" t="s">
        <v>6375</v>
      </c>
      <c r="R13" s="309" t="s">
        <v>4374</v>
      </c>
      <c r="S13" s="330">
        <v>5.49</v>
      </c>
      <c r="T13" s="67">
        <v>3</v>
      </c>
      <c r="U13" s="366">
        <f t="shared" si="23"/>
        <v>3.1712473572938694E-2</v>
      </c>
      <c r="V13" s="58">
        <v>5.45</v>
      </c>
      <c r="W13" s="36">
        <f>RTD("money.excel",,"4927","Price")</f>
        <v>94.6</v>
      </c>
      <c r="X13" s="67">
        <v>116.5</v>
      </c>
      <c r="Y13" s="15">
        <f t="shared" ref="Y13" si="41">W13-X13</f>
        <v>-21.900000000000006</v>
      </c>
      <c r="Z13" s="3">
        <f t="shared" ref="Z13" si="42">Y13/X13</f>
        <v>-0.18798283261802581</v>
      </c>
      <c r="AA13" s="174" t="s">
        <v>6255</v>
      </c>
      <c r="AB13" s="22" t="s">
        <v>478</v>
      </c>
      <c r="AC13" s="86">
        <v>44600</v>
      </c>
      <c r="AE13" s="33">
        <f t="shared" ref="AE13" si="43">AD13-AC13</f>
        <v>-44600</v>
      </c>
      <c r="AF13" s="43" t="s">
        <v>1101</v>
      </c>
      <c r="AG13" s="128"/>
      <c r="AI13" s="64">
        <f t="shared" si="27"/>
        <v>6.6560846560846558E-3</v>
      </c>
      <c r="AJ13" s="313">
        <f>RTD("money.excel",,$G13,"PredictVolume")</f>
        <v>1258</v>
      </c>
      <c r="AK13" s="349">
        <v>15.88</v>
      </c>
      <c r="AM13" s="262"/>
    </row>
    <row r="14" spans="1:43" s="273" customFormat="1">
      <c r="A14" s="147"/>
      <c r="B14" s="81"/>
      <c r="C14" s="81"/>
      <c r="D14" s="81"/>
      <c r="E14" s="81"/>
      <c r="F14" s="6"/>
      <c r="G14" s="41"/>
      <c r="H14" s="8"/>
      <c r="I14" s="160"/>
      <c r="J14" s="330"/>
      <c r="K14" s="330"/>
      <c r="L14" s="330"/>
      <c r="M14" s="325"/>
      <c r="N14" s="325"/>
      <c r="O14" s="329"/>
      <c r="P14" s="354"/>
      <c r="Q14" s="312"/>
      <c r="R14" s="308"/>
      <c r="S14" s="330"/>
      <c r="T14" s="199"/>
      <c r="U14" s="364"/>
      <c r="V14" s="97"/>
      <c r="W14" s="361">
        <f>SUM(W3:W13)</f>
        <v>4274.9000000000005</v>
      </c>
      <c r="X14" s="339">
        <f>SUM(X3:X13)</f>
        <v>4467.3999999999996</v>
      </c>
      <c r="Y14" s="246">
        <f>W14-X14</f>
        <v>-192.49999999999909</v>
      </c>
      <c r="Z14" s="165">
        <f>Y14/X14</f>
        <v>-4.308994045753662E-2</v>
      </c>
      <c r="AA14" s="118"/>
      <c r="AB14" s="247">
        <f>W14*(0.001425*0.5)+W14*0.003+X14*(0.001425*0.5)</f>
        <v>19.053588750000003</v>
      </c>
      <c r="AC14" s="6">
        <f>Y14-AB14</f>
        <v>-211.55358874999911</v>
      </c>
      <c r="AD14" s="85"/>
      <c r="AE14" s="33"/>
      <c r="AF14" s="46" t="s">
        <v>6246</v>
      </c>
      <c r="AG14" s="170"/>
    </row>
    <row r="15" spans="1:43">
      <c r="B15" s="93"/>
      <c r="C15" s="93"/>
      <c r="D15" s="93"/>
      <c r="E15" s="93"/>
      <c r="F15" s="8"/>
      <c r="G15" s="26"/>
      <c r="H15" s="55"/>
      <c r="I15" s="8"/>
      <c r="J15" s="324"/>
      <c r="K15" s="324"/>
      <c r="L15" s="324"/>
      <c r="M15" s="324"/>
      <c r="N15" s="324"/>
      <c r="R15" s="309"/>
      <c r="S15" s="335"/>
      <c r="T15" s="10"/>
      <c r="U15" s="365"/>
      <c r="V15" s="69"/>
      <c r="W15" s="28"/>
      <c r="X15" s="17"/>
      <c r="Y15" s="14"/>
      <c r="Z15" s="21"/>
      <c r="AA15" s="25"/>
      <c r="AB15" s="8"/>
      <c r="AC15" s="73"/>
      <c r="AD15" s="74"/>
      <c r="AE15" s="32"/>
      <c r="AF15" s="323"/>
      <c r="AG15" s="269"/>
      <c r="AI15" s="8"/>
      <c r="AJ15" s="50"/>
    </row>
    <row r="16" spans="1:43">
      <c r="C16" s="179"/>
      <c r="E16" s="179"/>
      <c r="F16" s="180"/>
      <c r="G16" s="181"/>
      <c r="H16" s="183"/>
      <c r="I16" s="384" t="s">
        <v>6284</v>
      </c>
      <c r="J16" s="326"/>
      <c r="K16" s="326"/>
      <c r="L16" s="331"/>
      <c r="M16" s="332"/>
      <c r="N16" s="326">
        <v>130</v>
      </c>
      <c r="P16" s="101" t="s">
        <v>6488</v>
      </c>
      <c r="T16" s="180"/>
      <c r="U16" s="365"/>
      <c r="V16" s="4" t="s">
        <v>1529</v>
      </c>
      <c r="W16" s="4" t="s">
        <v>1217</v>
      </c>
      <c r="X16" s="10" t="s">
        <v>298</v>
      </c>
      <c r="Y16" s="184"/>
      <c r="Z16" s="253"/>
      <c r="AA16" s="269"/>
      <c r="AB16" s="253" t="s">
        <v>6098</v>
      </c>
      <c r="AD16" s="347" t="s">
        <v>6083</v>
      </c>
      <c r="AE16" s="187"/>
      <c r="AF16" s="252" t="s">
        <v>6211</v>
      </c>
      <c r="AG16" s="269"/>
      <c r="AJ16" s="253" t="s">
        <v>6097</v>
      </c>
      <c r="AK16" s="350"/>
      <c r="AN16" s="272"/>
      <c r="AO16" s="272"/>
      <c r="AP16" s="272"/>
      <c r="AQ16" s="272"/>
    </row>
    <row r="17" spans="1:37">
      <c r="A17" s="132" t="s">
        <v>1854</v>
      </c>
      <c r="B17" s="93" t="s">
        <v>1657</v>
      </c>
      <c r="C17" s="93" t="s">
        <v>1658</v>
      </c>
      <c r="D17" s="93" t="s">
        <v>1659</v>
      </c>
      <c r="E17" s="93" t="s">
        <v>1660</v>
      </c>
      <c r="F17" s="8" t="s">
        <v>1122</v>
      </c>
      <c r="G17" s="26" t="s">
        <v>4231</v>
      </c>
      <c r="H17" s="55" t="s">
        <v>342</v>
      </c>
      <c r="I17" s="50" t="s">
        <v>6332</v>
      </c>
      <c r="J17" s="324" t="s">
        <v>1529</v>
      </c>
      <c r="K17" s="324" t="s">
        <v>1217</v>
      </c>
      <c r="L17" s="324" t="s">
        <v>298</v>
      </c>
      <c r="M17" s="324" t="s">
        <v>1115</v>
      </c>
      <c r="N17" s="324" t="s">
        <v>6091</v>
      </c>
      <c r="O17" s="27" t="s">
        <v>6253</v>
      </c>
      <c r="P17" s="56" t="s">
        <v>6219</v>
      </c>
      <c r="Q17" s="26" t="s">
        <v>6313</v>
      </c>
      <c r="R17" s="309" t="s">
        <v>6212</v>
      </c>
      <c r="S17" s="335" t="s">
        <v>4398</v>
      </c>
      <c r="T17" s="10" t="s">
        <v>75</v>
      </c>
      <c r="U17" s="364" t="s">
        <v>6152</v>
      </c>
      <c r="V17" s="69" t="s">
        <v>4406</v>
      </c>
      <c r="W17" s="28" t="s">
        <v>4424</v>
      </c>
      <c r="X17" s="17" t="s">
        <v>1465</v>
      </c>
      <c r="Y17" s="14" t="s">
        <v>2755</v>
      </c>
      <c r="Z17" s="21" t="s">
        <v>1539</v>
      </c>
      <c r="AA17" s="25" t="s">
        <v>117</v>
      </c>
      <c r="AB17" s="50" t="s">
        <v>6332</v>
      </c>
      <c r="AC17" s="73" t="s">
        <v>1466</v>
      </c>
      <c r="AD17" s="74" t="s">
        <v>1223</v>
      </c>
      <c r="AE17" s="32" t="s">
        <v>1224</v>
      </c>
      <c r="AF17" s="253" t="s">
        <v>6210</v>
      </c>
      <c r="AI17" s="8" t="s">
        <v>4414</v>
      </c>
      <c r="AJ17" s="50" t="s">
        <v>4121</v>
      </c>
      <c r="AK17" s="348" t="s">
        <v>6074</v>
      </c>
    </row>
    <row r="18" spans="1:37">
      <c r="B18" s="93"/>
      <c r="C18" s="93"/>
      <c r="D18" s="93"/>
      <c r="E18" s="93"/>
      <c r="F18" s="8"/>
      <c r="G18" s="26"/>
      <c r="H18" s="55"/>
      <c r="I18" s="50"/>
      <c r="J18" s="324"/>
      <c r="K18" s="324"/>
      <c r="L18" s="324"/>
      <c r="M18" s="324"/>
      <c r="N18" s="324"/>
      <c r="R18" s="309"/>
      <c r="S18" s="335"/>
      <c r="T18" s="10"/>
      <c r="U18" s="364"/>
      <c r="V18" s="69"/>
      <c r="W18" s="28"/>
      <c r="X18" s="17"/>
      <c r="Y18" s="14"/>
      <c r="Z18" s="21"/>
      <c r="AA18" s="25"/>
      <c r="AB18" s="50"/>
      <c r="AC18" s="73"/>
      <c r="AD18" s="74"/>
      <c r="AE18" s="32"/>
      <c r="AF18" s="253"/>
      <c r="AI18" s="8"/>
      <c r="AJ18" s="50"/>
    </row>
    <row r="19" spans="1:37">
      <c r="A19" s="132" t="s">
        <v>1914</v>
      </c>
      <c r="B19" s="81">
        <v>109</v>
      </c>
      <c r="C19" s="81">
        <v>89</v>
      </c>
      <c r="D19" s="82">
        <v>-9</v>
      </c>
      <c r="E19" s="82">
        <v>-4</v>
      </c>
      <c r="F19" s="58">
        <v>32.36</v>
      </c>
      <c r="G19" s="82">
        <v>6457</v>
      </c>
      <c r="H19" s="151" t="s">
        <v>3761</v>
      </c>
      <c r="I19" s="16" t="s">
        <v>408</v>
      </c>
      <c r="J19" s="75">
        <v>17.48</v>
      </c>
      <c r="K19" s="75">
        <v>8.32</v>
      </c>
      <c r="L19" s="75">
        <v>15.69</v>
      </c>
      <c r="M19" s="330">
        <v>12.86</v>
      </c>
      <c r="N19" s="325">
        <f>J19+K19+L19+M19</f>
        <v>54.35</v>
      </c>
      <c r="O19" s="27" t="s">
        <v>6460</v>
      </c>
      <c r="P19" s="56" t="s">
        <v>6461</v>
      </c>
      <c r="Q19" s="26" t="s">
        <v>6462</v>
      </c>
      <c r="R19" s="309" t="s">
        <v>6465</v>
      </c>
      <c r="S19" s="330">
        <v>1.19</v>
      </c>
      <c r="T19" s="67">
        <v>6.32</v>
      </c>
      <c r="U19" s="366">
        <f>T19/W19</f>
        <v>4.1442622950819671E-2</v>
      </c>
      <c r="V19" s="97">
        <v>12.2</v>
      </c>
      <c r="W19" s="36">
        <v>152.5</v>
      </c>
      <c r="X19" s="67">
        <v>150</v>
      </c>
      <c r="Y19" s="15">
        <f>W19-X19</f>
        <v>2.5</v>
      </c>
      <c r="Z19" s="64">
        <f>Y19/X19</f>
        <v>1.6666666666666666E-2</v>
      </c>
      <c r="AA19" s="174" t="s">
        <v>6466</v>
      </c>
      <c r="AB19" s="16" t="s">
        <v>408</v>
      </c>
      <c r="AC19" s="86">
        <v>44624</v>
      </c>
      <c r="AD19" s="85">
        <v>44631</v>
      </c>
      <c r="AE19" s="33">
        <f>AD19-AC19</f>
        <v>7</v>
      </c>
      <c r="AF19" s="43" t="s">
        <v>2884</v>
      </c>
      <c r="AG19" s="128"/>
      <c r="AI19" s="64"/>
      <c r="AJ19" s="313"/>
    </row>
    <row r="20" spans="1:37">
      <c r="A20" s="148" t="s">
        <v>1960</v>
      </c>
      <c r="B20" s="81">
        <v>170</v>
      </c>
      <c r="C20" s="81">
        <v>170</v>
      </c>
      <c r="D20" s="81">
        <v>1</v>
      </c>
      <c r="E20" s="81">
        <v>41</v>
      </c>
      <c r="F20" s="6">
        <v>7.96</v>
      </c>
      <c r="G20" s="81">
        <v>4739</v>
      </c>
      <c r="H20" s="5" t="s">
        <v>4445</v>
      </c>
      <c r="I20" s="22" t="s">
        <v>4526</v>
      </c>
      <c r="J20" s="75">
        <v>32.81</v>
      </c>
      <c r="K20" s="75">
        <v>5.77</v>
      </c>
      <c r="L20" s="330">
        <v>31.72</v>
      </c>
      <c r="M20" s="330">
        <v>26.68</v>
      </c>
      <c r="N20" s="325">
        <f t="shared" ref="N20" si="44">J20+K20+L20+M20</f>
        <v>96.97999999999999</v>
      </c>
      <c r="P20" s="56" t="s">
        <v>6266</v>
      </c>
      <c r="Q20" s="26" t="s">
        <v>6260</v>
      </c>
      <c r="R20" s="309" t="s">
        <v>4374</v>
      </c>
      <c r="S20" s="330">
        <v>3.96</v>
      </c>
      <c r="T20" s="67">
        <v>3</v>
      </c>
      <c r="U20" s="366">
        <f t="shared" ref="U20" si="45">T20/W20</f>
        <v>1.9108280254777069E-2</v>
      </c>
      <c r="V20" s="97">
        <v>4.7</v>
      </c>
      <c r="W20" s="36">
        <v>157</v>
      </c>
      <c r="X20" s="67">
        <v>148</v>
      </c>
      <c r="Y20" s="15">
        <f t="shared" ref="Y20" si="46">W20-X20</f>
        <v>9</v>
      </c>
      <c r="Z20" s="64">
        <f t="shared" ref="Z20" si="47">Y20/X20</f>
        <v>6.0810810810810814E-2</v>
      </c>
      <c r="AA20" s="174" t="s">
        <v>6495</v>
      </c>
      <c r="AB20" s="22" t="s">
        <v>4526</v>
      </c>
      <c r="AC20" s="86">
        <v>44629</v>
      </c>
      <c r="AD20" s="85">
        <v>44630</v>
      </c>
      <c r="AE20" s="33">
        <f t="shared" ref="AE20" si="48">AD20-AC20</f>
        <v>1</v>
      </c>
      <c r="AF20" s="122" t="s">
        <v>2808</v>
      </c>
      <c r="AG20" s="128"/>
      <c r="AI20" s="64"/>
      <c r="AJ20" s="313"/>
    </row>
    <row r="21" spans="1:37">
      <c r="A21" s="132" t="s">
        <v>2635</v>
      </c>
      <c r="B21" s="81">
        <v>46</v>
      </c>
      <c r="C21" s="81">
        <v>43</v>
      </c>
      <c r="D21" s="82">
        <v>-15</v>
      </c>
      <c r="E21" s="81">
        <v>29</v>
      </c>
      <c r="F21" s="58">
        <v>22.68</v>
      </c>
      <c r="G21" s="81">
        <v>6231</v>
      </c>
      <c r="H21" s="5" t="s">
        <v>4218</v>
      </c>
      <c r="I21" s="16" t="s">
        <v>1065</v>
      </c>
      <c r="J21" s="75">
        <v>24</v>
      </c>
      <c r="K21" s="75">
        <v>15.95</v>
      </c>
      <c r="L21" s="75">
        <v>23.62</v>
      </c>
      <c r="M21" s="75">
        <v>27.03</v>
      </c>
      <c r="N21" s="325">
        <f>J21+K21+L21+M21</f>
        <v>90.600000000000009</v>
      </c>
      <c r="O21" s="27" t="s">
        <v>1581</v>
      </c>
      <c r="P21" s="56" t="s">
        <v>1735</v>
      </c>
      <c r="Q21" s="26" t="s">
        <v>6261</v>
      </c>
      <c r="R21" s="309" t="s">
        <v>4373</v>
      </c>
      <c r="S21" s="330">
        <v>0.98</v>
      </c>
      <c r="T21" s="67">
        <v>5.2</v>
      </c>
      <c r="U21" s="366">
        <f>T21/W21</f>
        <v>5.2000000000000005E-2</v>
      </c>
      <c r="V21" s="97">
        <v>5.94</v>
      </c>
      <c r="W21" s="36">
        <v>100</v>
      </c>
      <c r="X21" s="67">
        <v>98.6</v>
      </c>
      <c r="Y21" s="15">
        <f>W21-X21</f>
        <v>1.4000000000000057</v>
      </c>
      <c r="Z21" s="64">
        <f>Y21/X21</f>
        <v>1.4198782961460505E-2</v>
      </c>
      <c r="AA21" s="174" t="s">
        <v>6494</v>
      </c>
      <c r="AB21" s="16" t="s">
        <v>1065</v>
      </c>
      <c r="AC21" s="86">
        <v>44629</v>
      </c>
      <c r="AD21" s="88">
        <v>44629</v>
      </c>
      <c r="AE21" s="33">
        <f>AD21-AC21</f>
        <v>0</v>
      </c>
      <c r="AF21" s="43" t="s">
        <v>2636</v>
      </c>
      <c r="AG21" s="128"/>
      <c r="AI21" s="64"/>
      <c r="AJ21" s="313"/>
    </row>
    <row r="22" spans="1:37">
      <c r="A22" s="132" t="s">
        <v>1636</v>
      </c>
      <c r="B22" s="81">
        <v>295</v>
      </c>
      <c r="C22" s="82">
        <v>-50</v>
      </c>
      <c r="D22" s="82">
        <v>-3</v>
      </c>
      <c r="E22" s="82">
        <v>-1</v>
      </c>
      <c r="F22" s="6">
        <v>-0.41</v>
      </c>
      <c r="G22" s="81">
        <v>2707</v>
      </c>
      <c r="H22" s="5" t="s">
        <v>321</v>
      </c>
      <c r="I22" s="22" t="s">
        <v>1029</v>
      </c>
      <c r="J22" s="330">
        <v>57.16</v>
      </c>
      <c r="K22" s="75">
        <v>15.13</v>
      </c>
      <c r="L22" s="330">
        <v>4.92</v>
      </c>
      <c r="M22" s="330">
        <v>10.81</v>
      </c>
      <c r="N22" s="325">
        <f t="shared" ref="N22" si="49">J22+K22+L22+M22</f>
        <v>88.02</v>
      </c>
      <c r="O22" s="27" t="s">
        <v>6489</v>
      </c>
      <c r="P22" s="56" t="s">
        <v>6489</v>
      </c>
      <c r="Q22" s="26" t="s">
        <v>6489</v>
      </c>
      <c r="R22" s="309" t="s">
        <v>4373</v>
      </c>
      <c r="S22" s="330">
        <v>1.22</v>
      </c>
      <c r="T22" s="67">
        <v>4.3899999999999997</v>
      </c>
      <c r="U22" s="366">
        <f t="shared" ref="U22" si="50">T22/W22</f>
        <v>2.6445783132530119E-2</v>
      </c>
      <c r="V22" s="97">
        <v>16.52</v>
      </c>
      <c r="W22" s="36">
        <v>166</v>
      </c>
      <c r="X22" s="67">
        <v>160</v>
      </c>
      <c r="Y22" s="15">
        <f t="shared" ref="Y22" si="51">W22-X22</f>
        <v>6</v>
      </c>
      <c r="Z22" s="64">
        <f t="shared" ref="Z22" si="52">Y22/X22</f>
        <v>3.7499999999999999E-2</v>
      </c>
      <c r="AA22" s="174" t="s">
        <v>6490</v>
      </c>
      <c r="AB22" s="22" t="s">
        <v>1029</v>
      </c>
      <c r="AC22" s="86">
        <v>44628</v>
      </c>
      <c r="AD22" s="85">
        <v>44629</v>
      </c>
      <c r="AE22" s="33">
        <f t="shared" ref="AE22" si="53">AD22-AC22</f>
        <v>1</v>
      </c>
      <c r="AF22" s="43" t="s">
        <v>3205</v>
      </c>
      <c r="AG22" s="269"/>
      <c r="AI22" s="64"/>
      <c r="AJ22" s="313"/>
    </row>
    <row r="23" spans="1:37">
      <c r="A23" s="132" t="s">
        <v>4439</v>
      </c>
      <c r="B23" s="81">
        <v>135</v>
      </c>
      <c r="C23" s="81">
        <v>168</v>
      </c>
      <c r="D23" s="82">
        <v>-52</v>
      </c>
      <c r="E23" s="81">
        <v>14</v>
      </c>
      <c r="F23" s="58">
        <v>14.8</v>
      </c>
      <c r="G23" s="81">
        <v>3455</v>
      </c>
      <c r="H23" s="5" t="s">
        <v>325</v>
      </c>
      <c r="I23" s="16" t="s">
        <v>5359</v>
      </c>
      <c r="J23" s="330">
        <v>13.31</v>
      </c>
      <c r="K23" s="75">
        <v>7.92</v>
      </c>
      <c r="L23" s="330">
        <v>42.84</v>
      </c>
      <c r="M23" s="330">
        <v>9.02</v>
      </c>
      <c r="N23" s="325">
        <f>J23+K23+L23+M23</f>
        <v>73.09</v>
      </c>
      <c r="O23" s="27" t="s">
        <v>1581</v>
      </c>
      <c r="P23" s="56" t="s">
        <v>6257</v>
      </c>
      <c r="Q23" s="26" t="s">
        <v>6273</v>
      </c>
      <c r="R23" s="309" t="s">
        <v>4373</v>
      </c>
      <c r="S23" s="330">
        <v>4.04</v>
      </c>
      <c r="T23" s="67">
        <v>4</v>
      </c>
      <c r="U23" s="366">
        <f>T23/W23</f>
        <v>4.1623309053069719E-2</v>
      </c>
      <c r="V23" s="97">
        <v>6.76</v>
      </c>
      <c r="W23" s="36">
        <v>96.1</v>
      </c>
      <c r="X23" s="67">
        <v>94.5</v>
      </c>
      <c r="Y23" s="15">
        <f>W23-X23</f>
        <v>1.5999999999999943</v>
      </c>
      <c r="Z23" s="64">
        <f>Y23/X23</f>
        <v>1.693121693121687E-2</v>
      </c>
      <c r="AA23" s="174" t="s">
        <v>6491</v>
      </c>
      <c r="AB23" s="16" t="s">
        <v>5359</v>
      </c>
      <c r="AC23" s="86">
        <v>44628</v>
      </c>
      <c r="AD23" s="88">
        <v>44628</v>
      </c>
      <c r="AE23" s="33">
        <f>AD23-AC23</f>
        <v>0</v>
      </c>
      <c r="AF23" s="61" t="s">
        <v>2955</v>
      </c>
      <c r="AG23" s="128"/>
      <c r="AI23" s="64"/>
      <c r="AJ23" s="313"/>
      <c r="AK23" s="22"/>
    </row>
    <row r="24" spans="1:37">
      <c r="A24" s="132" t="s">
        <v>4177</v>
      </c>
      <c r="B24" s="81">
        <v>364</v>
      </c>
      <c r="C24" s="81">
        <v>408</v>
      </c>
      <c r="D24" s="82">
        <v>-12</v>
      </c>
      <c r="E24" s="81">
        <v>3</v>
      </c>
      <c r="F24" s="58">
        <v>24.64</v>
      </c>
      <c r="G24" s="81">
        <v>3006</v>
      </c>
      <c r="H24" s="5" t="s">
        <v>3761</v>
      </c>
      <c r="I24" s="22" t="s">
        <v>107</v>
      </c>
      <c r="J24" s="330">
        <v>36.35</v>
      </c>
      <c r="K24" s="75">
        <v>20.57</v>
      </c>
      <c r="L24" s="75">
        <v>54</v>
      </c>
      <c r="M24" s="330">
        <v>5.75</v>
      </c>
      <c r="N24" s="325">
        <f>J24+K24+L24+M24</f>
        <v>116.67</v>
      </c>
      <c r="P24" s="56" t="s">
        <v>6266</v>
      </c>
      <c r="Q24" s="26" t="s">
        <v>6274</v>
      </c>
      <c r="R24" s="385" t="s">
        <v>6290</v>
      </c>
      <c r="S24" s="330">
        <v>7.54</v>
      </c>
      <c r="T24" s="67">
        <v>8</v>
      </c>
      <c r="U24" s="366">
        <f>T24/W24</f>
        <v>4.6647230320699708E-2</v>
      </c>
      <c r="V24" s="97">
        <v>17.760000000000002</v>
      </c>
      <c r="W24" s="36">
        <v>171.5</v>
      </c>
      <c r="X24" s="67">
        <v>165</v>
      </c>
      <c r="Y24" s="15">
        <f>W24-X24</f>
        <v>6.5</v>
      </c>
      <c r="Z24" s="64">
        <f>Y24/X24</f>
        <v>3.9393939393939391E-2</v>
      </c>
      <c r="AA24" s="174" t="s">
        <v>6453</v>
      </c>
      <c r="AB24" s="22" t="s">
        <v>107</v>
      </c>
      <c r="AC24" s="86">
        <v>44623</v>
      </c>
      <c r="AD24" s="85">
        <v>44624</v>
      </c>
      <c r="AE24" s="33">
        <f>AD24-AC24</f>
        <v>1</v>
      </c>
      <c r="AF24" s="122" t="s">
        <v>2592</v>
      </c>
      <c r="AG24" s="128"/>
      <c r="AI24" s="64"/>
      <c r="AJ24" s="313"/>
    </row>
    <row r="25" spans="1:37">
      <c r="A25" s="132" t="s">
        <v>2804</v>
      </c>
      <c r="B25" s="81">
        <v>159</v>
      </c>
      <c r="C25" s="81">
        <v>141</v>
      </c>
      <c r="D25" s="81">
        <v>3</v>
      </c>
      <c r="E25" s="81">
        <v>59</v>
      </c>
      <c r="F25" s="58">
        <v>32.9</v>
      </c>
      <c r="G25" s="82">
        <v>3169</v>
      </c>
      <c r="H25" s="151" t="s">
        <v>3761</v>
      </c>
      <c r="I25" s="16" t="s">
        <v>388</v>
      </c>
      <c r="J25" s="330">
        <v>28.32</v>
      </c>
      <c r="K25" s="75">
        <v>10.24</v>
      </c>
      <c r="L25" s="330">
        <v>51.36</v>
      </c>
      <c r="M25" s="330">
        <v>24.22</v>
      </c>
      <c r="N25" s="325">
        <f t="shared" ref="N25" si="54">J25+K25+L25+M25</f>
        <v>114.14</v>
      </c>
      <c r="P25" s="56" t="s">
        <v>6380</v>
      </c>
      <c r="Q25" s="26" t="s">
        <v>6381</v>
      </c>
      <c r="R25" s="385" t="s">
        <v>6290</v>
      </c>
      <c r="S25" s="330">
        <v>2.13</v>
      </c>
      <c r="T25" s="34">
        <v>2.5</v>
      </c>
      <c r="U25" s="366">
        <f>T25/W25</f>
        <v>1.1061946902654867E-2</v>
      </c>
      <c r="V25" s="97">
        <v>5.5</v>
      </c>
      <c r="W25" s="36">
        <v>226</v>
      </c>
      <c r="X25" s="67">
        <v>222</v>
      </c>
      <c r="Y25" s="15">
        <f t="shared" ref="Y25" si="55">W25-X25</f>
        <v>4</v>
      </c>
      <c r="Z25" s="64">
        <f t="shared" ref="Z25" si="56">Y25/X25</f>
        <v>1.8018018018018018E-2</v>
      </c>
      <c r="AA25" s="174" t="s">
        <v>6280</v>
      </c>
      <c r="AB25" s="16" t="s">
        <v>388</v>
      </c>
      <c r="AC25" s="86">
        <v>44602</v>
      </c>
      <c r="AD25" s="85">
        <v>44624</v>
      </c>
      <c r="AE25" s="33">
        <f>AD25-AC25</f>
        <v>22</v>
      </c>
      <c r="AF25" s="43" t="s">
        <v>3418</v>
      </c>
      <c r="AG25" s="128"/>
      <c r="AI25" s="64"/>
      <c r="AJ25" s="313"/>
    </row>
    <row r="26" spans="1:37">
      <c r="A26" s="132" t="s">
        <v>5715</v>
      </c>
      <c r="B26" s="95">
        <v>1262</v>
      </c>
      <c r="C26" s="95">
        <v>1058</v>
      </c>
      <c r="D26" s="81">
        <v>0</v>
      </c>
      <c r="E26" s="81">
        <v>47</v>
      </c>
      <c r="F26" s="58">
        <v>17.05</v>
      </c>
      <c r="G26" s="82">
        <v>3122</v>
      </c>
      <c r="H26" s="151" t="s">
        <v>3761</v>
      </c>
      <c r="I26" s="16" t="s">
        <v>387</v>
      </c>
      <c r="J26" s="330">
        <v>16.22</v>
      </c>
      <c r="K26" s="75">
        <v>4.53</v>
      </c>
      <c r="L26" s="330">
        <v>36.85</v>
      </c>
      <c r="M26" s="75">
        <v>15.55</v>
      </c>
      <c r="N26" s="325">
        <f>J26+K26+L26+M26</f>
        <v>73.150000000000006</v>
      </c>
      <c r="O26" s="27" t="s">
        <v>6334</v>
      </c>
      <c r="P26" s="56" t="s">
        <v>6335</v>
      </c>
      <c r="Q26" s="26" t="s">
        <v>6324</v>
      </c>
      <c r="R26" s="309" t="s">
        <v>4373</v>
      </c>
      <c r="S26" s="330">
        <v>3.2</v>
      </c>
      <c r="T26" s="34">
        <v>2.2000000000000002</v>
      </c>
      <c r="U26" s="366">
        <f t="shared" ref="U26:U32" si="57">T26/W26</f>
        <v>3.8938053097345139E-2</v>
      </c>
      <c r="V26" s="97">
        <v>3.38</v>
      </c>
      <c r="W26" s="36">
        <v>56.5</v>
      </c>
      <c r="X26" s="67">
        <v>54.8</v>
      </c>
      <c r="Y26" s="15">
        <f>W26-X26</f>
        <v>1.7000000000000028</v>
      </c>
      <c r="Z26" s="64">
        <f>Y26/X26</f>
        <v>3.102189781021903E-2</v>
      </c>
      <c r="AA26" s="174" t="s">
        <v>6337</v>
      </c>
      <c r="AB26" s="16" t="s">
        <v>387</v>
      </c>
      <c r="AC26" s="86">
        <v>44613</v>
      </c>
      <c r="AD26" s="85">
        <v>44623</v>
      </c>
      <c r="AE26" s="33">
        <f>AD26-AC26</f>
        <v>10</v>
      </c>
      <c r="AF26" s="43" t="s">
        <v>2872</v>
      </c>
      <c r="AG26" s="128"/>
      <c r="AI26" s="64"/>
      <c r="AJ26" s="313"/>
    </row>
    <row r="27" spans="1:37">
      <c r="A27" s="132" t="s">
        <v>1740</v>
      </c>
      <c r="B27" s="81">
        <v>299</v>
      </c>
      <c r="C27" s="81">
        <v>207</v>
      </c>
      <c r="D27" s="82">
        <v>-18</v>
      </c>
      <c r="E27" s="81">
        <v>8</v>
      </c>
      <c r="F27" s="58">
        <v>25.92</v>
      </c>
      <c r="G27" s="81">
        <v>8924</v>
      </c>
      <c r="H27" s="5" t="s">
        <v>2303</v>
      </c>
      <c r="I27" s="16" t="s">
        <v>709</v>
      </c>
      <c r="J27" s="330">
        <v>31.25</v>
      </c>
      <c r="K27" s="75">
        <v>6.34</v>
      </c>
      <c r="L27" s="75">
        <v>16.989999999999998</v>
      </c>
      <c r="M27" s="330">
        <v>21.81</v>
      </c>
      <c r="N27" s="325">
        <f t="shared" ref="N27" si="58">J27+K27+L27+M27</f>
        <v>76.39</v>
      </c>
      <c r="O27" s="27" t="s">
        <v>6447</v>
      </c>
      <c r="P27" s="56" t="s">
        <v>6448</v>
      </c>
      <c r="Q27" s="26" t="s">
        <v>6449</v>
      </c>
      <c r="R27" s="309" t="s">
        <v>4373</v>
      </c>
      <c r="S27" s="330">
        <v>1.39</v>
      </c>
      <c r="T27" s="67">
        <v>5</v>
      </c>
      <c r="U27" s="366">
        <f t="shared" si="57"/>
        <v>3.2258064516129031E-2</v>
      </c>
      <c r="V27" s="97">
        <v>17.37</v>
      </c>
      <c r="W27" s="36">
        <v>155</v>
      </c>
      <c r="X27" s="67">
        <v>149.5</v>
      </c>
      <c r="Y27" s="15">
        <f t="shared" ref="Y27" si="59">W27-X27</f>
        <v>5.5</v>
      </c>
      <c r="Z27" s="64">
        <f t="shared" ref="Z27" si="60">Y27/X27</f>
        <v>3.678929765886288E-2</v>
      </c>
      <c r="AA27" s="174" t="s">
        <v>6452</v>
      </c>
      <c r="AB27" s="16" t="s">
        <v>709</v>
      </c>
      <c r="AC27" s="86">
        <v>44622</v>
      </c>
      <c r="AD27" s="85">
        <v>44623</v>
      </c>
      <c r="AE27" s="33">
        <f t="shared" ref="AE27" si="61">AD27-AC27</f>
        <v>1</v>
      </c>
      <c r="AF27" s="43" t="s">
        <v>3784</v>
      </c>
      <c r="AG27" s="128"/>
      <c r="AI27" s="64"/>
      <c r="AJ27" s="313"/>
    </row>
    <row r="28" spans="1:37">
      <c r="A28" s="132" t="s">
        <v>2377</v>
      </c>
      <c r="B28" s="81">
        <v>193</v>
      </c>
      <c r="C28" s="81">
        <v>122</v>
      </c>
      <c r="D28" s="81">
        <v>0</v>
      </c>
      <c r="E28" s="81">
        <v>18</v>
      </c>
      <c r="F28" s="58">
        <v>15.78</v>
      </c>
      <c r="G28" s="81">
        <v>3675</v>
      </c>
      <c r="H28" s="151" t="s">
        <v>3761</v>
      </c>
      <c r="I28" s="16" t="s">
        <v>394</v>
      </c>
      <c r="J28" s="330">
        <v>54.72</v>
      </c>
      <c r="K28" s="75">
        <v>65.7</v>
      </c>
      <c r="L28" s="75">
        <v>15.85</v>
      </c>
      <c r="M28" s="330">
        <v>54.85</v>
      </c>
      <c r="N28" s="75">
        <f>J28+K28+L28+M28</f>
        <v>191.12</v>
      </c>
      <c r="O28" s="27" t="s">
        <v>6276</v>
      </c>
      <c r="P28" s="56" t="s">
        <v>6231</v>
      </c>
      <c r="Q28" s="26" t="s">
        <v>6258</v>
      </c>
      <c r="R28" s="309" t="s">
        <v>4373</v>
      </c>
      <c r="S28" s="330">
        <v>2.21</v>
      </c>
      <c r="T28" s="67">
        <v>5</v>
      </c>
      <c r="U28" s="366">
        <f t="shared" si="57"/>
        <v>1.7182130584192441E-2</v>
      </c>
      <c r="V28" s="58">
        <v>7.36</v>
      </c>
      <c r="W28" s="13">
        <v>291</v>
      </c>
      <c r="X28" s="67">
        <v>271.5</v>
      </c>
      <c r="Y28" s="15">
        <f>W28-X28</f>
        <v>19.5</v>
      </c>
      <c r="Z28" s="64">
        <f>Y28/X28</f>
        <v>7.18232044198895E-2</v>
      </c>
      <c r="AA28" s="174" t="s">
        <v>6298</v>
      </c>
      <c r="AB28" s="16" t="s">
        <v>394</v>
      </c>
      <c r="AC28" s="86">
        <v>44621</v>
      </c>
      <c r="AD28" s="85">
        <v>44623</v>
      </c>
      <c r="AE28" s="33">
        <f>AD28-AC28</f>
        <v>2</v>
      </c>
      <c r="AF28" s="43" t="s">
        <v>3477</v>
      </c>
      <c r="AG28" s="128"/>
      <c r="AI28" s="64"/>
      <c r="AJ28" s="313"/>
    </row>
    <row r="29" spans="1:37">
      <c r="A29" s="132" t="s">
        <v>2735</v>
      </c>
      <c r="B29" s="81">
        <v>691</v>
      </c>
      <c r="C29" s="81">
        <v>515</v>
      </c>
      <c r="D29" s="81">
        <v>16</v>
      </c>
      <c r="E29" s="81">
        <v>81</v>
      </c>
      <c r="F29" s="58">
        <v>11.81</v>
      </c>
      <c r="G29" s="81">
        <v>2636</v>
      </c>
      <c r="H29" s="5" t="s">
        <v>320</v>
      </c>
      <c r="I29" s="22" t="s">
        <v>2240</v>
      </c>
      <c r="J29" s="75">
        <v>36.18</v>
      </c>
      <c r="K29" s="75">
        <v>14.08</v>
      </c>
      <c r="L29" s="330">
        <v>31.29</v>
      </c>
      <c r="M29" s="330">
        <v>19.309999999999999</v>
      </c>
      <c r="N29" s="325">
        <f t="shared" ref="N29" si="62">J29+K29+L29+M29</f>
        <v>100.86</v>
      </c>
      <c r="O29" s="27" t="s">
        <v>1735</v>
      </c>
      <c r="P29" s="56" t="s">
        <v>1735</v>
      </c>
      <c r="Q29" s="26" t="s">
        <v>6283</v>
      </c>
      <c r="R29" s="309" t="s">
        <v>4373</v>
      </c>
      <c r="S29" s="330">
        <v>4.2</v>
      </c>
      <c r="T29" s="67">
        <v>3.02</v>
      </c>
      <c r="U29" s="366">
        <f t="shared" si="57"/>
        <v>2.1884057971014493E-2</v>
      </c>
      <c r="V29" s="97">
        <v>24.5</v>
      </c>
      <c r="W29" s="36">
        <v>138</v>
      </c>
      <c r="X29" s="67">
        <v>135.5</v>
      </c>
      <c r="Y29" s="15">
        <f t="shared" ref="Y29" si="63">W29-X29</f>
        <v>2.5</v>
      </c>
      <c r="Z29" s="64">
        <f t="shared" ref="Z29" si="64">Y29/X29</f>
        <v>1.8450184501845018E-2</v>
      </c>
      <c r="AA29" s="174" t="s">
        <v>6436</v>
      </c>
      <c r="AB29" s="22" t="s">
        <v>2240</v>
      </c>
      <c r="AC29" s="86">
        <v>44621</v>
      </c>
      <c r="AD29" s="85">
        <v>44623</v>
      </c>
      <c r="AE29" s="33">
        <f t="shared" ref="AE29" si="65">AD29-AC29</f>
        <v>2</v>
      </c>
      <c r="AF29" s="43" t="s">
        <v>2410</v>
      </c>
      <c r="AG29" s="128"/>
      <c r="AI29" s="64"/>
      <c r="AJ29" s="313"/>
    </row>
    <row r="30" spans="1:37">
      <c r="A30" s="132" t="s">
        <v>4177</v>
      </c>
      <c r="B30" s="81">
        <v>364</v>
      </c>
      <c r="C30" s="81">
        <v>371</v>
      </c>
      <c r="D30" s="82">
        <v>-12</v>
      </c>
      <c r="E30" s="81">
        <v>3</v>
      </c>
      <c r="F30" s="58">
        <v>24.55</v>
      </c>
      <c r="G30" s="81">
        <v>3006</v>
      </c>
      <c r="H30" s="8" t="s">
        <v>3761</v>
      </c>
      <c r="I30" s="22" t="s">
        <v>107</v>
      </c>
      <c r="J30" s="75">
        <v>38.85</v>
      </c>
      <c r="K30" s="75">
        <v>22.5</v>
      </c>
      <c r="L30" s="75">
        <v>54</v>
      </c>
      <c r="M30" s="330">
        <v>5.75</v>
      </c>
      <c r="N30" s="325">
        <f>J30+K30+L30+M30</f>
        <v>121.1</v>
      </c>
      <c r="P30" s="56" t="s">
        <v>6326</v>
      </c>
      <c r="Q30" s="26" t="s">
        <v>6324</v>
      </c>
      <c r="R30" s="385" t="s">
        <v>6290</v>
      </c>
      <c r="S30" s="330">
        <v>7.77</v>
      </c>
      <c r="T30" s="34">
        <v>2</v>
      </c>
      <c r="U30" s="366">
        <f t="shared" si="57"/>
        <v>1.2121212121212121E-2</v>
      </c>
      <c r="V30" s="97">
        <v>14.61</v>
      </c>
      <c r="W30" s="36">
        <v>165</v>
      </c>
      <c r="X30" s="67">
        <v>162.5</v>
      </c>
      <c r="Y30" s="15">
        <f>W30-X30</f>
        <v>2.5</v>
      </c>
      <c r="Z30" s="64">
        <f>Y30/X30</f>
        <v>1.5384615384615385E-2</v>
      </c>
      <c r="AA30" s="174" t="s">
        <v>6331</v>
      </c>
      <c r="AB30" s="22" t="s">
        <v>107</v>
      </c>
      <c r="AC30" s="86">
        <v>44613</v>
      </c>
      <c r="AD30" s="85">
        <v>44623</v>
      </c>
      <c r="AE30" s="33">
        <f>AD30-AC30</f>
        <v>10</v>
      </c>
      <c r="AF30" s="122" t="s">
        <v>2592</v>
      </c>
      <c r="AG30" s="128"/>
      <c r="AI30" s="64"/>
      <c r="AJ30" s="313"/>
    </row>
    <row r="31" spans="1:37">
      <c r="A31" s="132" t="s">
        <v>1564</v>
      </c>
      <c r="B31" s="81">
        <v>119</v>
      </c>
      <c r="C31" s="81">
        <v>111</v>
      </c>
      <c r="D31" s="81">
        <v>31</v>
      </c>
      <c r="E31" s="81">
        <v>-5</v>
      </c>
      <c r="F31" s="58">
        <v>24.41</v>
      </c>
      <c r="G31" s="81">
        <v>6187</v>
      </c>
      <c r="H31" s="8" t="s">
        <v>334</v>
      </c>
      <c r="I31" s="16" t="s">
        <v>6044</v>
      </c>
      <c r="J31" s="75">
        <v>38.64</v>
      </c>
      <c r="K31" s="75">
        <v>25.28</v>
      </c>
      <c r="L31" s="75">
        <v>27.79</v>
      </c>
      <c r="M31" s="75">
        <v>20.57</v>
      </c>
      <c r="N31" s="325">
        <f t="shared" ref="N31" si="66">J31+K31+L31+M31</f>
        <v>112.28</v>
      </c>
      <c r="O31" s="27" t="s">
        <v>6258</v>
      </c>
      <c r="P31" s="56" t="s">
        <v>6415</v>
      </c>
      <c r="Q31" s="26" t="s">
        <v>6416</v>
      </c>
      <c r="R31" s="385" t="s">
        <v>6290</v>
      </c>
      <c r="S31" s="330">
        <v>3.34</v>
      </c>
      <c r="T31" s="67">
        <v>4.5</v>
      </c>
      <c r="U31" s="366">
        <f t="shared" si="57"/>
        <v>3.2258064516129031E-2</v>
      </c>
      <c r="V31" s="97">
        <v>6.37</v>
      </c>
      <c r="W31" s="36">
        <v>139.5</v>
      </c>
      <c r="X31" s="67">
        <v>137</v>
      </c>
      <c r="Y31" s="15">
        <f t="shared" ref="Y31" si="67">W31-X31</f>
        <v>2.5</v>
      </c>
      <c r="Z31" s="64">
        <f t="shared" ref="Z31" si="68">Y31/X31</f>
        <v>1.824817518248175E-2</v>
      </c>
      <c r="AA31" s="174" t="s">
        <v>6421</v>
      </c>
      <c r="AB31" s="16" t="s">
        <v>6044</v>
      </c>
      <c r="AC31" s="86">
        <v>44616</v>
      </c>
      <c r="AD31" s="85">
        <v>44621</v>
      </c>
      <c r="AE31" s="33">
        <f t="shared" ref="AE31" si="69">AD31-AC31</f>
        <v>5</v>
      </c>
      <c r="AF31" s="43" t="s">
        <v>2827</v>
      </c>
      <c r="AG31" s="128"/>
      <c r="AI31" s="64"/>
      <c r="AJ31" s="313"/>
    </row>
    <row r="32" spans="1:37">
      <c r="A32" s="132" t="s">
        <v>4743</v>
      </c>
      <c r="B32" s="81">
        <v>433</v>
      </c>
      <c r="C32" s="81">
        <v>605</v>
      </c>
      <c r="D32" s="237">
        <v>11693</v>
      </c>
      <c r="E32" s="82">
        <v>-65</v>
      </c>
      <c r="F32" s="58">
        <v>78.790000000000006</v>
      </c>
      <c r="G32" s="81">
        <v>4157</v>
      </c>
      <c r="H32" s="8" t="s">
        <v>328</v>
      </c>
      <c r="I32" s="16" t="s">
        <v>4744</v>
      </c>
      <c r="J32" s="330">
        <v>56.46</v>
      </c>
      <c r="K32" s="75">
        <v>3.75</v>
      </c>
      <c r="L32" s="75">
        <v>2.17</v>
      </c>
      <c r="M32" s="75">
        <v>36.619999999999997</v>
      </c>
      <c r="N32" s="325">
        <f t="shared" ref="N32" si="70">J32+K32+L32+M32</f>
        <v>99</v>
      </c>
      <c r="O32" s="27" t="s">
        <v>6261</v>
      </c>
      <c r="P32" s="56" t="s">
        <v>6257</v>
      </c>
      <c r="Q32" s="26" t="s">
        <v>6271</v>
      </c>
      <c r="R32" s="385" t="s">
        <v>6290</v>
      </c>
      <c r="S32" s="377">
        <v>9119</v>
      </c>
      <c r="T32" s="34">
        <v>0</v>
      </c>
      <c r="U32" s="366">
        <f t="shared" si="57"/>
        <v>0</v>
      </c>
      <c r="V32" s="58">
        <v>1.1000000000000001</v>
      </c>
      <c r="W32" s="36">
        <v>17.55</v>
      </c>
      <c r="X32" s="67">
        <v>17.25</v>
      </c>
      <c r="Y32" s="15">
        <f t="shared" ref="Y32" si="71">W32-X32</f>
        <v>0.30000000000000071</v>
      </c>
      <c r="Z32" s="64">
        <f t="shared" ref="Z32" si="72">Y32/X32</f>
        <v>1.7391304347826129E-2</v>
      </c>
      <c r="AA32" s="174" t="s">
        <v>6391</v>
      </c>
      <c r="AB32" s="16" t="s">
        <v>4744</v>
      </c>
      <c r="AC32" s="86">
        <v>44614</v>
      </c>
      <c r="AD32" s="85">
        <v>44621</v>
      </c>
      <c r="AE32" s="33">
        <f t="shared" ref="AE32" si="73">AD32-AC32</f>
        <v>7</v>
      </c>
      <c r="AF32" s="43" t="s">
        <v>4745</v>
      </c>
      <c r="AG32" s="128"/>
      <c r="AI32" s="376"/>
      <c r="AJ32" s="313"/>
      <c r="AK32" s="378"/>
    </row>
    <row r="33" spans="1:37" s="273" customFormat="1">
      <c r="A33" s="147"/>
      <c r="B33" s="81"/>
      <c r="C33" s="81"/>
      <c r="D33" s="81"/>
      <c r="E33" s="81"/>
      <c r="F33" s="6"/>
      <c r="G33" s="41"/>
      <c r="H33" s="8"/>
      <c r="I33" s="160"/>
      <c r="J33" s="330"/>
      <c r="K33" s="330"/>
      <c r="L33" s="330"/>
      <c r="M33" s="325"/>
      <c r="N33" s="325"/>
      <c r="O33" s="329"/>
      <c r="P33" s="354"/>
      <c r="Q33" s="312"/>
      <c r="R33" s="308"/>
      <c r="S33" s="330"/>
      <c r="T33" s="199"/>
      <c r="U33" s="364"/>
      <c r="V33" s="97"/>
      <c r="W33" s="361">
        <f>SUM(W21:W32)</f>
        <v>1722.1499999999999</v>
      </c>
      <c r="X33" s="339">
        <f>SUM(X21:X32)</f>
        <v>1668.15</v>
      </c>
      <c r="Y33" s="169">
        <f>W33-X33</f>
        <v>53.999999999999773</v>
      </c>
      <c r="Z33" s="165">
        <f>Y33/X33</f>
        <v>3.2371189641219177E-2</v>
      </c>
      <c r="AA33" s="118"/>
      <c r="AB33" s="247">
        <f>W33*(0.001425*0.5)+W33*0.003+X33*(0.001425*0.5)</f>
        <v>7.5820387499999988</v>
      </c>
      <c r="AC33" s="6">
        <f>Y33-AB33</f>
        <v>46.417961249999777</v>
      </c>
      <c r="AD33" s="85"/>
      <c r="AE33" s="33"/>
      <c r="AF33" s="46" t="s">
        <v>6443</v>
      </c>
      <c r="AG33" s="170"/>
    </row>
    <row r="34" spans="1:37" s="273" customFormat="1">
      <c r="A34" s="147"/>
      <c r="B34" s="81"/>
      <c r="C34" s="81"/>
      <c r="D34" s="81"/>
      <c r="E34" s="81"/>
      <c r="F34" s="6"/>
      <c r="G34" s="41"/>
      <c r="H34" s="8"/>
      <c r="I34" s="160"/>
      <c r="J34" s="330"/>
      <c r="K34" s="330"/>
      <c r="L34" s="330"/>
      <c r="M34" s="325"/>
      <c r="N34" s="325"/>
      <c r="O34" s="329"/>
      <c r="P34" s="354"/>
      <c r="Q34" s="312"/>
      <c r="R34" s="308"/>
      <c r="S34" s="330"/>
      <c r="T34" s="199"/>
      <c r="U34" s="364"/>
      <c r="V34" s="97"/>
      <c r="W34" s="361"/>
      <c r="X34" s="339"/>
      <c r="Y34" s="169"/>
      <c r="Z34" s="165"/>
      <c r="AA34" s="118"/>
      <c r="AB34" s="247"/>
      <c r="AC34" s="6"/>
      <c r="AD34" s="85"/>
      <c r="AE34" s="33"/>
      <c r="AF34" s="46"/>
      <c r="AG34" s="170"/>
    </row>
    <row r="35" spans="1:37">
      <c r="A35" s="148" t="s">
        <v>1673</v>
      </c>
      <c r="B35" s="82">
        <v>-60</v>
      </c>
      <c r="C35" s="82">
        <v>-58</v>
      </c>
      <c r="D35" s="82">
        <v>-9</v>
      </c>
      <c r="E35" s="81">
        <v>72</v>
      </c>
      <c r="F35" s="6">
        <v>1.66</v>
      </c>
      <c r="G35" s="81">
        <v>3548</v>
      </c>
      <c r="H35" s="5" t="s">
        <v>4155</v>
      </c>
      <c r="I35" s="16" t="s">
        <v>153</v>
      </c>
      <c r="J35" s="75">
        <v>27.39</v>
      </c>
      <c r="K35" s="75">
        <v>6.4</v>
      </c>
      <c r="L35" s="330">
        <v>42.56</v>
      </c>
      <c r="M35" s="75">
        <v>21.73</v>
      </c>
      <c r="N35" s="325">
        <f t="shared" ref="N35" si="74">J35+K35+L35+M35</f>
        <v>98.08</v>
      </c>
      <c r="O35" s="27" t="s">
        <v>1735</v>
      </c>
      <c r="P35" s="56" t="s">
        <v>6429</v>
      </c>
      <c r="Q35" s="26" t="s">
        <v>6430</v>
      </c>
      <c r="R35" s="309" t="s">
        <v>4373</v>
      </c>
      <c r="S35" s="330">
        <v>2.31</v>
      </c>
      <c r="T35" s="34">
        <v>2.5</v>
      </c>
      <c r="U35" s="366">
        <f t="shared" ref="U35:U60" si="75">T35/W35</f>
        <v>3.3783783783783786E-2</v>
      </c>
      <c r="V35" s="97">
        <v>2.6</v>
      </c>
      <c r="W35" s="36">
        <v>74</v>
      </c>
      <c r="X35" s="67">
        <v>72.599999999999994</v>
      </c>
      <c r="Y35" s="15">
        <f t="shared" ref="Y35" si="76">W35-X35</f>
        <v>1.4000000000000057</v>
      </c>
      <c r="Z35" s="64">
        <f t="shared" ref="Z35" si="77">Y35/X35</f>
        <v>1.928374655647391E-2</v>
      </c>
      <c r="AA35" s="174" t="s">
        <v>6431</v>
      </c>
      <c r="AB35" s="16" t="s">
        <v>153</v>
      </c>
      <c r="AC35" s="86">
        <v>44617</v>
      </c>
      <c r="AD35" s="88">
        <v>44617</v>
      </c>
      <c r="AE35" s="33">
        <f t="shared" ref="AE35" si="78">AD35-AC35</f>
        <v>0</v>
      </c>
      <c r="AF35" s="122" t="s">
        <v>3415</v>
      </c>
      <c r="AG35" s="128"/>
      <c r="AI35" s="64"/>
      <c r="AJ35" s="313"/>
    </row>
    <row r="36" spans="1:37">
      <c r="A36" s="132" t="s">
        <v>1808</v>
      </c>
      <c r="B36" s="81">
        <v>181</v>
      </c>
      <c r="C36" s="81">
        <v>158</v>
      </c>
      <c r="D36" s="82">
        <v>-7</v>
      </c>
      <c r="E36" s="81">
        <v>27</v>
      </c>
      <c r="F36" s="58">
        <v>21.4</v>
      </c>
      <c r="G36" s="81">
        <v>8358</v>
      </c>
      <c r="H36" s="8" t="s">
        <v>327</v>
      </c>
      <c r="I36" s="16" t="s">
        <v>236</v>
      </c>
      <c r="J36" s="75">
        <v>37.840000000000003</v>
      </c>
      <c r="K36" s="75">
        <v>15.7</v>
      </c>
      <c r="L36" s="75">
        <v>20.5</v>
      </c>
      <c r="M36" s="75">
        <v>17.29</v>
      </c>
      <c r="N36" s="325">
        <f>J36+K36+L36+M36</f>
        <v>91.330000000000013</v>
      </c>
      <c r="P36" s="56" t="s">
        <v>6417</v>
      </c>
      <c r="Q36" s="26" t="s">
        <v>6418</v>
      </c>
      <c r="R36" s="385" t="s">
        <v>6290</v>
      </c>
      <c r="S36" s="330">
        <v>3.5</v>
      </c>
      <c r="T36" s="67">
        <v>4.2</v>
      </c>
      <c r="U36" s="366">
        <f t="shared" si="75"/>
        <v>5.5702917771883284E-2</v>
      </c>
      <c r="V36" s="97">
        <v>2.14</v>
      </c>
      <c r="W36" s="36">
        <v>75.400000000000006</v>
      </c>
      <c r="X36" s="67">
        <v>74.099999999999994</v>
      </c>
      <c r="Y36" s="15">
        <f>W36-X36</f>
        <v>1.3000000000000114</v>
      </c>
      <c r="Z36" s="64">
        <f>Y36/X36</f>
        <v>1.7543859649122962E-2</v>
      </c>
      <c r="AA36" s="174" t="s">
        <v>6422</v>
      </c>
      <c r="AB36" s="16" t="s">
        <v>236</v>
      </c>
      <c r="AC36" s="86">
        <v>44616</v>
      </c>
      <c r="AD36" s="85">
        <v>44617</v>
      </c>
      <c r="AE36" s="33">
        <f>AD36-AC36</f>
        <v>1</v>
      </c>
      <c r="AF36" s="122" t="s">
        <v>2952</v>
      </c>
      <c r="AG36" s="128"/>
      <c r="AI36" s="64"/>
      <c r="AJ36" s="313"/>
    </row>
    <row r="37" spans="1:37">
      <c r="A37" s="132" t="s">
        <v>2385</v>
      </c>
      <c r="B37" s="81">
        <v>21</v>
      </c>
      <c r="C37" s="81">
        <v>4</v>
      </c>
      <c r="D37" s="81">
        <v>14</v>
      </c>
      <c r="E37" s="81">
        <v>79</v>
      </c>
      <c r="F37" s="58">
        <v>11.75</v>
      </c>
      <c r="G37" s="81">
        <v>4755</v>
      </c>
      <c r="H37" s="8" t="s">
        <v>806</v>
      </c>
      <c r="I37" s="22" t="s">
        <v>819</v>
      </c>
      <c r="J37" s="330">
        <v>69.63</v>
      </c>
      <c r="K37" s="75">
        <v>30.78</v>
      </c>
      <c r="L37" s="330">
        <v>8.74</v>
      </c>
      <c r="M37" s="330">
        <v>30.06</v>
      </c>
      <c r="N37" s="75">
        <f>J37+K37+L37+M37</f>
        <v>139.20999999999998</v>
      </c>
      <c r="O37" s="27" t="s">
        <v>1735</v>
      </c>
      <c r="P37" s="56" t="s">
        <v>6406</v>
      </c>
      <c r="Q37" s="26" t="s">
        <v>6407</v>
      </c>
      <c r="R37" s="309" t="s">
        <v>4373</v>
      </c>
      <c r="S37" s="330">
        <v>0.67</v>
      </c>
      <c r="T37" s="67">
        <v>3</v>
      </c>
      <c r="U37" s="366">
        <f t="shared" si="75"/>
        <v>1.9867549668874173E-2</v>
      </c>
      <c r="V37" s="58">
        <v>4.74</v>
      </c>
      <c r="W37" s="36">
        <v>151</v>
      </c>
      <c r="X37" s="67">
        <v>148.5</v>
      </c>
      <c r="Y37" s="15">
        <f>W37-X37</f>
        <v>2.5</v>
      </c>
      <c r="Z37" s="64">
        <f>Y37/X37</f>
        <v>1.6835016835016835E-2</v>
      </c>
      <c r="AA37" s="174" t="s">
        <v>6408</v>
      </c>
      <c r="AB37" s="22" t="s">
        <v>819</v>
      </c>
      <c r="AC37" s="86">
        <v>44615</v>
      </c>
      <c r="AD37" s="88">
        <v>44615</v>
      </c>
      <c r="AE37" s="33">
        <f>AD37-AC37</f>
        <v>0</v>
      </c>
      <c r="AF37" s="43" t="s">
        <v>4533</v>
      </c>
      <c r="AG37" s="128"/>
      <c r="AI37" s="64"/>
      <c r="AJ37" s="313"/>
    </row>
    <row r="38" spans="1:37">
      <c r="A38" s="132" t="s">
        <v>4743</v>
      </c>
      <c r="B38" s="81">
        <v>433</v>
      </c>
      <c r="C38" s="81">
        <v>605</v>
      </c>
      <c r="D38" s="237">
        <v>11693</v>
      </c>
      <c r="E38" s="82">
        <v>-65</v>
      </c>
      <c r="F38" s="58">
        <v>78.790000000000006</v>
      </c>
      <c r="G38" s="81">
        <v>4157</v>
      </c>
      <c r="H38" s="8" t="s">
        <v>328</v>
      </c>
      <c r="I38" s="16" t="s">
        <v>4744</v>
      </c>
      <c r="J38" s="330">
        <v>56.46</v>
      </c>
      <c r="K38" s="75">
        <v>3.65</v>
      </c>
      <c r="L38" s="75">
        <v>1.92</v>
      </c>
      <c r="M38" s="75">
        <v>36.619999999999997</v>
      </c>
      <c r="N38" s="325">
        <f t="shared" ref="N38" si="79">J38+K38+L38+M38</f>
        <v>98.65</v>
      </c>
      <c r="O38" s="27" t="s">
        <v>6261</v>
      </c>
      <c r="P38" s="56" t="s">
        <v>6327</v>
      </c>
      <c r="Q38" s="26" t="s">
        <v>6333</v>
      </c>
      <c r="R38" s="385" t="s">
        <v>6290</v>
      </c>
      <c r="S38" s="377">
        <v>9071</v>
      </c>
      <c r="T38" s="34">
        <v>0</v>
      </c>
      <c r="U38" s="366">
        <f t="shared" si="75"/>
        <v>0</v>
      </c>
      <c r="V38" s="58">
        <v>1.1000000000000001</v>
      </c>
      <c r="W38" s="36">
        <v>17.25</v>
      </c>
      <c r="X38" s="67">
        <v>15.95</v>
      </c>
      <c r="Y38" s="15">
        <f t="shared" ref="Y38" si="80">W38-X38</f>
        <v>1.3000000000000007</v>
      </c>
      <c r="Z38" s="64">
        <f t="shared" ref="Z38" si="81">Y38/X38</f>
        <v>8.1504702194357417E-2</v>
      </c>
      <c r="AA38" s="174" t="s">
        <v>6336</v>
      </c>
      <c r="AB38" s="16" t="s">
        <v>4744</v>
      </c>
      <c r="AC38" s="86">
        <v>44613</v>
      </c>
      <c r="AD38" s="85">
        <v>44614</v>
      </c>
      <c r="AE38" s="33">
        <f t="shared" ref="AE38" si="82">AD38-AC38</f>
        <v>1</v>
      </c>
      <c r="AF38" s="43" t="s">
        <v>4745</v>
      </c>
      <c r="AG38" s="128"/>
      <c r="AI38" s="376"/>
      <c r="AJ38" s="313"/>
      <c r="AK38" s="378"/>
    </row>
    <row r="39" spans="1:37">
      <c r="A39" s="132" t="s">
        <v>2635</v>
      </c>
      <c r="B39" s="82">
        <v>-3</v>
      </c>
      <c r="C39" s="81">
        <v>6</v>
      </c>
      <c r="D39" s="82">
        <v>-15</v>
      </c>
      <c r="E39" s="81">
        <v>29</v>
      </c>
      <c r="F39" s="58">
        <v>19.690000000000001</v>
      </c>
      <c r="G39" s="81">
        <v>6231</v>
      </c>
      <c r="H39" s="8" t="s">
        <v>333</v>
      </c>
      <c r="I39" s="16" t="s">
        <v>1065</v>
      </c>
      <c r="J39" s="75">
        <v>24</v>
      </c>
      <c r="K39" s="75">
        <v>12.7</v>
      </c>
      <c r="L39" s="330">
        <v>18.850000000000001</v>
      </c>
      <c r="M39" s="75">
        <v>27.03</v>
      </c>
      <c r="N39" s="325">
        <f t="shared" ref="N39" si="83">J39+K39+L39+M39</f>
        <v>82.580000000000013</v>
      </c>
      <c r="P39" s="56" t="s">
        <v>6377</v>
      </c>
      <c r="Q39" s="26" t="s">
        <v>6378</v>
      </c>
      <c r="R39" s="309" t="s">
        <v>4373</v>
      </c>
      <c r="S39" s="330">
        <v>1.1000000000000001</v>
      </c>
      <c r="T39" s="67">
        <v>3.5</v>
      </c>
      <c r="U39" s="366">
        <f t="shared" si="75"/>
        <v>3.7353255069370331E-2</v>
      </c>
      <c r="V39" s="97">
        <v>3.92</v>
      </c>
      <c r="W39" s="36">
        <v>93.7</v>
      </c>
      <c r="X39" s="67">
        <v>92.6</v>
      </c>
      <c r="Y39" s="15">
        <f t="shared" ref="Y39" si="84">W39-X39</f>
        <v>1.1000000000000085</v>
      </c>
      <c r="Z39" s="64">
        <f t="shared" ref="Z39" si="85">Y39/X39</f>
        <v>1.187904967602601E-2</v>
      </c>
      <c r="AA39" s="174" t="s">
        <v>6308</v>
      </c>
      <c r="AB39" s="16" t="s">
        <v>1065</v>
      </c>
      <c r="AC39" s="86">
        <v>44609</v>
      </c>
      <c r="AD39" s="85">
        <v>44614</v>
      </c>
      <c r="AE39" s="33">
        <f t="shared" ref="AE39" si="86">AD39-AC39</f>
        <v>5</v>
      </c>
      <c r="AF39" s="43" t="s">
        <v>2636</v>
      </c>
      <c r="AG39" s="128"/>
      <c r="AI39" s="64"/>
      <c r="AJ39" s="313"/>
    </row>
    <row r="40" spans="1:37">
      <c r="A40" s="132" t="s">
        <v>2482</v>
      </c>
      <c r="B40" s="81">
        <v>102</v>
      </c>
      <c r="C40" s="81">
        <v>102</v>
      </c>
      <c r="D40" s="81">
        <v>5</v>
      </c>
      <c r="E40" s="81">
        <v>16</v>
      </c>
      <c r="F40" s="58">
        <v>25.41</v>
      </c>
      <c r="G40" s="81">
        <v>6491</v>
      </c>
      <c r="H40" s="206" t="s">
        <v>328</v>
      </c>
      <c r="I40" s="22" t="s">
        <v>4838</v>
      </c>
      <c r="J40" s="75">
        <v>57.24</v>
      </c>
      <c r="K40" s="75">
        <v>15.23</v>
      </c>
      <c r="L40" s="330">
        <v>4.1100000000000003</v>
      </c>
      <c r="M40" s="330">
        <v>43.22</v>
      </c>
      <c r="N40" s="325">
        <f t="shared" ref="N40" si="87">J40+K40+L40+M40</f>
        <v>119.8</v>
      </c>
      <c r="O40" s="27" t="s">
        <v>6377</v>
      </c>
      <c r="P40" s="56" t="s">
        <v>6377</v>
      </c>
      <c r="Q40" s="26" t="s">
        <v>6384</v>
      </c>
      <c r="R40" s="309" t="s">
        <v>4374</v>
      </c>
      <c r="S40" s="330">
        <v>2.46</v>
      </c>
      <c r="T40" s="67">
        <v>8.5</v>
      </c>
      <c r="U40" s="366">
        <f t="shared" si="75"/>
        <v>1.8279569892473119E-2</v>
      </c>
      <c r="V40" s="58">
        <v>16.61</v>
      </c>
      <c r="W40" s="36">
        <v>465</v>
      </c>
      <c r="X40" s="67">
        <v>445</v>
      </c>
      <c r="Y40" s="15">
        <f t="shared" ref="Y40" si="88">W40-X40</f>
        <v>20</v>
      </c>
      <c r="Z40" s="64">
        <f t="shared" ref="Z40" si="89">Y40/X40</f>
        <v>4.49438202247191E-2</v>
      </c>
      <c r="AA40" s="174" t="s">
        <v>6310</v>
      </c>
      <c r="AB40" s="22" t="s">
        <v>4838</v>
      </c>
      <c r="AC40" s="86">
        <v>44610</v>
      </c>
      <c r="AD40" s="85">
        <v>44613</v>
      </c>
      <c r="AE40" s="33">
        <f t="shared" ref="AE40" si="90">AD40-AC40</f>
        <v>3</v>
      </c>
      <c r="AF40" s="122" t="s">
        <v>4840</v>
      </c>
      <c r="AG40" s="128"/>
      <c r="AI40" s="64"/>
      <c r="AJ40" s="313"/>
    </row>
    <row r="41" spans="1:37">
      <c r="A41" s="132" t="s">
        <v>2377</v>
      </c>
      <c r="B41" s="95">
        <v>1166</v>
      </c>
      <c r="C41" s="237">
        <v>25679</v>
      </c>
      <c r="D41" s="81">
        <v>5</v>
      </c>
      <c r="E41" s="81">
        <v>26</v>
      </c>
      <c r="F41" s="58">
        <v>18.239999999999998</v>
      </c>
      <c r="G41" s="81">
        <v>3527</v>
      </c>
      <c r="H41" s="8" t="s">
        <v>3761</v>
      </c>
      <c r="I41" s="16" t="s">
        <v>348</v>
      </c>
      <c r="J41" s="75">
        <v>23.18</v>
      </c>
      <c r="K41" s="75">
        <v>13.16</v>
      </c>
      <c r="L41" s="75">
        <v>30.96</v>
      </c>
      <c r="M41" s="75">
        <v>16.39</v>
      </c>
      <c r="N41" s="325">
        <f t="shared" ref="N41" si="91">J41+K41+L41+M41</f>
        <v>83.690000000000012</v>
      </c>
      <c r="O41" s="27" t="s">
        <v>6385</v>
      </c>
      <c r="P41" s="56" t="s">
        <v>6381</v>
      </c>
      <c r="Q41" s="26" t="s">
        <v>6386</v>
      </c>
      <c r="R41" s="385" t="s">
        <v>6290</v>
      </c>
      <c r="S41" s="330">
        <v>2.42</v>
      </c>
      <c r="T41" s="34">
        <v>2</v>
      </c>
      <c r="U41" s="366">
        <f t="shared" si="75"/>
        <v>1.0335917312661499E-2</v>
      </c>
      <c r="V41" s="97">
        <v>10.47</v>
      </c>
      <c r="W41" s="36">
        <v>193.5</v>
      </c>
      <c r="X41" s="67">
        <v>190</v>
      </c>
      <c r="Y41" s="15">
        <f t="shared" ref="Y41" si="92">W41-X41</f>
        <v>3.5</v>
      </c>
      <c r="Z41" s="64">
        <f t="shared" ref="Z41" si="93">Y41/X41</f>
        <v>1.8421052631578946E-2</v>
      </c>
      <c r="AA41" s="174" t="s">
        <v>6307</v>
      </c>
      <c r="AB41" s="16" t="s">
        <v>348</v>
      </c>
      <c r="AC41" s="86">
        <v>44609</v>
      </c>
      <c r="AD41" s="85">
        <v>44613</v>
      </c>
      <c r="AE41" s="33">
        <f t="shared" ref="AE41" si="94">AD41-AC41</f>
        <v>4</v>
      </c>
      <c r="AF41" s="43" t="s">
        <v>2876</v>
      </c>
      <c r="AG41" s="128"/>
      <c r="AI41" s="64"/>
      <c r="AJ41" s="313"/>
    </row>
    <row r="42" spans="1:37">
      <c r="A42" s="132" t="s">
        <v>3649</v>
      </c>
      <c r="B42" s="81">
        <v>691</v>
      </c>
      <c r="C42" s="81">
        <v>515</v>
      </c>
      <c r="D42" s="82">
        <v>-6</v>
      </c>
      <c r="E42" s="81">
        <v>89</v>
      </c>
      <c r="F42" s="58">
        <v>11.81</v>
      </c>
      <c r="G42" s="82">
        <v>2636</v>
      </c>
      <c r="H42" s="8" t="s">
        <v>320</v>
      </c>
      <c r="I42" s="22" t="s">
        <v>2240</v>
      </c>
      <c r="J42" s="75">
        <v>34.479999999999997</v>
      </c>
      <c r="K42" s="75">
        <v>13.31</v>
      </c>
      <c r="L42" s="75">
        <v>31.97</v>
      </c>
      <c r="M42" s="75">
        <v>19.34</v>
      </c>
      <c r="N42" s="325">
        <f>J42+K42+L42+M42</f>
        <v>99.1</v>
      </c>
      <c r="O42" s="27" t="s">
        <v>6377</v>
      </c>
      <c r="P42" s="56" t="s">
        <v>6377</v>
      </c>
      <c r="Q42" s="26" t="s">
        <v>6387</v>
      </c>
      <c r="R42" s="309" t="s">
        <v>4373</v>
      </c>
      <c r="S42" s="330">
        <v>4.76</v>
      </c>
      <c r="T42" s="67">
        <v>3.02</v>
      </c>
      <c r="U42" s="366">
        <f t="shared" si="75"/>
        <v>2.3053435114503817E-2</v>
      </c>
      <c r="V42" s="97">
        <v>24.5</v>
      </c>
      <c r="W42" s="36">
        <v>131</v>
      </c>
      <c r="X42" s="67">
        <v>128.5</v>
      </c>
      <c r="Y42" s="15">
        <f>W42-X42</f>
        <v>2.5</v>
      </c>
      <c r="Z42" s="64">
        <f>Y42/X42</f>
        <v>1.9455252918287938E-2</v>
      </c>
      <c r="AA42" s="174" t="s">
        <v>6286</v>
      </c>
      <c r="AB42" s="22" t="s">
        <v>2240</v>
      </c>
      <c r="AC42" s="86">
        <v>44602</v>
      </c>
      <c r="AD42" s="85">
        <v>44610</v>
      </c>
      <c r="AE42" s="33">
        <f>AD42-AC42</f>
        <v>8</v>
      </c>
      <c r="AF42" s="43" t="s">
        <v>2410</v>
      </c>
      <c r="AG42" s="128"/>
      <c r="AI42" s="64"/>
      <c r="AJ42" s="313"/>
    </row>
    <row r="43" spans="1:37">
      <c r="A43" s="132" t="s">
        <v>5464</v>
      </c>
      <c r="B43" s="81">
        <v>169</v>
      </c>
      <c r="C43" s="81">
        <v>171</v>
      </c>
      <c r="D43" s="81">
        <v>16</v>
      </c>
      <c r="E43" s="81">
        <v>29</v>
      </c>
      <c r="F43" s="58">
        <v>30.9</v>
      </c>
      <c r="G43" s="81">
        <v>6756</v>
      </c>
      <c r="H43" s="8" t="s">
        <v>3761</v>
      </c>
      <c r="I43" s="22" t="s">
        <v>2597</v>
      </c>
      <c r="J43" s="330">
        <v>59</v>
      </c>
      <c r="K43" s="75">
        <v>6.86</v>
      </c>
      <c r="L43" s="330">
        <v>12.84</v>
      </c>
      <c r="M43" s="330">
        <v>60.91</v>
      </c>
      <c r="N43" s="75">
        <f t="shared" ref="N43" si="95">J43+K43+L43+M43</f>
        <v>139.61000000000001</v>
      </c>
      <c r="O43" s="27" t="s">
        <v>6377</v>
      </c>
      <c r="P43" s="56" t="s">
        <v>6377</v>
      </c>
      <c r="Q43" s="26" t="s">
        <v>6374</v>
      </c>
      <c r="R43" s="309" t="s">
        <v>6265</v>
      </c>
      <c r="S43" s="330">
        <v>1.47</v>
      </c>
      <c r="T43" s="67">
        <v>4.5</v>
      </c>
      <c r="U43" s="366">
        <f t="shared" si="75"/>
        <v>9.1093117408906875E-3</v>
      </c>
      <c r="V43" s="58">
        <v>10.91</v>
      </c>
      <c r="W43" s="36">
        <v>494</v>
      </c>
      <c r="X43" s="67">
        <v>481.5</v>
      </c>
      <c r="Y43" s="15">
        <f t="shared" ref="Y43" si="96">W43-X43</f>
        <v>12.5</v>
      </c>
      <c r="Z43" s="64">
        <f>Y43/X43</f>
        <v>2.5960539979231569E-2</v>
      </c>
      <c r="AA43" s="174" t="s">
        <v>6267</v>
      </c>
      <c r="AB43" s="22" t="s">
        <v>2597</v>
      </c>
      <c r="AC43" s="86">
        <v>44601</v>
      </c>
      <c r="AD43" s="85">
        <v>44609</v>
      </c>
      <c r="AE43" s="33">
        <f t="shared" ref="AE43" si="97">AD43-AC43</f>
        <v>8</v>
      </c>
      <c r="AF43" s="43" t="s">
        <v>2598</v>
      </c>
      <c r="AG43" s="128"/>
      <c r="AI43" s="64"/>
      <c r="AJ43" s="313"/>
    </row>
    <row r="44" spans="1:37">
      <c r="A44" s="132" t="s">
        <v>6299</v>
      </c>
      <c r="B44" s="95">
        <v>7630</v>
      </c>
      <c r="C44" s="95">
        <v>2113</v>
      </c>
      <c r="D44" s="82">
        <v>-9</v>
      </c>
      <c r="E44" s="81">
        <v>58</v>
      </c>
      <c r="F44" s="58">
        <v>29.19</v>
      </c>
      <c r="G44" s="82">
        <v>6485</v>
      </c>
      <c r="H44" s="17" t="s">
        <v>3761</v>
      </c>
      <c r="I44" s="16" t="s">
        <v>246</v>
      </c>
      <c r="J44" s="75">
        <v>10.3</v>
      </c>
      <c r="K44" s="75">
        <v>8.51</v>
      </c>
      <c r="L44" s="330">
        <v>61.79</v>
      </c>
      <c r="M44" s="330">
        <v>10.81</v>
      </c>
      <c r="N44" s="325">
        <f t="shared" ref="N44" si="98">J44+K44+L44+M44</f>
        <v>91.41</v>
      </c>
      <c r="O44" s="27" t="s">
        <v>6377</v>
      </c>
      <c r="P44" s="56" t="s">
        <v>6388</v>
      </c>
      <c r="Q44" s="26" t="s">
        <v>6389</v>
      </c>
      <c r="R44" s="385" t="s">
        <v>6290</v>
      </c>
      <c r="S44" s="330">
        <v>3.62</v>
      </c>
      <c r="T44" s="34">
        <v>0.49</v>
      </c>
      <c r="U44" s="366">
        <f t="shared" si="75"/>
        <v>3.3793103448275861E-3</v>
      </c>
      <c r="V44" s="97">
        <v>8.48</v>
      </c>
      <c r="W44" s="36">
        <v>145</v>
      </c>
      <c r="X44" s="67">
        <v>141.5</v>
      </c>
      <c r="Y44" s="15">
        <f t="shared" ref="Y44" si="99">W44-X44</f>
        <v>3.5</v>
      </c>
      <c r="Z44" s="64">
        <f t="shared" ref="Z44" si="100">Y44/X44</f>
        <v>2.4734982332155476E-2</v>
      </c>
      <c r="AA44" s="174" t="s">
        <v>6300</v>
      </c>
      <c r="AB44" s="16" t="s">
        <v>246</v>
      </c>
      <c r="AC44" s="86">
        <v>44608</v>
      </c>
      <c r="AD44" s="88">
        <v>44608</v>
      </c>
      <c r="AE44" s="33">
        <f t="shared" ref="AE44" si="101">AD44-AC44</f>
        <v>0</v>
      </c>
      <c r="AF44" s="43" t="s">
        <v>2885</v>
      </c>
      <c r="AG44" s="128"/>
      <c r="AI44" s="64"/>
      <c r="AJ44" s="313"/>
    </row>
    <row r="45" spans="1:37">
      <c r="A45" s="148" t="s">
        <v>1784</v>
      </c>
      <c r="B45" s="81">
        <v>116</v>
      </c>
      <c r="C45" s="81">
        <v>35</v>
      </c>
      <c r="D45" s="81">
        <v>1</v>
      </c>
      <c r="E45" s="81">
        <v>13</v>
      </c>
      <c r="F45" s="6">
        <v>7.23</v>
      </c>
      <c r="G45" s="81">
        <v>3260</v>
      </c>
      <c r="H45" s="151" t="s">
        <v>3761</v>
      </c>
      <c r="I45" s="16" t="s">
        <v>229</v>
      </c>
      <c r="J45" s="75">
        <v>14.82</v>
      </c>
      <c r="K45" s="75">
        <v>5.14</v>
      </c>
      <c r="L45" s="75">
        <v>27.73</v>
      </c>
      <c r="M45" s="75">
        <v>5.58</v>
      </c>
      <c r="N45" s="325">
        <f t="shared" ref="N45" si="102">J45+K45+L45+M45</f>
        <v>53.269999999999996</v>
      </c>
      <c r="P45" s="56" t="s">
        <v>6385</v>
      </c>
      <c r="Q45" s="26" t="s">
        <v>6390</v>
      </c>
      <c r="R45" s="385" t="s">
        <v>6290</v>
      </c>
      <c r="S45" s="330">
        <v>8.6</v>
      </c>
      <c r="T45" s="67">
        <v>3.18</v>
      </c>
      <c r="U45" s="366">
        <f t="shared" si="75"/>
        <v>3.4678298800436207E-2</v>
      </c>
      <c r="V45" s="97">
        <v>10.55</v>
      </c>
      <c r="W45" s="36">
        <v>91.7</v>
      </c>
      <c r="X45" s="67">
        <v>90</v>
      </c>
      <c r="Y45" s="15">
        <f t="shared" ref="Y45" si="103">W45-X45</f>
        <v>1.7000000000000028</v>
      </c>
      <c r="Z45" s="64">
        <f t="shared" ref="Z45" si="104">Y45/X45</f>
        <v>1.888888888888892E-2</v>
      </c>
      <c r="AA45" s="174" t="s">
        <v>6288</v>
      </c>
      <c r="AB45" s="16" t="s">
        <v>229</v>
      </c>
      <c r="AC45" s="86">
        <v>44603</v>
      </c>
      <c r="AD45" s="85">
        <v>44608</v>
      </c>
      <c r="AE45" s="33">
        <f t="shared" ref="AE45" si="105">AD45-AC45</f>
        <v>5</v>
      </c>
      <c r="AF45" s="122" t="s">
        <v>1482</v>
      </c>
      <c r="AG45" s="128"/>
      <c r="AI45" s="64"/>
      <c r="AJ45" s="313"/>
    </row>
    <row r="46" spans="1:37">
      <c r="A46" s="132" t="s">
        <v>2377</v>
      </c>
      <c r="B46" s="95">
        <v>1166</v>
      </c>
      <c r="C46" s="237">
        <v>25679</v>
      </c>
      <c r="D46" s="82">
        <v>-1</v>
      </c>
      <c r="E46" s="81">
        <v>11</v>
      </c>
      <c r="F46" s="58">
        <v>18.239999999999998</v>
      </c>
      <c r="G46" s="82">
        <v>3527</v>
      </c>
      <c r="H46" s="8" t="s">
        <v>3761</v>
      </c>
      <c r="I46" s="16" t="s">
        <v>348</v>
      </c>
      <c r="J46" s="75">
        <v>23.03</v>
      </c>
      <c r="K46" s="75">
        <v>11.51</v>
      </c>
      <c r="L46" s="330">
        <v>31.44</v>
      </c>
      <c r="M46" s="75">
        <v>16.39</v>
      </c>
      <c r="N46" s="325">
        <f>J46+K46+L46+M46</f>
        <v>82.37</v>
      </c>
      <c r="O46" s="27" t="s">
        <v>6385</v>
      </c>
      <c r="P46" s="56" t="s">
        <v>6381</v>
      </c>
      <c r="Q46" s="26" t="s">
        <v>6386</v>
      </c>
      <c r="R46" s="385" t="s">
        <v>6290</v>
      </c>
      <c r="S46" s="330">
        <v>2.64</v>
      </c>
      <c r="T46" s="34">
        <v>2</v>
      </c>
      <c r="U46" s="366">
        <f t="shared" si="75"/>
        <v>1.06951871657754E-2</v>
      </c>
      <c r="V46" s="97">
        <v>10.47</v>
      </c>
      <c r="W46" s="36">
        <v>187</v>
      </c>
      <c r="X46" s="67">
        <v>183.5</v>
      </c>
      <c r="Y46" s="15">
        <f>W46-X46</f>
        <v>3.5</v>
      </c>
      <c r="Z46" s="64">
        <f>Y46/X46</f>
        <v>1.9073569482288829E-2</v>
      </c>
      <c r="AA46" s="174" t="s">
        <v>6282</v>
      </c>
      <c r="AB46" s="16" t="s">
        <v>348</v>
      </c>
      <c r="AC46" s="86">
        <v>44602</v>
      </c>
      <c r="AD46" s="85">
        <v>44608</v>
      </c>
      <c r="AE46" s="33">
        <f>AD46-AC46</f>
        <v>6</v>
      </c>
      <c r="AF46" s="43" t="s">
        <v>2876</v>
      </c>
      <c r="AG46" s="128"/>
      <c r="AI46" s="64"/>
      <c r="AJ46" s="313"/>
    </row>
    <row r="47" spans="1:37">
      <c r="A47" s="132" t="s">
        <v>1864</v>
      </c>
      <c r="B47" s="81">
        <v>101</v>
      </c>
      <c r="C47" s="81">
        <v>100</v>
      </c>
      <c r="D47" s="81">
        <v>8</v>
      </c>
      <c r="E47" s="81">
        <v>12</v>
      </c>
      <c r="F47" s="58">
        <v>29.73</v>
      </c>
      <c r="G47" s="81">
        <v>3014</v>
      </c>
      <c r="H47" s="8" t="s">
        <v>3761</v>
      </c>
      <c r="I47" s="22" t="s">
        <v>109</v>
      </c>
      <c r="J47" s="75">
        <v>19.690000000000001</v>
      </c>
      <c r="K47" s="75">
        <v>14.17</v>
      </c>
      <c r="L47" s="75">
        <v>15.89</v>
      </c>
      <c r="M47" s="330">
        <v>12.51</v>
      </c>
      <c r="N47" s="325">
        <f>J47+K47+L47+M47</f>
        <v>62.26</v>
      </c>
      <c r="P47" s="56" t="s">
        <v>6390</v>
      </c>
      <c r="Q47" s="26" t="s">
        <v>6375</v>
      </c>
      <c r="R47" s="385" t="s">
        <v>6290</v>
      </c>
      <c r="S47" s="330">
        <v>3.75</v>
      </c>
      <c r="T47" s="67">
        <v>6</v>
      </c>
      <c r="U47" s="366">
        <f t="shared" si="75"/>
        <v>5.2863436123348019E-2</v>
      </c>
      <c r="V47" s="97">
        <v>10.19</v>
      </c>
      <c r="W47" s="36">
        <v>113.5</v>
      </c>
      <c r="X47" s="67">
        <v>111.5</v>
      </c>
      <c r="Y47" s="15">
        <f>W47-X47</f>
        <v>2</v>
      </c>
      <c r="Z47" s="64">
        <f>Y47/X47</f>
        <v>1.7937219730941704E-2</v>
      </c>
      <c r="AA47" s="174" t="s">
        <v>6292</v>
      </c>
      <c r="AB47" s="22" t="s">
        <v>109</v>
      </c>
      <c r="AC47" s="86">
        <v>44606</v>
      </c>
      <c r="AD47" s="88">
        <v>44606</v>
      </c>
      <c r="AE47" s="33">
        <f>AD47-AC47</f>
        <v>0</v>
      </c>
      <c r="AF47" s="122" t="s">
        <v>1506</v>
      </c>
      <c r="AG47" s="128"/>
      <c r="AI47" s="64"/>
      <c r="AJ47" s="313"/>
    </row>
    <row r="48" spans="1:37">
      <c r="A48" s="132" t="s">
        <v>1870</v>
      </c>
      <c r="B48" s="81">
        <v>56</v>
      </c>
      <c r="C48" s="81">
        <v>58</v>
      </c>
      <c r="D48" s="81">
        <v>25</v>
      </c>
      <c r="E48" s="81">
        <v>47</v>
      </c>
      <c r="F48" s="58">
        <v>28.75</v>
      </c>
      <c r="G48" s="81">
        <v>3556</v>
      </c>
      <c r="H48" s="197" t="s">
        <v>3761</v>
      </c>
      <c r="I48" s="16" t="s">
        <v>392</v>
      </c>
      <c r="J48" s="75">
        <v>13.67</v>
      </c>
      <c r="K48" s="75">
        <v>9.11</v>
      </c>
      <c r="L48" s="75">
        <v>23.42</v>
      </c>
      <c r="M48" s="75">
        <v>11.21</v>
      </c>
      <c r="N48" s="325">
        <f>J48+K48+L48+M48</f>
        <v>57.410000000000004</v>
      </c>
      <c r="O48" s="27" t="s">
        <v>6374</v>
      </c>
      <c r="P48" s="56" t="s">
        <v>6386</v>
      </c>
      <c r="Q48" s="26" t="s">
        <v>6375</v>
      </c>
      <c r="R48" s="309" t="s">
        <v>4373</v>
      </c>
      <c r="S48" s="330">
        <v>1.33</v>
      </c>
      <c r="T48" s="67">
        <v>3.45</v>
      </c>
      <c r="U48" s="366">
        <f t="shared" si="75"/>
        <v>4.0445486518171161E-2</v>
      </c>
      <c r="V48" s="97">
        <v>5.72</v>
      </c>
      <c r="W48" s="36">
        <v>85.3</v>
      </c>
      <c r="X48" s="67">
        <v>83.9</v>
      </c>
      <c r="Y48" s="15">
        <f>W48-X48</f>
        <v>1.3999999999999915</v>
      </c>
      <c r="Z48" s="64">
        <f>Y48/X48</f>
        <v>1.6686531585220397E-2</v>
      </c>
      <c r="AA48" s="174" t="s">
        <v>6285</v>
      </c>
      <c r="AB48" s="16" t="s">
        <v>392</v>
      </c>
      <c r="AC48" s="86">
        <v>44602</v>
      </c>
      <c r="AD48" s="85">
        <v>44603</v>
      </c>
      <c r="AE48" s="33">
        <f>AD48-AC48</f>
        <v>1</v>
      </c>
      <c r="AF48" s="43" t="s">
        <v>2877</v>
      </c>
      <c r="AG48" s="128"/>
      <c r="AI48" s="64"/>
      <c r="AJ48" s="313"/>
    </row>
    <row r="49" spans="1:37">
      <c r="A49" s="132" t="s">
        <v>1840</v>
      </c>
      <c r="B49" s="81">
        <v>28</v>
      </c>
      <c r="C49" s="81">
        <v>80</v>
      </c>
      <c r="D49" s="82">
        <v>-13</v>
      </c>
      <c r="E49" s="81">
        <v>19</v>
      </c>
      <c r="F49" s="58">
        <v>15.8</v>
      </c>
      <c r="G49" s="81">
        <v>8299</v>
      </c>
      <c r="H49" s="206" t="s">
        <v>3761</v>
      </c>
      <c r="I49" s="16" t="s">
        <v>5198</v>
      </c>
      <c r="J49" s="75">
        <v>36.25</v>
      </c>
      <c r="K49" s="75">
        <v>40.58</v>
      </c>
      <c r="L49" s="330">
        <v>16.21</v>
      </c>
      <c r="M49" s="75">
        <v>18.95</v>
      </c>
      <c r="N49" s="325">
        <f t="shared" ref="N49" si="106">J49+K49+L49+M49</f>
        <v>111.99</v>
      </c>
      <c r="P49" s="56" t="s">
        <v>6377</v>
      </c>
      <c r="Q49" s="26" t="s">
        <v>6375</v>
      </c>
      <c r="R49" s="309" t="s">
        <v>6169</v>
      </c>
      <c r="S49" s="330">
        <v>3.03</v>
      </c>
      <c r="T49" s="67">
        <v>10</v>
      </c>
      <c r="U49" s="366">
        <f t="shared" si="75"/>
        <v>2.100840336134454E-2</v>
      </c>
      <c r="V49" s="97">
        <v>51.35</v>
      </c>
      <c r="W49" s="13">
        <v>476</v>
      </c>
      <c r="X49" s="67">
        <v>456</v>
      </c>
      <c r="Y49" s="15">
        <f t="shared" ref="Y49" si="107">W49-X49</f>
        <v>20</v>
      </c>
      <c r="Z49" s="64">
        <f t="shared" ref="Z49" si="108">Y49/X49</f>
        <v>4.3859649122807015E-2</v>
      </c>
      <c r="AA49" s="174" t="s">
        <v>6242</v>
      </c>
      <c r="AB49" s="16" t="s">
        <v>5198</v>
      </c>
      <c r="AC49" s="86">
        <v>44599</v>
      </c>
      <c r="AD49" s="85">
        <v>44601</v>
      </c>
      <c r="AE49" s="33">
        <f t="shared" ref="AE49" si="109">AD49-AC49</f>
        <v>2</v>
      </c>
      <c r="AF49" s="122" t="s">
        <v>2592</v>
      </c>
      <c r="AG49" s="128"/>
      <c r="AI49" s="64"/>
      <c r="AJ49" s="313"/>
    </row>
    <row r="50" spans="1:37">
      <c r="A50" s="148" t="s">
        <v>4498</v>
      </c>
      <c r="B50" s="82">
        <v>-82</v>
      </c>
      <c r="C50" s="82">
        <v>-86</v>
      </c>
      <c r="D50" s="81">
        <v>21</v>
      </c>
      <c r="E50" s="81">
        <v>2</v>
      </c>
      <c r="F50" s="6">
        <v>1.01</v>
      </c>
      <c r="G50" s="81">
        <v>3708</v>
      </c>
      <c r="H50" s="5" t="s">
        <v>806</v>
      </c>
      <c r="I50" s="22" t="s">
        <v>4499</v>
      </c>
      <c r="J50" s="330">
        <v>37.04</v>
      </c>
      <c r="K50" s="75">
        <v>9.2200000000000006</v>
      </c>
      <c r="L50" s="330">
        <v>27.34</v>
      </c>
      <c r="M50" s="75">
        <v>10.130000000000001</v>
      </c>
      <c r="N50" s="325">
        <f>J50+K50+L50+M50</f>
        <v>83.72999999999999</v>
      </c>
      <c r="O50" s="27" t="s">
        <v>6382</v>
      </c>
      <c r="P50" s="56" t="s">
        <v>6382</v>
      </c>
      <c r="Q50" s="26" t="s">
        <v>6392</v>
      </c>
      <c r="R50" s="309" t="s">
        <v>4373</v>
      </c>
      <c r="S50" s="330">
        <v>6.14</v>
      </c>
      <c r="T50" s="67">
        <v>3.5</v>
      </c>
      <c r="U50" s="366">
        <f t="shared" si="75"/>
        <v>3.668763102725367E-2</v>
      </c>
      <c r="V50" s="97">
        <v>2.09</v>
      </c>
      <c r="W50" s="36">
        <v>95.4</v>
      </c>
      <c r="X50" s="67">
        <v>93.9</v>
      </c>
      <c r="Y50" s="15">
        <f>W50-X50</f>
        <v>1.5</v>
      </c>
      <c r="Z50" s="64">
        <f>Y50/X50</f>
        <v>1.5974440894568689E-2</v>
      </c>
      <c r="AA50" s="174" t="s">
        <v>6254</v>
      </c>
      <c r="AB50" s="22" t="s">
        <v>4499</v>
      </c>
      <c r="AC50" s="86">
        <v>44600</v>
      </c>
      <c r="AD50" s="85">
        <v>44601</v>
      </c>
      <c r="AE50" s="33">
        <f>AD50-AC50</f>
        <v>1</v>
      </c>
      <c r="AF50" s="43" t="s">
        <v>4501</v>
      </c>
      <c r="AG50" s="128"/>
      <c r="AI50" s="64"/>
      <c r="AJ50" s="313"/>
    </row>
    <row r="51" spans="1:37">
      <c r="A51" s="132" t="s">
        <v>2137</v>
      </c>
      <c r="B51" s="81">
        <v>15</v>
      </c>
      <c r="C51" s="81">
        <v>25</v>
      </c>
      <c r="D51" s="81">
        <v>0</v>
      </c>
      <c r="E51" s="81">
        <v>12</v>
      </c>
      <c r="F51" s="58">
        <v>14.68</v>
      </c>
      <c r="G51" s="81">
        <v>1560</v>
      </c>
      <c r="H51" s="5" t="s">
        <v>313</v>
      </c>
      <c r="I51" s="22" t="s">
        <v>185</v>
      </c>
      <c r="J51" s="330">
        <v>41.22</v>
      </c>
      <c r="K51" s="75">
        <v>15.17</v>
      </c>
      <c r="L51" s="330">
        <v>19.68</v>
      </c>
      <c r="M51" s="75">
        <v>16.920000000000002</v>
      </c>
      <c r="N51" s="325">
        <f>J51+K51+L51+M51</f>
        <v>92.99</v>
      </c>
      <c r="O51" s="27" t="s">
        <v>6377</v>
      </c>
      <c r="P51" s="56" t="s">
        <v>6384</v>
      </c>
      <c r="Q51" s="26" t="s">
        <v>6385</v>
      </c>
      <c r="R51" s="309" t="s">
        <v>4373</v>
      </c>
      <c r="S51" s="330">
        <v>4.12</v>
      </c>
      <c r="T51" s="34">
        <v>2.8</v>
      </c>
      <c r="U51" s="366">
        <f t="shared" si="75"/>
        <v>2.6923076923076921E-2</v>
      </c>
      <c r="V51" s="97">
        <v>4.0199999999999996</v>
      </c>
      <c r="W51" s="36">
        <v>104</v>
      </c>
      <c r="X51" s="67">
        <v>99.9</v>
      </c>
      <c r="Y51" s="15">
        <f>W51-X51</f>
        <v>4.0999999999999943</v>
      </c>
      <c r="Z51" s="64">
        <f>Y51/X51</f>
        <v>4.1041041041040983E-2</v>
      </c>
      <c r="AA51" s="174" t="s">
        <v>6201</v>
      </c>
      <c r="AB51" s="22" t="s">
        <v>185</v>
      </c>
      <c r="AC51" s="86">
        <v>44585</v>
      </c>
      <c r="AD51" s="85">
        <v>44601</v>
      </c>
      <c r="AE51" s="33">
        <f>AD51-AC51</f>
        <v>16</v>
      </c>
      <c r="AF51" s="122" t="s">
        <v>2387</v>
      </c>
      <c r="AG51" s="128"/>
      <c r="AI51" s="64"/>
      <c r="AJ51" s="313"/>
    </row>
    <row r="52" spans="1:37">
      <c r="A52" s="132" t="s">
        <v>1576</v>
      </c>
      <c r="B52" s="81">
        <v>75</v>
      </c>
      <c r="C52" s="81">
        <v>77</v>
      </c>
      <c r="D52" s="81">
        <v>3</v>
      </c>
      <c r="E52" s="81">
        <v>24</v>
      </c>
      <c r="F52" s="58">
        <v>24.43</v>
      </c>
      <c r="G52" s="82">
        <v>6411</v>
      </c>
      <c r="H52" s="151" t="s">
        <v>3761</v>
      </c>
      <c r="I52" s="16" t="s">
        <v>267</v>
      </c>
      <c r="J52" s="75">
        <v>27.6</v>
      </c>
      <c r="K52" s="75">
        <v>17.670000000000002</v>
      </c>
      <c r="L52" s="330">
        <v>36.81</v>
      </c>
      <c r="M52" s="330">
        <v>13.98</v>
      </c>
      <c r="N52" s="325">
        <f>J52+K52+L52+M52</f>
        <v>96.060000000000016</v>
      </c>
      <c r="P52" s="56" t="s">
        <v>6379</v>
      </c>
      <c r="Q52" s="26" t="s">
        <v>6375</v>
      </c>
      <c r="R52" s="309" t="s">
        <v>4373</v>
      </c>
      <c r="S52" s="330">
        <v>2.88</v>
      </c>
      <c r="T52" s="67">
        <v>5.03</v>
      </c>
      <c r="U52" s="366">
        <f t="shared" si="75"/>
        <v>2.3449883449883451E-2</v>
      </c>
      <c r="V52" s="97">
        <v>8.82</v>
      </c>
      <c r="W52" s="36">
        <v>214.5</v>
      </c>
      <c r="X52" s="67">
        <v>210</v>
      </c>
      <c r="Y52" s="15">
        <f>W52-X52</f>
        <v>4.5</v>
      </c>
      <c r="Z52" s="64">
        <f>Y52/X52</f>
        <v>2.1428571428571429E-2</v>
      </c>
      <c r="AA52" s="174" t="s">
        <v>6170</v>
      </c>
      <c r="AB52" s="16" t="s">
        <v>267</v>
      </c>
      <c r="AC52" s="86">
        <v>44581</v>
      </c>
      <c r="AD52" s="85">
        <v>44601</v>
      </c>
      <c r="AE52" s="33">
        <f>AD52-AC52</f>
        <v>20</v>
      </c>
      <c r="AF52" s="43" t="s">
        <v>2615</v>
      </c>
      <c r="AG52" s="128"/>
      <c r="AI52" s="64"/>
      <c r="AJ52" s="313"/>
    </row>
    <row r="53" spans="1:37">
      <c r="A53" s="132" t="s">
        <v>1840</v>
      </c>
      <c r="B53" s="81">
        <v>28</v>
      </c>
      <c r="C53" s="81">
        <v>80</v>
      </c>
      <c r="D53" s="82">
        <v>-13</v>
      </c>
      <c r="E53" s="81">
        <v>19</v>
      </c>
      <c r="F53" s="58">
        <v>15.8</v>
      </c>
      <c r="G53" s="81">
        <v>8299</v>
      </c>
      <c r="H53" s="207" t="s">
        <v>3761</v>
      </c>
      <c r="I53" s="16" t="s">
        <v>5198</v>
      </c>
      <c r="J53" s="330">
        <v>35</v>
      </c>
      <c r="K53" s="330">
        <v>41.01</v>
      </c>
      <c r="L53" s="330">
        <v>16.690000000000001</v>
      </c>
      <c r="M53" s="75">
        <v>18.95</v>
      </c>
      <c r="N53" s="325">
        <f t="shared" ref="N53" si="110">J53+K53+L53+M53</f>
        <v>111.64999999999999</v>
      </c>
      <c r="P53" s="56" t="s">
        <v>6377</v>
      </c>
      <c r="Q53" s="26" t="s">
        <v>6375</v>
      </c>
      <c r="R53" s="309" t="s">
        <v>6169</v>
      </c>
      <c r="S53" s="330">
        <v>3.32</v>
      </c>
      <c r="T53" s="67">
        <v>10</v>
      </c>
      <c r="U53" s="366">
        <f t="shared" si="75"/>
        <v>2.0920502092050208E-2</v>
      </c>
      <c r="V53" s="97">
        <v>51.35</v>
      </c>
      <c r="W53" s="13">
        <v>478</v>
      </c>
      <c r="X53" s="67">
        <v>451</v>
      </c>
      <c r="Y53" s="15">
        <f t="shared" ref="Y53" si="111">W53-X53</f>
        <v>27</v>
      </c>
      <c r="Z53" s="64">
        <f t="shared" ref="Z53" si="112">Y53/X53</f>
        <v>5.9866962305986697E-2</v>
      </c>
      <c r="AA53" s="174" t="s">
        <v>6227</v>
      </c>
      <c r="AB53" s="16" t="s">
        <v>5198</v>
      </c>
      <c r="AC53" s="86">
        <v>44586</v>
      </c>
      <c r="AD53" s="85">
        <v>44601</v>
      </c>
      <c r="AE53" s="33">
        <f t="shared" ref="AE53" si="113">AD53-AC53</f>
        <v>15</v>
      </c>
      <c r="AF53" s="122" t="s">
        <v>2592</v>
      </c>
      <c r="AG53" s="128"/>
      <c r="AI53" s="64"/>
      <c r="AJ53" s="313"/>
    </row>
    <row r="54" spans="1:37">
      <c r="A54" s="148" t="s">
        <v>2075</v>
      </c>
      <c r="B54" s="82">
        <v>-32</v>
      </c>
      <c r="C54" s="82">
        <v>-28</v>
      </c>
      <c r="D54" s="81">
        <v>17</v>
      </c>
      <c r="E54" s="81">
        <v>35</v>
      </c>
      <c r="F54" s="6">
        <v>4.46</v>
      </c>
      <c r="G54" s="81">
        <v>3479</v>
      </c>
      <c r="H54" s="151" t="s">
        <v>1212</v>
      </c>
      <c r="I54" s="16" t="s">
        <v>2696</v>
      </c>
      <c r="J54" s="75">
        <v>38.17</v>
      </c>
      <c r="K54" s="330">
        <v>2.89</v>
      </c>
      <c r="L54" s="330">
        <v>10.4</v>
      </c>
      <c r="M54" s="330">
        <v>27.27</v>
      </c>
      <c r="N54" s="325">
        <f>J54+K54+L54+M54</f>
        <v>78.73</v>
      </c>
      <c r="O54" s="27" t="s">
        <v>6382</v>
      </c>
      <c r="P54" s="56" t="s">
        <v>6382</v>
      </c>
      <c r="Q54" s="26" t="s">
        <v>6377</v>
      </c>
      <c r="R54" s="309" t="s">
        <v>6189</v>
      </c>
      <c r="S54" s="330">
        <v>0.55000000000000004</v>
      </c>
      <c r="T54" s="34">
        <v>2.58</v>
      </c>
      <c r="U54" s="366">
        <f t="shared" si="75"/>
        <v>4.518388791593695E-2</v>
      </c>
      <c r="V54" s="97">
        <v>2.23</v>
      </c>
      <c r="W54" s="36">
        <v>57.1</v>
      </c>
      <c r="X54" s="67">
        <v>55.7</v>
      </c>
      <c r="Y54" s="15">
        <f>W54-X54</f>
        <v>1.3999999999999986</v>
      </c>
      <c r="Z54" s="64">
        <f>Y54/X54</f>
        <v>2.5134649910233366E-2</v>
      </c>
      <c r="AA54" s="174" t="s">
        <v>6190</v>
      </c>
      <c r="AB54" s="16" t="s">
        <v>2696</v>
      </c>
      <c r="AC54" s="86">
        <v>44582</v>
      </c>
      <c r="AD54" s="85">
        <v>44601</v>
      </c>
      <c r="AE54" s="33">
        <f>AD54-AC54</f>
        <v>19</v>
      </c>
      <c r="AF54" s="122" t="s">
        <v>2805</v>
      </c>
      <c r="AG54" s="128"/>
      <c r="AI54" s="64"/>
      <c r="AJ54" s="313"/>
    </row>
    <row r="55" spans="1:37">
      <c r="A55" s="132" t="s">
        <v>4439</v>
      </c>
      <c r="B55" s="81">
        <v>135</v>
      </c>
      <c r="C55" s="81">
        <v>168</v>
      </c>
      <c r="D55" s="81">
        <v>0</v>
      </c>
      <c r="E55" s="81">
        <v>29</v>
      </c>
      <c r="F55" s="58">
        <v>18.399999999999999</v>
      </c>
      <c r="G55" s="81">
        <v>3455</v>
      </c>
      <c r="H55" s="8" t="s">
        <v>325</v>
      </c>
      <c r="I55" s="16" t="s">
        <v>5359</v>
      </c>
      <c r="J55" s="330">
        <v>16.239999999999998</v>
      </c>
      <c r="K55" s="75">
        <v>9.51</v>
      </c>
      <c r="L55" s="330">
        <v>59.22</v>
      </c>
      <c r="M55" s="330">
        <v>9.02</v>
      </c>
      <c r="N55" s="325">
        <f>J55+K55+L55+M55</f>
        <v>93.99</v>
      </c>
      <c r="O55" s="27" t="s">
        <v>6382</v>
      </c>
      <c r="P55" s="56" t="s">
        <v>6374</v>
      </c>
      <c r="Q55" s="26" t="s">
        <v>6393</v>
      </c>
      <c r="R55" s="309" t="s">
        <v>4373</v>
      </c>
      <c r="S55" s="330">
        <v>5.47</v>
      </c>
      <c r="T55" s="67">
        <v>4</v>
      </c>
      <c r="U55" s="366">
        <f t="shared" si="75"/>
        <v>3.8461538461538464E-2</v>
      </c>
      <c r="V55" s="97">
        <v>6.76</v>
      </c>
      <c r="W55" s="36">
        <v>104</v>
      </c>
      <c r="X55" s="67">
        <v>100</v>
      </c>
      <c r="Y55" s="15">
        <f>W55-X55</f>
        <v>4</v>
      </c>
      <c r="Z55" s="64">
        <f>Y55/X55</f>
        <v>0.04</v>
      </c>
      <c r="AA55" s="174" t="s">
        <v>6217</v>
      </c>
      <c r="AB55" s="16" t="s">
        <v>5359</v>
      </c>
      <c r="AC55" s="86">
        <v>44586</v>
      </c>
      <c r="AD55" s="85">
        <v>44600</v>
      </c>
      <c r="AE55" s="33">
        <f>AD55-AC55</f>
        <v>14</v>
      </c>
      <c r="AF55" s="61" t="s">
        <v>2955</v>
      </c>
      <c r="AG55" s="128"/>
      <c r="AI55" s="64"/>
      <c r="AJ55" s="313"/>
      <c r="AK55" s="22"/>
    </row>
    <row r="56" spans="1:37">
      <c r="A56" s="148" t="s">
        <v>1673</v>
      </c>
      <c r="B56" s="82">
        <v>-60</v>
      </c>
      <c r="C56" s="82">
        <v>-58</v>
      </c>
      <c r="D56" s="81">
        <v>15</v>
      </c>
      <c r="E56" s="81">
        <v>70</v>
      </c>
      <c r="F56" s="6">
        <v>1.66</v>
      </c>
      <c r="G56" s="81">
        <v>3548</v>
      </c>
      <c r="H56" s="5" t="s">
        <v>4155</v>
      </c>
      <c r="I56" s="16" t="s">
        <v>153</v>
      </c>
      <c r="J56" s="75">
        <v>29.11</v>
      </c>
      <c r="K56" s="330">
        <v>3.69</v>
      </c>
      <c r="L56" s="75">
        <v>46.43</v>
      </c>
      <c r="M56" s="75">
        <v>21.73</v>
      </c>
      <c r="N56" s="325">
        <f>J56+K56+L56+M56</f>
        <v>100.96</v>
      </c>
      <c r="O56" s="27" t="s">
        <v>6377</v>
      </c>
      <c r="P56" s="56" t="s">
        <v>6394</v>
      </c>
      <c r="Q56" s="26" t="s">
        <v>6395</v>
      </c>
      <c r="R56" s="309" t="s">
        <v>6169</v>
      </c>
      <c r="S56" s="330">
        <v>1.94</v>
      </c>
      <c r="T56" s="34">
        <v>2.5</v>
      </c>
      <c r="U56" s="366">
        <f t="shared" si="75"/>
        <v>3.7537537537537538E-2</v>
      </c>
      <c r="V56" s="97">
        <v>2.6</v>
      </c>
      <c r="W56" s="36">
        <v>66.599999999999994</v>
      </c>
      <c r="X56" s="67">
        <v>64.900000000000006</v>
      </c>
      <c r="Y56" s="15">
        <f>W56-X56</f>
        <v>1.6999999999999886</v>
      </c>
      <c r="Z56" s="64">
        <f>Y56/X56</f>
        <v>2.6194144838212457E-2</v>
      </c>
      <c r="AA56" s="174" t="s">
        <v>6243</v>
      </c>
      <c r="AB56" s="16" t="s">
        <v>153</v>
      </c>
      <c r="AC56" s="86">
        <v>44599</v>
      </c>
      <c r="AD56" s="88">
        <v>44599</v>
      </c>
      <c r="AE56" s="33">
        <f>AD56-AC56</f>
        <v>0</v>
      </c>
      <c r="AF56" s="122" t="s">
        <v>3415</v>
      </c>
      <c r="AG56" s="128"/>
      <c r="AI56" s="64"/>
      <c r="AJ56" s="313"/>
    </row>
    <row r="57" spans="1:37">
      <c r="A57" s="148" t="s">
        <v>5810</v>
      </c>
      <c r="B57" s="82">
        <v>-63</v>
      </c>
      <c r="C57" s="82">
        <v>-72</v>
      </c>
      <c r="D57" s="82">
        <v>-1</v>
      </c>
      <c r="E57" s="81">
        <v>7</v>
      </c>
      <c r="F57" s="6">
        <v>2.48</v>
      </c>
      <c r="G57" s="81">
        <v>2421</v>
      </c>
      <c r="H57" s="5" t="s">
        <v>4155</v>
      </c>
      <c r="I57" s="22" t="s">
        <v>5811</v>
      </c>
      <c r="J57" s="330">
        <v>46.47</v>
      </c>
      <c r="K57" s="330">
        <v>18.66</v>
      </c>
      <c r="L57" s="330">
        <v>8.83</v>
      </c>
      <c r="M57" s="330">
        <v>14.8</v>
      </c>
      <c r="N57" s="325">
        <f>J57+K57+L57+M57</f>
        <v>88.759999999999991</v>
      </c>
      <c r="O57" s="27" t="s">
        <v>6382</v>
      </c>
      <c r="P57" s="56" t="s">
        <v>6382</v>
      </c>
      <c r="Q57" s="26" t="s">
        <v>6374</v>
      </c>
      <c r="R57" s="309" t="s">
        <v>6169</v>
      </c>
      <c r="S57" s="330">
        <v>2.84</v>
      </c>
      <c r="T57" s="34">
        <v>2.4</v>
      </c>
      <c r="U57" s="366">
        <f t="shared" si="75"/>
        <v>5.5109070034443174E-2</v>
      </c>
      <c r="V57" s="97">
        <v>1.63</v>
      </c>
      <c r="W57" s="36">
        <v>43.55</v>
      </c>
      <c r="X57" s="67">
        <v>42.6</v>
      </c>
      <c r="Y57" s="15">
        <f>W57-X57</f>
        <v>0.94999999999999574</v>
      </c>
      <c r="Z57" s="64">
        <f>Y57/X57</f>
        <v>2.2300469483567974E-2</v>
      </c>
      <c r="AA57" s="174" t="s">
        <v>6244</v>
      </c>
      <c r="AB57" s="22" t="s">
        <v>5811</v>
      </c>
      <c r="AC57" s="86">
        <v>44599</v>
      </c>
      <c r="AD57" s="88">
        <v>44599</v>
      </c>
      <c r="AE57" s="33">
        <f>AD57-AC57</f>
        <v>0</v>
      </c>
      <c r="AF57" s="122" t="s">
        <v>2793</v>
      </c>
      <c r="AG57" s="128"/>
      <c r="AI57" s="64"/>
      <c r="AJ57" s="313"/>
    </row>
    <row r="58" spans="1:37">
      <c r="A58" s="132" t="s">
        <v>2571</v>
      </c>
      <c r="B58" s="81">
        <v>18</v>
      </c>
      <c r="C58" s="81">
        <v>10</v>
      </c>
      <c r="D58" s="82">
        <v>-3</v>
      </c>
      <c r="E58" s="81">
        <v>10</v>
      </c>
      <c r="F58" s="58">
        <v>26.73</v>
      </c>
      <c r="G58" s="81">
        <v>3526</v>
      </c>
      <c r="H58" s="8" t="s">
        <v>327</v>
      </c>
      <c r="I58" s="16" t="s">
        <v>168</v>
      </c>
      <c r="J58" s="75">
        <v>35.17</v>
      </c>
      <c r="K58" s="75">
        <v>13.78</v>
      </c>
      <c r="L58" s="330">
        <v>14.45</v>
      </c>
      <c r="M58" s="330">
        <v>28.98</v>
      </c>
      <c r="N58" s="325">
        <f t="shared" ref="N58:N59" si="114">J58+K58+L58+M58</f>
        <v>92.38000000000001</v>
      </c>
      <c r="O58" s="27" t="s">
        <v>6377</v>
      </c>
      <c r="P58" s="56" t="s">
        <v>6377</v>
      </c>
      <c r="Q58" s="26" t="s">
        <v>6396</v>
      </c>
      <c r="R58" s="385" t="s">
        <v>6290</v>
      </c>
      <c r="S58" s="330">
        <v>2.5099999999999998</v>
      </c>
      <c r="T58" s="67">
        <v>9.1300000000000008</v>
      </c>
      <c r="U58" s="366">
        <f t="shared" si="75"/>
        <v>4.5310173697270473E-2</v>
      </c>
      <c r="V58" s="97">
        <v>9.74</v>
      </c>
      <c r="W58" s="36">
        <v>201.5</v>
      </c>
      <c r="X58" s="67">
        <v>197</v>
      </c>
      <c r="Y58" s="15">
        <f t="shared" ref="Y58:Y59" si="115">W58-X58</f>
        <v>4.5</v>
      </c>
      <c r="Z58" s="64">
        <f t="shared" ref="Z58:Z59" si="116">Y58/X58</f>
        <v>2.2842639593908629E-2</v>
      </c>
      <c r="AA58" s="174" t="s">
        <v>6207</v>
      </c>
      <c r="AB58" s="16" t="s">
        <v>168</v>
      </c>
      <c r="AC58" s="86">
        <v>44599</v>
      </c>
      <c r="AD58" s="88">
        <v>44599</v>
      </c>
      <c r="AE58" s="33">
        <f t="shared" ref="AE58:AE59" si="117">AD58-AC58</f>
        <v>0</v>
      </c>
      <c r="AF58" s="122" t="s">
        <v>2214</v>
      </c>
      <c r="AI58" s="64"/>
      <c r="AJ58" s="313"/>
      <c r="AK58" s="353"/>
    </row>
    <row r="59" spans="1:37">
      <c r="A59" s="132" t="s">
        <v>2305</v>
      </c>
      <c r="B59" s="81">
        <v>8</v>
      </c>
      <c r="C59" s="81">
        <v>1</v>
      </c>
      <c r="D59" s="82">
        <v>-12</v>
      </c>
      <c r="E59" s="81">
        <v>12</v>
      </c>
      <c r="F59" s="58">
        <v>25.71</v>
      </c>
      <c r="G59" s="81">
        <v>3217</v>
      </c>
      <c r="H59" s="8" t="s">
        <v>327</v>
      </c>
      <c r="I59" s="16" t="s">
        <v>5890</v>
      </c>
      <c r="J59" s="75">
        <v>45.44</v>
      </c>
      <c r="K59" s="75">
        <v>15.54</v>
      </c>
      <c r="L59" s="75">
        <v>17.63</v>
      </c>
      <c r="M59" s="330">
        <v>12.99</v>
      </c>
      <c r="N59" s="325">
        <f t="shared" si="114"/>
        <v>91.6</v>
      </c>
      <c r="O59" s="27" t="s">
        <v>6377</v>
      </c>
      <c r="P59" s="56" t="s">
        <v>6397</v>
      </c>
      <c r="Q59" s="26" t="s">
        <v>6398</v>
      </c>
      <c r="R59" s="309" t="s">
        <v>4375</v>
      </c>
      <c r="S59" s="330">
        <v>0.97</v>
      </c>
      <c r="T59" s="67">
        <v>5.6</v>
      </c>
      <c r="U59" s="366">
        <f t="shared" si="75"/>
        <v>4.2264150943396223E-2</v>
      </c>
      <c r="V59" s="97">
        <v>7.33</v>
      </c>
      <c r="W59" s="36">
        <v>132.5</v>
      </c>
      <c r="X59" s="67">
        <v>130</v>
      </c>
      <c r="Y59" s="15">
        <f t="shared" si="115"/>
        <v>2.5</v>
      </c>
      <c r="Z59" s="64">
        <f t="shared" si="116"/>
        <v>1.9230769230769232E-2</v>
      </c>
      <c r="AA59" s="174" t="s">
        <v>6241</v>
      </c>
      <c r="AB59" s="16" t="s">
        <v>5890</v>
      </c>
      <c r="AC59" s="86">
        <v>44599</v>
      </c>
      <c r="AD59" s="88">
        <v>44599</v>
      </c>
      <c r="AE59" s="33">
        <f t="shared" si="117"/>
        <v>0</v>
      </c>
      <c r="AF59" s="43" t="s">
        <v>5891</v>
      </c>
      <c r="AG59" s="128"/>
      <c r="AI59" s="64"/>
      <c r="AJ59" s="313"/>
    </row>
    <row r="60" spans="1:37">
      <c r="A60" s="148" t="s">
        <v>2350</v>
      </c>
      <c r="B60" s="82">
        <v>-31</v>
      </c>
      <c r="C60" s="81">
        <v>78</v>
      </c>
      <c r="D60" s="81">
        <v>34</v>
      </c>
      <c r="E60" s="81">
        <v>59</v>
      </c>
      <c r="F60" s="6">
        <v>2.06</v>
      </c>
      <c r="G60" s="81">
        <v>2013</v>
      </c>
      <c r="H60" s="5" t="s">
        <v>317</v>
      </c>
      <c r="I60" s="22" t="s">
        <v>4996</v>
      </c>
      <c r="J60" s="75">
        <v>67.599999999999994</v>
      </c>
      <c r="K60" s="330">
        <v>8.5</v>
      </c>
      <c r="L60" s="330">
        <v>25.77</v>
      </c>
      <c r="M60" s="75">
        <v>43.1</v>
      </c>
      <c r="N60" s="75">
        <f t="shared" ref="N60" si="118">J60+K60+L60+M60</f>
        <v>144.97</v>
      </c>
      <c r="O60" s="27" t="s">
        <v>6377</v>
      </c>
      <c r="P60" s="56" t="s">
        <v>6377</v>
      </c>
      <c r="Q60" s="26" t="s">
        <v>6379</v>
      </c>
      <c r="R60" s="309" t="s">
        <v>6169</v>
      </c>
      <c r="S60" s="330">
        <v>3.27</v>
      </c>
      <c r="T60" s="34">
        <v>2.8</v>
      </c>
      <c r="U60" s="366">
        <f t="shared" si="75"/>
        <v>4.6589018302828612E-2</v>
      </c>
      <c r="V60" s="58">
        <v>2.52</v>
      </c>
      <c r="W60" s="36">
        <v>60.1</v>
      </c>
      <c r="X60" s="67">
        <v>58.3</v>
      </c>
      <c r="Y60" s="15">
        <f t="shared" ref="Y60" si="119">W60-X60</f>
        <v>1.8000000000000043</v>
      </c>
      <c r="Z60" s="64">
        <f t="shared" ref="Z60" si="120">Y60/X60</f>
        <v>3.0874785591766797E-2</v>
      </c>
      <c r="AA60" s="174" t="s">
        <v>6232</v>
      </c>
      <c r="AB60" s="22" t="s">
        <v>4996</v>
      </c>
      <c r="AC60" s="86">
        <v>44587</v>
      </c>
      <c r="AD60" s="85">
        <v>44599</v>
      </c>
      <c r="AE60" s="33">
        <f t="shared" ref="AE60" si="121">AD60-AC60</f>
        <v>12</v>
      </c>
      <c r="AF60" s="122" t="s">
        <v>4997</v>
      </c>
      <c r="AG60" s="128"/>
      <c r="AI60" s="64"/>
      <c r="AJ60" s="313"/>
    </row>
    <row r="61" spans="1:37" s="273" customFormat="1">
      <c r="A61" s="147"/>
      <c r="B61" s="81"/>
      <c r="C61" s="81"/>
      <c r="D61" s="81"/>
      <c r="E61" s="81"/>
      <c r="F61" s="6"/>
      <c r="G61" s="41"/>
      <c r="H61" s="8"/>
      <c r="I61" s="160"/>
      <c r="J61" s="330"/>
      <c r="K61" s="330"/>
      <c r="L61" s="330"/>
      <c r="M61" s="325"/>
      <c r="N61" s="325"/>
      <c r="O61" s="329"/>
      <c r="P61" s="354"/>
      <c r="Q61" s="312"/>
      <c r="R61" s="308"/>
      <c r="S61" s="330"/>
      <c r="T61" s="199"/>
      <c r="U61" s="364"/>
      <c r="V61" s="97"/>
      <c r="W61" s="361">
        <f>SUM(W35:W60)</f>
        <v>4350.6000000000004</v>
      </c>
      <c r="X61" s="339">
        <f>SUM(X35:X60)</f>
        <v>4218.45</v>
      </c>
      <c r="Y61" s="169">
        <f>W61-X61</f>
        <v>132.15000000000055</v>
      </c>
      <c r="Z61" s="165">
        <f>Y61/X61</f>
        <v>3.1326672118906364E-2</v>
      </c>
      <c r="AA61" s="118"/>
      <c r="AB61" s="247">
        <f>W61*(0.001425*0.5)+W61*0.003+X61*(0.001425*0.5)</f>
        <v>19.157248125000002</v>
      </c>
      <c r="AC61" s="6">
        <f>Y61-AB61</f>
        <v>112.99275187500055</v>
      </c>
      <c r="AD61" s="85"/>
      <c r="AE61" s="33"/>
      <c r="AF61" s="46" t="s">
        <v>6246</v>
      </c>
      <c r="AG61" s="170"/>
    </row>
    <row r="62" spans="1:37" s="273" customFormat="1">
      <c r="A62" s="147"/>
      <c r="B62" s="81"/>
      <c r="C62" s="81"/>
      <c r="D62" s="81"/>
      <c r="E62" s="81"/>
      <c r="F62" s="6"/>
      <c r="G62" s="41"/>
      <c r="H62" s="8"/>
      <c r="I62" s="160"/>
      <c r="J62" s="330"/>
      <c r="K62" s="330"/>
      <c r="L62" s="330"/>
      <c r="M62" s="325"/>
      <c r="N62" s="325"/>
      <c r="O62" s="329"/>
      <c r="P62" s="354"/>
      <c r="Q62" s="312"/>
      <c r="R62" s="308"/>
      <c r="S62" s="330"/>
      <c r="T62" s="199"/>
      <c r="U62" s="364"/>
      <c r="V62" s="97"/>
      <c r="W62" s="361"/>
      <c r="X62" s="339"/>
      <c r="Y62" s="169"/>
      <c r="Z62" s="165"/>
      <c r="AA62" s="118"/>
      <c r="AB62" s="247"/>
      <c r="AC62" s="6"/>
      <c r="AD62" s="85"/>
      <c r="AE62" s="33"/>
      <c r="AF62" s="46"/>
      <c r="AG62" s="170"/>
    </row>
    <row r="63" spans="1:37">
      <c r="A63" s="132" t="s">
        <v>2305</v>
      </c>
      <c r="B63" s="81">
        <v>8</v>
      </c>
      <c r="C63" s="81">
        <v>1</v>
      </c>
      <c r="D63" s="82">
        <v>-12</v>
      </c>
      <c r="E63" s="81">
        <v>12</v>
      </c>
      <c r="F63" s="58">
        <v>25.71</v>
      </c>
      <c r="G63" s="81">
        <v>3217</v>
      </c>
      <c r="H63" s="5" t="s">
        <v>4155</v>
      </c>
      <c r="I63" s="16" t="s">
        <v>5890</v>
      </c>
      <c r="J63" s="330">
        <v>45.1</v>
      </c>
      <c r="K63" s="330">
        <v>15.59</v>
      </c>
      <c r="L63" s="330">
        <v>17.3</v>
      </c>
      <c r="M63" s="330">
        <v>12.99</v>
      </c>
      <c r="N63" s="325">
        <f t="shared" ref="N63" si="122">J63+K63+L63+M63</f>
        <v>90.97999999999999</v>
      </c>
      <c r="O63" s="27" t="s">
        <v>6377</v>
      </c>
      <c r="P63" s="56" t="s">
        <v>6397</v>
      </c>
      <c r="Q63" s="26" t="s">
        <v>6398</v>
      </c>
      <c r="R63" s="309" t="s">
        <v>4375</v>
      </c>
      <c r="S63" s="330">
        <v>1.17</v>
      </c>
      <c r="T63" s="67">
        <v>5.6</v>
      </c>
      <c r="U63" s="366">
        <f t="shared" ref="U63:U76" si="123">T63/W63</f>
        <v>4.5344129554655867E-2</v>
      </c>
      <c r="V63" s="97">
        <v>7.33</v>
      </c>
      <c r="W63" s="36">
        <v>123.5</v>
      </c>
      <c r="X63" s="67">
        <v>120.5</v>
      </c>
      <c r="Y63" s="15">
        <f t="shared" ref="Y63" si="124">W63-X63</f>
        <v>3</v>
      </c>
      <c r="Z63" s="64">
        <f t="shared" ref="Z63" si="125">Y63/X63</f>
        <v>2.4896265560165973E-2</v>
      </c>
      <c r="AA63" s="174" t="s">
        <v>6228</v>
      </c>
      <c r="AB63" s="16" t="s">
        <v>5890</v>
      </c>
      <c r="AC63" s="86">
        <v>44587</v>
      </c>
      <c r="AD63" s="88">
        <v>44587</v>
      </c>
      <c r="AE63" s="33">
        <f t="shared" ref="AE63" si="126">AD63-AC63</f>
        <v>0</v>
      </c>
      <c r="AF63" s="43" t="s">
        <v>5891</v>
      </c>
      <c r="AG63" s="128"/>
      <c r="AI63" s="64"/>
      <c r="AJ63" s="313"/>
    </row>
    <row r="64" spans="1:37">
      <c r="A64" s="148" t="s">
        <v>1878</v>
      </c>
      <c r="B64" s="82">
        <v>-8</v>
      </c>
      <c r="C64" s="82">
        <v>-16</v>
      </c>
      <c r="D64" s="81">
        <v>1</v>
      </c>
      <c r="E64" s="81">
        <v>19</v>
      </c>
      <c r="F64" s="6">
        <v>9.17</v>
      </c>
      <c r="G64" s="81">
        <v>3324</v>
      </c>
      <c r="H64" s="8" t="s">
        <v>334</v>
      </c>
      <c r="I64" s="16" t="s">
        <v>242</v>
      </c>
      <c r="J64" s="330">
        <v>29.14</v>
      </c>
      <c r="K64" s="75">
        <v>19.21</v>
      </c>
      <c r="L64" s="75">
        <v>45.47</v>
      </c>
      <c r="M64" s="75">
        <v>19.989999999999998</v>
      </c>
      <c r="N64" s="325">
        <f>J64+K64+L64+M64</f>
        <v>113.80999999999999</v>
      </c>
      <c r="O64" s="27" t="s">
        <v>6374</v>
      </c>
      <c r="P64" s="56" t="s">
        <v>6378</v>
      </c>
      <c r="Q64" s="26" t="s">
        <v>6374</v>
      </c>
      <c r="R64" s="309" t="s">
        <v>4373</v>
      </c>
      <c r="S64" s="330">
        <v>3.31</v>
      </c>
      <c r="T64" s="67">
        <v>5.6</v>
      </c>
      <c r="U64" s="366">
        <f t="shared" si="123"/>
        <v>2.557077625570776E-2</v>
      </c>
      <c r="V64" s="97">
        <v>12.05</v>
      </c>
      <c r="W64" s="36">
        <v>219</v>
      </c>
      <c r="X64" s="67">
        <v>215</v>
      </c>
      <c r="Y64" s="15">
        <f>W64-X64</f>
        <v>4</v>
      </c>
      <c r="Z64" s="64">
        <f>Y64/X64</f>
        <v>1.8604651162790697E-2</v>
      </c>
      <c r="AA64" s="174" t="s">
        <v>6183</v>
      </c>
      <c r="AB64" s="16" t="s">
        <v>242</v>
      </c>
      <c r="AC64" s="86">
        <v>44582</v>
      </c>
      <c r="AD64" s="85">
        <v>44587</v>
      </c>
      <c r="AE64" s="33">
        <f>AD64-AC64</f>
        <v>5</v>
      </c>
      <c r="AF64" s="43" t="s">
        <v>3459</v>
      </c>
      <c r="AG64" s="128"/>
      <c r="AI64" s="64"/>
      <c r="AJ64" s="313"/>
    </row>
    <row r="65" spans="1:38">
      <c r="A65" s="132" t="s">
        <v>2677</v>
      </c>
      <c r="B65" s="81">
        <v>23</v>
      </c>
      <c r="C65" s="81">
        <v>31</v>
      </c>
      <c r="D65" s="81">
        <v>12</v>
      </c>
      <c r="E65" s="81">
        <v>90</v>
      </c>
      <c r="F65" s="58">
        <v>18.86</v>
      </c>
      <c r="G65" s="81">
        <v>6104</v>
      </c>
      <c r="H65" s="151" t="s">
        <v>3761</v>
      </c>
      <c r="I65" s="16" t="s">
        <v>401</v>
      </c>
      <c r="J65" s="75">
        <v>25.53</v>
      </c>
      <c r="K65" s="75">
        <v>23.88</v>
      </c>
      <c r="L65" s="330">
        <v>53.41</v>
      </c>
      <c r="M65" s="330">
        <v>8.57</v>
      </c>
      <c r="N65" s="325">
        <f t="shared" ref="N65" si="127">J65+K65+L65+M65</f>
        <v>111.38999999999999</v>
      </c>
      <c r="P65" s="56" t="s">
        <v>6375</v>
      </c>
      <c r="Q65" s="26" t="s">
        <v>6389</v>
      </c>
      <c r="R65" s="309" t="s">
        <v>4373</v>
      </c>
      <c r="S65" s="330">
        <v>9.0299999999999994</v>
      </c>
      <c r="T65" s="67">
        <v>3</v>
      </c>
      <c r="U65" s="366">
        <f t="shared" si="123"/>
        <v>1.4492753623188406E-2</v>
      </c>
      <c r="V65" s="97">
        <v>4.42</v>
      </c>
      <c r="W65" s="36">
        <v>207</v>
      </c>
      <c r="X65" s="67">
        <v>202.5</v>
      </c>
      <c r="Y65" s="15">
        <f t="shared" ref="Y65" si="128">W65-X65</f>
        <v>4.5</v>
      </c>
      <c r="Z65" s="64">
        <f t="shared" ref="Z65" si="129">Y65/X65</f>
        <v>2.2222222222222223E-2</v>
      </c>
      <c r="AA65" s="174" t="s">
        <v>6218</v>
      </c>
      <c r="AB65" s="16" t="s">
        <v>401</v>
      </c>
      <c r="AC65" s="86">
        <v>44586</v>
      </c>
      <c r="AD65" s="88">
        <v>44586</v>
      </c>
      <c r="AE65" s="33">
        <f t="shared" ref="AE65" si="130">AD65-AC65</f>
        <v>0</v>
      </c>
      <c r="AF65" s="43" t="s">
        <v>3768</v>
      </c>
      <c r="AG65" s="128"/>
      <c r="AI65" s="64"/>
      <c r="AJ65" s="313"/>
      <c r="AK65" s="224"/>
    </row>
    <row r="66" spans="1:38">
      <c r="A66" s="132" t="s">
        <v>2804</v>
      </c>
      <c r="B66" s="81">
        <v>159</v>
      </c>
      <c r="C66" s="81">
        <v>141</v>
      </c>
      <c r="D66" s="82">
        <v>-20</v>
      </c>
      <c r="E66" s="81">
        <v>61</v>
      </c>
      <c r="F66" s="58">
        <v>32.9</v>
      </c>
      <c r="G66" s="82">
        <v>3169</v>
      </c>
      <c r="H66" s="197" t="s">
        <v>3761</v>
      </c>
      <c r="I66" s="16" t="s">
        <v>388</v>
      </c>
      <c r="J66" s="330">
        <v>30.37</v>
      </c>
      <c r="K66" s="75">
        <v>10.3</v>
      </c>
      <c r="L66" s="330">
        <v>56.02</v>
      </c>
      <c r="M66" s="330">
        <v>24.22</v>
      </c>
      <c r="N66" s="325">
        <f>J66+K66+L66+M66</f>
        <v>120.91</v>
      </c>
      <c r="P66" s="56" t="s">
        <v>6380</v>
      </c>
      <c r="Q66" s="26" t="s">
        <v>6381</v>
      </c>
      <c r="R66" s="309" t="s">
        <v>4373</v>
      </c>
      <c r="S66" s="330">
        <v>2.4</v>
      </c>
      <c r="T66" s="34">
        <v>2.5</v>
      </c>
      <c r="U66" s="366">
        <f t="shared" si="123"/>
        <v>1.201923076923077E-2</v>
      </c>
      <c r="V66" s="97">
        <v>5.5</v>
      </c>
      <c r="W66" s="36">
        <v>208</v>
      </c>
      <c r="X66" s="67">
        <v>204</v>
      </c>
      <c r="Y66" s="15">
        <f>W66-X66</f>
        <v>4</v>
      </c>
      <c r="Z66" s="64">
        <f>Y66/X66</f>
        <v>1.9607843137254902E-2</v>
      </c>
      <c r="AA66" s="174" t="s">
        <v>6204</v>
      </c>
      <c r="AB66" s="16" t="s">
        <v>388</v>
      </c>
      <c r="AC66" s="86">
        <v>44585</v>
      </c>
      <c r="AD66" s="85">
        <v>44586</v>
      </c>
      <c r="AE66" s="33">
        <f>AD66-AC66</f>
        <v>1</v>
      </c>
      <c r="AF66" s="43" t="s">
        <v>3418</v>
      </c>
      <c r="AG66" s="128"/>
      <c r="AI66" s="64"/>
      <c r="AJ66" s="313"/>
    </row>
    <row r="67" spans="1:38">
      <c r="A67" s="132" t="s">
        <v>1800</v>
      </c>
      <c r="B67" s="81">
        <v>102</v>
      </c>
      <c r="C67" s="81">
        <v>118</v>
      </c>
      <c r="D67" s="82">
        <v>-3</v>
      </c>
      <c r="E67" s="81">
        <v>26</v>
      </c>
      <c r="F67" s="58">
        <v>19.43</v>
      </c>
      <c r="G67" s="81">
        <v>6138</v>
      </c>
      <c r="H67" s="151" t="s">
        <v>3761</v>
      </c>
      <c r="I67" s="16" t="s">
        <v>171</v>
      </c>
      <c r="J67" s="75">
        <v>18.809999999999999</v>
      </c>
      <c r="K67" s="75">
        <v>30.08</v>
      </c>
      <c r="L67" s="75">
        <v>29.74</v>
      </c>
      <c r="M67" s="330">
        <v>7.86</v>
      </c>
      <c r="N67" s="325">
        <f t="shared" ref="N67" si="131">J67+K67+L67+M67</f>
        <v>86.49</v>
      </c>
      <c r="P67" s="56" t="s">
        <v>6399</v>
      </c>
      <c r="Q67" s="26" t="s">
        <v>6375</v>
      </c>
      <c r="R67" s="309" t="s">
        <v>4374</v>
      </c>
      <c r="S67" s="330">
        <v>4.55</v>
      </c>
      <c r="T67" s="67">
        <v>5.2</v>
      </c>
      <c r="U67" s="366">
        <f t="shared" si="123"/>
        <v>2.1095334685598377E-2</v>
      </c>
      <c r="V67" s="97">
        <v>11.03</v>
      </c>
      <c r="W67" s="36">
        <v>246.5</v>
      </c>
      <c r="X67" s="67">
        <v>241.5</v>
      </c>
      <c r="Y67" s="15">
        <f t="shared" ref="Y67" si="132">W67-X67</f>
        <v>5</v>
      </c>
      <c r="Z67" s="64">
        <f t="shared" ref="Z67" si="133">Y67/X67</f>
        <v>2.0703933747412008E-2</v>
      </c>
      <c r="AA67" s="174" t="s">
        <v>6184</v>
      </c>
      <c r="AB67" s="16" t="s">
        <v>171</v>
      </c>
      <c r="AC67" s="86">
        <v>44582</v>
      </c>
      <c r="AD67" s="88">
        <v>44582</v>
      </c>
      <c r="AE67" s="33">
        <f t="shared" ref="AE67" si="134">AD67-AC67</f>
        <v>0</v>
      </c>
      <c r="AF67" s="122" t="s">
        <v>4419</v>
      </c>
      <c r="AG67" s="269"/>
      <c r="AI67" s="64"/>
      <c r="AJ67" s="313"/>
    </row>
    <row r="68" spans="1:38">
      <c r="A68" s="132" t="s">
        <v>1899</v>
      </c>
      <c r="B68" s="81">
        <v>67</v>
      </c>
      <c r="C68" s="81">
        <v>108</v>
      </c>
      <c r="D68" s="82">
        <v>-2</v>
      </c>
      <c r="E68" s="82">
        <v>-15</v>
      </c>
      <c r="F68" s="58">
        <v>21.5</v>
      </c>
      <c r="G68" s="81">
        <v>2233</v>
      </c>
      <c r="H68" s="8" t="s">
        <v>319</v>
      </c>
      <c r="I68" s="22" t="s">
        <v>166</v>
      </c>
      <c r="J68" s="330">
        <v>26.77</v>
      </c>
      <c r="K68" s="330">
        <v>20.329999999999998</v>
      </c>
      <c r="L68" s="330">
        <v>9.8800000000000008</v>
      </c>
      <c r="M68" s="330">
        <v>9.84</v>
      </c>
      <c r="N68" s="325">
        <f>J68+K68+L68+M68</f>
        <v>66.819999999999993</v>
      </c>
      <c r="O68" s="27" t="s">
        <v>6377</v>
      </c>
      <c r="P68" s="56" t="s">
        <v>6397</v>
      </c>
      <c r="Q68" s="26" t="s">
        <v>6393</v>
      </c>
      <c r="R68" s="309" t="s">
        <v>4375</v>
      </c>
      <c r="S68" s="330">
        <v>1.18</v>
      </c>
      <c r="T68" s="67">
        <v>3.74</v>
      </c>
      <c r="U68" s="366">
        <f t="shared" si="123"/>
        <v>3.3392857142857148E-2</v>
      </c>
      <c r="V68" s="97">
        <v>9.02</v>
      </c>
      <c r="W68" s="36">
        <v>112</v>
      </c>
      <c r="X68" s="67">
        <v>109.5</v>
      </c>
      <c r="Y68" s="15">
        <f>W68-X68</f>
        <v>2.5</v>
      </c>
      <c r="Z68" s="64">
        <f>Y68/X68</f>
        <v>2.2831050228310501E-2</v>
      </c>
      <c r="AA68" s="174" t="s">
        <v>6173</v>
      </c>
      <c r="AB68" s="22" t="s">
        <v>166</v>
      </c>
      <c r="AC68" s="86">
        <v>44581</v>
      </c>
      <c r="AD68" s="88">
        <v>44581</v>
      </c>
      <c r="AE68" s="33">
        <f>AD68-AC68</f>
        <v>0</v>
      </c>
      <c r="AF68" s="122" t="s">
        <v>3315</v>
      </c>
      <c r="AG68" s="128"/>
      <c r="AI68" s="64"/>
      <c r="AJ68" s="313"/>
    </row>
    <row r="69" spans="1:38">
      <c r="A69" s="148" t="s">
        <v>5810</v>
      </c>
      <c r="B69" s="82">
        <v>-63</v>
      </c>
      <c r="C69" s="82">
        <v>-72</v>
      </c>
      <c r="D69" s="82">
        <v>-1</v>
      </c>
      <c r="E69" s="81">
        <v>7</v>
      </c>
      <c r="F69" s="6">
        <v>2.48</v>
      </c>
      <c r="G69" s="81">
        <v>2421</v>
      </c>
      <c r="H69" s="5" t="s">
        <v>4155</v>
      </c>
      <c r="I69" s="22" t="s">
        <v>5811</v>
      </c>
      <c r="J69" s="330">
        <v>46.59</v>
      </c>
      <c r="K69" s="75">
        <v>19.14</v>
      </c>
      <c r="L69" s="75">
        <v>8.67</v>
      </c>
      <c r="M69" s="330">
        <v>14.8</v>
      </c>
      <c r="N69" s="325">
        <f>J69+K69+L69+M69</f>
        <v>89.2</v>
      </c>
      <c r="O69" s="27" t="s">
        <v>6382</v>
      </c>
      <c r="P69" s="56" t="s">
        <v>6382</v>
      </c>
      <c r="Q69" s="26" t="s">
        <v>6374</v>
      </c>
      <c r="R69" s="309" t="s">
        <v>4373</v>
      </c>
      <c r="S69" s="330">
        <v>2.0099999999999998</v>
      </c>
      <c r="T69" s="34">
        <v>2.4</v>
      </c>
      <c r="U69" s="366">
        <f t="shared" si="123"/>
        <v>5.106382978723404E-2</v>
      </c>
      <c r="V69" s="97">
        <v>1.63</v>
      </c>
      <c r="W69" s="36">
        <v>47</v>
      </c>
      <c r="X69" s="67">
        <v>45.85</v>
      </c>
      <c r="Y69" s="15">
        <f>W69-X69</f>
        <v>1.1499999999999986</v>
      </c>
      <c r="Z69" s="64">
        <f>Y69/X69</f>
        <v>2.5081788440567035E-2</v>
      </c>
      <c r="AA69" s="174" t="s">
        <v>6160</v>
      </c>
      <c r="AB69" s="22" t="s">
        <v>5811</v>
      </c>
      <c r="AC69" s="86">
        <v>44580</v>
      </c>
      <c r="AD69" s="88">
        <v>44580</v>
      </c>
      <c r="AE69" s="33">
        <f>AD69-AC69</f>
        <v>0</v>
      </c>
      <c r="AF69" s="122" t="s">
        <v>2793</v>
      </c>
      <c r="AG69" s="128"/>
      <c r="AI69" s="64"/>
      <c r="AJ69" s="313"/>
    </row>
    <row r="70" spans="1:38">
      <c r="A70" s="132" t="s">
        <v>2657</v>
      </c>
      <c r="B70" s="81">
        <v>150</v>
      </c>
      <c r="C70" s="81">
        <v>123</v>
      </c>
      <c r="D70" s="81">
        <v>16</v>
      </c>
      <c r="E70" s="81">
        <v>43</v>
      </c>
      <c r="F70" s="58">
        <v>20.53</v>
      </c>
      <c r="G70" s="81">
        <v>6651</v>
      </c>
      <c r="H70" s="206" t="s">
        <v>3761</v>
      </c>
      <c r="I70" s="16" t="s">
        <v>2857</v>
      </c>
      <c r="J70" s="75">
        <v>27.77</v>
      </c>
      <c r="K70" s="75">
        <v>0.45</v>
      </c>
      <c r="L70" s="75">
        <v>13.92</v>
      </c>
      <c r="M70" s="330">
        <v>15.89</v>
      </c>
      <c r="N70" s="325">
        <f>J70+K70+L70+M70</f>
        <v>58.03</v>
      </c>
      <c r="O70" s="27" t="s">
        <v>6382</v>
      </c>
      <c r="P70" s="56" t="s">
        <v>6382</v>
      </c>
      <c r="Q70" s="26" t="s">
        <v>6400</v>
      </c>
      <c r="R70" s="309" t="s">
        <v>6122</v>
      </c>
      <c r="S70" s="330">
        <v>0.5</v>
      </c>
      <c r="T70" s="67">
        <v>3</v>
      </c>
      <c r="U70" s="366">
        <f t="shared" si="123"/>
        <v>2.5974025974025976E-2</v>
      </c>
      <c r="V70" s="97">
        <v>7.46</v>
      </c>
      <c r="W70" s="36">
        <v>115.5</v>
      </c>
      <c r="X70" s="67">
        <v>113.5</v>
      </c>
      <c r="Y70" s="15">
        <f>W70-X70</f>
        <v>2</v>
      </c>
      <c r="Z70" s="64">
        <f>Y70/X70</f>
        <v>1.7621145374449341E-2</v>
      </c>
      <c r="AA70" s="174" t="s">
        <v>6129</v>
      </c>
      <c r="AB70" s="16" t="s">
        <v>2857</v>
      </c>
      <c r="AC70" s="86">
        <v>44575</v>
      </c>
      <c r="AD70" s="85">
        <v>44578</v>
      </c>
      <c r="AE70" s="33">
        <f>AD70-AC70</f>
        <v>3</v>
      </c>
      <c r="AF70" s="43" t="s">
        <v>2655</v>
      </c>
      <c r="AG70" s="128"/>
      <c r="AI70" s="64"/>
      <c r="AJ70" s="313"/>
    </row>
    <row r="71" spans="1:38">
      <c r="A71" s="132" t="s">
        <v>2344</v>
      </c>
      <c r="B71" s="82">
        <v>-66</v>
      </c>
      <c r="C71" s="82">
        <v>-67</v>
      </c>
      <c r="D71" s="82">
        <v>-7</v>
      </c>
      <c r="E71" s="82">
        <v>-16</v>
      </c>
      <c r="F71" s="58">
        <v>16.88</v>
      </c>
      <c r="G71" s="81">
        <v>6538</v>
      </c>
      <c r="H71" s="8" t="s">
        <v>327</v>
      </c>
      <c r="I71" s="16" t="s">
        <v>470</v>
      </c>
      <c r="J71" s="75">
        <v>12.82</v>
      </c>
      <c r="K71" s="75">
        <v>4.8899999999999997</v>
      </c>
      <c r="L71" s="75">
        <v>37.14</v>
      </c>
      <c r="M71" s="75">
        <v>13.47</v>
      </c>
      <c r="N71" s="325">
        <f t="shared" ref="N71" si="135">J71+K71+L71+M71</f>
        <v>68.320000000000007</v>
      </c>
      <c r="O71" s="27" t="s">
        <v>6382</v>
      </c>
      <c r="P71" s="56" t="s">
        <v>6382</v>
      </c>
      <c r="Q71" s="26" t="s">
        <v>6385</v>
      </c>
      <c r="R71" s="309" t="s">
        <v>6122</v>
      </c>
      <c r="S71" s="330">
        <v>3.71</v>
      </c>
      <c r="T71" s="67">
        <v>7</v>
      </c>
      <c r="U71" s="366">
        <f t="shared" si="123"/>
        <v>6.6037735849056603E-2</v>
      </c>
      <c r="V71" s="97">
        <v>5.16</v>
      </c>
      <c r="W71" s="36">
        <v>106</v>
      </c>
      <c r="X71" s="67">
        <v>104</v>
      </c>
      <c r="Y71" s="15">
        <f t="shared" ref="Y71" si="136">W71-X71</f>
        <v>2</v>
      </c>
      <c r="Z71" s="64">
        <f t="shared" ref="Z71" si="137">Y71/X71</f>
        <v>1.9230769230769232E-2</v>
      </c>
      <c r="AA71" s="174" t="s">
        <v>6139</v>
      </c>
      <c r="AB71" s="16" t="s">
        <v>470</v>
      </c>
      <c r="AC71" s="86">
        <v>44578</v>
      </c>
      <c r="AD71" s="88">
        <v>44578</v>
      </c>
      <c r="AE71" s="33">
        <f t="shared" ref="AE71" si="138">AD71-AC71</f>
        <v>0</v>
      </c>
      <c r="AF71" s="43" t="s">
        <v>1935</v>
      </c>
      <c r="AG71" s="128"/>
      <c r="AI71" s="64"/>
      <c r="AJ71" s="313"/>
    </row>
    <row r="72" spans="1:38">
      <c r="A72" s="132" t="s">
        <v>4259</v>
      </c>
      <c r="B72" s="82">
        <v>-19</v>
      </c>
      <c r="C72" s="82">
        <v>-18</v>
      </c>
      <c r="D72" s="81">
        <v>15</v>
      </c>
      <c r="E72" s="81">
        <v>17</v>
      </c>
      <c r="F72" s="58">
        <v>12.25</v>
      </c>
      <c r="G72" s="81">
        <v>6223</v>
      </c>
      <c r="H72" s="210" t="s">
        <v>3761</v>
      </c>
      <c r="I72" s="16" t="s">
        <v>5186</v>
      </c>
      <c r="J72" s="330">
        <v>20.85</v>
      </c>
      <c r="K72" s="75">
        <v>14.76</v>
      </c>
      <c r="L72" s="75">
        <v>40.369999999999997</v>
      </c>
      <c r="M72" s="330">
        <v>12.43</v>
      </c>
      <c r="N72" s="325">
        <f t="shared" ref="N72:N73" si="139">J72+K72+L72+M72</f>
        <v>88.41</v>
      </c>
      <c r="P72" s="56" t="s">
        <v>6401</v>
      </c>
      <c r="Q72" s="26" t="s">
        <v>6385</v>
      </c>
      <c r="R72" s="309" t="s">
        <v>4373</v>
      </c>
      <c r="S72" s="330">
        <v>2.72</v>
      </c>
      <c r="T72" s="67">
        <v>4.47</v>
      </c>
      <c r="U72" s="366">
        <f t="shared" si="123"/>
        <v>3.6489795918367346E-2</v>
      </c>
      <c r="V72" s="97">
        <v>6.6</v>
      </c>
      <c r="W72" s="36">
        <v>122.5</v>
      </c>
      <c r="X72" s="67">
        <v>120.5</v>
      </c>
      <c r="Y72" s="15">
        <f t="shared" ref="Y72:Y73" si="140">W72-X72</f>
        <v>2</v>
      </c>
      <c r="Z72" s="64">
        <f t="shared" ref="Z72:Z73" si="141">Y72/X72</f>
        <v>1.6597510373443983E-2</v>
      </c>
      <c r="AA72" s="174" t="s">
        <v>6132</v>
      </c>
      <c r="AB72" s="16" t="s">
        <v>5186</v>
      </c>
      <c r="AC72" s="86">
        <v>44575</v>
      </c>
      <c r="AD72" s="85">
        <v>44578</v>
      </c>
      <c r="AE72" s="33">
        <f t="shared" ref="AE72:AE73" si="142">AD72-AC72</f>
        <v>3</v>
      </c>
      <c r="AF72" s="122" t="s">
        <v>2870</v>
      </c>
      <c r="AG72" s="128"/>
      <c r="AI72" s="64"/>
      <c r="AJ72" s="313"/>
    </row>
    <row r="73" spans="1:38">
      <c r="A73" s="132" t="s">
        <v>4259</v>
      </c>
      <c r="B73" s="82">
        <v>-19</v>
      </c>
      <c r="C73" s="82">
        <v>-18</v>
      </c>
      <c r="D73" s="81">
        <v>15</v>
      </c>
      <c r="E73" s="81">
        <v>17</v>
      </c>
      <c r="F73" s="58">
        <v>12.25</v>
      </c>
      <c r="G73" s="81">
        <v>6223</v>
      </c>
      <c r="H73" s="210" t="s">
        <v>3761</v>
      </c>
      <c r="I73" s="16" t="s">
        <v>5186</v>
      </c>
      <c r="J73" s="330">
        <v>20.85</v>
      </c>
      <c r="K73" s="75">
        <v>14.76</v>
      </c>
      <c r="L73" s="75">
        <v>40.369999999999997</v>
      </c>
      <c r="M73" s="330">
        <v>12.43</v>
      </c>
      <c r="N73" s="325">
        <f t="shared" si="139"/>
        <v>88.41</v>
      </c>
      <c r="P73" s="56" t="s">
        <v>6401</v>
      </c>
      <c r="Q73" s="26" t="s">
        <v>6385</v>
      </c>
      <c r="R73" s="309" t="s">
        <v>4374</v>
      </c>
      <c r="S73" s="330">
        <v>2.72</v>
      </c>
      <c r="T73" s="67">
        <v>4.47</v>
      </c>
      <c r="U73" s="366">
        <f t="shared" si="123"/>
        <v>3.6489795918367346E-2</v>
      </c>
      <c r="V73" s="97">
        <v>6.6</v>
      </c>
      <c r="W73" s="36">
        <v>122.5</v>
      </c>
      <c r="X73" s="67">
        <v>120.5</v>
      </c>
      <c r="Y73" s="15">
        <f t="shared" si="140"/>
        <v>2</v>
      </c>
      <c r="Z73" s="64">
        <f t="shared" si="141"/>
        <v>1.6597510373443983E-2</v>
      </c>
      <c r="AA73" s="174" t="s">
        <v>6132</v>
      </c>
      <c r="AB73" s="16" t="s">
        <v>5186</v>
      </c>
      <c r="AC73" s="86">
        <v>44575</v>
      </c>
      <c r="AD73" s="85">
        <v>44578</v>
      </c>
      <c r="AE73" s="33">
        <f t="shared" si="142"/>
        <v>3</v>
      </c>
      <c r="AF73" s="122" t="s">
        <v>2870</v>
      </c>
      <c r="AG73" s="128"/>
      <c r="AI73" s="64"/>
      <c r="AJ73" s="313"/>
    </row>
    <row r="74" spans="1:38">
      <c r="A74" s="132" t="s">
        <v>5436</v>
      </c>
      <c r="B74" s="81">
        <v>70</v>
      </c>
      <c r="C74" s="81">
        <v>70</v>
      </c>
      <c r="D74" s="81">
        <v>67</v>
      </c>
      <c r="E74" s="82">
        <v>-3</v>
      </c>
      <c r="F74" s="58">
        <v>50.14</v>
      </c>
      <c r="G74" s="81">
        <v>4171</v>
      </c>
      <c r="H74" s="8" t="s">
        <v>1094</v>
      </c>
      <c r="I74" s="16" t="s">
        <v>1096</v>
      </c>
      <c r="J74" s="330">
        <v>29.09</v>
      </c>
      <c r="K74" s="75">
        <v>18.68</v>
      </c>
      <c r="L74" s="75">
        <v>17.11</v>
      </c>
      <c r="M74" s="330">
        <v>14.79</v>
      </c>
      <c r="N74" s="325">
        <f>J74+K74+L74+M74</f>
        <v>79.669999999999987</v>
      </c>
      <c r="O74" s="27" t="s">
        <v>6377</v>
      </c>
      <c r="P74" s="56" t="s">
        <v>6374</v>
      </c>
      <c r="Q74" s="26" t="s">
        <v>6383</v>
      </c>
      <c r="R74" s="309" t="s">
        <v>4373</v>
      </c>
      <c r="S74" s="330">
        <v>2.64</v>
      </c>
      <c r="T74" s="67">
        <v>3.83</v>
      </c>
      <c r="U74" s="366">
        <f t="shared" si="123"/>
        <v>3.4196428571428572E-2</v>
      </c>
      <c r="V74" s="97">
        <v>9.8800000000000008</v>
      </c>
      <c r="W74" s="36">
        <v>112</v>
      </c>
      <c r="X74" s="67">
        <v>110</v>
      </c>
      <c r="Y74" s="15">
        <f>W74-X74</f>
        <v>2</v>
      </c>
      <c r="Z74" s="64">
        <f>Y74/X74</f>
        <v>1.8181818181818181E-2</v>
      </c>
      <c r="AA74" s="174" t="s">
        <v>6133</v>
      </c>
      <c r="AB74" s="16" t="s">
        <v>1096</v>
      </c>
      <c r="AC74" s="86">
        <v>44575</v>
      </c>
      <c r="AD74" s="88">
        <v>44575</v>
      </c>
      <c r="AE74" s="33">
        <f>AD74-AC74</f>
        <v>0</v>
      </c>
      <c r="AF74" s="43" t="s">
        <v>3227</v>
      </c>
      <c r="AG74" s="128"/>
      <c r="AI74" s="64"/>
      <c r="AJ74" s="313"/>
    </row>
    <row r="75" spans="1:38">
      <c r="A75" s="132" t="s">
        <v>2186</v>
      </c>
      <c r="B75" s="82">
        <v>-81</v>
      </c>
      <c r="C75" s="82">
        <v>-79</v>
      </c>
      <c r="D75" s="81">
        <v>11</v>
      </c>
      <c r="E75" s="82">
        <v>-81</v>
      </c>
      <c r="F75" s="58">
        <v>35.44</v>
      </c>
      <c r="G75" s="81">
        <v>1325</v>
      </c>
      <c r="H75" s="8" t="s">
        <v>311</v>
      </c>
      <c r="I75" s="22" t="s">
        <v>638</v>
      </c>
      <c r="J75" s="330">
        <v>41.08</v>
      </c>
      <c r="K75" s="75">
        <v>8.82</v>
      </c>
      <c r="L75" s="330">
        <v>21.62</v>
      </c>
      <c r="M75" s="330">
        <v>32.61</v>
      </c>
      <c r="N75" s="325">
        <f t="shared" ref="N75" si="143">J75+K75+L75+M75</f>
        <v>104.13</v>
      </c>
      <c r="P75" s="56" t="s">
        <v>6384</v>
      </c>
      <c r="Q75" s="26" t="s">
        <v>6393</v>
      </c>
      <c r="R75" s="309" t="s">
        <v>4374</v>
      </c>
      <c r="S75" s="330">
        <v>6.05</v>
      </c>
      <c r="T75" s="67">
        <v>12</v>
      </c>
      <c r="U75" s="368">
        <f t="shared" si="123"/>
        <v>0.21818181818181817</v>
      </c>
      <c r="V75" s="97">
        <v>9.64</v>
      </c>
      <c r="W75" s="36">
        <v>55</v>
      </c>
      <c r="X75" s="67">
        <v>53.8</v>
      </c>
      <c r="Y75" s="15">
        <f t="shared" ref="Y75" si="144">W75-X75</f>
        <v>1.2000000000000028</v>
      </c>
      <c r="Z75" s="64">
        <f>Y75/X75</f>
        <v>2.2304832713754701E-2</v>
      </c>
      <c r="AA75" s="174" t="s">
        <v>6124</v>
      </c>
      <c r="AB75" s="22" t="s">
        <v>638</v>
      </c>
      <c r="AC75" s="86">
        <v>44574</v>
      </c>
      <c r="AD75" s="88">
        <v>44574</v>
      </c>
      <c r="AE75" s="33">
        <f t="shared" ref="AE75" si="145">AD75-AC75</f>
        <v>0</v>
      </c>
      <c r="AF75" s="43" t="s">
        <v>3057</v>
      </c>
      <c r="AG75" s="128"/>
      <c r="AI75" s="64"/>
      <c r="AJ75" s="313"/>
      <c r="AL75" s="269"/>
    </row>
    <row r="76" spans="1:38">
      <c r="A76" s="132" t="s">
        <v>1899</v>
      </c>
      <c r="B76" s="81">
        <v>67</v>
      </c>
      <c r="C76" s="81">
        <v>108</v>
      </c>
      <c r="D76" s="82">
        <v>-2</v>
      </c>
      <c r="E76" s="82">
        <v>-15</v>
      </c>
      <c r="F76" s="58">
        <v>21.5</v>
      </c>
      <c r="G76" s="81">
        <v>2233</v>
      </c>
      <c r="H76" s="5" t="s">
        <v>319</v>
      </c>
      <c r="I76" s="22" t="s">
        <v>166</v>
      </c>
      <c r="J76" s="330">
        <v>26.77</v>
      </c>
      <c r="K76" s="75">
        <v>20.43</v>
      </c>
      <c r="L76" s="75">
        <v>10.15</v>
      </c>
      <c r="M76" s="330">
        <v>9.84</v>
      </c>
      <c r="N76" s="325">
        <f t="shared" ref="N76" si="146">J76+K76+L76+M76</f>
        <v>67.19</v>
      </c>
      <c r="O76" s="27" t="s">
        <v>6377</v>
      </c>
      <c r="P76" s="56" t="s">
        <v>6397</v>
      </c>
      <c r="Q76" s="26" t="s">
        <v>6393</v>
      </c>
      <c r="R76" s="309" t="s">
        <v>6169</v>
      </c>
      <c r="S76" s="330">
        <v>1.19</v>
      </c>
      <c r="T76" s="67">
        <v>3.3</v>
      </c>
      <c r="U76" s="366">
        <f t="shared" si="123"/>
        <v>0.03</v>
      </c>
      <c r="V76" s="97">
        <v>6.23</v>
      </c>
      <c r="W76" s="36">
        <v>110</v>
      </c>
      <c r="X76" s="67">
        <v>108</v>
      </c>
      <c r="Y76" s="15">
        <f t="shared" ref="Y76" si="147">W76-X76</f>
        <v>2</v>
      </c>
      <c r="Z76" s="64">
        <f t="shared" ref="Z76" si="148">Y76/X76</f>
        <v>1.8518518518518517E-2</v>
      </c>
      <c r="AA76" s="174" t="s">
        <v>6166</v>
      </c>
      <c r="AB76" s="22" t="s">
        <v>166</v>
      </c>
      <c r="AC76" s="86">
        <v>44580</v>
      </c>
      <c r="AD76" s="88">
        <v>44581</v>
      </c>
      <c r="AE76" s="33">
        <f t="shared" ref="AE76" si="149">AD76-AC76</f>
        <v>1</v>
      </c>
      <c r="AF76" s="122" t="s">
        <v>3315</v>
      </c>
      <c r="AG76" s="128"/>
      <c r="AI76" s="64"/>
      <c r="AJ76" s="313"/>
    </row>
    <row r="77" spans="1:38" s="273" customFormat="1">
      <c r="A77" s="147"/>
      <c r="B77" s="81"/>
      <c r="C77" s="81"/>
      <c r="D77" s="81"/>
      <c r="E77" s="81"/>
      <c r="F77" s="6"/>
      <c r="G77" s="41"/>
      <c r="H77" s="8"/>
      <c r="I77" s="160"/>
      <c r="J77" s="330"/>
      <c r="K77" s="330"/>
      <c r="L77" s="330"/>
      <c r="M77" s="325"/>
      <c r="N77" s="325"/>
      <c r="O77" s="329"/>
      <c r="P77" s="354"/>
      <c r="Q77" s="312"/>
      <c r="R77" s="308"/>
      <c r="S77" s="330"/>
      <c r="T77" s="199"/>
      <c r="U77" s="364"/>
      <c r="V77" s="97"/>
      <c r="W77" s="361">
        <f>SUM(W63:W76)</f>
        <v>1906.5</v>
      </c>
      <c r="X77" s="339">
        <f>SUM(X63:X76)</f>
        <v>1869.1499999999999</v>
      </c>
      <c r="Y77" s="169">
        <f>W77-X77</f>
        <v>37.350000000000136</v>
      </c>
      <c r="Z77" s="165">
        <f>Y77/X77</f>
        <v>1.9982344916138425E-2</v>
      </c>
      <c r="AA77" s="118"/>
      <c r="AB77" s="247">
        <f>W77*(0.001425*0.5)+W77*0.003+X77*(0.001425*0.5)</f>
        <v>8.4096506249999994</v>
      </c>
      <c r="AC77" s="6">
        <f>Y77-AB77</f>
        <v>28.940349375000139</v>
      </c>
      <c r="AD77" s="85"/>
      <c r="AE77" s="33"/>
      <c r="AF77" s="46" t="s">
        <v>6245</v>
      </c>
      <c r="AG77" s="170"/>
    </row>
    <row r="78" spans="1:38">
      <c r="B78" s="93"/>
      <c r="C78" s="93"/>
      <c r="D78" s="93"/>
      <c r="E78" s="93"/>
      <c r="F78" s="8"/>
      <c r="G78" s="26"/>
      <c r="H78" s="55"/>
      <c r="I78" s="8"/>
      <c r="J78" s="324"/>
      <c r="K78" s="324"/>
      <c r="L78" s="324"/>
      <c r="M78" s="324"/>
      <c r="R78" s="309"/>
      <c r="S78" s="335"/>
      <c r="T78" s="10"/>
      <c r="U78" s="366"/>
      <c r="V78" s="69"/>
      <c r="W78" s="28"/>
      <c r="X78" s="17"/>
      <c r="Y78" s="14"/>
      <c r="Z78" s="21"/>
      <c r="AA78" s="25"/>
      <c r="AB78" s="8"/>
      <c r="AC78" s="73"/>
      <c r="AD78" s="74"/>
      <c r="AE78" s="32"/>
      <c r="AF78" s="323"/>
      <c r="AI78" s="8"/>
      <c r="AJ78" s="50"/>
    </row>
    <row r="79" spans="1:38">
      <c r="A79" s="132" t="s">
        <v>1873</v>
      </c>
      <c r="B79" s="81">
        <v>100</v>
      </c>
      <c r="C79" s="81">
        <v>116</v>
      </c>
      <c r="D79" s="81">
        <v>3</v>
      </c>
      <c r="E79" s="81">
        <v>20</v>
      </c>
      <c r="F79" s="58">
        <v>28.89</v>
      </c>
      <c r="G79" s="81">
        <v>6261</v>
      </c>
      <c r="H79" s="151" t="s">
        <v>3761</v>
      </c>
      <c r="I79" s="24" t="s">
        <v>263</v>
      </c>
      <c r="J79" s="75">
        <v>24.27</v>
      </c>
      <c r="K79" s="75">
        <v>4.1500000000000004</v>
      </c>
      <c r="L79" s="330">
        <v>15.26</v>
      </c>
      <c r="M79" s="75">
        <v>11.1</v>
      </c>
      <c r="N79" s="325">
        <f t="shared" ref="N79:N84" si="150">J79+K79+L79+M79</f>
        <v>54.78</v>
      </c>
      <c r="O79" s="27" t="s">
        <v>6403</v>
      </c>
      <c r="P79" s="56" t="s">
        <v>6395</v>
      </c>
      <c r="Q79" s="26" t="s">
        <v>6389</v>
      </c>
      <c r="R79" s="309" t="s">
        <v>4373</v>
      </c>
      <c r="S79" s="330">
        <v>1.98</v>
      </c>
      <c r="T79" s="67">
        <v>4</v>
      </c>
      <c r="U79" s="366">
        <f t="shared" ref="U79:U87" si="151">T79/W79</f>
        <v>4.9937578027465672E-2</v>
      </c>
      <c r="V79" s="97">
        <v>7.54</v>
      </c>
      <c r="W79" s="36">
        <f>RTD("money.excel",,"6261","Price")</f>
        <v>80.099999999999994</v>
      </c>
      <c r="X79" s="67">
        <v>88.7</v>
      </c>
      <c r="Y79" s="15">
        <f t="shared" ref="Y79:Y84" si="152">W79-X79</f>
        <v>-8.6000000000000085</v>
      </c>
      <c r="Z79" s="3">
        <f t="shared" ref="Z79:Z84" si="153">Y79/X79</f>
        <v>-9.6956031567080145E-2</v>
      </c>
      <c r="AA79" s="174" t="s">
        <v>6171</v>
      </c>
      <c r="AB79" s="24" t="s">
        <v>263</v>
      </c>
      <c r="AC79" s="86">
        <v>44581</v>
      </c>
      <c r="AE79" s="33">
        <f t="shared" ref="AE79:AE84" si="154">AD79-AC79</f>
        <v>-44581</v>
      </c>
      <c r="AF79" s="124" t="s">
        <v>2342</v>
      </c>
      <c r="AG79" s="128"/>
      <c r="AI79" s="64">
        <f t="shared" ref="AI79:AI87" si="155">AJ79/(A79*10000)</f>
        <v>3.3515624999999999E-3</v>
      </c>
      <c r="AJ79" s="313">
        <f>RTD("money.excel",,$G79,"PredictVolume")</f>
        <v>429</v>
      </c>
      <c r="AK79" s="348">
        <v>15.48</v>
      </c>
    </row>
    <row r="80" spans="1:38">
      <c r="A80" s="148" t="s">
        <v>5810</v>
      </c>
      <c r="B80" s="82">
        <v>-63</v>
      </c>
      <c r="C80" s="82">
        <v>-72</v>
      </c>
      <c r="D80" s="82">
        <v>-1</v>
      </c>
      <c r="E80" s="81">
        <v>7</v>
      </c>
      <c r="F80" s="6">
        <v>2.48</v>
      </c>
      <c r="G80" s="81">
        <v>2421</v>
      </c>
      <c r="H80" s="8" t="s">
        <v>327</v>
      </c>
      <c r="I80" s="22" t="s">
        <v>5811</v>
      </c>
      <c r="J80" s="330">
        <v>46.59</v>
      </c>
      <c r="K80" s="75">
        <v>19.739999999999998</v>
      </c>
      <c r="L80" s="75">
        <v>9.91</v>
      </c>
      <c r="M80" s="330">
        <v>14.8</v>
      </c>
      <c r="N80" s="325">
        <f t="shared" si="150"/>
        <v>91.039999999999992</v>
      </c>
      <c r="O80" s="27" t="s">
        <v>6382</v>
      </c>
      <c r="P80" s="56" t="s">
        <v>6382</v>
      </c>
      <c r="Q80" s="26" t="s">
        <v>6374</v>
      </c>
      <c r="R80" s="309" t="s">
        <v>4373</v>
      </c>
      <c r="S80" s="330">
        <v>2.5499999999999998</v>
      </c>
      <c r="T80" s="34">
        <v>2.4</v>
      </c>
      <c r="U80" s="366">
        <f t="shared" si="151"/>
        <v>5.5684454756380508E-2</v>
      </c>
      <c r="V80" s="97">
        <v>1.63</v>
      </c>
      <c r="W80" s="36">
        <f>RTD("money.excel",,"2421","Price")</f>
        <v>43.1</v>
      </c>
      <c r="X80" s="67">
        <v>48</v>
      </c>
      <c r="Y80" s="15">
        <f t="shared" si="152"/>
        <v>-4.8999999999999986</v>
      </c>
      <c r="Z80" s="3">
        <f t="shared" si="153"/>
        <v>-0.1020833333333333</v>
      </c>
      <c r="AA80" s="174" t="s">
        <v>6172</v>
      </c>
      <c r="AB80" s="22" t="s">
        <v>5811</v>
      </c>
      <c r="AC80" s="86">
        <v>44581</v>
      </c>
      <c r="AE80" s="33">
        <f t="shared" si="154"/>
        <v>-44581</v>
      </c>
      <c r="AF80" s="122" t="s">
        <v>2793</v>
      </c>
      <c r="AG80" s="128"/>
      <c r="AI80" s="64">
        <f t="shared" si="155"/>
        <v>3.2239999999999999E-3</v>
      </c>
      <c r="AJ80" s="313">
        <f>RTD("money.excel",,$G80,"PredictVolume")</f>
        <v>806</v>
      </c>
      <c r="AK80" s="348">
        <v>7.2</v>
      </c>
    </row>
    <row r="81" spans="1:37">
      <c r="A81" s="132" t="s">
        <v>3568</v>
      </c>
      <c r="B81" s="81">
        <v>79</v>
      </c>
      <c r="C81" s="81">
        <v>74</v>
      </c>
      <c r="D81" s="82">
        <v>-10</v>
      </c>
      <c r="E81" s="82">
        <v>-18</v>
      </c>
      <c r="F81" s="58">
        <v>14.49</v>
      </c>
      <c r="G81" s="82">
        <v>4760</v>
      </c>
      <c r="H81" s="8" t="s">
        <v>334</v>
      </c>
      <c r="I81" s="24" t="s">
        <v>3990</v>
      </c>
      <c r="J81" s="75">
        <v>30.96</v>
      </c>
      <c r="K81" s="75">
        <v>1.93</v>
      </c>
      <c r="L81" s="330">
        <v>20.85</v>
      </c>
      <c r="M81" s="330">
        <v>23.43</v>
      </c>
      <c r="N81" s="325">
        <f t="shared" si="150"/>
        <v>77.17</v>
      </c>
      <c r="O81" s="27" t="s">
        <v>6377</v>
      </c>
      <c r="P81" s="56" t="s">
        <v>6385</v>
      </c>
      <c r="Q81" s="26" t="s">
        <v>6375</v>
      </c>
      <c r="R81" s="309" t="s">
        <v>4374</v>
      </c>
      <c r="S81" s="330">
        <v>1.41</v>
      </c>
      <c r="T81" s="67">
        <v>3.17</v>
      </c>
      <c r="U81" s="366">
        <f t="shared" si="151"/>
        <v>4.0330788804071246E-2</v>
      </c>
      <c r="V81" s="97">
        <v>7.05</v>
      </c>
      <c r="W81" s="36">
        <f>RTD("money.excel",,"4760","Price")</f>
        <v>78.599999999999994</v>
      </c>
      <c r="X81" s="67">
        <v>92.2</v>
      </c>
      <c r="Y81" s="15">
        <f t="shared" si="152"/>
        <v>-13.600000000000009</v>
      </c>
      <c r="Z81" s="3">
        <f t="shared" si="153"/>
        <v>-0.14750542299349251</v>
      </c>
      <c r="AA81" s="174" t="s">
        <v>6161</v>
      </c>
      <c r="AB81" s="24" t="s">
        <v>3990</v>
      </c>
      <c r="AC81" s="86">
        <v>44580</v>
      </c>
      <c r="AE81" s="33">
        <f t="shared" si="154"/>
        <v>-44580</v>
      </c>
      <c r="AF81" s="124" t="s">
        <v>3061</v>
      </c>
      <c r="AG81" s="128"/>
      <c r="AI81" s="64">
        <f t="shared" si="155"/>
        <v>1.0526315789473684E-3</v>
      </c>
      <c r="AJ81" s="313">
        <f>RTD("money.excel",,$G81,"PredictVolume")</f>
        <v>34</v>
      </c>
      <c r="AK81" s="348">
        <v>82.6</v>
      </c>
    </row>
    <row r="82" spans="1:37" ht="17.25" customHeight="1">
      <c r="A82" s="132" t="s">
        <v>4259</v>
      </c>
      <c r="B82" s="82">
        <v>-19</v>
      </c>
      <c r="C82" s="82">
        <v>-18</v>
      </c>
      <c r="D82" s="81">
        <v>15</v>
      </c>
      <c r="E82" s="81">
        <v>17</v>
      </c>
      <c r="F82" s="58">
        <v>12.25</v>
      </c>
      <c r="G82" s="81">
        <v>6223</v>
      </c>
      <c r="H82" s="210" t="s">
        <v>3761</v>
      </c>
      <c r="I82" s="16" t="s">
        <v>5186</v>
      </c>
      <c r="J82" s="75">
        <v>21</v>
      </c>
      <c r="K82" s="330">
        <v>14.35</v>
      </c>
      <c r="L82" s="75">
        <v>44.63</v>
      </c>
      <c r="M82" s="330">
        <v>12.43</v>
      </c>
      <c r="N82" s="325">
        <f t="shared" si="150"/>
        <v>92.41</v>
      </c>
      <c r="P82" s="56" t="s">
        <v>6401</v>
      </c>
      <c r="Q82" s="26" t="s">
        <v>6385</v>
      </c>
      <c r="R82" s="309" t="s">
        <v>6122</v>
      </c>
      <c r="S82" s="330">
        <v>3.51</v>
      </c>
      <c r="T82" s="67">
        <v>4.47</v>
      </c>
      <c r="U82" s="366">
        <f t="shared" si="151"/>
        <v>4.4257425742574255E-2</v>
      </c>
      <c r="V82" s="97">
        <v>6.6</v>
      </c>
      <c r="W82" s="36">
        <f>RTD("money.excel",,"6223","Price")</f>
        <v>101</v>
      </c>
      <c r="X82" s="67">
        <v>122</v>
      </c>
      <c r="Y82" s="15">
        <f t="shared" si="152"/>
        <v>-21</v>
      </c>
      <c r="Z82" s="3">
        <f t="shared" si="153"/>
        <v>-0.1721311475409836</v>
      </c>
      <c r="AA82" s="174" t="s">
        <v>6149</v>
      </c>
      <c r="AB82" s="16" t="s">
        <v>5186</v>
      </c>
      <c r="AC82" s="86">
        <v>44579</v>
      </c>
      <c r="AE82" s="33">
        <f t="shared" si="154"/>
        <v>-44579</v>
      </c>
      <c r="AF82" s="122" t="s">
        <v>2870</v>
      </c>
      <c r="AG82" s="128"/>
      <c r="AI82" s="64">
        <f t="shared" si="155"/>
        <v>5.4622741764080761E-3</v>
      </c>
      <c r="AJ82" s="313">
        <f>RTD("money.excel",,$G82,"PredictVolume")</f>
        <v>514</v>
      </c>
      <c r="AK82" s="348">
        <v>36.770000000000003</v>
      </c>
    </row>
    <row r="83" spans="1:37" ht="17.25" customHeight="1">
      <c r="A83" s="132" t="s">
        <v>4259</v>
      </c>
      <c r="B83" s="82">
        <v>-19</v>
      </c>
      <c r="C83" s="82">
        <v>-18</v>
      </c>
      <c r="D83" s="81">
        <v>15</v>
      </c>
      <c r="E83" s="81">
        <v>17</v>
      </c>
      <c r="F83" s="58">
        <v>12.25</v>
      </c>
      <c r="G83" s="81">
        <v>6223</v>
      </c>
      <c r="H83" s="210" t="s">
        <v>3761</v>
      </c>
      <c r="I83" s="16" t="s">
        <v>5186</v>
      </c>
      <c r="J83" s="75">
        <v>21</v>
      </c>
      <c r="K83" s="330">
        <v>14.35</v>
      </c>
      <c r="L83" s="75">
        <v>44.63</v>
      </c>
      <c r="M83" s="330">
        <v>12.43</v>
      </c>
      <c r="N83" s="325">
        <f t="shared" si="150"/>
        <v>92.41</v>
      </c>
      <c r="P83" s="56" t="s">
        <v>6401</v>
      </c>
      <c r="Q83" s="26" t="s">
        <v>6385</v>
      </c>
      <c r="R83" s="309" t="s">
        <v>4374</v>
      </c>
      <c r="S83" s="330">
        <v>3.51</v>
      </c>
      <c r="T83" s="67">
        <v>4.47</v>
      </c>
      <c r="U83" s="366">
        <f t="shared" si="151"/>
        <v>4.4257425742574255E-2</v>
      </c>
      <c r="V83" s="97">
        <v>6.6</v>
      </c>
      <c r="W83" s="36">
        <f>RTD("money.excel",,"6223","Price")</f>
        <v>101</v>
      </c>
      <c r="X83" s="67">
        <v>122</v>
      </c>
      <c r="Y83" s="15">
        <f t="shared" si="152"/>
        <v>-21</v>
      </c>
      <c r="Z83" s="3">
        <f t="shared" si="153"/>
        <v>-0.1721311475409836</v>
      </c>
      <c r="AA83" s="174" t="s">
        <v>6149</v>
      </c>
      <c r="AB83" s="16" t="s">
        <v>5186</v>
      </c>
      <c r="AC83" s="86">
        <v>44579</v>
      </c>
      <c r="AE83" s="33">
        <f t="shared" si="154"/>
        <v>-44579</v>
      </c>
      <c r="AF83" s="122" t="s">
        <v>2870</v>
      </c>
      <c r="AG83" s="128"/>
      <c r="AI83" s="64">
        <f t="shared" si="155"/>
        <v>5.4622741764080761E-3</v>
      </c>
      <c r="AJ83" s="313">
        <f>RTD("money.excel",,$G83,"PredictVolume")</f>
        <v>514</v>
      </c>
      <c r="AK83" s="348">
        <v>36.770000000000003</v>
      </c>
    </row>
    <row r="84" spans="1:37">
      <c r="A84" s="132" t="s">
        <v>2657</v>
      </c>
      <c r="B84" s="81">
        <v>150</v>
      </c>
      <c r="C84" s="81">
        <v>123</v>
      </c>
      <c r="D84" s="81">
        <v>16</v>
      </c>
      <c r="E84" s="81">
        <v>43</v>
      </c>
      <c r="F84" s="58">
        <v>20.53</v>
      </c>
      <c r="G84" s="81">
        <v>6651</v>
      </c>
      <c r="H84" s="206" t="s">
        <v>3761</v>
      </c>
      <c r="I84" s="16" t="s">
        <v>2857</v>
      </c>
      <c r="J84" s="75">
        <v>27.87</v>
      </c>
      <c r="K84" s="330">
        <v>0.43</v>
      </c>
      <c r="L84" s="75">
        <v>16</v>
      </c>
      <c r="M84" s="75">
        <v>15.89</v>
      </c>
      <c r="N84" s="325">
        <f t="shared" si="150"/>
        <v>60.19</v>
      </c>
      <c r="O84" s="27" t="s">
        <v>6382</v>
      </c>
      <c r="P84" s="56" t="s">
        <v>6382</v>
      </c>
      <c r="Q84" s="26" t="s">
        <v>6400</v>
      </c>
      <c r="R84" s="309" t="s">
        <v>6122</v>
      </c>
      <c r="S84" s="330">
        <v>0.53</v>
      </c>
      <c r="T84" s="67">
        <v>3</v>
      </c>
      <c r="U84" s="366">
        <f t="shared" si="151"/>
        <v>3.2223415682062301E-2</v>
      </c>
      <c r="V84" s="97">
        <v>7.46</v>
      </c>
      <c r="W84" s="36">
        <f>RTD("money.excel",,"6651","Price")</f>
        <v>93.1</v>
      </c>
      <c r="X84" s="67">
        <v>120.5</v>
      </c>
      <c r="Y84" s="15">
        <f t="shared" si="152"/>
        <v>-27.400000000000006</v>
      </c>
      <c r="Z84" s="3">
        <f t="shared" si="153"/>
        <v>-0.22738589211618263</v>
      </c>
      <c r="AA84" s="174" t="s">
        <v>6150</v>
      </c>
      <c r="AB84" s="16" t="s">
        <v>2857</v>
      </c>
      <c r="AC84" s="86">
        <v>44579</v>
      </c>
      <c r="AE84" s="33">
        <f t="shared" si="154"/>
        <v>-44579</v>
      </c>
      <c r="AF84" s="43" t="s">
        <v>2655</v>
      </c>
      <c r="AG84" s="128"/>
      <c r="AI84" s="64">
        <f t="shared" si="155"/>
        <v>2.9696969696969698E-3</v>
      </c>
      <c r="AJ84" s="313">
        <f>RTD("money.excel",,$G84,"PredictVolume")</f>
        <v>98</v>
      </c>
      <c r="AK84" s="348">
        <v>18.14</v>
      </c>
    </row>
    <row r="85" spans="1:37">
      <c r="A85" s="148" t="s">
        <v>1928</v>
      </c>
      <c r="B85" s="82">
        <v>-3</v>
      </c>
      <c r="C85" s="82">
        <v>-5</v>
      </c>
      <c r="D85" s="81">
        <v>2</v>
      </c>
      <c r="E85" s="81">
        <v>0</v>
      </c>
      <c r="F85" s="6">
        <v>7.05</v>
      </c>
      <c r="G85" s="81">
        <v>2387</v>
      </c>
      <c r="H85" s="207" t="s">
        <v>1212</v>
      </c>
      <c r="I85" s="22" t="s">
        <v>248</v>
      </c>
      <c r="J85" s="330">
        <v>64.739999999999995</v>
      </c>
      <c r="K85" s="75">
        <v>0.7</v>
      </c>
      <c r="L85" s="75">
        <v>18.350000000000001</v>
      </c>
      <c r="M85" s="75">
        <v>33.5</v>
      </c>
      <c r="N85" s="325">
        <f t="shared" ref="N85" si="156">J85+K85+L85+M85</f>
        <v>117.28999999999999</v>
      </c>
      <c r="O85" s="27" t="s">
        <v>6382</v>
      </c>
      <c r="P85" s="56" t="s">
        <v>6382</v>
      </c>
      <c r="Q85" s="26" t="s">
        <v>6390</v>
      </c>
      <c r="R85" s="309" t="s">
        <v>6189</v>
      </c>
      <c r="S85" s="330">
        <v>2.64</v>
      </c>
      <c r="T85" s="34">
        <v>2</v>
      </c>
      <c r="U85" s="366">
        <f t="shared" si="151"/>
        <v>4.926108374384236E-2</v>
      </c>
      <c r="V85" s="58">
        <v>6.4</v>
      </c>
      <c r="W85" s="36">
        <f>RTD("money.excel",,"2387","Price")</f>
        <v>40.6</v>
      </c>
      <c r="X85" s="67">
        <v>45.6</v>
      </c>
      <c r="Y85" s="15">
        <f t="shared" ref="Y85" si="157">W85-X85</f>
        <v>-5</v>
      </c>
      <c r="Z85" s="3">
        <f t="shared" ref="Z85" si="158">Y85/X85</f>
        <v>-0.10964912280701754</v>
      </c>
      <c r="AA85" s="174" t="s">
        <v>6191</v>
      </c>
      <c r="AB85" s="22" t="s">
        <v>248</v>
      </c>
      <c r="AC85" s="86">
        <v>44582</v>
      </c>
      <c r="AE85" s="33">
        <f t="shared" ref="AE85" si="159">AD85-AC85</f>
        <v>-44582</v>
      </c>
      <c r="AF85" s="43" t="s">
        <v>2801</v>
      </c>
      <c r="AG85" s="128"/>
      <c r="AI85" s="64">
        <f t="shared" si="155"/>
        <v>1.1487179487179487E-3</v>
      </c>
      <c r="AJ85" s="313">
        <f>RTD("money.excel",,$G85,"PredictVolume")</f>
        <v>224</v>
      </c>
      <c r="AK85" s="348">
        <v>19.59</v>
      </c>
    </row>
    <row r="86" spans="1:37">
      <c r="A86" s="132" t="s">
        <v>4331</v>
      </c>
      <c r="B86" s="81">
        <v>16</v>
      </c>
      <c r="C86" s="81">
        <v>27</v>
      </c>
      <c r="D86" s="82">
        <v>-22</v>
      </c>
      <c r="E86" s="82">
        <v>-19</v>
      </c>
      <c r="F86" s="58">
        <v>23.43</v>
      </c>
      <c r="G86" s="81">
        <v>3546</v>
      </c>
      <c r="H86" s="5" t="s">
        <v>1081</v>
      </c>
      <c r="I86" s="16" t="s">
        <v>82</v>
      </c>
      <c r="J86" s="330">
        <v>21.28</v>
      </c>
      <c r="K86" s="330">
        <v>9.4</v>
      </c>
      <c r="L86" s="75">
        <v>24.68</v>
      </c>
      <c r="M86" s="330">
        <v>10.68</v>
      </c>
      <c r="N86" s="325">
        <f t="shared" ref="N86" si="160">J86+K86+L86+M86</f>
        <v>66.039999999999992</v>
      </c>
      <c r="O86" s="27" t="s">
        <v>6382</v>
      </c>
      <c r="P86" s="56" t="s">
        <v>6374</v>
      </c>
      <c r="Q86" s="26" t="s">
        <v>6374</v>
      </c>
      <c r="R86" s="309" t="s">
        <v>6169</v>
      </c>
      <c r="S86" s="330">
        <v>1.61</v>
      </c>
      <c r="T86" s="67">
        <v>5.18</v>
      </c>
      <c r="U86" s="366">
        <f t="shared" si="151"/>
        <v>6.2560386473429944E-2</v>
      </c>
      <c r="V86" s="97">
        <v>6.82</v>
      </c>
      <c r="W86" s="36">
        <f>RTD("money.excel",,"3546","Price")</f>
        <v>82.8</v>
      </c>
      <c r="X86" s="67">
        <v>89.9</v>
      </c>
      <c r="Y86" s="15">
        <f t="shared" ref="Y86" si="161">W86-X86</f>
        <v>-7.1000000000000085</v>
      </c>
      <c r="Z86" s="3">
        <f t="shared" ref="Z86" si="162">Y86/X86</f>
        <v>-7.8976640711902205E-2</v>
      </c>
      <c r="AA86" s="174" t="s">
        <v>6175</v>
      </c>
      <c r="AB86" s="16" t="s">
        <v>82</v>
      </c>
      <c r="AC86" s="86">
        <v>44581</v>
      </c>
      <c r="AE86" s="33">
        <f t="shared" ref="AE86" si="163">AD86-AC86</f>
        <v>-44581</v>
      </c>
      <c r="AF86" s="122" t="s">
        <v>3793</v>
      </c>
      <c r="AG86" s="128"/>
      <c r="AI86" s="64">
        <f t="shared" si="155"/>
        <v>3.3195020746887966E-3</v>
      </c>
      <c r="AJ86" s="313">
        <f>RTD("money.excel",,$G86,"PredictVolume")</f>
        <v>160</v>
      </c>
      <c r="AK86" s="348">
        <v>21.3</v>
      </c>
    </row>
    <row r="87" spans="1:37">
      <c r="A87" s="132" t="s">
        <v>2414</v>
      </c>
      <c r="B87" s="82">
        <v>-37</v>
      </c>
      <c r="C87" s="82">
        <v>-40</v>
      </c>
      <c r="D87" s="82">
        <v>-24</v>
      </c>
      <c r="E87" s="81">
        <v>17</v>
      </c>
      <c r="F87" s="58">
        <v>12.63</v>
      </c>
      <c r="G87" s="81">
        <v>2404</v>
      </c>
      <c r="H87" s="8" t="s">
        <v>334</v>
      </c>
      <c r="I87" s="22" t="s">
        <v>528</v>
      </c>
      <c r="J87" s="330">
        <v>32.520000000000003</v>
      </c>
      <c r="K87" s="330">
        <v>27.52</v>
      </c>
      <c r="L87" s="330">
        <v>6.13</v>
      </c>
      <c r="M87" s="330">
        <v>9.1</v>
      </c>
      <c r="N87" s="325">
        <f t="shared" ref="N87" si="164">J87+K87+L87+M87</f>
        <v>75.27</v>
      </c>
      <c r="O87" s="27" t="s">
        <v>6382</v>
      </c>
      <c r="P87" s="56" t="s">
        <v>6382</v>
      </c>
      <c r="Q87" s="26" t="s">
        <v>6396</v>
      </c>
      <c r="R87" s="309" t="s">
        <v>6169</v>
      </c>
      <c r="S87" s="330">
        <v>2.42</v>
      </c>
      <c r="T87" s="67">
        <v>17</v>
      </c>
      <c r="U87" s="366">
        <f t="shared" si="151"/>
        <v>8.9947089947089942E-2</v>
      </c>
      <c r="V87" s="97">
        <v>14.98</v>
      </c>
      <c r="W87" s="36">
        <f>RTD("money.excel",,"2404","Price")</f>
        <v>189</v>
      </c>
      <c r="X87" s="67">
        <v>185</v>
      </c>
      <c r="Y87" s="15">
        <f t="shared" ref="Y87" si="165">W87-X87</f>
        <v>4</v>
      </c>
      <c r="Z87" s="3">
        <f t="shared" ref="Z87" si="166">Y87/X87</f>
        <v>2.1621621621621623E-2</v>
      </c>
      <c r="AA87" s="174" t="s">
        <v>6108</v>
      </c>
      <c r="AB87" s="22" t="s">
        <v>528</v>
      </c>
      <c r="AC87" s="86">
        <v>44571</v>
      </c>
      <c r="AE87" s="33">
        <f t="shared" ref="AE87" si="167">AD87-AC87</f>
        <v>-44571</v>
      </c>
      <c r="AF87" s="43" t="s">
        <v>1513</v>
      </c>
      <c r="AG87" s="128"/>
      <c r="AI87" s="64">
        <f t="shared" si="155"/>
        <v>9.3210526315789469E-3</v>
      </c>
      <c r="AJ87" s="313">
        <f>RTD("money.excel",,$G87,"PredictVolume")</f>
        <v>1771</v>
      </c>
      <c r="AK87" s="348">
        <v>4.53</v>
      </c>
    </row>
    <row r="88" spans="1:37">
      <c r="U88" s="366"/>
      <c r="W88" s="361">
        <f>SUM(W79:W87)</f>
        <v>809.3</v>
      </c>
      <c r="X88" s="339">
        <f>SUM(X79:X87)</f>
        <v>913.9</v>
      </c>
      <c r="Y88" s="246">
        <f>W88-X88</f>
        <v>-104.60000000000002</v>
      </c>
      <c r="Z88" s="165">
        <f>Y88/X88</f>
        <v>-0.11445453550716711</v>
      </c>
      <c r="AA88" s="118"/>
      <c r="AB88" s="247">
        <f>W88*(0.001425*0.5)+W88*0.003+X88*(0.001425*0.5)</f>
        <v>3.6556799999999994</v>
      </c>
      <c r="AC88" s="6">
        <f>Y88-AB88</f>
        <v>-108.25568000000003</v>
      </c>
      <c r="AF88" s="46" t="s">
        <v>6294</v>
      </c>
      <c r="AG88" s="128"/>
    </row>
    <row r="89" spans="1:37">
      <c r="U89" s="366"/>
      <c r="AG89" s="128"/>
    </row>
    <row r="90" spans="1:37">
      <c r="U90" s="366"/>
      <c r="AG90" s="128"/>
    </row>
    <row r="91" spans="1:37">
      <c r="U91" s="366"/>
      <c r="AG91" s="128"/>
    </row>
    <row r="92" spans="1:37">
      <c r="U92" s="366"/>
      <c r="AG92" s="128"/>
    </row>
    <row r="93" spans="1:37">
      <c r="U93" s="366"/>
      <c r="AG93" s="128"/>
    </row>
    <row r="94" spans="1:37">
      <c r="U94" s="366"/>
      <c r="AG94" s="128"/>
    </row>
    <row r="95" spans="1:37">
      <c r="U95" s="366"/>
      <c r="AG95" s="128"/>
    </row>
    <row r="96" spans="1:37">
      <c r="U96" s="366"/>
      <c r="AG96" s="128"/>
    </row>
    <row r="97" spans="21:33">
      <c r="U97" s="366"/>
      <c r="AG97" s="128"/>
    </row>
    <row r="98" spans="21:33">
      <c r="U98" s="366"/>
      <c r="AG98" s="128"/>
    </row>
    <row r="99" spans="21:33">
      <c r="U99" s="366"/>
      <c r="AG99" s="128"/>
    </row>
    <row r="100" spans="21:33">
      <c r="U100" s="366"/>
      <c r="AG100" s="128"/>
    </row>
    <row r="101" spans="21:33">
      <c r="U101" s="366"/>
      <c r="AG101" s="128"/>
    </row>
    <row r="102" spans="21:33">
      <c r="U102" s="366"/>
      <c r="AG102" s="128"/>
    </row>
    <row r="103" spans="21:33">
      <c r="U103" s="366"/>
      <c r="AG103" s="128"/>
    </row>
    <row r="104" spans="21:33">
      <c r="U104" s="366"/>
      <c r="AG104" s="128"/>
    </row>
    <row r="105" spans="21:33">
      <c r="U105" s="366"/>
      <c r="AG105" s="128"/>
    </row>
    <row r="106" spans="21:33">
      <c r="U106" s="366"/>
      <c r="AG106" s="128"/>
    </row>
    <row r="107" spans="21:33">
      <c r="U107" s="366"/>
      <c r="AG107" s="128"/>
    </row>
    <row r="108" spans="21:33">
      <c r="U108" s="368"/>
      <c r="AG108" s="128"/>
    </row>
    <row r="109" spans="21:33">
      <c r="U109" s="368"/>
      <c r="AG109" s="128"/>
    </row>
    <row r="110" spans="21:33">
      <c r="U110" s="364"/>
      <c r="AG110" s="128"/>
    </row>
    <row r="111" spans="21:33">
      <c r="U111" s="364"/>
      <c r="AG111" s="128"/>
    </row>
    <row r="112" spans="21:33">
      <c r="U112" s="364"/>
      <c r="AG112" s="128"/>
    </row>
    <row r="113" spans="21:38">
      <c r="U113" s="364"/>
      <c r="AG113" s="128"/>
    </row>
    <row r="114" spans="21:38">
      <c r="U114" s="366"/>
      <c r="AG114" s="128"/>
      <c r="AL114" s="309"/>
    </row>
    <row r="115" spans="21:38">
      <c r="U115" s="366"/>
      <c r="AG115" s="128"/>
      <c r="AL115" s="269"/>
    </row>
    <row r="116" spans="21:38">
      <c r="U116" s="366"/>
      <c r="AG116" s="128"/>
      <c r="AL116" s="269"/>
    </row>
    <row r="117" spans="21:38">
      <c r="U117" s="366"/>
      <c r="AG117" s="128"/>
      <c r="AL117" s="269"/>
    </row>
    <row r="118" spans="21:38">
      <c r="U118" s="366"/>
      <c r="AG118" s="128"/>
      <c r="AL118" s="269"/>
    </row>
    <row r="119" spans="21:38">
      <c r="U119" s="366"/>
      <c r="AG119" s="128"/>
      <c r="AL119" s="269"/>
    </row>
    <row r="120" spans="21:38">
      <c r="U120" s="366"/>
      <c r="AG120" s="128"/>
      <c r="AL120" s="269"/>
    </row>
    <row r="121" spans="21:38">
      <c r="U121" s="366"/>
      <c r="AG121" s="33"/>
      <c r="AL121" s="269"/>
    </row>
    <row r="122" spans="21:38">
      <c r="U122" s="366"/>
      <c r="AG122" s="128"/>
      <c r="AL122" s="269"/>
    </row>
    <row r="123" spans="21:38">
      <c r="U123" s="366"/>
      <c r="AG123" s="128"/>
      <c r="AL123" s="269"/>
    </row>
    <row r="124" spans="21:38">
      <c r="U124" s="366"/>
      <c r="AG124" s="269"/>
      <c r="AL124" s="269"/>
    </row>
    <row r="125" spans="21:38">
      <c r="U125" s="366"/>
      <c r="AG125" s="128"/>
      <c r="AL125" s="269"/>
    </row>
    <row r="126" spans="21:38">
      <c r="U126" s="366"/>
      <c r="AG126" s="128"/>
      <c r="AL126" s="269"/>
    </row>
    <row r="127" spans="21:38">
      <c r="U127" s="366"/>
      <c r="AG127" s="128"/>
      <c r="AL127" s="269"/>
    </row>
    <row r="128" spans="21:38">
      <c r="U128" s="366"/>
      <c r="AG128" s="128"/>
      <c r="AL128" s="269"/>
    </row>
    <row r="129" spans="21:38">
      <c r="AG129" s="128"/>
      <c r="AL129" s="269"/>
    </row>
    <row r="130" spans="21:38">
      <c r="AG130" s="269"/>
      <c r="AL130" s="269"/>
    </row>
    <row r="131" spans="21:38">
      <c r="AG131" s="128"/>
      <c r="AL131" s="269"/>
    </row>
    <row r="132" spans="21:38">
      <c r="AG132" s="128"/>
    </row>
    <row r="133" spans="21:38">
      <c r="AG133" s="128"/>
    </row>
    <row r="134" spans="21:38">
      <c r="AG134" s="128"/>
    </row>
    <row r="135" spans="21:38">
      <c r="AG135" s="128"/>
    </row>
    <row r="136" spans="21:38">
      <c r="AG136" s="128"/>
    </row>
    <row r="137" spans="21:38">
      <c r="U137" s="364"/>
      <c r="AG137" s="128"/>
    </row>
    <row r="138" spans="21:38">
      <c r="U138" s="366"/>
      <c r="AG138" s="128"/>
    </row>
    <row r="139" spans="21:38">
      <c r="U139" s="366"/>
      <c r="AG139" s="128"/>
    </row>
    <row r="140" spans="21:38">
      <c r="U140" s="366"/>
      <c r="AG140" s="128"/>
      <c r="AL140" s="309"/>
    </row>
    <row r="141" spans="21:38">
      <c r="U141" s="366"/>
      <c r="AG141" s="269"/>
      <c r="AL141" s="269"/>
    </row>
    <row r="142" spans="21:38">
      <c r="U142" s="366"/>
      <c r="AG142" s="128"/>
      <c r="AL142" s="269"/>
    </row>
    <row r="143" spans="21:38">
      <c r="U143" s="366"/>
      <c r="AG143" s="128"/>
      <c r="AL143" s="269"/>
    </row>
    <row r="144" spans="21:38">
      <c r="U144" s="366"/>
      <c r="AG144" s="128"/>
      <c r="AL144" s="269"/>
    </row>
    <row r="145" spans="21:38">
      <c r="U145" s="366"/>
      <c r="AG145" s="128"/>
      <c r="AL145" s="269"/>
    </row>
    <row r="146" spans="21:38">
      <c r="U146" s="366"/>
      <c r="AG146" s="128"/>
      <c r="AL146" s="269"/>
    </row>
    <row r="147" spans="21:38">
      <c r="AG147" s="128"/>
    </row>
    <row r="148" spans="21:38">
      <c r="AG148" s="128"/>
    </row>
    <row r="149" spans="21:38">
      <c r="U149" s="364"/>
      <c r="AG149" s="128"/>
    </row>
    <row r="150" spans="21:38">
      <c r="U150" s="366"/>
      <c r="AG150" s="128"/>
      <c r="AL150" s="309"/>
    </row>
    <row r="151" spans="21:38">
      <c r="U151" s="366"/>
      <c r="AG151" s="269"/>
    </row>
    <row r="152" spans="21:38">
      <c r="U152" s="366"/>
      <c r="AG152" s="128"/>
    </row>
    <row r="153" spans="21:38">
      <c r="U153" s="366"/>
      <c r="AG153" s="128"/>
    </row>
    <row r="154" spans="21:38">
      <c r="U154" s="366"/>
      <c r="AG154" s="128"/>
    </row>
    <row r="155" spans="21:38">
      <c r="U155" s="366"/>
      <c r="AG155" s="128"/>
    </row>
    <row r="156" spans="21:38">
      <c r="AG156" s="128"/>
      <c r="AL156" s="309"/>
    </row>
    <row r="157" spans="21:38">
      <c r="AG157" s="128"/>
    </row>
    <row r="158" spans="21:38">
      <c r="AG158" s="128"/>
    </row>
    <row r="159" spans="21:38">
      <c r="AG159" s="269"/>
    </row>
    <row r="160" spans="21:38">
      <c r="AG160" s="128"/>
    </row>
    <row r="161" spans="33:33">
      <c r="AG161" s="128"/>
    </row>
    <row r="162" spans="33:33">
      <c r="AG162" s="128"/>
    </row>
    <row r="163" spans="33:33">
      <c r="AG163" s="128"/>
    </row>
    <row r="164" spans="33:33">
      <c r="AG164" s="128"/>
    </row>
    <row r="165" spans="33:33">
      <c r="AG165" s="128"/>
    </row>
    <row r="166" spans="33:33">
      <c r="AG166" s="128"/>
    </row>
    <row r="167" spans="33:33">
      <c r="AG167" s="128"/>
    </row>
    <row r="168" spans="33:33">
      <c r="AG168" s="128"/>
    </row>
    <row r="169" spans="33:33">
      <c r="AG169" s="269"/>
    </row>
    <row r="170" spans="33:33">
      <c r="AG170" s="128"/>
    </row>
    <row r="171" spans="33:33">
      <c r="AG171" s="128"/>
    </row>
    <row r="172" spans="33:33">
      <c r="AG172" s="128"/>
    </row>
    <row r="173" spans="33:33">
      <c r="AG173" s="128"/>
    </row>
    <row r="174" spans="33:33">
      <c r="AG174" s="128"/>
    </row>
    <row r="175" spans="33:33">
      <c r="AG175" s="128"/>
    </row>
    <row r="176" spans="33:33">
      <c r="AG176" s="128"/>
    </row>
    <row r="177" spans="33:33">
      <c r="AG177" s="128"/>
    </row>
    <row r="178" spans="33:33">
      <c r="AG178" s="128"/>
    </row>
    <row r="179" spans="33:33">
      <c r="AG179" s="128"/>
    </row>
    <row r="180" spans="33:33">
      <c r="AG180" s="128"/>
    </row>
    <row r="181" spans="33:33">
      <c r="AG181" s="128"/>
    </row>
    <row r="182" spans="33:33">
      <c r="AG182" s="128"/>
    </row>
    <row r="183" spans="33:33">
      <c r="AG183" s="128"/>
    </row>
    <row r="184" spans="33:33">
      <c r="AG184" s="128"/>
    </row>
    <row r="185" spans="33:33">
      <c r="AG185" s="128"/>
    </row>
    <row r="186" spans="33:33">
      <c r="AG186" s="128"/>
    </row>
    <row r="187" spans="33:33">
      <c r="AG187" s="128"/>
    </row>
    <row r="188" spans="33:33">
      <c r="AG188" s="128"/>
    </row>
    <row r="189" spans="33:33">
      <c r="AG189" s="128"/>
    </row>
    <row r="190" spans="33:33">
      <c r="AG190" s="269"/>
    </row>
    <row r="191" spans="33:33">
      <c r="AG191" s="128"/>
    </row>
    <row r="192" spans="33:33">
      <c r="AG192" s="128"/>
    </row>
    <row r="193" spans="33:33">
      <c r="AG193" s="128"/>
    </row>
    <row r="195" spans="33:33">
      <c r="AG195" s="128"/>
    </row>
    <row r="196" spans="33:33">
      <c r="AG196" s="128"/>
    </row>
    <row r="197" spans="33:33">
      <c r="AG197" s="128"/>
    </row>
    <row r="198" spans="33:33">
      <c r="AG198" s="128"/>
    </row>
    <row r="199" spans="33:33">
      <c r="AG199" s="128"/>
    </row>
    <row r="200" spans="33:33">
      <c r="AG200" s="128"/>
    </row>
    <row r="201" spans="33:33">
      <c r="AG201" s="128"/>
    </row>
    <row r="202" spans="33:33">
      <c r="AG202" s="128"/>
    </row>
    <row r="203" spans="33:33">
      <c r="AG203" s="269"/>
    </row>
    <row r="204" spans="33:33">
      <c r="AG204" s="128"/>
    </row>
    <row r="205" spans="33:33">
      <c r="AG205" s="128"/>
    </row>
    <row r="206" spans="33:33">
      <c r="AG206" s="128"/>
    </row>
    <row r="207" spans="33:33">
      <c r="AG207" s="269"/>
    </row>
    <row r="208" spans="33:33">
      <c r="AG208" s="128"/>
    </row>
    <row r="209" spans="33:33">
      <c r="AG209" s="128"/>
    </row>
    <row r="210" spans="33:33">
      <c r="AG210" s="128"/>
    </row>
    <row r="211" spans="33:33">
      <c r="AG211" s="128"/>
    </row>
    <row r="212" spans="33:33">
      <c r="AG212" s="128"/>
    </row>
    <row r="213" spans="33:33">
      <c r="AG213" s="128"/>
    </row>
    <row r="214" spans="33:33">
      <c r="AG214" s="128"/>
    </row>
    <row r="215" spans="33:33">
      <c r="AG215" s="128"/>
    </row>
    <row r="216" spans="33:33">
      <c r="AG216" s="128"/>
    </row>
    <row r="217" spans="33:33">
      <c r="AG217" s="128"/>
    </row>
    <row r="218" spans="33:33">
      <c r="AG218" s="128"/>
    </row>
    <row r="219" spans="33:33">
      <c r="AG219" s="128"/>
    </row>
    <row r="220" spans="33:33">
      <c r="AG220" s="128"/>
    </row>
    <row r="221" spans="33:33">
      <c r="AG221" s="128"/>
    </row>
    <row r="222" spans="33:33">
      <c r="AG222" s="128"/>
    </row>
    <row r="223" spans="33:33">
      <c r="AG223" s="128"/>
    </row>
    <row r="224" spans="33:33">
      <c r="AG224" s="128"/>
    </row>
    <row r="225" spans="33:33">
      <c r="AG225" s="128"/>
    </row>
    <row r="226" spans="33:33">
      <c r="AG226" s="128"/>
    </row>
    <row r="227" spans="33:33">
      <c r="AG227" s="128"/>
    </row>
    <row r="228" spans="33:33">
      <c r="AG228" s="128"/>
    </row>
    <row r="229" spans="33:33">
      <c r="AG229" s="128"/>
    </row>
    <row r="230" spans="33:33">
      <c r="AG230" s="128"/>
    </row>
    <row r="231" spans="33:33">
      <c r="AG231" s="128"/>
    </row>
    <row r="232" spans="33:33">
      <c r="AG232" s="128"/>
    </row>
    <row r="233" spans="33:33">
      <c r="AG233" s="128"/>
    </row>
    <row r="234" spans="33:33">
      <c r="AG234" s="128"/>
    </row>
    <row r="235" spans="33:33">
      <c r="AG235" s="128"/>
    </row>
    <row r="236" spans="33:33">
      <c r="AG236" s="128"/>
    </row>
    <row r="237" spans="33:33">
      <c r="AG237" s="128"/>
    </row>
    <row r="238" spans="33:33">
      <c r="AG238" s="128"/>
    </row>
    <row r="239" spans="33:33">
      <c r="AG239" s="128"/>
    </row>
    <row r="240" spans="33:33">
      <c r="AG240" s="128"/>
    </row>
    <row r="241" spans="33:33">
      <c r="AG241" s="128"/>
    </row>
    <row r="242" spans="33:33">
      <c r="AG242" s="128"/>
    </row>
    <row r="243" spans="33:33">
      <c r="AG243" s="128"/>
    </row>
    <row r="244" spans="33:33">
      <c r="AG244" s="128"/>
    </row>
    <row r="245" spans="33:33">
      <c r="AG245" s="128"/>
    </row>
    <row r="246" spans="33:33">
      <c r="AG246" s="128"/>
    </row>
    <row r="247" spans="33:33">
      <c r="AG247" s="128"/>
    </row>
    <row r="248" spans="33:33">
      <c r="AG248" s="128"/>
    </row>
    <row r="249" spans="33:33">
      <c r="AG249" s="128"/>
    </row>
    <row r="250" spans="33:33">
      <c r="AG250" s="128"/>
    </row>
    <row r="251" spans="33:33">
      <c r="AG251" s="128"/>
    </row>
    <row r="252" spans="33:33">
      <c r="AG252" s="27"/>
    </row>
    <row r="253" spans="33:33">
      <c r="AG253" s="128"/>
    </row>
    <row r="254" spans="33:33">
      <c r="AG254" s="128"/>
    </row>
    <row r="255" spans="33:33">
      <c r="AG255" s="128"/>
    </row>
    <row r="256" spans="33:33">
      <c r="AG256" s="128"/>
    </row>
    <row r="257" spans="33:33">
      <c r="AG257" s="128"/>
    </row>
    <row r="258" spans="33:33">
      <c r="AG258" s="128"/>
    </row>
    <row r="259" spans="33:33">
      <c r="AG259" s="128"/>
    </row>
    <row r="260" spans="33:33">
      <c r="AG260" s="128"/>
    </row>
    <row r="261" spans="33:33">
      <c r="AG261" s="128"/>
    </row>
    <row r="262" spans="33:33">
      <c r="AG262" s="128"/>
    </row>
    <row r="263" spans="33:33">
      <c r="AG263" s="128"/>
    </row>
    <row r="264" spans="33:33">
      <c r="AG264" s="128"/>
    </row>
    <row r="265" spans="33:33">
      <c r="AG265" s="128"/>
    </row>
    <row r="266" spans="33:33">
      <c r="AG266" s="128"/>
    </row>
    <row r="267" spans="33:33">
      <c r="AG267" s="128"/>
    </row>
    <row r="268" spans="33:33">
      <c r="AG268" s="128"/>
    </row>
    <row r="269" spans="33:33">
      <c r="AG269" s="128"/>
    </row>
    <row r="270" spans="33:33">
      <c r="AG270" s="128"/>
    </row>
    <row r="271" spans="33:33">
      <c r="AG271" s="128"/>
    </row>
    <row r="272" spans="33:33">
      <c r="AG272" s="128"/>
    </row>
    <row r="273" spans="33:33">
      <c r="AG273" s="128"/>
    </row>
    <row r="274" spans="33:33">
      <c r="AG274" s="128"/>
    </row>
    <row r="275" spans="33:33">
      <c r="AG275" s="128"/>
    </row>
    <row r="276" spans="33:33">
      <c r="AG276" s="128"/>
    </row>
    <row r="277" spans="33:33">
      <c r="AG277" s="128"/>
    </row>
    <row r="278" spans="33:33">
      <c r="AG278" s="128"/>
    </row>
    <row r="279" spans="33:33">
      <c r="AG279" s="128"/>
    </row>
    <row r="280" spans="33:33">
      <c r="AG280" s="128"/>
    </row>
    <row r="281" spans="33:33">
      <c r="AG281" s="128"/>
    </row>
    <row r="282" spans="33:33">
      <c r="AG282" s="128"/>
    </row>
    <row r="283" spans="33:33">
      <c r="AG283" s="128"/>
    </row>
    <row r="284" spans="33:33">
      <c r="AG284" s="128"/>
    </row>
    <row r="285" spans="33:33">
      <c r="AG285" s="269"/>
    </row>
    <row r="286" spans="33:33">
      <c r="AG286" s="269"/>
    </row>
    <row r="287" spans="33:33">
      <c r="AG287" s="128"/>
    </row>
    <row r="288" spans="33:33">
      <c r="AG288" s="128"/>
    </row>
    <row r="289" spans="33:33">
      <c r="AG289" s="128"/>
    </row>
    <row r="290" spans="33:33">
      <c r="AG290" s="128"/>
    </row>
    <row r="291" spans="33:33">
      <c r="AG291" s="128"/>
    </row>
    <row r="292" spans="33:33">
      <c r="AG292" s="128"/>
    </row>
    <row r="293" spans="33:33">
      <c r="AG293" s="128"/>
    </row>
    <row r="294" spans="33:33">
      <c r="AG294" s="128"/>
    </row>
    <row r="295" spans="33:33">
      <c r="AG295" s="128"/>
    </row>
    <row r="296" spans="33:33">
      <c r="AG296" s="128"/>
    </row>
    <row r="297" spans="33:33">
      <c r="AG297" s="128"/>
    </row>
    <row r="298" spans="33:33">
      <c r="AG298" s="128"/>
    </row>
    <row r="299" spans="33:33">
      <c r="AG299" s="128"/>
    </row>
    <row r="300" spans="33:33">
      <c r="AG300" s="128"/>
    </row>
    <row r="301" spans="33:33">
      <c r="AG301" s="128"/>
    </row>
    <row r="302" spans="33:33">
      <c r="AG302" s="128"/>
    </row>
    <row r="303" spans="33:33">
      <c r="AG303" s="128"/>
    </row>
    <row r="304" spans="33:33">
      <c r="AG304" s="128"/>
    </row>
    <row r="305" spans="33:33">
      <c r="AG305" s="128"/>
    </row>
    <row r="306" spans="33:33">
      <c r="AG306" s="128"/>
    </row>
    <row r="307" spans="33:33">
      <c r="AG307" s="128"/>
    </row>
    <row r="308" spans="33:33">
      <c r="AG308" s="128"/>
    </row>
    <row r="309" spans="33:33">
      <c r="AG309" s="128"/>
    </row>
    <row r="310" spans="33:33">
      <c r="AG310" s="128"/>
    </row>
    <row r="311" spans="33:33">
      <c r="AG311" s="128"/>
    </row>
    <row r="312" spans="33:33">
      <c r="AG312" s="128"/>
    </row>
    <row r="313" spans="33:33">
      <c r="AG313" s="128"/>
    </row>
    <row r="314" spans="33:33">
      <c r="AG314" s="128"/>
    </row>
    <row r="315" spans="33:33">
      <c r="AG315" s="128"/>
    </row>
    <row r="316" spans="33:33">
      <c r="AG316" s="128"/>
    </row>
    <row r="317" spans="33:33">
      <c r="AG317" s="128"/>
    </row>
    <row r="318" spans="33:33">
      <c r="AG318" s="128"/>
    </row>
    <row r="319" spans="33:33">
      <c r="AG319" s="128"/>
    </row>
    <row r="320" spans="33:33">
      <c r="AG320" s="128"/>
    </row>
    <row r="321" spans="33:33">
      <c r="AG321" s="128"/>
    </row>
    <row r="322" spans="33:33">
      <c r="AG322" s="128"/>
    </row>
    <row r="323" spans="33:33">
      <c r="AG323" s="128"/>
    </row>
    <row r="324" spans="33:33">
      <c r="AG324" s="128"/>
    </row>
    <row r="325" spans="33:33">
      <c r="AG325" s="269"/>
    </row>
    <row r="326" spans="33:33">
      <c r="AG326" s="128"/>
    </row>
    <row r="327" spans="33:33">
      <c r="AG327" s="128"/>
    </row>
    <row r="328" spans="33:33">
      <c r="AG328" s="128"/>
    </row>
    <row r="329" spans="33:33">
      <c r="AG329" s="128"/>
    </row>
    <row r="330" spans="33:33">
      <c r="AG330" s="128"/>
    </row>
    <row r="331" spans="33:33">
      <c r="AG331" s="128"/>
    </row>
    <row r="332" spans="33:33">
      <c r="AG332" s="128"/>
    </row>
    <row r="333" spans="33:33">
      <c r="AG333" s="128"/>
    </row>
    <row r="334" spans="33:33">
      <c r="AG334" s="128"/>
    </row>
    <row r="335" spans="33:33">
      <c r="AG335" s="128"/>
    </row>
    <row r="336" spans="33:33">
      <c r="AG336" s="128"/>
    </row>
    <row r="337" spans="33:33">
      <c r="AG337" s="128"/>
    </row>
    <row r="338" spans="33:33">
      <c r="AG338" s="128"/>
    </row>
    <row r="339" spans="33:33">
      <c r="AG339" s="128"/>
    </row>
    <row r="340" spans="33:33">
      <c r="AG340" s="128"/>
    </row>
    <row r="341" spans="33:33">
      <c r="AG341" s="128"/>
    </row>
    <row r="342" spans="33:33">
      <c r="AG342" s="128"/>
    </row>
    <row r="343" spans="33:33">
      <c r="AG343" s="128"/>
    </row>
    <row r="344" spans="33:33">
      <c r="AG344" s="128"/>
    </row>
    <row r="345" spans="33:33">
      <c r="AG345" s="128"/>
    </row>
    <row r="346" spans="33:33">
      <c r="AG346" s="128"/>
    </row>
    <row r="347" spans="33:33">
      <c r="AG347" s="128"/>
    </row>
    <row r="348" spans="33:33">
      <c r="AG348" s="128"/>
    </row>
    <row r="349" spans="33:33">
      <c r="AG349" s="128"/>
    </row>
    <row r="350" spans="33:33">
      <c r="AG350" s="128"/>
    </row>
    <row r="351" spans="33:33">
      <c r="AG351" s="128"/>
    </row>
    <row r="352" spans="33:33">
      <c r="AG352" s="128"/>
    </row>
    <row r="353" spans="33:33">
      <c r="AG353" s="128"/>
    </row>
    <row r="354" spans="33:33">
      <c r="AG354" s="128"/>
    </row>
    <row r="355" spans="33:33">
      <c r="AG355" s="128"/>
    </row>
    <row r="356" spans="33:33">
      <c r="AG356" s="128"/>
    </row>
    <row r="357" spans="33:33">
      <c r="AG357" s="128"/>
    </row>
    <row r="358" spans="33:33">
      <c r="AG358" s="128"/>
    </row>
    <row r="359" spans="33:33">
      <c r="AG359" s="128"/>
    </row>
    <row r="360" spans="33:33">
      <c r="AG360" s="128"/>
    </row>
    <row r="361" spans="33:33">
      <c r="AG361" s="128"/>
    </row>
    <row r="362" spans="33:33">
      <c r="AG362" s="128"/>
    </row>
    <row r="363" spans="33:33">
      <c r="AG363" s="128"/>
    </row>
    <row r="364" spans="33:33">
      <c r="AG364" s="128"/>
    </row>
    <row r="365" spans="33:33">
      <c r="AG365" s="128"/>
    </row>
    <row r="366" spans="33:33">
      <c r="AG366" s="128"/>
    </row>
    <row r="367" spans="33:33">
      <c r="AG367" s="128"/>
    </row>
    <row r="368" spans="33:33">
      <c r="AG368" s="128"/>
    </row>
    <row r="369" spans="33:33">
      <c r="AG369" s="128"/>
    </row>
    <row r="370" spans="33:33">
      <c r="AG370" s="128"/>
    </row>
    <row r="371" spans="33:33">
      <c r="AG371" s="128"/>
    </row>
    <row r="372" spans="33:33">
      <c r="AG372" s="128"/>
    </row>
    <row r="373" spans="33:33">
      <c r="AG373" s="128"/>
    </row>
    <row r="374" spans="33:33">
      <c r="AG374" s="128"/>
    </row>
    <row r="375" spans="33:33">
      <c r="AG375" s="128"/>
    </row>
    <row r="376" spans="33:33">
      <c r="AG376" s="128"/>
    </row>
    <row r="377" spans="33:33">
      <c r="AG377" s="128"/>
    </row>
    <row r="378" spans="33:33">
      <c r="AG378" s="128"/>
    </row>
    <row r="379" spans="33:33">
      <c r="AG379" s="128"/>
    </row>
    <row r="380" spans="33:33">
      <c r="AG380" s="128"/>
    </row>
    <row r="381" spans="33:33">
      <c r="AG381" s="128"/>
    </row>
    <row r="382" spans="33:33">
      <c r="AG382" s="128"/>
    </row>
    <row r="383" spans="33:33">
      <c r="AG383" s="269"/>
    </row>
    <row r="384" spans="33:33">
      <c r="AG384" s="128"/>
    </row>
    <row r="385" spans="33:33">
      <c r="AG385" s="128"/>
    </row>
    <row r="386" spans="33:33">
      <c r="AG386" s="128"/>
    </row>
    <row r="387" spans="33:33">
      <c r="AG387" s="128"/>
    </row>
    <row r="388" spans="33:33">
      <c r="AG388" s="128"/>
    </row>
    <row r="389" spans="33:33">
      <c r="AG389" s="128"/>
    </row>
    <row r="390" spans="33:33">
      <c r="AG390" s="128"/>
    </row>
    <row r="391" spans="33:33">
      <c r="AG391" s="128"/>
    </row>
    <row r="392" spans="33:33">
      <c r="AG392" s="128"/>
    </row>
    <row r="393" spans="33:33">
      <c r="AG393" s="128"/>
    </row>
    <row r="394" spans="33:33">
      <c r="AG394" s="128"/>
    </row>
    <row r="395" spans="33:33">
      <c r="AG395" s="128"/>
    </row>
    <row r="396" spans="33:33">
      <c r="AG396" s="128"/>
    </row>
    <row r="397" spans="33:33">
      <c r="AG397" s="128"/>
    </row>
    <row r="398" spans="33:33">
      <c r="AG398" s="128"/>
    </row>
    <row r="399" spans="33:33">
      <c r="AG399" s="128"/>
    </row>
    <row r="400" spans="33:33">
      <c r="AG400" s="128"/>
    </row>
    <row r="401" spans="33:33">
      <c r="AG401" s="128"/>
    </row>
    <row r="402" spans="33:33">
      <c r="AG402" s="128"/>
    </row>
    <row r="403" spans="33:33">
      <c r="AG403" s="128"/>
    </row>
    <row r="404" spans="33:33">
      <c r="AG404" s="128"/>
    </row>
    <row r="405" spans="33:33">
      <c r="AG405" s="128"/>
    </row>
    <row r="406" spans="33:33">
      <c r="AG406" s="128"/>
    </row>
    <row r="407" spans="33:33">
      <c r="AG407" s="128"/>
    </row>
    <row r="408" spans="33:33">
      <c r="AG408" s="128"/>
    </row>
    <row r="409" spans="33:33">
      <c r="AG409" s="128"/>
    </row>
    <row r="410" spans="33:33">
      <c r="AG410" s="128"/>
    </row>
    <row r="411" spans="33:33">
      <c r="AG411" s="128"/>
    </row>
    <row r="412" spans="33:33">
      <c r="AG412" s="128"/>
    </row>
    <row r="413" spans="33:33">
      <c r="AG413" s="128"/>
    </row>
    <row r="414" spans="33:33">
      <c r="AG414" s="128"/>
    </row>
    <row r="415" spans="33:33">
      <c r="AG415" s="128"/>
    </row>
    <row r="416" spans="33:33">
      <c r="AG416" s="128"/>
    </row>
    <row r="417" spans="33:33">
      <c r="AG417" s="128"/>
    </row>
    <row r="418" spans="33:33">
      <c r="AG418" s="128"/>
    </row>
    <row r="419" spans="33:33">
      <c r="AG419" s="128"/>
    </row>
    <row r="420" spans="33:33">
      <c r="AG420" s="128"/>
    </row>
    <row r="421" spans="33:33">
      <c r="AG421" s="128"/>
    </row>
    <row r="422" spans="33:33">
      <c r="AG422" s="128"/>
    </row>
    <row r="423" spans="33:33">
      <c r="AG423" s="128"/>
    </row>
    <row r="424" spans="33:33">
      <c r="AG424" s="128"/>
    </row>
    <row r="425" spans="33:33">
      <c r="AG425" s="128"/>
    </row>
    <row r="426" spans="33:33">
      <c r="AG426" s="128"/>
    </row>
    <row r="427" spans="33:33">
      <c r="AG427" s="128"/>
    </row>
    <row r="428" spans="33:33">
      <c r="AG428" s="128"/>
    </row>
    <row r="429" spans="33:33">
      <c r="AG429" s="128"/>
    </row>
    <row r="430" spans="33:33">
      <c r="AG430" s="128"/>
    </row>
    <row r="431" spans="33:33">
      <c r="AG431" s="128"/>
    </row>
    <row r="432" spans="33:33">
      <c r="AG432" s="128"/>
    </row>
    <row r="433" spans="33:33">
      <c r="AG433" s="128"/>
    </row>
    <row r="434" spans="33:33">
      <c r="AG434" s="128"/>
    </row>
    <row r="435" spans="33:33">
      <c r="AG435" s="128"/>
    </row>
    <row r="436" spans="33:33">
      <c r="AG436" s="128"/>
    </row>
    <row r="437" spans="33:33">
      <c r="AG437" s="128"/>
    </row>
    <row r="438" spans="33:33">
      <c r="AG438" s="128"/>
    </row>
    <row r="439" spans="33:33">
      <c r="AG439" s="128"/>
    </row>
    <row r="440" spans="33:33">
      <c r="AG440" s="269"/>
    </row>
    <row r="441" spans="33:33">
      <c r="AG441" s="128"/>
    </row>
    <row r="442" spans="33:33">
      <c r="AG442" s="128"/>
    </row>
    <row r="443" spans="33:33">
      <c r="AG443" s="128"/>
    </row>
    <row r="444" spans="33:33">
      <c r="AG444" s="128"/>
    </row>
    <row r="445" spans="33:33">
      <c r="AG445" s="128"/>
    </row>
    <row r="446" spans="33:33">
      <c r="AG446" s="128"/>
    </row>
    <row r="447" spans="33:33">
      <c r="AG447" s="128"/>
    </row>
    <row r="448" spans="33:33">
      <c r="AG448" s="128"/>
    </row>
    <row r="449" spans="33:33">
      <c r="AG449" s="128"/>
    </row>
    <row r="450" spans="33:33">
      <c r="AG450" s="128"/>
    </row>
    <row r="451" spans="33:33">
      <c r="AG451" s="128"/>
    </row>
    <row r="452" spans="33:33">
      <c r="AG452" s="128"/>
    </row>
    <row r="453" spans="33:33">
      <c r="AG453" s="128"/>
    </row>
    <row r="454" spans="33:33">
      <c r="AG454" s="128"/>
    </row>
    <row r="455" spans="33:33">
      <c r="AG455" s="128"/>
    </row>
    <row r="456" spans="33:33">
      <c r="AG456" s="128"/>
    </row>
    <row r="457" spans="33:33">
      <c r="AG457" s="128"/>
    </row>
    <row r="458" spans="33:33">
      <c r="AG458" s="128"/>
    </row>
    <row r="459" spans="33:33">
      <c r="AG459" s="128"/>
    </row>
    <row r="460" spans="33:33">
      <c r="AG460" s="128"/>
    </row>
    <row r="461" spans="33:33">
      <c r="AG461" s="128"/>
    </row>
    <row r="462" spans="33:33">
      <c r="AG462" s="128"/>
    </row>
    <row r="463" spans="33:33">
      <c r="AG463" s="128"/>
    </row>
    <row r="464" spans="33:33">
      <c r="AG464" s="128"/>
    </row>
    <row r="465" spans="33:33">
      <c r="AG465" s="128"/>
    </row>
    <row r="466" spans="33:33">
      <c r="AG466" s="128"/>
    </row>
    <row r="467" spans="33:33">
      <c r="AG467" s="128"/>
    </row>
    <row r="468" spans="33:33">
      <c r="AG468" s="244"/>
    </row>
    <row r="469" spans="33:33">
      <c r="AG469" s="128"/>
    </row>
    <row r="470" spans="33:33">
      <c r="AG470" s="128"/>
    </row>
    <row r="471" spans="33:33">
      <c r="AG471" s="128"/>
    </row>
    <row r="472" spans="33:33">
      <c r="AG472" s="128"/>
    </row>
    <row r="473" spans="33:33">
      <c r="AG473" s="128"/>
    </row>
    <row r="474" spans="33:33">
      <c r="AG474" s="128"/>
    </row>
    <row r="475" spans="33:33">
      <c r="AG475" s="128"/>
    </row>
    <row r="476" spans="33:33">
      <c r="AG476" s="128"/>
    </row>
    <row r="477" spans="33:33">
      <c r="AG477" s="128"/>
    </row>
    <row r="478" spans="33:33">
      <c r="AG478" s="128"/>
    </row>
    <row r="479" spans="33:33">
      <c r="AG479" s="128"/>
    </row>
    <row r="480" spans="33:33">
      <c r="AG480" s="128"/>
    </row>
    <row r="481" spans="33:33">
      <c r="AG481" s="128"/>
    </row>
    <row r="482" spans="33:33">
      <c r="AG482" s="269"/>
    </row>
    <row r="483" spans="33:33">
      <c r="AG483" s="128"/>
    </row>
    <row r="484" spans="33:33">
      <c r="AG484" s="128"/>
    </row>
    <row r="485" spans="33:33">
      <c r="AG485" s="128"/>
    </row>
    <row r="486" spans="33:33">
      <c r="AG486" s="128"/>
    </row>
    <row r="487" spans="33:33">
      <c r="AG487" s="128"/>
    </row>
    <row r="488" spans="33:33">
      <c r="AG488" s="128"/>
    </row>
    <row r="489" spans="33:33">
      <c r="AG489" s="128"/>
    </row>
    <row r="490" spans="33:33">
      <c r="AG490" s="128"/>
    </row>
    <row r="492" spans="33:33">
      <c r="AG492" s="128"/>
    </row>
    <row r="493" spans="33:33">
      <c r="AG493" s="128"/>
    </row>
    <row r="494" spans="33:33">
      <c r="AG494" s="269"/>
    </row>
    <row r="495" spans="33:33">
      <c r="AG495" s="128"/>
    </row>
    <row r="496" spans="33:33">
      <c r="AG496" s="269"/>
    </row>
    <row r="497" spans="33:33">
      <c r="AG497" s="128"/>
    </row>
    <row r="498" spans="33:33">
      <c r="AG498" s="128"/>
    </row>
    <row r="499" spans="33:33">
      <c r="AG499" s="128"/>
    </row>
    <row r="500" spans="33:33">
      <c r="AG500" s="269"/>
    </row>
    <row r="501" spans="33:33">
      <c r="AG501" s="125"/>
    </row>
    <row r="503" spans="33:33">
      <c r="AG503" s="128"/>
    </row>
    <row r="504" spans="33:33">
      <c r="AG504" s="269"/>
    </row>
    <row r="505" spans="33:33">
      <c r="AG505" s="128"/>
    </row>
    <row r="506" spans="33:33">
      <c r="AG506" s="128"/>
    </row>
    <row r="507" spans="33:33">
      <c r="AG507" s="269"/>
    </row>
    <row r="508" spans="33:33">
      <c r="AG508" s="128"/>
    </row>
    <row r="509" spans="33:33">
      <c r="AG509" s="128"/>
    </row>
    <row r="510" spans="33:33">
      <c r="AG510" s="128"/>
    </row>
    <row r="511" spans="33:33">
      <c r="AG511" s="128"/>
    </row>
    <row r="512" spans="33:33">
      <c r="AG512" s="128"/>
    </row>
    <row r="513" spans="33:33">
      <c r="AG513" s="269"/>
    </row>
    <row r="514" spans="33:33">
      <c r="AG514" s="128"/>
    </row>
    <row r="515" spans="33:33">
      <c r="AG515" s="128"/>
    </row>
    <row r="516" spans="33:33">
      <c r="AG516" s="128"/>
    </row>
    <row r="517" spans="33:33">
      <c r="AG517" s="128"/>
    </row>
    <row r="519" spans="33:33">
      <c r="AG519" s="269"/>
    </row>
    <row r="520" spans="33:33">
      <c r="AG520" s="128"/>
    </row>
    <row r="521" spans="33:33">
      <c r="AG521" s="128"/>
    </row>
    <row r="522" spans="33:33">
      <c r="AG522" s="128"/>
    </row>
    <row r="523" spans="33:33">
      <c r="AG523" s="128"/>
    </row>
    <row r="524" spans="33:33">
      <c r="AG524" s="128"/>
    </row>
    <row r="525" spans="33:33">
      <c r="AG525" s="128"/>
    </row>
    <row r="526" spans="33:33">
      <c r="AG526" s="128"/>
    </row>
    <row r="527" spans="33:33">
      <c r="AG527" s="128"/>
    </row>
    <row r="528" spans="33:33">
      <c r="AG528" s="26"/>
    </row>
    <row r="529" spans="33:33">
      <c r="AG529" s="128"/>
    </row>
    <row r="530" spans="33:33">
      <c r="AG530" s="128"/>
    </row>
    <row r="531" spans="33:33">
      <c r="AG531" s="128"/>
    </row>
    <row r="532" spans="33:33">
      <c r="AG532" s="128"/>
    </row>
    <row r="533" spans="33:33">
      <c r="AG533" s="128"/>
    </row>
    <row r="534" spans="33:33">
      <c r="AG534" s="128"/>
    </row>
    <row r="535" spans="33:33">
      <c r="AG535" s="128"/>
    </row>
    <row r="536" spans="33:33">
      <c r="AG536" s="269"/>
    </row>
    <row r="537" spans="33:33">
      <c r="AG537" s="128"/>
    </row>
    <row r="538" spans="33:33">
      <c r="AG538" s="128"/>
    </row>
    <row r="539" spans="33:33">
      <c r="AG539" s="128"/>
    </row>
    <row r="540" spans="33:33">
      <c r="AG540" s="128"/>
    </row>
    <row r="541" spans="33:33">
      <c r="AG541" s="128"/>
    </row>
    <row r="542" spans="33:33">
      <c r="AG542" s="128"/>
    </row>
    <row r="543" spans="33:33">
      <c r="AG543" s="269"/>
    </row>
    <row r="544" spans="33:33">
      <c r="AG544" s="128"/>
    </row>
    <row r="545" spans="33:33">
      <c r="AG545" s="128"/>
    </row>
    <row r="546" spans="33:33">
      <c r="AG546" s="128"/>
    </row>
    <row r="547" spans="33:33">
      <c r="AG547" s="128"/>
    </row>
    <row r="548" spans="33:33">
      <c r="AG548" s="128"/>
    </row>
    <row r="549" spans="33:33">
      <c r="AG549" s="128"/>
    </row>
    <row r="550" spans="33:33">
      <c r="AG550" s="128"/>
    </row>
    <row r="551" spans="33:33">
      <c r="AG551" s="269"/>
    </row>
    <row r="552" spans="33:33">
      <c r="AG552" s="128"/>
    </row>
    <row r="553" spans="33:33">
      <c r="AG553" s="128"/>
    </row>
    <row r="554" spans="33:33">
      <c r="AG554" s="128"/>
    </row>
    <row r="555" spans="33:33">
      <c r="AG555" s="128"/>
    </row>
    <row r="556" spans="33:33">
      <c r="AG556" s="128"/>
    </row>
    <row r="557" spans="33:33">
      <c r="AG557" s="128"/>
    </row>
    <row r="558" spans="33:33">
      <c r="AG558" s="128"/>
    </row>
    <row r="559" spans="33:33">
      <c r="AG559" s="128"/>
    </row>
    <row r="560" spans="33:33">
      <c r="AG560" s="128"/>
    </row>
    <row r="561" spans="33:33">
      <c r="AG561" s="125"/>
    </row>
    <row r="562" spans="33:33">
      <c r="AG562" s="125"/>
    </row>
    <row r="563" spans="33:33">
      <c r="AG563" s="128"/>
    </row>
    <row r="564" spans="33:33">
      <c r="AG564" s="128"/>
    </row>
    <row r="565" spans="33:33">
      <c r="AG565" s="128"/>
    </row>
    <row r="566" spans="33:33">
      <c r="AG566" s="128"/>
    </row>
    <row r="567" spans="33:33">
      <c r="AG567" s="128"/>
    </row>
    <row r="568" spans="33:33">
      <c r="AG568" s="128"/>
    </row>
    <row r="569" spans="33:33">
      <c r="AG569" s="128"/>
    </row>
    <row r="570" spans="33:33">
      <c r="AG570" s="128"/>
    </row>
    <row r="571" spans="33:33">
      <c r="AG571" s="128"/>
    </row>
    <row r="572" spans="33:33">
      <c r="AG572" s="128"/>
    </row>
    <row r="573" spans="33:33">
      <c r="AG573" s="128"/>
    </row>
    <row r="574" spans="33:33">
      <c r="AG574" s="269"/>
    </row>
    <row r="575" spans="33:33">
      <c r="AG575" s="128"/>
    </row>
    <row r="576" spans="33:33">
      <c r="AG576" s="128"/>
    </row>
    <row r="577" spans="33:33">
      <c r="AG577" s="269"/>
    </row>
    <row r="578" spans="33:33">
      <c r="AG578" s="128"/>
    </row>
    <row r="579" spans="33:33">
      <c r="AG579" s="128"/>
    </row>
    <row r="580" spans="33:33">
      <c r="AG580" s="128"/>
    </row>
    <row r="581" spans="33:33">
      <c r="AG581" s="43"/>
    </row>
    <row r="583" spans="33:33">
      <c r="AG583" s="128"/>
    </row>
    <row r="584" spans="33:33">
      <c r="AG584" s="128"/>
    </row>
    <row r="585" spans="33:33">
      <c r="AG585" s="128"/>
    </row>
    <row r="586" spans="33:33">
      <c r="AG586" s="128"/>
    </row>
    <row r="587" spans="33:33">
      <c r="AG587" s="128"/>
    </row>
    <row r="588" spans="33:33">
      <c r="AG588" s="128"/>
    </row>
    <row r="589" spans="33:33">
      <c r="AG589" s="128"/>
    </row>
    <row r="590" spans="33:33">
      <c r="AG590" s="128"/>
    </row>
    <row r="591" spans="33:33">
      <c r="AG591" s="125"/>
    </row>
    <row r="592" spans="33:33">
      <c r="AG592" s="128"/>
    </row>
    <row r="593" spans="33:33">
      <c r="AG593" s="128"/>
    </row>
    <row r="594" spans="33:33">
      <c r="AG594" s="128"/>
    </row>
    <row r="595" spans="33:33">
      <c r="AG595" s="128"/>
    </row>
    <row r="596" spans="33:33">
      <c r="AG596" s="128"/>
    </row>
    <row r="597" spans="33:33">
      <c r="AG597" s="128"/>
    </row>
    <row r="598" spans="33:33">
      <c r="AG598" s="128"/>
    </row>
    <row r="599" spans="33:33">
      <c r="AG599" s="128"/>
    </row>
    <row r="601" spans="33:33">
      <c r="AG601" s="128"/>
    </row>
    <row r="602" spans="33:33">
      <c r="AG602" s="128"/>
    </row>
    <row r="603" spans="33:33">
      <c r="AG603" s="128"/>
    </row>
    <row r="604" spans="33:33">
      <c r="AG604" s="128"/>
    </row>
    <row r="605" spans="33:33">
      <c r="AG605" s="269"/>
    </row>
    <row r="606" spans="33:33">
      <c r="AG606" s="128"/>
    </row>
    <row r="607" spans="33:33">
      <c r="AG607" s="128"/>
    </row>
    <row r="608" spans="33:33">
      <c r="AG608" s="128"/>
    </row>
    <row r="609" spans="33:33">
      <c r="AG609" s="128"/>
    </row>
    <row r="610" spans="33:33">
      <c r="AG610" s="128"/>
    </row>
    <row r="611" spans="33:33">
      <c r="AG611" s="128"/>
    </row>
    <row r="612" spans="33:33">
      <c r="AG612" s="125"/>
    </row>
    <row r="613" spans="33:33">
      <c r="AG613" s="128"/>
    </row>
    <row r="614" spans="33:33">
      <c r="AG614" s="269"/>
    </row>
    <row r="615" spans="33:33">
      <c r="AG615" s="128"/>
    </row>
    <row r="616" spans="33:33">
      <c r="AG616" s="128"/>
    </row>
    <row r="617" spans="33:33">
      <c r="AG617" s="128"/>
    </row>
    <row r="618" spans="33:33">
      <c r="AG618" s="128"/>
    </row>
    <row r="619" spans="33:33">
      <c r="AG619" s="128"/>
    </row>
    <row r="620" spans="33:33">
      <c r="AG620" s="128"/>
    </row>
    <row r="621" spans="33:33">
      <c r="AG621" s="128"/>
    </row>
    <row r="622" spans="33:33">
      <c r="AG622" s="128"/>
    </row>
    <row r="623" spans="33:33">
      <c r="AG623" s="128"/>
    </row>
    <row r="624" spans="33:33">
      <c r="AG624" s="128"/>
    </row>
    <row r="625" spans="33:33">
      <c r="AG625" s="128"/>
    </row>
    <row r="626" spans="33:33">
      <c r="AG626" s="128"/>
    </row>
    <row r="627" spans="33:33">
      <c r="AG627" s="128"/>
    </row>
    <row r="628" spans="33:33">
      <c r="AG628" s="128"/>
    </row>
    <row r="629" spans="33:33">
      <c r="AG629" s="128"/>
    </row>
    <row r="630" spans="33:33">
      <c r="AG630" s="128"/>
    </row>
    <row r="631" spans="33:33">
      <c r="AG631" s="128"/>
    </row>
    <row r="632" spans="33:33">
      <c r="AG632" s="128"/>
    </row>
    <row r="633" spans="33:33">
      <c r="AG633" s="125"/>
    </row>
    <row r="634" spans="33:33">
      <c r="AG634" s="128"/>
    </row>
    <row r="635" spans="33:33">
      <c r="AG635" s="128"/>
    </row>
    <row r="636" spans="33:33">
      <c r="AG636" s="128"/>
    </row>
    <row r="637" spans="33:33">
      <c r="AG637" s="128"/>
    </row>
    <row r="638" spans="33:33">
      <c r="AG638" s="128"/>
    </row>
    <row r="639" spans="33:33">
      <c r="AG639" s="27"/>
    </row>
    <row r="640" spans="33:33">
      <c r="AG640" s="125"/>
    </row>
    <row r="641" spans="33:33">
      <c r="AG641" s="269"/>
    </row>
    <row r="642" spans="33:33">
      <c r="AG642" s="269"/>
    </row>
    <row r="643" spans="33:33">
      <c r="AG643" s="128"/>
    </row>
    <row r="644" spans="33:33">
      <c r="AG644" s="125"/>
    </row>
    <row r="645" spans="33:33">
      <c r="AG645" s="128"/>
    </row>
    <row r="646" spans="33:33">
      <c r="AG646" s="128"/>
    </row>
    <row r="647" spans="33:33">
      <c r="AG647" s="128"/>
    </row>
    <row r="648" spans="33:33">
      <c r="AG648" s="43"/>
    </row>
    <row r="649" spans="33:33">
      <c r="AG649" s="128"/>
    </row>
    <row r="651" spans="33:33">
      <c r="AG651" s="128"/>
    </row>
    <row r="652" spans="33:33">
      <c r="AG652" s="125"/>
    </row>
    <row r="653" spans="33:33">
      <c r="AG653" s="128"/>
    </row>
    <row r="654" spans="33:33">
      <c r="AG654" s="128"/>
    </row>
    <row r="655" spans="33:33">
      <c r="AG655" s="125"/>
    </row>
    <row r="656" spans="33:33">
      <c r="AG656" s="128"/>
    </row>
    <row r="657" spans="33:34">
      <c r="AG657" s="128"/>
    </row>
    <row r="658" spans="33:34">
      <c r="AG658" s="128"/>
    </row>
    <row r="659" spans="33:34">
      <c r="AG659" s="128"/>
    </row>
    <row r="660" spans="33:34">
      <c r="AG660" s="128"/>
    </row>
    <row r="661" spans="33:34">
      <c r="AG661" s="128"/>
    </row>
    <row r="662" spans="33:34">
      <c r="AG662" s="128"/>
    </row>
    <row r="663" spans="33:34">
      <c r="AG663" s="128"/>
    </row>
    <row r="664" spans="33:34">
      <c r="AG664" s="128"/>
    </row>
    <row r="665" spans="33:34">
      <c r="AG665" s="128"/>
    </row>
    <row r="666" spans="33:34">
      <c r="AG666" s="269"/>
    </row>
    <row r="667" spans="33:34">
      <c r="AG667" s="128"/>
    </row>
    <row r="668" spans="33:34">
      <c r="AG668" s="128"/>
    </row>
    <row r="669" spans="33:34">
      <c r="AG669" s="128"/>
    </row>
    <row r="670" spans="33:34">
      <c r="AG670" s="128"/>
    </row>
    <row r="671" spans="33:34">
      <c r="AG671" s="128"/>
      <c r="AH671" s="254" t="s">
        <v>4077</v>
      </c>
    </row>
    <row r="672" spans="33:34">
      <c r="AG672" s="128"/>
    </row>
    <row r="673" spans="33:33">
      <c r="AG673" s="125"/>
    </row>
    <row r="674" spans="33:33">
      <c r="AG674" s="128"/>
    </row>
    <row r="675" spans="33:33">
      <c r="AG675" s="128"/>
    </row>
    <row r="676" spans="33:33">
      <c r="AG676" s="128"/>
    </row>
    <row r="677" spans="33:33">
      <c r="AG677" s="128"/>
    </row>
    <row r="678" spans="33:33">
      <c r="AG678" s="269"/>
    </row>
    <row r="680" spans="33:33">
      <c r="AG680" s="128"/>
    </row>
    <row r="681" spans="33:33">
      <c r="AG681" s="128"/>
    </row>
    <row r="682" spans="33:33">
      <c r="AG682" s="128"/>
    </row>
    <row r="683" spans="33:33">
      <c r="AG683" s="27"/>
    </row>
    <row r="684" spans="33:33">
      <c r="AG684" s="128"/>
    </row>
    <row r="685" spans="33:33">
      <c r="AG685" s="269"/>
    </row>
    <row r="686" spans="33:33">
      <c r="AG686" s="125"/>
    </row>
    <row r="687" spans="33:33">
      <c r="AG687" s="128"/>
    </row>
    <row r="688" spans="33:33">
      <c r="AG688" s="128"/>
    </row>
    <row r="689" spans="33:33">
      <c r="AG689" s="128"/>
    </row>
    <row r="690" spans="33:33">
      <c r="AG690" s="128"/>
    </row>
    <row r="691" spans="33:33">
      <c r="AG691" s="128"/>
    </row>
    <row r="692" spans="33:33">
      <c r="AG692" s="128"/>
    </row>
    <row r="693" spans="33:33">
      <c r="AG693" s="128"/>
    </row>
    <row r="694" spans="33:33">
      <c r="AG694" s="128"/>
    </row>
    <row r="695" spans="33:33">
      <c r="AG695" s="128"/>
    </row>
    <row r="696" spans="33:33">
      <c r="AG696" s="128"/>
    </row>
    <row r="697" spans="33:33">
      <c r="AG697" s="128"/>
    </row>
    <row r="698" spans="33:33">
      <c r="AG698" s="128"/>
    </row>
    <row r="699" spans="33:33">
      <c r="AG699" s="128"/>
    </row>
    <row r="700" spans="33:33">
      <c r="AG700" s="269"/>
    </row>
    <row r="702" spans="33:33">
      <c r="AG702" s="128"/>
    </row>
    <row r="703" spans="33:33">
      <c r="AG703" s="128"/>
    </row>
    <row r="704" spans="33:33">
      <c r="AG704" s="128"/>
    </row>
    <row r="705" spans="33:33">
      <c r="AG705" s="128"/>
    </row>
    <row r="706" spans="33:33">
      <c r="AG706" s="128"/>
    </row>
    <row r="707" spans="33:33">
      <c r="AG707" s="128"/>
    </row>
    <row r="708" spans="33:33">
      <c r="AG708" s="128"/>
    </row>
    <row r="709" spans="33:33">
      <c r="AG709" s="128"/>
    </row>
    <row r="710" spans="33:33">
      <c r="AG710" s="128"/>
    </row>
    <row r="711" spans="33:33">
      <c r="AG711" s="128"/>
    </row>
    <row r="712" spans="33:33">
      <c r="AG712" s="128"/>
    </row>
    <row r="713" spans="33:33">
      <c r="AG713" s="128"/>
    </row>
    <row r="714" spans="33:33">
      <c r="AG714" s="128"/>
    </row>
    <row r="715" spans="33:33">
      <c r="AG715" s="128"/>
    </row>
    <row r="717" spans="33:33">
      <c r="AG717" s="128"/>
    </row>
    <row r="718" spans="33:33">
      <c r="AG718" s="125"/>
    </row>
    <row r="719" spans="33:33">
      <c r="AG719" s="128"/>
    </row>
    <row r="720" spans="33:33">
      <c r="AG720" s="128"/>
    </row>
    <row r="721" spans="33:33">
      <c r="AG721" s="128"/>
    </row>
    <row r="722" spans="33:33">
      <c r="AG722" s="128"/>
    </row>
    <row r="723" spans="33:33">
      <c r="AG723" s="128"/>
    </row>
    <row r="724" spans="33:33">
      <c r="AG724" s="128"/>
    </row>
    <row r="726" spans="33:33">
      <c r="AG726" s="128"/>
    </row>
    <row r="727" spans="33:33">
      <c r="AG727" s="128"/>
    </row>
    <row r="728" spans="33:33">
      <c r="AG728" s="128"/>
    </row>
    <row r="729" spans="33:33">
      <c r="AG729" s="128"/>
    </row>
    <row r="730" spans="33:33">
      <c r="AG730" s="128"/>
    </row>
    <row r="731" spans="33:33">
      <c r="AG731" s="128"/>
    </row>
    <row r="732" spans="33:33">
      <c r="AG732" s="128"/>
    </row>
    <row r="733" spans="33:33">
      <c r="AG733" s="128"/>
    </row>
    <row r="734" spans="33:33">
      <c r="AG734" s="128"/>
    </row>
    <row r="735" spans="33:33">
      <c r="AG735" s="125"/>
    </row>
    <row r="736" spans="33:33">
      <c r="AG736" s="128"/>
    </row>
    <row r="737" spans="33:33">
      <c r="AG737" s="128"/>
    </row>
    <row r="738" spans="33:33">
      <c r="AG738" s="128"/>
    </row>
    <row r="740" spans="33:33">
      <c r="AG740" s="128"/>
    </row>
    <row r="741" spans="33:33">
      <c r="AG741" s="128"/>
    </row>
    <row r="742" spans="33:33">
      <c r="AG742" s="269"/>
    </row>
    <row r="743" spans="33:33">
      <c r="AG743" s="128"/>
    </row>
    <row r="744" spans="33:33">
      <c r="AG744" s="269"/>
    </row>
    <row r="745" spans="33:33">
      <c r="AG745" s="128"/>
    </row>
    <row r="746" spans="33:33">
      <c r="AG746" s="128"/>
    </row>
    <row r="747" spans="33:33">
      <c r="AG747" s="128"/>
    </row>
    <row r="748" spans="33:33">
      <c r="AG748" s="269"/>
    </row>
    <row r="749" spans="33:33">
      <c r="AG749" s="269"/>
    </row>
    <row r="750" spans="33:33">
      <c r="AG750" s="128"/>
    </row>
    <row r="751" spans="33:33">
      <c r="AG751" s="128"/>
    </row>
    <row r="752" spans="33:33">
      <c r="AG752" s="128"/>
    </row>
    <row r="753" spans="33:33">
      <c r="AG753" s="128"/>
    </row>
    <row r="754" spans="33:33">
      <c r="AG754" s="269"/>
    </row>
    <row r="755" spans="33:33">
      <c r="AG755" s="128"/>
    </row>
    <row r="756" spans="33:33">
      <c r="AG756" s="269"/>
    </row>
    <row r="757" spans="33:33">
      <c r="AG757" s="128"/>
    </row>
    <row r="758" spans="33:33">
      <c r="AG758" s="269"/>
    </row>
    <row r="759" spans="33:33">
      <c r="AG759" s="128"/>
    </row>
    <row r="760" spans="33:33">
      <c r="AG760" s="128"/>
    </row>
    <row r="761" spans="33:33">
      <c r="AG761" s="128"/>
    </row>
    <row r="762" spans="33:33">
      <c r="AG762" s="128"/>
    </row>
    <row r="763" spans="33:33">
      <c r="AG763" s="128"/>
    </row>
    <row r="764" spans="33:33">
      <c r="AG764" s="128"/>
    </row>
    <row r="765" spans="33:33">
      <c r="AG765" s="128"/>
    </row>
    <row r="766" spans="33:33">
      <c r="AG766" s="128"/>
    </row>
    <row r="767" spans="33:33">
      <c r="AG767" s="128"/>
    </row>
    <row r="768" spans="33:33">
      <c r="AG768" s="128"/>
    </row>
    <row r="769" spans="33:33">
      <c r="AG769" s="128"/>
    </row>
    <row r="770" spans="33:33">
      <c r="AG770" s="128"/>
    </row>
    <row r="771" spans="33:33">
      <c r="AG771" s="128"/>
    </row>
    <row r="772" spans="33:33">
      <c r="AG772" s="128"/>
    </row>
    <row r="773" spans="33:33">
      <c r="AG773" s="128"/>
    </row>
    <row r="774" spans="33:33">
      <c r="AG774" s="128"/>
    </row>
    <row r="775" spans="33:33">
      <c r="AG775" s="269"/>
    </row>
    <row r="776" spans="33:33">
      <c r="AG776" s="128"/>
    </row>
    <row r="777" spans="33:33">
      <c r="AG777" s="128"/>
    </row>
    <row r="778" spans="33:33">
      <c r="AG778" s="128"/>
    </row>
    <row r="779" spans="33:33">
      <c r="AG779" s="128"/>
    </row>
    <row r="780" spans="33:33">
      <c r="AG780" s="128"/>
    </row>
    <row r="781" spans="33:33">
      <c r="AG781" s="128"/>
    </row>
    <row r="782" spans="33:33">
      <c r="AG782" s="128"/>
    </row>
    <row r="783" spans="33:33">
      <c r="AG783" s="269"/>
    </row>
    <row r="784" spans="33:33">
      <c r="AG784" s="128"/>
    </row>
    <row r="785" spans="33:33">
      <c r="AG785" s="128"/>
    </row>
    <row r="786" spans="33:33">
      <c r="AG786" s="128"/>
    </row>
    <row r="787" spans="33:33">
      <c r="AG787" s="128"/>
    </row>
    <row r="788" spans="33:33">
      <c r="AG788" s="128"/>
    </row>
    <row r="789" spans="33:33">
      <c r="AG789" s="128"/>
    </row>
    <row r="790" spans="33:33">
      <c r="AG790" s="128"/>
    </row>
    <row r="791" spans="33:33">
      <c r="AG791" s="128"/>
    </row>
    <row r="792" spans="33:33">
      <c r="AG792" s="128"/>
    </row>
    <row r="793" spans="33:33">
      <c r="AG793" s="128"/>
    </row>
    <row r="794" spans="33:33">
      <c r="AG794" s="125"/>
    </row>
    <row r="795" spans="33:33">
      <c r="AG795" s="128"/>
    </row>
    <row r="796" spans="33:33">
      <c r="AG796" s="128"/>
    </row>
    <row r="797" spans="33:33">
      <c r="AG797" s="269"/>
    </row>
    <row r="798" spans="33:33">
      <c r="AG798" s="128"/>
    </row>
    <row r="799" spans="33:33">
      <c r="AG799" s="128"/>
    </row>
    <row r="800" spans="33:33">
      <c r="AG800" s="128"/>
    </row>
    <row r="801" spans="33:33">
      <c r="AG801" s="128"/>
    </row>
    <row r="802" spans="33:33">
      <c r="AG802" s="128"/>
    </row>
    <row r="803" spans="33:33">
      <c r="AG803" s="128"/>
    </row>
    <row r="804" spans="33:33">
      <c r="AG804" s="128"/>
    </row>
    <row r="805" spans="33:33">
      <c r="AG805" s="269"/>
    </row>
    <row r="806" spans="33:33">
      <c r="AG806" s="269"/>
    </row>
    <row r="807" spans="33:33">
      <c r="AG807" s="128"/>
    </row>
    <row r="808" spans="33:33">
      <c r="AG808" s="269"/>
    </row>
    <row r="809" spans="33:33">
      <c r="AG809" s="128"/>
    </row>
    <row r="810" spans="33:33">
      <c r="AG810" s="128"/>
    </row>
    <row r="811" spans="33:33">
      <c r="AG811" s="128"/>
    </row>
    <row r="812" spans="33:33">
      <c r="AG812" s="128"/>
    </row>
    <row r="813" spans="33:33">
      <c r="AG813" s="128"/>
    </row>
    <row r="814" spans="33:33">
      <c r="AG814" s="128"/>
    </row>
    <row r="815" spans="33:33">
      <c r="AG815" s="128"/>
    </row>
    <row r="816" spans="33:33">
      <c r="AG816" s="269"/>
    </row>
    <row r="817" spans="33:33">
      <c r="AG817" s="128"/>
    </row>
    <row r="818" spans="33:33">
      <c r="AG818" s="128"/>
    </row>
    <row r="819" spans="33:33">
      <c r="AG819" s="128"/>
    </row>
    <row r="820" spans="33:33">
      <c r="AG820" s="128"/>
    </row>
    <row r="821" spans="33:33">
      <c r="AG821" s="128"/>
    </row>
    <row r="822" spans="33:33">
      <c r="AG822" s="128"/>
    </row>
    <row r="823" spans="33:33">
      <c r="AG823" s="128"/>
    </row>
    <row r="824" spans="33:33">
      <c r="AG824" s="128"/>
    </row>
    <row r="825" spans="33:33">
      <c r="AG825" s="128"/>
    </row>
    <row r="826" spans="33:33">
      <c r="AG826" s="128"/>
    </row>
    <row r="827" spans="33:33">
      <c r="AG827" s="128"/>
    </row>
    <row r="828" spans="33:33">
      <c r="AG828" s="129"/>
    </row>
    <row r="829" spans="33:33">
      <c r="AG829" s="128"/>
    </row>
    <row r="830" spans="33:33">
      <c r="AG830" s="128"/>
    </row>
    <row r="831" spans="33:33">
      <c r="AG831" s="128"/>
    </row>
    <row r="832" spans="33:33">
      <c r="AG832" s="128"/>
    </row>
    <row r="833" spans="33:33">
      <c r="AG833" s="128"/>
    </row>
    <row r="834" spans="33:33">
      <c r="AG834" s="128"/>
    </row>
    <row r="835" spans="33:33">
      <c r="AG835" s="128"/>
    </row>
    <row r="836" spans="33:33">
      <c r="AG836" s="269"/>
    </row>
    <row r="837" spans="33:33">
      <c r="AG837" s="128"/>
    </row>
    <row r="838" spans="33:33">
      <c r="AG838" s="128"/>
    </row>
    <row r="839" spans="33:33">
      <c r="AG839" s="128"/>
    </row>
    <row r="840" spans="33:33">
      <c r="AG840" s="128"/>
    </row>
    <row r="841" spans="33:33">
      <c r="AG841" s="128"/>
    </row>
    <row r="842" spans="33:33">
      <c r="AG842" s="128"/>
    </row>
    <row r="843" spans="33:33">
      <c r="AG843" s="128"/>
    </row>
    <row r="844" spans="33:33">
      <c r="AG844" s="128"/>
    </row>
    <row r="845" spans="33:33">
      <c r="AG845" s="128"/>
    </row>
    <row r="846" spans="33:33">
      <c r="AG846" s="128"/>
    </row>
    <row r="847" spans="33:33">
      <c r="AG847" s="128"/>
    </row>
    <row r="848" spans="33:33">
      <c r="AG848" s="128"/>
    </row>
    <row r="849" spans="33:33">
      <c r="AG849" s="128"/>
    </row>
    <row r="850" spans="33:33">
      <c r="AG850" s="128"/>
    </row>
    <row r="851" spans="33:33">
      <c r="AG851" s="269"/>
    </row>
    <row r="852" spans="33:33">
      <c r="AG852" s="269"/>
    </row>
    <row r="853" spans="33:33">
      <c r="AG853" s="128"/>
    </row>
    <row r="854" spans="33:33">
      <c r="AG854" s="128"/>
    </row>
    <row r="855" spans="33:33">
      <c r="AG855" s="128"/>
    </row>
    <row r="856" spans="33:33">
      <c r="AG856" s="128"/>
    </row>
    <row r="857" spans="33:33">
      <c r="AG857" s="128"/>
    </row>
    <row r="858" spans="33:33">
      <c r="AG858" s="128"/>
    </row>
    <row r="859" spans="33:33">
      <c r="AG859" s="128"/>
    </row>
    <row r="860" spans="33:33">
      <c r="AG860" s="128"/>
    </row>
    <row r="861" spans="33:33">
      <c r="AG861" s="128"/>
    </row>
    <row r="862" spans="33:33">
      <c r="AG862" s="269"/>
    </row>
    <row r="863" spans="33:33">
      <c r="AG863" s="128"/>
    </row>
    <row r="864" spans="33:33">
      <c r="AG864" s="128"/>
    </row>
    <row r="865" spans="33:33">
      <c r="AG865" s="128"/>
    </row>
    <row r="866" spans="33:33">
      <c r="AG866" s="128"/>
    </row>
    <row r="867" spans="33:33">
      <c r="AG867" s="128"/>
    </row>
    <row r="868" spans="33:33">
      <c r="AG868" s="128"/>
    </row>
    <row r="869" spans="33:33">
      <c r="AG869" s="125"/>
    </row>
    <row r="870" spans="33:33">
      <c r="AG870" s="128"/>
    </row>
    <row r="872" spans="33:33">
      <c r="AG872" s="128"/>
    </row>
    <row r="873" spans="33:33">
      <c r="AG873" s="269"/>
    </row>
    <row r="874" spans="33:33">
      <c r="AG874" s="128"/>
    </row>
    <row r="875" spans="33:33">
      <c r="AG875" s="128"/>
    </row>
    <row r="876" spans="33:33">
      <c r="AG876" s="128"/>
    </row>
    <row r="877" spans="33:33">
      <c r="AG877" s="128"/>
    </row>
    <row r="878" spans="33:33">
      <c r="AG878" s="128"/>
    </row>
    <row r="879" spans="33:33">
      <c r="AG879" s="128"/>
    </row>
    <row r="880" spans="33:33">
      <c r="AG880" s="128"/>
    </row>
    <row r="881" spans="33:33">
      <c r="AG881" s="128"/>
    </row>
    <row r="882" spans="33:33">
      <c r="AG882" s="128"/>
    </row>
    <row r="883" spans="33:33">
      <c r="AG883" s="128"/>
    </row>
    <row r="884" spans="33:33">
      <c r="AG884" s="128"/>
    </row>
    <row r="885" spans="33:33">
      <c r="AG885" s="128"/>
    </row>
    <row r="886" spans="33:33">
      <c r="AG886" s="128"/>
    </row>
    <row r="887" spans="33:33">
      <c r="AG887" s="128"/>
    </row>
    <row r="888" spans="33:33">
      <c r="AG888" s="128"/>
    </row>
    <row r="889" spans="33:33">
      <c r="AG889" s="128"/>
    </row>
    <row r="890" spans="33:33">
      <c r="AG890" s="128"/>
    </row>
    <row r="891" spans="33:33">
      <c r="AG891" s="128"/>
    </row>
    <row r="892" spans="33:33">
      <c r="AG892" s="128"/>
    </row>
    <row r="893" spans="33:33">
      <c r="AG893" s="128"/>
    </row>
    <row r="894" spans="33:33">
      <c r="AG894" s="128"/>
    </row>
    <row r="895" spans="33:33">
      <c r="AG895" s="128"/>
    </row>
    <row r="896" spans="33:33">
      <c r="AG896" s="128"/>
    </row>
    <row r="898" spans="33:33">
      <c r="AG898" s="128"/>
    </row>
    <row r="899" spans="33:33">
      <c r="AG899" s="128"/>
    </row>
    <row r="900" spans="33:33">
      <c r="AG900" s="128"/>
    </row>
    <row r="901" spans="33:33">
      <c r="AG901" s="128"/>
    </row>
    <row r="902" spans="33:33">
      <c r="AG902" s="128"/>
    </row>
    <row r="903" spans="33:33">
      <c r="AG903" s="128"/>
    </row>
    <row r="904" spans="33:33">
      <c r="AG904" s="128"/>
    </row>
    <row r="905" spans="33:33">
      <c r="AG905" s="128"/>
    </row>
    <row r="906" spans="33:33">
      <c r="AG906" s="51"/>
    </row>
    <row r="907" spans="33:33">
      <c r="AG907" s="128"/>
    </row>
    <row r="908" spans="33:33">
      <c r="AG908" s="128"/>
    </row>
    <row r="909" spans="33:33">
      <c r="AG909" s="128"/>
    </row>
    <row r="910" spans="33:33">
      <c r="AG910" s="128"/>
    </row>
    <row r="911" spans="33:33">
      <c r="AG911" s="128"/>
    </row>
    <row r="912" spans="33:33">
      <c r="AG912" s="128"/>
    </row>
    <row r="913" spans="33:33">
      <c r="AG913" s="128"/>
    </row>
    <row r="914" spans="33:33">
      <c r="AG914" s="128"/>
    </row>
    <row r="915" spans="33:33">
      <c r="AG915" s="128"/>
    </row>
    <row r="916" spans="33:33">
      <c r="AG916" s="128"/>
    </row>
    <row r="917" spans="33:33">
      <c r="AG917" s="269"/>
    </row>
    <row r="918" spans="33:33">
      <c r="AG918" s="26"/>
    </row>
    <row r="919" spans="33:33">
      <c r="AG919" s="269"/>
    </row>
    <row r="920" spans="33:33">
      <c r="AG920" s="128"/>
    </row>
    <row r="921" spans="33:33">
      <c r="AG921" s="128"/>
    </row>
    <row r="922" spans="33:33">
      <c r="AG922" s="128"/>
    </row>
    <row r="923" spans="33:33">
      <c r="AG923" s="128"/>
    </row>
    <row r="924" spans="33:33">
      <c r="AG924" s="128"/>
    </row>
    <row r="925" spans="33:33">
      <c r="AG925" s="128"/>
    </row>
    <row r="926" spans="33:33">
      <c r="AG926" s="128"/>
    </row>
    <row r="927" spans="33:33">
      <c r="AG927" s="128"/>
    </row>
    <row r="928" spans="33:33">
      <c r="AG928" s="128"/>
    </row>
    <row r="929" spans="15:33">
      <c r="AG929" s="128"/>
    </row>
    <row r="930" spans="15:33">
      <c r="AG930" s="128"/>
    </row>
    <row r="931" spans="15:33">
      <c r="AG931" s="128"/>
    </row>
    <row r="932" spans="15:33">
      <c r="AG932" s="128"/>
    </row>
    <row r="933" spans="15:33">
      <c r="AG933" s="128"/>
    </row>
    <row r="934" spans="15:33">
      <c r="AG934" s="128"/>
    </row>
    <row r="935" spans="15:33">
      <c r="AG935" s="128"/>
    </row>
    <row r="936" spans="15:33">
      <c r="AG936" s="128"/>
    </row>
    <row r="937" spans="15:33">
      <c r="AG937" s="128"/>
    </row>
    <row r="938" spans="15:33">
      <c r="AG938" s="128"/>
    </row>
    <row r="939" spans="15:33">
      <c r="AG939" s="128"/>
    </row>
    <row r="940" spans="15:33">
      <c r="AG940" s="128"/>
    </row>
    <row r="941" spans="15:33">
      <c r="AG941" s="269"/>
    </row>
    <row r="942" spans="15:33">
      <c r="AG942" s="269"/>
    </row>
    <row r="943" spans="15:33">
      <c r="AG943" s="27"/>
    </row>
    <row r="944" spans="15:33">
      <c r="O944" s="386"/>
      <c r="P944" s="356"/>
      <c r="Q944" s="380"/>
      <c r="AG944" s="128"/>
    </row>
    <row r="945" spans="15:33">
      <c r="AG945" s="128"/>
    </row>
    <row r="946" spans="15:33">
      <c r="AG946" s="128"/>
    </row>
    <row r="947" spans="15:33">
      <c r="AG947" s="128"/>
    </row>
    <row r="948" spans="15:33">
      <c r="AG948" s="128"/>
    </row>
    <row r="949" spans="15:33">
      <c r="AG949" s="128"/>
    </row>
    <row r="950" spans="15:33">
      <c r="AG950" s="128"/>
    </row>
    <row r="951" spans="15:33">
      <c r="AG951" s="128"/>
    </row>
    <row r="952" spans="15:33">
      <c r="AG952" s="128"/>
    </row>
    <row r="953" spans="15:33">
      <c r="AG953" s="128"/>
    </row>
    <row r="954" spans="15:33">
      <c r="O954" s="386"/>
      <c r="P954" s="356"/>
      <c r="Q954" s="380"/>
      <c r="AG954" s="128"/>
    </row>
    <row r="955" spans="15:33">
      <c r="AG955" s="128"/>
    </row>
    <row r="956" spans="15:33">
      <c r="AG956" s="128"/>
    </row>
    <row r="957" spans="15:33">
      <c r="AG957" s="269"/>
    </row>
    <row r="958" spans="15:33">
      <c r="O958" s="386"/>
      <c r="P958" s="356"/>
      <c r="Q958" s="380"/>
      <c r="AG958" s="128"/>
    </row>
    <row r="959" spans="15:33">
      <c r="AG959" s="128"/>
    </row>
    <row r="960" spans="15:33">
      <c r="AG960" s="128"/>
    </row>
    <row r="961" spans="15:33">
      <c r="AG961" s="128"/>
    </row>
    <row r="962" spans="15:33">
      <c r="AG962" s="128"/>
    </row>
    <row r="963" spans="15:33">
      <c r="O963" s="386"/>
      <c r="P963" s="356"/>
      <c r="Q963" s="380"/>
      <c r="AG963" s="128"/>
    </row>
    <row r="964" spans="15:33">
      <c r="O964" s="386"/>
      <c r="P964" s="356"/>
      <c r="Q964" s="380"/>
      <c r="AG964" s="128"/>
    </row>
    <row r="965" spans="15:33">
      <c r="O965" s="386"/>
      <c r="P965" s="356"/>
      <c r="Q965" s="380"/>
      <c r="AG965" s="128"/>
    </row>
    <row r="966" spans="15:33">
      <c r="AG966" s="128"/>
    </row>
    <row r="967" spans="15:33">
      <c r="O967" s="386"/>
      <c r="P967" s="356"/>
      <c r="Q967" s="380"/>
      <c r="AG967" s="128"/>
    </row>
    <row r="968" spans="15:33">
      <c r="O968" s="386"/>
      <c r="P968" s="356"/>
      <c r="Q968" s="380"/>
      <c r="AG968" s="128"/>
    </row>
    <row r="969" spans="15:33">
      <c r="AG969" s="27"/>
    </row>
    <row r="970" spans="15:33">
      <c r="O970" s="386"/>
      <c r="P970" s="356"/>
      <c r="Q970" s="380"/>
      <c r="AG970" s="128"/>
    </row>
    <row r="971" spans="15:33">
      <c r="AG971" s="128"/>
    </row>
    <row r="972" spans="15:33">
      <c r="O972" s="386"/>
      <c r="P972" s="356"/>
      <c r="Q972" s="380"/>
      <c r="AG972" s="128"/>
    </row>
    <row r="973" spans="15:33">
      <c r="O973" s="386"/>
      <c r="P973" s="356"/>
      <c r="Q973" s="380"/>
      <c r="AG973" s="128"/>
    </row>
    <row r="974" spans="15:33">
      <c r="O974" s="386"/>
      <c r="P974" s="356"/>
      <c r="Q974" s="380"/>
      <c r="AG974" s="128"/>
    </row>
    <row r="975" spans="15:33">
      <c r="O975" s="386"/>
      <c r="P975" s="356"/>
      <c r="Q975" s="380"/>
      <c r="AG975" s="128"/>
    </row>
    <row r="976" spans="15:33">
      <c r="O976" s="386"/>
      <c r="P976" s="356"/>
      <c r="Q976" s="380"/>
      <c r="AG976" s="125"/>
    </row>
    <row r="977" spans="15:33">
      <c r="O977" s="386"/>
      <c r="P977" s="356"/>
      <c r="Q977" s="380"/>
      <c r="AG977" s="128"/>
    </row>
    <row r="978" spans="15:33">
      <c r="O978" s="386"/>
      <c r="P978" s="356"/>
      <c r="Q978" s="380"/>
      <c r="AG978" s="128"/>
    </row>
    <row r="979" spans="15:33">
      <c r="O979" s="386"/>
      <c r="P979" s="356"/>
      <c r="Q979" s="380"/>
      <c r="AG979" s="128"/>
    </row>
    <row r="980" spans="15:33">
      <c r="AG980" s="128"/>
    </row>
    <row r="981" spans="15:33">
      <c r="AG981" s="128"/>
    </row>
    <row r="982" spans="15:33">
      <c r="AG982" s="128"/>
    </row>
    <row r="983" spans="15:33">
      <c r="AG983" s="128"/>
    </row>
    <row r="984" spans="15:33">
      <c r="AG984" s="128"/>
    </row>
    <row r="985" spans="15:33">
      <c r="AG985" s="128"/>
    </row>
    <row r="986" spans="15:33">
      <c r="AG986" s="128"/>
    </row>
    <row r="987" spans="15:33">
      <c r="AG987" s="128"/>
    </row>
    <row r="988" spans="15:33">
      <c r="O988" s="386"/>
      <c r="P988" s="356"/>
      <c r="Q988" s="380"/>
      <c r="AG988" s="128"/>
    </row>
    <row r="989" spans="15:33">
      <c r="O989" s="386"/>
      <c r="P989" s="356"/>
      <c r="Q989" s="380"/>
      <c r="AG989" s="128"/>
    </row>
    <row r="990" spans="15:33">
      <c r="O990" s="386"/>
      <c r="P990" s="356"/>
      <c r="Q990" s="380"/>
      <c r="AG990" s="128"/>
    </row>
    <row r="991" spans="15:33">
      <c r="AG991" s="128"/>
    </row>
    <row r="992" spans="15:33">
      <c r="O992" s="386"/>
      <c r="P992" s="356"/>
      <c r="Q992" s="380"/>
      <c r="AG992" s="128"/>
    </row>
    <row r="993" spans="15:33">
      <c r="O993" s="386"/>
      <c r="P993" s="356"/>
      <c r="Q993" s="380"/>
      <c r="AG993" s="128"/>
    </row>
    <row r="994" spans="15:33">
      <c r="O994" s="386"/>
      <c r="P994" s="356"/>
      <c r="Q994" s="380"/>
      <c r="AG994" s="128"/>
    </row>
    <row r="995" spans="15:33">
      <c r="O995" s="386"/>
      <c r="P995" s="356"/>
      <c r="Q995" s="380"/>
      <c r="AG995" s="128"/>
    </row>
    <row r="996" spans="15:33">
      <c r="AG996" s="128"/>
    </row>
    <row r="997" spans="15:33">
      <c r="AG997" s="128"/>
    </row>
    <row r="998" spans="15:33">
      <c r="AG998" s="128"/>
    </row>
    <row r="999" spans="15:33">
      <c r="AG999" s="128"/>
    </row>
    <row r="1000" spans="15:33">
      <c r="AG1000" s="128"/>
    </row>
    <row r="1001" spans="15:33">
      <c r="AG1001" s="128"/>
    </row>
    <row r="1002" spans="15:33">
      <c r="AG1002" s="128"/>
    </row>
    <row r="1003" spans="15:33">
      <c r="AG1003" s="128"/>
    </row>
    <row r="1004" spans="15:33">
      <c r="AG1004" s="128"/>
    </row>
    <row r="1005" spans="15:33">
      <c r="AG1005" s="128"/>
    </row>
    <row r="1006" spans="15:33">
      <c r="AG1006" s="128"/>
    </row>
    <row r="1007" spans="15:33">
      <c r="AG1007" s="128"/>
    </row>
    <row r="1008" spans="15:33">
      <c r="AG1008" s="128"/>
    </row>
    <row r="1009" spans="33:33">
      <c r="AG1009" s="128"/>
    </row>
    <row r="1010" spans="33:33">
      <c r="AG1010" s="128"/>
    </row>
    <row r="1011" spans="33:33">
      <c r="AG1011" s="128"/>
    </row>
    <row r="1012" spans="33:33">
      <c r="AG1012" s="128"/>
    </row>
    <row r="1013" spans="33:33">
      <c r="AG1013" s="128"/>
    </row>
    <row r="1014" spans="33:33">
      <c r="AG1014" s="128"/>
    </row>
    <row r="1015" spans="33:33">
      <c r="AG1015" s="128"/>
    </row>
    <row r="1016" spans="33:33">
      <c r="AG1016" s="269"/>
    </row>
    <row r="1017" spans="33:33">
      <c r="AG1017" s="128"/>
    </row>
    <row r="1018" spans="33:33">
      <c r="AG1018" s="128"/>
    </row>
    <row r="1019" spans="33:33">
      <c r="AG1019" s="128"/>
    </row>
    <row r="1020" spans="33:33">
      <c r="AG1020" s="128"/>
    </row>
    <row r="1021" spans="33:33">
      <c r="AG1021" s="271"/>
    </row>
    <row r="1022" spans="33:33">
      <c r="AG1022" s="128"/>
    </row>
    <row r="1023" spans="33:33">
      <c r="AG1023" s="128"/>
    </row>
    <row r="1024" spans="33:33">
      <c r="AG1024" s="128"/>
    </row>
    <row r="1025" spans="33:33">
      <c r="AG1025" s="128"/>
    </row>
    <row r="1026" spans="33:33">
      <c r="AG1026" s="128"/>
    </row>
    <row r="1027" spans="33:33">
      <c r="AG1027" s="128"/>
    </row>
    <row r="1028" spans="33:33">
      <c r="AG1028" s="227"/>
    </row>
    <row r="1029" spans="33:33">
      <c r="AG1029" s="128"/>
    </row>
    <row r="1030" spans="33:33">
      <c r="AG1030" s="128"/>
    </row>
    <row r="1031" spans="33:33">
      <c r="AG1031" s="128"/>
    </row>
    <row r="1032" spans="33:33">
      <c r="AG1032" s="128"/>
    </row>
    <row r="1033" spans="33:33">
      <c r="AG1033" s="128"/>
    </row>
    <row r="1034" spans="33:33">
      <c r="AG1034" s="128"/>
    </row>
    <row r="1035" spans="33:33">
      <c r="AG1035" s="128"/>
    </row>
    <row r="1036" spans="33:33">
      <c r="AG1036" s="128"/>
    </row>
    <row r="1037" spans="33:33">
      <c r="AG1037" s="128"/>
    </row>
    <row r="1038" spans="33:33">
      <c r="AG1038" s="128"/>
    </row>
    <row r="1039" spans="33:33">
      <c r="AG1039" s="269"/>
    </row>
    <row r="1040" spans="33:33">
      <c r="AG1040" s="128"/>
    </row>
    <row r="1041" spans="33:33">
      <c r="AG1041" s="128"/>
    </row>
    <row r="1042" spans="33:33">
      <c r="AG1042" s="128"/>
    </row>
    <row r="1043" spans="33:33">
      <c r="AG1043" s="128"/>
    </row>
    <row r="1044" spans="33:33">
      <c r="AG1044" s="128"/>
    </row>
    <row r="1045" spans="33:33">
      <c r="AG1045" s="128"/>
    </row>
    <row r="1046" spans="33:33">
      <c r="AG1046" s="128"/>
    </row>
    <row r="1047" spans="33:33">
      <c r="AG1047" s="128"/>
    </row>
    <row r="1048" spans="33:33">
      <c r="AG1048" s="128"/>
    </row>
    <row r="1049" spans="33:33">
      <c r="AG1049" s="128"/>
    </row>
    <row r="1050" spans="33:33">
      <c r="AG1050" s="128"/>
    </row>
    <row r="1051" spans="33:33">
      <c r="AG1051" s="269"/>
    </row>
    <row r="1052" spans="33:33">
      <c r="AG1052" s="128"/>
    </row>
    <row r="1053" spans="33:33">
      <c r="AG1053" s="27"/>
    </row>
    <row r="1054" spans="33:33">
      <c r="AG1054" s="269"/>
    </row>
    <row r="1055" spans="33:33">
      <c r="AG1055" s="128"/>
    </row>
    <row r="1056" spans="33:33">
      <c r="AG1056" s="128"/>
    </row>
    <row r="1057" spans="33:33">
      <c r="AG1057" s="128"/>
    </row>
    <row r="1058" spans="33:33">
      <c r="AG1058" s="128"/>
    </row>
    <row r="1059" spans="33:33">
      <c r="AG1059" s="269"/>
    </row>
    <row r="1060" spans="33:33">
      <c r="AG1060" s="128"/>
    </row>
    <row r="1061" spans="33:33">
      <c r="AG1061" s="128"/>
    </row>
    <row r="1062" spans="33:33">
      <c r="AG1062" s="128"/>
    </row>
    <row r="1063" spans="33:33">
      <c r="AG1063" s="128"/>
    </row>
    <row r="1064" spans="33:33">
      <c r="AG1064" s="128"/>
    </row>
    <row r="1065" spans="33:33">
      <c r="AG1065" s="128"/>
    </row>
    <row r="1066" spans="33:33">
      <c r="AG1066" s="128"/>
    </row>
    <row r="1067" spans="33:33">
      <c r="AG1067" s="128"/>
    </row>
    <row r="1068" spans="33:33">
      <c r="AG1068" s="128"/>
    </row>
    <row r="1069" spans="33:33">
      <c r="AG1069" s="128"/>
    </row>
    <row r="1070" spans="33:33">
      <c r="AG1070" s="128"/>
    </row>
    <row r="1071" spans="33:33">
      <c r="AG1071" s="128"/>
    </row>
    <row r="1072" spans="33:33">
      <c r="AG1072" s="128"/>
    </row>
    <row r="1073" spans="33:33">
      <c r="AG1073" s="128"/>
    </row>
    <row r="1074" spans="33:33">
      <c r="AG1074" s="128"/>
    </row>
    <row r="1075" spans="33:33">
      <c r="AG1075" s="128"/>
    </row>
    <row r="1076" spans="33:33">
      <c r="AG1076" s="128"/>
    </row>
    <row r="1077" spans="33:33">
      <c r="AG1077" s="128"/>
    </row>
    <row r="1078" spans="33:33">
      <c r="AG1078" s="128"/>
    </row>
    <row r="1079" spans="33:33">
      <c r="AG1079" s="269"/>
    </row>
    <row r="1080" spans="33:33">
      <c r="AG1080" s="128"/>
    </row>
    <row r="1081" spans="33:33">
      <c r="AG1081" s="128"/>
    </row>
    <row r="1082" spans="33:33">
      <c r="AG1082" s="128"/>
    </row>
    <row r="1083" spans="33:33">
      <c r="AG1083" s="128"/>
    </row>
    <row r="1084" spans="33:33">
      <c r="AG1084" s="128"/>
    </row>
    <row r="1085" spans="33:33">
      <c r="AG1085" s="128"/>
    </row>
    <row r="1086" spans="33:33">
      <c r="AG1086" s="128"/>
    </row>
    <row r="1087" spans="33:33">
      <c r="AG1087" s="128"/>
    </row>
    <row r="1088" spans="33:33">
      <c r="AG1088" s="128"/>
    </row>
    <row r="1089" spans="33:33">
      <c r="AG1089" s="128"/>
    </row>
    <row r="1090" spans="33:33">
      <c r="AG1090" s="128"/>
    </row>
    <row r="1091" spans="33:33">
      <c r="AG1091" s="128"/>
    </row>
    <row r="1092" spans="33:33">
      <c r="AG1092" s="128"/>
    </row>
    <row r="1093" spans="33:33">
      <c r="AG1093" s="128"/>
    </row>
    <row r="1094" spans="33:33">
      <c r="AG1094" s="128"/>
    </row>
    <row r="1095" spans="33:33">
      <c r="AG1095" s="128"/>
    </row>
    <row r="1096" spans="33:33">
      <c r="AG1096" s="128"/>
    </row>
    <row r="1097" spans="33:33">
      <c r="AG1097" s="128"/>
    </row>
    <row r="1098" spans="33:33">
      <c r="AG1098" s="128"/>
    </row>
    <row r="1099" spans="33:33">
      <c r="AG1099" s="128"/>
    </row>
    <row r="1100" spans="33:33">
      <c r="AG1100" s="128"/>
    </row>
    <row r="1101" spans="33:33">
      <c r="AG1101" s="128"/>
    </row>
    <row r="1102" spans="33:33">
      <c r="AG1102" s="128"/>
    </row>
    <row r="1103" spans="33:33">
      <c r="AG1103" s="128"/>
    </row>
    <row r="1104" spans="33:33">
      <c r="AG1104" s="128"/>
    </row>
    <row r="1105" spans="33:33">
      <c r="AG1105" s="128"/>
    </row>
    <row r="1106" spans="33:33">
      <c r="AG1106" s="128"/>
    </row>
    <row r="1107" spans="33:33">
      <c r="AG1107" s="128"/>
    </row>
    <row r="1108" spans="33:33">
      <c r="AG1108" s="128"/>
    </row>
    <row r="1109" spans="33:33">
      <c r="AG1109" s="128"/>
    </row>
    <row r="1110" spans="33:33">
      <c r="AG1110" s="128"/>
    </row>
    <row r="1111" spans="33:33">
      <c r="AG1111" s="128"/>
    </row>
    <row r="1112" spans="33:33">
      <c r="AG1112" s="128"/>
    </row>
    <row r="1113" spans="33:33">
      <c r="AG1113" s="128"/>
    </row>
    <row r="1114" spans="33:33">
      <c r="AG1114" s="128"/>
    </row>
    <row r="1115" spans="33:33">
      <c r="AG1115" s="128"/>
    </row>
    <row r="1116" spans="33:33">
      <c r="AG1116" s="128"/>
    </row>
    <row r="1117" spans="33:33">
      <c r="AG1117" s="128"/>
    </row>
    <row r="1118" spans="33:33">
      <c r="AG1118" s="269"/>
    </row>
    <row r="1119" spans="33:33">
      <c r="AG1119" s="128"/>
    </row>
    <row r="1120" spans="33:33">
      <c r="AG1120" s="128"/>
    </row>
    <row r="1121" spans="15:33">
      <c r="O1121" s="386"/>
      <c r="P1121" s="356"/>
      <c r="Q1121" s="380"/>
      <c r="AG1121" s="128"/>
    </row>
    <row r="1122" spans="15:33">
      <c r="AG1122" s="128"/>
    </row>
    <row r="1123" spans="15:33">
      <c r="AG1123" s="128"/>
    </row>
    <row r="1124" spans="15:33">
      <c r="AG1124" s="128"/>
    </row>
    <row r="1125" spans="15:33">
      <c r="AG1125" s="128"/>
    </row>
    <row r="1126" spans="15:33">
      <c r="AG1126" s="128"/>
    </row>
    <row r="1127" spans="15:33">
      <c r="AG1127" s="128"/>
    </row>
    <row r="1128" spans="15:33">
      <c r="AG1128" s="128"/>
    </row>
    <row r="1129" spans="15:33">
      <c r="AG1129" s="128"/>
    </row>
    <row r="1130" spans="15:33">
      <c r="AG1130" s="128"/>
    </row>
    <row r="1131" spans="15:33">
      <c r="O1131" s="386"/>
      <c r="P1131" s="356"/>
      <c r="Q1131" s="380"/>
      <c r="AG1131" s="128"/>
    </row>
    <row r="1132" spans="15:33">
      <c r="AG1132" s="128"/>
    </row>
    <row r="1133" spans="15:33">
      <c r="AG1133" s="128"/>
    </row>
    <row r="1134" spans="15:33">
      <c r="AG1134" s="128"/>
    </row>
    <row r="1135" spans="15:33">
      <c r="O1135" s="386"/>
      <c r="P1135" s="356"/>
      <c r="Q1135" s="380"/>
      <c r="AG1135" s="128"/>
    </row>
    <row r="1136" spans="15:33">
      <c r="AG1136" s="128"/>
    </row>
    <row r="1137" spans="15:33">
      <c r="AG1137" s="128"/>
    </row>
    <row r="1138" spans="15:33">
      <c r="AG1138" s="128"/>
    </row>
    <row r="1139" spans="15:33">
      <c r="AG1139" s="128"/>
    </row>
    <row r="1140" spans="15:33">
      <c r="O1140" s="386"/>
      <c r="P1140" s="356"/>
      <c r="Q1140" s="380"/>
      <c r="AG1140" s="128"/>
    </row>
    <row r="1141" spans="15:33">
      <c r="O1141" s="386"/>
      <c r="P1141" s="356"/>
      <c r="Q1141" s="380"/>
      <c r="AG1141" s="128"/>
    </row>
    <row r="1142" spans="15:33">
      <c r="O1142" s="386"/>
      <c r="P1142" s="356"/>
      <c r="Q1142" s="380"/>
      <c r="AG1142" s="128"/>
    </row>
    <row r="1143" spans="15:33">
      <c r="AG1143" s="128"/>
    </row>
    <row r="1144" spans="15:33">
      <c r="O1144" s="386"/>
      <c r="P1144" s="356"/>
      <c r="Q1144" s="380"/>
      <c r="AG1144" s="128"/>
    </row>
    <row r="1145" spans="15:33">
      <c r="O1145" s="386"/>
      <c r="P1145" s="356"/>
      <c r="Q1145" s="380"/>
      <c r="AG1145" s="128"/>
    </row>
    <row r="1146" spans="15:33">
      <c r="AG1146" s="128"/>
    </row>
    <row r="1147" spans="15:33">
      <c r="O1147" s="386"/>
      <c r="P1147" s="356"/>
      <c r="Q1147" s="380"/>
      <c r="AG1147" s="128"/>
    </row>
    <row r="1148" spans="15:33">
      <c r="AG1148" s="128"/>
    </row>
    <row r="1149" spans="15:33">
      <c r="O1149" s="386"/>
      <c r="P1149" s="356"/>
      <c r="Q1149" s="380"/>
      <c r="AG1149" s="128"/>
    </row>
    <row r="1150" spans="15:33">
      <c r="O1150" s="386"/>
      <c r="P1150" s="356"/>
      <c r="Q1150" s="380"/>
      <c r="AG1150" s="128"/>
    </row>
    <row r="1151" spans="15:33">
      <c r="O1151" s="386"/>
      <c r="P1151" s="356"/>
      <c r="Q1151" s="380"/>
      <c r="AG1151" s="125"/>
    </row>
    <row r="1152" spans="15:33">
      <c r="O1152" s="386"/>
      <c r="P1152" s="356"/>
      <c r="Q1152" s="380"/>
      <c r="AG1152" s="128"/>
    </row>
    <row r="1153" spans="15:33">
      <c r="O1153" s="386"/>
      <c r="P1153" s="356"/>
      <c r="Q1153" s="380"/>
      <c r="AG1153" s="128"/>
    </row>
    <row r="1154" spans="15:33">
      <c r="O1154" s="386"/>
      <c r="P1154" s="356"/>
      <c r="Q1154" s="380"/>
      <c r="AG1154" s="128"/>
    </row>
    <row r="1155" spans="15:33">
      <c r="O1155" s="386"/>
      <c r="P1155" s="356"/>
      <c r="Q1155" s="380"/>
      <c r="AG1155" s="128"/>
    </row>
    <row r="1156" spans="15:33">
      <c r="O1156" s="386"/>
      <c r="P1156" s="356"/>
      <c r="Q1156" s="380"/>
      <c r="AG1156" s="128"/>
    </row>
    <row r="1157" spans="15:33">
      <c r="O1157" s="386"/>
      <c r="P1157" s="356"/>
      <c r="Q1157" s="380"/>
      <c r="AG1157" s="128"/>
    </row>
    <row r="1158" spans="15:33">
      <c r="O1158" s="386"/>
      <c r="P1158" s="356"/>
      <c r="Q1158" s="380"/>
      <c r="AG1158" s="128"/>
    </row>
    <row r="1159" spans="15:33">
      <c r="AG1159" s="128"/>
    </row>
    <row r="1160" spans="15:33">
      <c r="O1160" s="386"/>
      <c r="P1160" s="356"/>
      <c r="Q1160" s="380"/>
      <c r="AG1160" s="128"/>
    </row>
    <row r="1161" spans="15:33">
      <c r="O1161" s="386"/>
      <c r="P1161" s="356"/>
      <c r="Q1161" s="380"/>
      <c r="AG1161" s="128"/>
    </row>
    <row r="1162" spans="15:33">
      <c r="O1162" s="386"/>
      <c r="P1162" s="356"/>
      <c r="Q1162" s="380"/>
      <c r="AG1162" s="128"/>
    </row>
    <row r="1163" spans="15:33">
      <c r="O1163" s="386"/>
      <c r="P1163" s="356"/>
      <c r="Q1163" s="380"/>
      <c r="AG1163" s="128"/>
    </row>
    <row r="1164" spans="15:33">
      <c r="O1164" s="386"/>
      <c r="P1164" s="356"/>
      <c r="Q1164" s="380"/>
      <c r="AG1164" s="128"/>
    </row>
    <row r="1165" spans="15:33">
      <c r="O1165" s="386"/>
      <c r="P1165" s="356"/>
      <c r="Q1165" s="380"/>
      <c r="AG1165" s="269"/>
    </row>
    <row r="1166" spans="15:33">
      <c r="O1166" s="386"/>
      <c r="P1166" s="356"/>
      <c r="Q1166" s="380"/>
      <c r="AG1166" s="128"/>
    </row>
    <row r="1167" spans="15:33">
      <c r="O1167" s="386"/>
      <c r="P1167" s="356"/>
      <c r="Q1167" s="380"/>
      <c r="AG1167" s="128"/>
    </row>
    <row r="1168" spans="15:33">
      <c r="AG1168" s="128"/>
    </row>
    <row r="1169" spans="15:33">
      <c r="O1169" s="386"/>
      <c r="P1169" s="356"/>
      <c r="Q1169" s="380"/>
      <c r="AG1169" s="128"/>
    </row>
    <row r="1170" spans="15:33">
      <c r="O1170" s="386"/>
      <c r="P1170" s="356"/>
      <c r="Q1170" s="380"/>
      <c r="AG1170" s="128"/>
    </row>
    <row r="1171" spans="15:33">
      <c r="O1171" s="386"/>
      <c r="P1171" s="356"/>
      <c r="Q1171" s="380"/>
      <c r="AG1171" s="128"/>
    </row>
    <row r="1172" spans="15:33">
      <c r="O1172" s="386"/>
      <c r="P1172" s="356"/>
      <c r="Q1172" s="380"/>
      <c r="AG1172" s="128"/>
    </row>
    <row r="1173" spans="15:33">
      <c r="O1173" s="386"/>
      <c r="P1173" s="356"/>
      <c r="Q1173" s="380"/>
      <c r="AG1173" s="128"/>
    </row>
    <row r="1174" spans="15:33">
      <c r="O1174" s="386"/>
      <c r="P1174" s="356"/>
      <c r="Q1174" s="380"/>
      <c r="AG1174" s="128"/>
    </row>
    <row r="1175" spans="15:33">
      <c r="O1175" s="386"/>
      <c r="P1175" s="356"/>
      <c r="Q1175" s="380"/>
      <c r="AG1175" s="128"/>
    </row>
    <row r="1176" spans="15:33">
      <c r="O1176" s="386"/>
      <c r="P1176" s="356"/>
      <c r="Q1176" s="380"/>
      <c r="AG1176" s="128"/>
    </row>
    <row r="1177" spans="15:33">
      <c r="O1177" s="386"/>
      <c r="P1177" s="356"/>
      <c r="Q1177" s="380"/>
      <c r="AG1177" s="128"/>
    </row>
    <row r="1178" spans="15:33">
      <c r="O1178" s="386"/>
      <c r="P1178" s="356"/>
      <c r="Q1178" s="380"/>
      <c r="AG1178" s="128"/>
    </row>
    <row r="1179" spans="15:33">
      <c r="O1179" s="386"/>
      <c r="P1179" s="356"/>
      <c r="Q1179" s="380"/>
      <c r="AG1179" s="128"/>
    </row>
    <row r="1180" spans="15:33">
      <c r="AG1180" s="27"/>
    </row>
    <row r="1181" spans="15:33">
      <c r="O1181" s="386"/>
      <c r="P1181" s="356"/>
      <c r="Q1181" s="380"/>
      <c r="AG1181" s="128"/>
    </row>
    <row r="1182" spans="15:33">
      <c r="O1182" s="386"/>
      <c r="P1182" s="356"/>
      <c r="Q1182" s="380"/>
      <c r="AG1182" s="128"/>
    </row>
    <row r="1183" spans="15:33">
      <c r="O1183" s="386"/>
      <c r="P1183" s="356"/>
      <c r="Q1183" s="380"/>
      <c r="AG1183" s="128"/>
    </row>
    <row r="1184" spans="15:33">
      <c r="O1184" s="386"/>
      <c r="P1184" s="356"/>
      <c r="Q1184" s="380"/>
      <c r="AG1184" s="128"/>
    </row>
    <row r="1185" spans="15:33">
      <c r="O1185" s="386"/>
      <c r="P1185" s="356"/>
      <c r="Q1185" s="380"/>
      <c r="AG1185" s="128"/>
    </row>
    <row r="1186" spans="15:33">
      <c r="O1186" s="386"/>
      <c r="P1186" s="356"/>
      <c r="Q1186" s="380"/>
      <c r="AG1186" s="128"/>
    </row>
    <row r="1187" spans="15:33">
      <c r="O1187" s="386"/>
      <c r="P1187" s="356"/>
      <c r="Q1187" s="380"/>
      <c r="AG1187" s="128"/>
    </row>
    <row r="1188" spans="15:33">
      <c r="O1188" s="386"/>
      <c r="P1188" s="356"/>
      <c r="Q1188" s="380"/>
      <c r="AG1188" s="128"/>
    </row>
    <row r="1189" spans="15:33">
      <c r="AG1189" s="128"/>
    </row>
    <row r="1190" spans="15:33">
      <c r="O1190" s="386"/>
      <c r="P1190" s="356"/>
      <c r="Q1190" s="380"/>
      <c r="AG1190" s="128"/>
    </row>
    <row r="1191" spans="15:33">
      <c r="O1191" s="386"/>
      <c r="P1191" s="356"/>
      <c r="Q1191" s="380"/>
      <c r="AG1191" s="128"/>
    </row>
    <row r="1192" spans="15:33">
      <c r="O1192" s="386"/>
      <c r="P1192" s="356"/>
      <c r="Q1192" s="380"/>
      <c r="AG1192" s="128"/>
    </row>
    <row r="1193" spans="15:33">
      <c r="O1193" s="386"/>
      <c r="P1193" s="356"/>
      <c r="Q1193" s="380"/>
      <c r="AG1193" s="128"/>
    </row>
    <row r="1194" spans="15:33">
      <c r="O1194" s="386"/>
      <c r="P1194" s="356"/>
      <c r="Q1194" s="380"/>
      <c r="AG1194" s="269"/>
    </row>
    <row r="1195" spans="15:33">
      <c r="O1195" s="386"/>
      <c r="P1195" s="356"/>
      <c r="Q1195" s="380"/>
      <c r="AG1195" s="128"/>
    </row>
    <row r="1196" spans="15:33">
      <c r="O1196" s="386"/>
      <c r="P1196" s="356"/>
      <c r="Q1196" s="380"/>
      <c r="AG1196" s="128"/>
    </row>
    <row r="1197" spans="15:33">
      <c r="O1197" s="386"/>
      <c r="P1197" s="356"/>
      <c r="Q1197" s="380"/>
      <c r="AG1197" s="128"/>
    </row>
    <row r="1198" spans="15:33">
      <c r="O1198" s="386"/>
      <c r="P1198" s="356"/>
      <c r="Q1198" s="380"/>
      <c r="AG1198" s="128"/>
    </row>
    <row r="1199" spans="15:33">
      <c r="O1199" s="386"/>
      <c r="P1199" s="356"/>
      <c r="Q1199" s="380"/>
      <c r="AG1199" s="128"/>
    </row>
    <row r="1200" spans="15:33">
      <c r="O1200" s="386"/>
      <c r="P1200" s="356"/>
      <c r="Q1200" s="380"/>
      <c r="AG1200" s="128"/>
    </row>
    <row r="1201" spans="15:33">
      <c r="O1201" s="386"/>
      <c r="P1201" s="356"/>
      <c r="Q1201" s="380"/>
      <c r="AG1201" s="128"/>
    </row>
    <row r="1202" spans="15:33">
      <c r="O1202" s="386"/>
      <c r="P1202" s="356"/>
      <c r="Q1202" s="380"/>
      <c r="AG1202" s="128"/>
    </row>
    <row r="1203" spans="15:33">
      <c r="O1203" s="386"/>
      <c r="P1203" s="356"/>
      <c r="Q1203" s="380"/>
      <c r="AG1203" s="128"/>
    </row>
    <row r="1204" spans="15:33">
      <c r="O1204" s="386"/>
      <c r="P1204" s="356"/>
      <c r="Q1204" s="380"/>
      <c r="AG1204" s="128"/>
    </row>
    <row r="1205" spans="15:33">
      <c r="O1205" s="386"/>
      <c r="P1205" s="356"/>
      <c r="Q1205" s="380"/>
      <c r="AG1205" s="269"/>
    </row>
    <row r="1206" spans="15:33">
      <c r="O1206" s="386"/>
      <c r="P1206" s="356"/>
      <c r="Q1206" s="380"/>
      <c r="AG1206" s="128"/>
    </row>
    <row r="1207" spans="15:33">
      <c r="O1207" s="386"/>
      <c r="P1207" s="356"/>
      <c r="Q1207" s="380"/>
      <c r="AG1207" s="128"/>
    </row>
    <row r="1208" spans="15:33">
      <c r="O1208" s="386"/>
      <c r="P1208" s="356"/>
      <c r="Q1208" s="380"/>
      <c r="AG1208" s="269"/>
    </row>
    <row r="1209" spans="15:33">
      <c r="O1209" s="386"/>
      <c r="P1209" s="356"/>
      <c r="Q1209" s="380"/>
      <c r="AG1209" s="128"/>
    </row>
    <row r="1210" spans="15:33">
      <c r="O1210" s="386"/>
      <c r="P1210" s="356"/>
      <c r="Q1210" s="380"/>
      <c r="AG1210" s="128"/>
    </row>
    <row r="1211" spans="15:33">
      <c r="O1211" s="386"/>
      <c r="P1211" s="356"/>
      <c r="Q1211" s="380"/>
      <c r="AG1211" s="128"/>
    </row>
    <row r="1212" spans="15:33">
      <c r="O1212" s="386"/>
      <c r="P1212" s="356"/>
      <c r="Q1212" s="380"/>
      <c r="AG1212" s="128"/>
    </row>
    <row r="1213" spans="15:33">
      <c r="O1213" s="386"/>
      <c r="P1213" s="356"/>
      <c r="Q1213" s="380"/>
      <c r="AG1213" s="128"/>
    </row>
    <row r="1214" spans="15:33">
      <c r="O1214" s="386"/>
      <c r="P1214" s="356"/>
      <c r="Q1214" s="380"/>
      <c r="AG1214" s="128"/>
    </row>
    <row r="1215" spans="15:33">
      <c r="O1215" s="386"/>
      <c r="P1215" s="356"/>
      <c r="Q1215" s="380"/>
      <c r="AG1215" s="128"/>
    </row>
    <row r="1216" spans="15:33">
      <c r="O1216" s="386"/>
      <c r="P1216" s="356"/>
      <c r="Q1216" s="380"/>
      <c r="AG1216" s="128"/>
    </row>
    <row r="1217" spans="1:33">
      <c r="O1217" s="386"/>
      <c r="P1217" s="356"/>
      <c r="Q1217" s="380"/>
      <c r="AG1217" s="128"/>
    </row>
    <row r="1218" spans="1:33">
      <c r="O1218" s="386"/>
      <c r="P1218" s="356"/>
      <c r="Q1218" s="380"/>
      <c r="AG1218" s="128"/>
    </row>
    <row r="1219" spans="1:33" ht="26.25">
      <c r="A1219" s="269"/>
      <c r="B1219" s="269"/>
      <c r="C1219" s="269"/>
      <c r="D1219" s="269"/>
      <c r="E1219" s="269"/>
      <c r="F1219" s="269"/>
      <c r="H1219" s="269"/>
      <c r="I1219" s="269"/>
      <c r="J1219" s="334"/>
      <c r="K1219" s="334"/>
      <c r="L1219" s="334"/>
      <c r="M1219" s="328"/>
      <c r="N1219" s="328"/>
      <c r="O1219" s="386"/>
      <c r="P1219" s="356"/>
      <c r="Q1219" s="380"/>
      <c r="S1219" s="336"/>
      <c r="T1219" s="62" ph="1"/>
      <c r="V1219" s="232"/>
      <c r="Y1219" s="269"/>
      <c r="Z1219" s="269"/>
      <c r="AA1219" s="269"/>
      <c r="AB1219" s="269"/>
      <c r="AC1219" s="269"/>
      <c r="AD1219" s="269"/>
      <c r="AE1219" s="7"/>
      <c r="AG1219" s="128"/>
    </row>
    <row r="1220" spans="1:33">
      <c r="A1220" s="269"/>
      <c r="O1220" s="386"/>
      <c r="P1220" s="356"/>
      <c r="Q1220" s="380"/>
      <c r="W1220" s="269"/>
      <c r="X1220" s="201"/>
      <c r="AG1220" s="128"/>
    </row>
    <row r="1221" spans="1:33">
      <c r="O1221" s="386"/>
      <c r="P1221" s="356"/>
      <c r="Q1221" s="380"/>
      <c r="AG1221" s="128"/>
    </row>
    <row r="1222" spans="1:33">
      <c r="O1222" s="386"/>
      <c r="P1222" s="356"/>
      <c r="Q1222" s="380"/>
      <c r="AG1222" s="128"/>
    </row>
    <row r="1223" spans="1:33">
      <c r="O1223" s="386"/>
      <c r="P1223" s="356"/>
      <c r="Q1223" s="380"/>
      <c r="AG1223" s="128"/>
    </row>
    <row r="1224" spans="1:33">
      <c r="O1224" s="386"/>
      <c r="P1224" s="356"/>
      <c r="Q1224" s="380"/>
      <c r="AG1224" s="128"/>
    </row>
    <row r="1225" spans="1:33">
      <c r="O1225" s="386"/>
      <c r="P1225" s="356"/>
      <c r="Q1225" s="380"/>
      <c r="AG1225" s="128"/>
    </row>
    <row r="1226" spans="1:33">
      <c r="A1226" s="269"/>
      <c r="G1226" s="269"/>
      <c r="O1226" s="386"/>
      <c r="P1226" s="356"/>
      <c r="Q1226" s="380"/>
      <c r="AG1226" s="128"/>
    </row>
    <row r="1227" spans="1:33">
      <c r="O1227" s="386"/>
      <c r="P1227" s="356"/>
      <c r="Q1227" s="380"/>
      <c r="AG1227" s="128"/>
    </row>
    <row r="1228" spans="1:33">
      <c r="O1228" s="386"/>
      <c r="P1228" s="356"/>
      <c r="Q1228" s="380"/>
      <c r="AG1228" s="128"/>
    </row>
    <row r="1229" spans="1:33" ht="26.25">
      <c r="A1229" s="269"/>
      <c r="B1229" s="269"/>
      <c r="C1229" s="269"/>
      <c r="D1229" s="269"/>
      <c r="E1229" s="269"/>
      <c r="F1229" s="269"/>
      <c r="H1229" s="269"/>
      <c r="I1229" s="269"/>
      <c r="J1229" s="334"/>
      <c r="K1229" s="334"/>
      <c r="L1229" s="334"/>
      <c r="M1229" s="328"/>
      <c r="N1229" s="328"/>
      <c r="O1229" s="386"/>
      <c r="P1229" s="356"/>
      <c r="Q1229" s="380"/>
      <c r="S1229" s="336"/>
      <c r="T1229" s="62" ph="1"/>
      <c r="V1229" s="232"/>
      <c r="Y1229" s="269"/>
      <c r="Z1229" s="269"/>
      <c r="AA1229" s="269"/>
      <c r="AB1229" s="269"/>
      <c r="AC1229" s="269"/>
      <c r="AD1229" s="269"/>
      <c r="AE1229" s="7"/>
      <c r="AG1229" s="128"/>
    </row>
    <row r="1230" spans="1:33">
      <c r="A1230" s="269"/>
      <c r="O1230" s="386"/>
      <c r="P1230" s="356"/>
      <c r="Q1230" s="380"/>
      <c r="W1230" s="269"/>
      <c r="X1230" s="201"/>
      <c r="AG1230" s="128"/>
    </row>
    <row r="1231" spans="1:33">
      <c r="O1231" s="386"/>
      <c r="P1231" s="356"/>
      <c r="Q1231" s="380"/>
      <c r="AG1231" s="269"/>
    </row>
    <row r="1232" spans="1:33">
      <c r="O1232" s="386"/>
      <c r="P1232" s="356"/>
      <c r="Q1232" s="380"/>
      <c r="AG1232" s="128"/>
    </row>
    <row r="1233" spans="1:33" ht="26.25">
      <c r="A1233" s="269"/>
      <c r="B1233" s="269"/>
      <c r="C1233" s="269"/>
      <c r="D1233" s="269"/>
      <c r="E1233" s="269"/>
      <c r="F1233" s="269"/>
      <c r="H1233" s="269"/>
      <c r="I1233" s="269"/>
      <c r="J1233" s="334"/>
      <c r="K1233" s="334"/>
      <c r="L1233" s="334"/>
      <c r="M1233" s="328"/>
      <c r="N1233" s="328"/>
      <c r="O1233" s="386"/>
      <c r="P1233" s="356"/>
      <c r="Q1233" s="380"/>
      <c r="S1233" s="336"/>
      <c r="T1233" s="62" ph="1"/>
      <c r="V1233" s="232"/>
      <c r="Y1233" s="269"/>
      <c r="Z1233" s="269"/>
      <c r="AA1233" s="269"/>
      <c r="AB1233" s="269"/>
      <c r="AC1233" s="269"/>
      <c r="AD1233" s="269"/>
      <c r="AE1233" s="7"/>
      <c r="AG1233" s="128"/>
    </row>
    <row r="1234" spans="1:33">
      <c r="A1234" s="269"/>
      <c r="O1234" s="386"/>
      <c r="P1234" s="356"/>
      <c r="Q1234" s="380"/>
      <c r="W1234" s="269"/>
      <c r="X1234" s="201"/>
      <c r="AG1234" s="128"/>
    </row>
    <row r="1235" spans="1:33">
      <c r="O1235" s="386"/>
      <c r="P1235" s="356"/>
      <c r="Q1235" s="380"/>
      <c r="AG1235" s="128"/>
    </row>
    <row r="1236" spans="1:33">
      <c r="A1236" s="269"/>
      <c r="G1236" s="269"/>
      <c r="O1236" s="386"/>
      <c r="P1236" s="356"/>
      <c r="Q1236" s="380"/>
      <c r="AG1236" s="128"/>
    </row>
    <row r="1237" spans="1:33">
      <c r="O1237" s="386"/>
      <c r="P1237" s="356"/>
      <c r="Q1237" s="380"/>
      <c r="AG1237" s="128"/>
    </row>
    <row r="1238" spans="1:33" ht="26.25">
      <c r="A1238" s="269"/>
      <c r="B1238" s="269"/>
      <c r="C1238" s="269"/>
      <c r="D1238" s="269"/>
      <c r="E1238" s="269"/>
      <c r="F1238" s="269"/>
      <c r="H1238" s="269"/>
      <c r="I1238" s="269"/>
      <c r="J1238" s="334"/>
      <c r="K1238" s="334"/>
      <c r="L1238" s="334"/>
      <c r="M1238" s="328"/>
      <c r="N1238" s="328"/>
      <c r="O1238" s="386"/>
      <c r="P1238" s="356"/>
      <c r="Q1238" s="380"/>
      <c r="S1238" s="336"/>
      <c r="T1238" s="62" ph="1"/>
      <c r="V1238" s="232"/>
      <c r="Y1238" s="269"/>
      <c r="Z1238" s="269"/>
      <c r="AA1238" s="269"/>
      <c r="AB1238" s="269"/>
      <c r="AC1238" s="269"/>
      <c r="AD1238" s="269"/>
      <c r="AE1238" s="7"/>
      <c r="AG1238" s="128"/>
    </row>
    <row r="1239" spans="1:33" ht="26.25">
      <c r="A1239" s="269"/>
      <c r="B1239" s="269"/>
      <c r="C1239" s="269"/>
      <c r="D1239" s="269"/>
      <c r="E1239" s="269"/>
      <c r="F1239" s="269"/>
      <c r="H1239" s="269"/>
      <c r="I1239" s="269"/>
      <c r="J1239" s="334"/>
      <c r="K1239" s="334"/>
      <c r="L1239" s="334"/>
      <c r="M1239" s="328"/>
      <c r="N1239" s="328"/>
      <c r="O1239" s="386"/>
      <c r="P1239" s="356"/>
      <c r="Q1239" s="380"/>
      <c r="S1239" s="336"/>
      <c r="T1239" s="62" ph="1"/>
      <c r="V1239" s="232"/>
      <c r="W1239" s="269"/>
      <c r="X1239" s="201"/>
      <c r="Y1239" s="269"/>
      <c r="Z1239" s="269"/>
      <c r="AA1239" s="269"/>
      <c r="AB1239" s="269"/>
      <c r="AC1239" s="269"/>
      <c r="AD1239" s="269"/>
      <c r="AE1239" s="7"/>
      <c r="AG1239" s="128"/>
    </row>
    <row r="1240" spans="1:33" ht="26.25">
      <c r="A1240" s="269"/>
      <c r="B1240" s="269"/>
      <c r="C1240" s="269"/>
      <c r="D1240" s="269"/>
      <c r="E1240" s="269"/>
      <c r="F1240" s="269"/>
      <c r="G1240" s="269"/>
      <c r="H1240" s="269"/>
      <c r="I1240" s="269"/>
      <c r="J1240" s="334"/>
      <c r="K1240" s="334"/>
      <c r="L1240" s="334"/>
      <c r="M1240" s="328"/>
      <c r="N1240" s="328"/>
      <c r="O1240" s="386"/>
      <c r="P1240" s="356"/>
      <c r="Q1240" s="380"/>
      <c r="S1240" s="336"/>
      <c r="T1240" s="62" ph="1"/>
      <c r="V1240" s="232"/>
      <c r="W1240" s="269"/>
      <c r="X1240" s="201"/>
      <c r="Y1240" s="269"/>
      <c r="Z1240" s="269"/>
      <c r="AA1240" s="269"/>
      <c r="AB1240" s="269"/>
      <c r="AC1240" s="269"/>
      <c r="AD1240" s="269"/>
      <c r="AE1240" s="7"/>
      <c r="AG1240" s="128"/>
    </row>
    <row r="1241" spans="1:33">
      <c r="A1241" s="269"/>
      <c r="O1241" s="386"/>
      <c r="P1241" s="356"/>
      <c r="Q1241" s="380"/>
      <c r="W1241" s="269"/>
      <c r="X1241" s="201"/>
      <c r="AG1241" s="128"/>
    </row>
    <row r="1242" spans="1:33" ht="26.25">
      <c r="A1242" s="269"/>
      <c r="B1242" s="269"/>
      <c r="C1242" s="269"/>
      <c r="D1242" s="269"/>
      <c r="E1242" s="269"/>
      <c r="F1242" s="269"/>
      <c r="H1242" s="269"/>
      <c r="I1242" s="269"/>
      <c r="J1242" s="334"/>
      <c r="K1242" s="334"/>
      <c r="L1242" s="334"/>
      <c r="M1242" s="328"/>
      <c r="N1242" s="328"/>
      <c r="O1242" s="386"/>
      <c r="P1242" s="356"/>
      <c r="Q1242" s="380"/>
      <c r="S1242" s="336"/>
      <c r="T1242" s="62" ph="1"/>
      <c r="V1242" s="232"/>
      <c r="Y1242" s="269"/>
      <c r="Z1242" s="269"/>
      <c r="AA1242" s="269"/>
      <c r="AB1242" s="269"/>
      <c r="AC1242" s="269"/>
      <c r="AD1242" s="269"/>
      <c r="AE1242" s="7"/>
      <c r="AG1242" s="128"/>
    </row>
    <row r="1243" spans="1:33" ht="26.25">
      <c r="A1243" s="269"/>
      <c r="B1243" s="269"/>
      <c r="C1243" s="269"/>
      <c r="D1243" s="269"/>
      <c r="E1243" s="269"/>
      <c r="F1243" s="269"/>
      <c r="H1243" s="269"/>
      <c r="I1243" s="269"/>
      <c r="J1243" s="334"/>
      <c r="K1243" s="334"/>
      <c r="L1243" s="334"/>
      <c r="M1243" s="328"/>
      <c r="N1243" s="328"/>
      <c r="O1243" s="386"/>
      <c r="P1243" s="356"/>
      <c r="Q1243" s="380"/>
      <c r="S1243" s="336"/>
      <c r="T1243" s="62" ph="1"/>
      <c r="V1243" s="232"/>
      <c r="W1243" s="269"/>
      <c r="X1243" s="201"/>
      <c r="Y1243" s="269"/>
      <c r="Z1243" s="269"/>
      <c r="AA1243" s="269"/>
      <c r="AB1243" s="269"/>
      <c r="AC1243" s="269"/>
      <c r="AD1243" s="269"/>
      <c r="AE1243" s="7"/>
      <c r="AG1243" s="128"/>
    </row>
    <row r="1244" spans="1:33">
      <c r="A1244" s="269"/>
      <c r="O1244" s="386"/>
      <c r="P1244" s="356"/>
      <c r="Q1244" s="380"/>
      <c r="W1244" s="269"/>
      <c r="X1244" s="201"/>
      <c r="AG1244" s="128"/>
    </row>
    <row r="1245" spans="1:33" ht="26.25">
      <c r="A1245" s="269"/>
      <c r="B1245" s="269"/>
      <c r="C1245" s="269"/>
      <c r="D1245" s="269"/>
      <c r="E1245" s="269"/>
      <c r="F1245" s="269"/>
      <c r="G1245" s="269"/>
      <c r="H1245" s="269"/>
      <c r="I1245" s="269"/>
      <c r="J1245" s="334"/>
      <c r="K1245" s="334"/>
      <c r="L1245" s="334"/>
      <c r="M1245" s="328"/>
      <c r="N1245" s="328"/>
      <c r="O1245" s="386"/>
      <c r="P1245" s="356"/>
      <c r="Q1245" s="380"/>
      <c r="S1245" s="336"/>
      <c r="T1245" s="62" ph="1"/>
      <c r="V1245" s="232"/>
      <c r="Y1245" s="269"/>
      <c r="Z1245" s="269"/>
      <c r="AA1245" s="269"/>
      <c r="AB1245" s="269"/>
      <c r="AC1245" s="269"/>
      <c r="AD1245" s="269"/>
      <c r="AE1245" s="7"/>
      <c r="AG1245" s="128"/>
    </row>
    <row r="1246" spans="1:33">
      <c r="A1246" s="269"/>
      <c r="G1246" s="269"/>
      <c r="O1246" s="386"/>
      <c r="P1246" s="356"/>
      <c r="Q1246" s="380"/>
      <c r="W1246" s="269"/>
      <c r="X1246" s="201"/>
      <c r="AG1246" s="128"/>
    </row>
    <row r="1247" spans="1:33" ht="26.25">
      <c r="A1247" s="269"/>
      <c r="B1247" s="269"/>
      <c r="C1247" s="269"/>
      <c r="D1247" s="269"/>
      <c r="E1247" s="269"/>
      <c r="F1247" s="269"/>
      <c r="G1247" s="269"/>
      <c r="H1247" s="269"/>
      <c r="I1247" s="269"/>
      <c r="J1247" s="334"/>
      <c r="K1247" s="334"/>
      <c r="L1247" s="334"/>
      <c r="M1247" s="328"/>
      <c r="N1247" s="328"/>
      <c r="O1247" s="386"/>
      <c r="P1247" s="356"/>
      <c r="Q1247" s="380"/>
      <c r="S1247" s="336"/>
      <c r="T1247" s="62" ph="1"/>
      <c r="V1247" s="232"/>
      <c r="Y1247" s="269"/>
      <c r="Z1247" s="269"/>
      <c r="AA1247" s="269"/>
      <c r="AB1247" s="269"/>
      <c r="AC1247" s="269"/>
      <c r="AD1247" s="269"/>
      <c r="AE1247" s="7"/>
      <c r="AG1247" s="128"/>
    </row>
    <row r="1248" spans="1:33" ht="26.25">
      <c r="A1248" s="269"/>
      <c r="B1248" s="269"/>
      <c r="C1248" s="269"/>
      <c r="D1248" s="269"/>
      <c r="E1248" s="269"/>
      <c r="F1248" s="269"/>
      <c r="H1248" s="269"/>
      <c r="I1248" s="269"/>
      <c r="J1248" s="334"/>
      <c r="K1248" s="334"/>
      <c r="L1248" s="334"/>
      <c r="M1248" s="328"/>
      <c r="N1248" s="328"/>
      <c r="O1248" s="386"/>
      <c r="P1248" s="356"/>
      <c r="Q1248" s="380"/>
      <c r="S1248" s="336"/>
      <c r="T1248" s="62" ph="1"/>
      <c r="V1248" s="232"/>
      <c r="W1248" s="269"/>
      <c r="X1248" s="201"/>
      <c r="Y1248" s="269"/>
      <c r="Z1248" s="269"/>
      <c r="AA1248" s="269"/>
      <c r="AB1248" s="269"/>
      <c r="AC1248" s="269"/>
      <c r="AD1248" s="269"/>
      <c r="AE1248" s="7"/>
      <c r="AG1248" s="128"/>
    </row>
    <row r="1249" spans="1:33" ht="26.25">
      <c r="A1249" s="269"/>
      <c r="B1249" s="269"/>
      <c r="C1249" s="269"/>
      <c r="D1249" s="269"/>
      <c r="E1249" s="269"/>
      <c r="F1249" s="269"/>
      <c r="G1249" s="269"/>
      <c r="H1249" s="269"/>
      <c r="I1249" s="269"/>
      <c r="J1249" s="334"/>
      <c r="K1249" s="334"/>
      <c r="L1249" s="334"/>
      <c r="M1249" s="328"/>
      <c r="N1249" s="328"/>
      <c r="O1249" s="386"/>
      <c r="P1249" s="356"/>
      <c r="Q1249" s="380"/>
      <c r="S1249" s="336"/>
      <c r="T1249" s="62" ph="1"/>
      <c r="V1249" s="232"/>
      <c r="W1249" s="269"/>
      <c r="X1249" s="201"/>
      <c r="Y1249" s="269"/>
      <c r="Z1249" s="269"/>
      <c r="AA1249" s="269"/>
      <c r="AB1249" s="269"/>
      <c r="AC1249" s="269"/>
      <c r="AD1249" s="269"/>
      <c r="AE1249" s="7"/>
      <c r="AG1249" s="128"/>
    </row>
    <row r="1250" spans="1:33" ht="26.25">
      <c r="A1250" s="269"/>
      <c r="B1250" s="269"/>
      <c r="C1250" s="269"/>
      <c r="D1250" s="269"/>
      <c r="E1250" s="269"/>
      <c r="F1250" s="269"/>
      <c r="G1250" s="269"/>
      <c r="H1250" s="269"/>
      <c r="I1250" s="269"/>
      <c r="J1250" s="334"/>
      <c r="K1250" s="334"/>
      <c r="L1250" s="334"/>
      <c r="M1250" s="328"/>
      <c r="N1250" s="328"/>
      <c r="O1250" s="386"/>
      <c r="P1250" s="356"/>
      <c r="Q1250" s="380"/>
      <c r="S1250" s="336"/>
      <c r="T1250" s="62" ph="1"/>
      <c r="V1250" s="232"/>
      <c r="W1250" s="269"/>
      <c r="X1250" s="201"/>
      <c r="Y1250" s="269"/>
      <c r="Z1250" s="269"/>
      <c r="AA1250" s="269"/>
      <c r="AB1250" s="269"/>
      <c r="AC1250" s="269"/>
      <c r="AD1250" s="269"/>
      <c r="AE1250" s="7"/>
      <c r="AG1250" s="128"/>
    </row>
    <row r="1251" spans="1:33" ht="26.25">
      <c r="A1251" s="269"/>
      <c r="B1251" s="269"/>
      <c r="C1251" s="269"/>
      <c r="D1251" s="269"/>
      <c r="E1251" s="269"/>
      <c r="F1251" s="269"/>
      <c r="H1251" s="269"/>
      <c r="I1251" s="269"/>
      <c r="J1251" s="334"/>
      <c r="K1251" s="334"/>
      <c r="L1251" s="334"/>
      <c r="M1251" s="328"/>
      <c r="N1251" s="328"/>
      <c r="O1251" s="386"/>
      <c r="P1251" s="356"/>
      <c r="Q1251" s="380"/>
      <c r="S1251" s="336"/>
      <c r="T1251" s="62" ph="1"/>
      <c r="V1251" s="232"/>
      <c r="W1251" s="269"/>
      <c r="X1251" s="201"/>
      <c r="Y1251" s="269"/>
      <c r="Z1251" s="269"/>
      <c r="AA1251" s="269"/>
      <c r="AB1251" s="269"/>
      <c r="AC1251" s="269"/>
      <c r="AD1251" s="269"/>
      <c r="AE1251" s="7"/>
      <c r="AG1251" s="128"/>
    </row>
    <row r="1252" spans="1:33" ht="26.25">
      <c r="A1252" s="269"/>
      <c r="B1252" s="269"/>
      <c r="C1252" s="269"/>
      <c r="D1252" s="269"/>
      <c r="E1252" s="269"/>
      <c r="F1252" s="269"/>
      <c r="G1252" s="269"/>
      <c r="H1252" s="269"/>
      <c r="I1252" s="269"/>
      <c r="J1252" s="334"/>
      <c r="K1252" s="334"/>
      <c r="L1252" s="334"/>
      <c r="M1252" s="328"/>
      <c r="N1252" s="328"/>
      <c r="O1252" s="386"/>
      <c r="P1252" s="356"/>
      <c r="Q1252" s="380"/>
      <c r="S1252" s="336"/>
      <c r="T1252" s="62" ph="1"/>
      <c r="V1252" s="232"/>
      <c r="W1252" s="269"/>
      <c r="X1252" s="201"/>
      <c r="Y1252" s="269"/>
      <c r="Z1252" s="269"/>
      <c r="AA1252" s="269"/>
      <c r="AB1252" s="269"/>
      <c r="AC1252" s="269"/>
      <c r="AD1252" s="269"/>
      <c r="AE1252" s="7"/>
      <c r="AG1252" s="128"/>
    </row>
    <row r="1253" spans="1:33" ht="26.25">
      <c r="A1253" s="269"/>
      <c r="B1253" s="269"/>
      <c r="C1253" s="269"/>
      <c r="D1253" s="269"/>
      <c r="E1253" s="269"/>
      <c r="F1253" s="269"/>
      <c r="H1253" s="269"/>
      <c r="I1253" s="269"/>
      <c r="J1253" s="334"/>
      <c r="K1253" s="334"/>
      <c r="L1253" s="334"/>
      <c r="M1253" s="328"/>
      <c r="N1253" s="328"/>
      <c r="O1253" s="386"/>
      <c r="P1253" s="356"/>
      <c r="Q1253" s="380"/>
      <c r="S1253" s="336"/>
      <c r="T1253" s="62" ph="1"/>
      <c r="V1253" s="232"/>
      <c r="W1253" s="269"/>
      <c r="X1253" s="201"/>
      <c r="Y1253" s="269"/>
      <c r="Z1253" s="269"/>
      <c r="AA1253" s="269"/>
      <c r="AB1253" s="269"/>
      <c r="AC1253" s="269"/>
      <c r="AD1253" s="269"/>
      <c r="AE1253" s="7"/>
      <c r="AG1253" s="128"/>
    </row>
    <row r="1254" spans="1:33" ht="26.25">
      <c r="A1254" s="269"/>
      <c r="B1254" s="269"/>
      <c r="C1254" s="269"/>
      <c r="D1254" s="269"/>
      <c r="E1254" s="269"/>
      <c r="F1254" s="269"/>
      <c r="G1254" s="269"/>
      <c r="H1254" s="269"/>
      <c r="I1254" s="269"/>
      <c r="J1254" s="334"/>
      <c r="K1254" s="334"/>
      <c r="L1254" s="334"/>
      <c r="M1254" s="328"/>
      <c r="N1254" s="328"/>
      <c r="O1254" s="386"/>
      <c r="P1254" s="356"/>
      <c r="Q1254" s="380"/>
      <c r="S1254" s="336"/>
      <c r="T1254" s="62" ph="1"/>
      <c r="V1254" s="232"/>
      <c r="W1254" s="269"/>
      <c r="X1254" s="201"/>
      <c r="Y1254" s="269"/>
      <c r="Z1254" s="269"/>
      <c r="AA1254" s="269"/>
      <c r="AB1254" s="269"/>
      <c r="AC1254" s="269"/>
      <c r="AD1254" s="269"/>
      <c r="AE1254" s="7"/>
      <c r="AG1254" s="128"/>
    </row>
    <row r="1255" spans="1:33" ht="26.25">
      <c r="A1255" s="269"/>
      <c r="G1255" s="269"/>
      <c r="O1255" s="386"/>
      <c r="P1255" s="356"/>
      <c r="Q1255" s="380"/>
      <c r="T1255" s="62" ph="1"/>
      <c r="W1255" s="269"/>
      <c r="X1255" s="201"/>
      <c r="AG1255" s="128"/>
    </row>
    <row r="1256" spans="1:33" ht="26.25">
      <c r="A1256" s="269"/>
      <c r="G1256" s="269"/>
      <c r="O1256" s="386"/>
      <c r="P1256" s="356"/>
      <c r="Q1256" s="380"/>
      <c r="T1256" s="62" ph="1"/>
      <c r="AG1256" s="128"/>
    </row>
    <row r="1257" spans="1:33">
      <c r="A1257" s="269"/>
      <c r="G1257" s="269"/>
      <c r="O1257" s="386"/>
      <c r="P1257" s="356"/>
      <c r="Q1257" s="380"/>
      <c r="AG1257" s="128"/>
    </row>
    <row r="1258" spans="1:33" ht="26.25">
      <c r="A1258" s="269"/>
      <c r="G1258" s="269"/>
      <c r="O1258" s="386"/>
      <c r="P1258" s="356"/>
      <c r="Q1258" s="380"/>
      <c r="T1258" s="62" ph="1"/>
      <c r="AG1258" s="128"/>
    </row>
    <row r="1259" spans="1:33" ht="26.25">
      <c r="A1259" s="269"/>
      <c r="G1259" s="269"/>
      <c r="O1259" s="386"/>
      <c r="P1259" s="356"/>
      <c r="Q1259" s="380"/>
      <c r="T1259" s="62" ph="1"/>
      <c r="AG1259" s="128"/>
    </row>
    <row r="1260" spans="1:33" ht="26.25">
      <c r="A1260" s="269"/>
      <c r="G1260" s="269"/>
      <c r="O1260" s="386"/>
      <c r="P1260" s="356"/>
      <c r="Q1260" s="380"/>
      <c r="T1260" s="62" ph="1"/>
      <c r="AG1260" s="128"/>
    </row>
    <row r="1261" spans="1:33" ht="26.25">
      <c r="A1261" s="269"/>
      <c r="G1261" s="269"/>
      <c r="O1261" s="386"/>
      <c r="P1261" s="356"/>
      <c r="Q1261" s="380"/>
      <c r="T1261" s="62" ph="1"/>
      <c r="AG1261" s="128"/>
    </row>
    <row r="1262" spans="1:33" ht="26.25">
      <c r="A1262" s="269"/>
      <c r="O1262" s="386"/>
      <c r="P1262" s="356"/>
      <c r="Q1262" s="380"/>
      <c r="T1262" s="62" ph="1"/>
      <c r="AG1262" s="128"/>
    </row>
    <row r="1263" spans="1:33" ht="26.25">
      <c r="A1263" s="269"/>
      <c r="B1263" s="269"/>
      <c r="C1263" s="269"/>
      <c r="D1263" s="269"/>
      <c r="E1263" s="269"/>
      <c r="F1263" s="269"/>
      <c r="G1263" s="269"/>
      <c r="H1263" s="269"/>
      <c r="I1263" s="269"/>
      <c r="J1263" s="334"/>
      <c r="K1263" s="334"/>
      <c r="L1263" s="334"/>
      <c r="M1263" s="328"/>
      <c r="N1263" s="328"/>
      <c r="O1263" s="386"/>
      <c r="P1263" s="356"/>
      <c r="Q1263" s="380"/>
      <c r="S1263" s="336"/>
      <c r="T1263" s="62" ph="1"/>
      <c r="V1263" s="232"/>
      <c r="W1263" s="269"/>
      <c r="X1263" s="201"/>
      <c r="Y1263" s="269"/>
      <c r="Z1263" s="269"/>
      <c r="AA1263" s="269"/>
      <c r="AB1263" s="269"/>
      <c r="AC1263" s="269"/>
      <c r="AD1263" s="269"/>
      <c r="AE1263" s="269"/>
      <c r="AG1263" s="128"/>
    </row>
    <row r="1264" spans="1:33" ht="26.25">
      <c r="A1264" s="269"/>
      <c r="B1264" s="269"/>
      <c r="C1264" s="269"/>
      <c r="D1264" s="269"/>
      <c r="E1264" s="269"/>
      <c r="F1264" s="269"/>
      <c r="G1264" s="269"/>
      <c r="H1264" s="269"/>
      <c r="I1264" s="269"/>
      <c r="J1264" s="334"/>
      <c r="K1264" s="334"/>
      <c r="L1264" s="334"/>
      <c r="M1264" s="328"/>
      <c r="N1264" s="328"/>
      <c r="O1264" s="386"/>
      <c r="P1264" s="356"/>
      <c r="Q1264" s="380"/>
      <c r="S1264" s="336"/>
      <c r="T1264" s="62" ph="1"/>
      <c r="V1264" s="232"/>
      <c r="W1264" s="269"/>
      <c r="X1264" s="201"/>
      <c r="Y1264" s="269"/>
      <c r="Z1264" s="269"/>
      <c r="AA1264" s="269"/>
      <c r="AB1264" s="269"/>
      <c r="AC1264" s="269"/>
      <c r="AD1264" s="269"/>
      <c r="AE1264" s="269"/>
      <c r="AG1264" s="269"/>
    </row>
    <row r="1265" spans="1:33" ht="26.25">
      <c r="A1265" s="269"/>
      <c r="B1265" s="269"/>
      <c r="C1265" s="269"/>
      <c r="D1265" s="269"/>
      <c r="E1265" s="269"/>
      <c r="F1265" s="269"/>
      <c r="G1265" s="269"/>
      <c r="H1265" s="269"/>
      <c r="I1265" s="269"/>
      <c r="J1265" s="334"/>
      <c r="K1265" s="334"/>
      <c r="L1265" s="334"/>
      <c r="M1265" s="328"/>
      <c r="N1265" s="328"/>
      <c r="O1265" s="386"/>
      <c r="P1265" s="356"/>
      <c r="Q1265" s="380"/>
      <c r="S1265" s="336"/>
      <c r="T1265" s="62" ph="1"/>
      <c r="V1265" s="232"/>
      <c r="W1265" s="269"/>
      <c r="X1265" s="201"/>
      <c r="Y1265" s="269"/>
      <c r="Z1265" s="269"/>
      <c r="AA1265" s="269"/>
      <c r="AB1265" s="269"/>
      <c r="AC1265" s="269"/>
      <c r="AD1265" s="269"/>
      <c r="AE1265" s="269"/>
      <c r="AG1265" s="269"/>
    </row>
    <row r="1266" spans="1:33">
      <c r="O1266" s="386"/>
      <c r="P1266" s="356"/>
      <c r="Q1266" s="380"/>
      <c r="AG1266" s="128"/>
    </row>
    <row r="1267" spans="1:33" ht="26.25">
      <c r="A1267" s="269"/>
      <c r="B1267" s="269"/>
      <c r="C1267" s="269"/>
      <c r="D1267" s="269"/>
      <c r="E1267" s="269"/>
      <c r="F1267" s="269"/>
      <c r="G1267" s="269"/>
      <c r="H1267" s="269"/>
      <c r="I1267" s="269"/>
      <c r="J1267" s="334"/>
      <c r="K1267" s="334"/>
      <c r="L1267" s="334"/>
      <c r="M1267" s="328"/>
      <c r="N1267" s="328"/>
      <c r="O1267" s="386"/>
      <c r="P1267" s="356"/>
      <c r="Q1267" s="380"/>
      <c r="S1267" s="336"/>
      <c r="T1267" s="62" ph="1"/>
      <c r="V1267" s="232"/>
      <c r="W1267" s="269"/>
      <c r="X1267" s="201"/>
      <c r="Y1267" s="269"/>
      <c r="Z1267" s="269"/>
      <c r="AA1267" s="269"/>
      <c r="AB1267" s="269"/>
      <c r="AC1267" s="269"/>
      <c r="AD1267" s="269"/>
      <c r="AE1267" s="269"/>
      <c r="AG1267" s="128"/>
    </row>
    <row r="1268" spans="1:33" ht="26.25">
      <c r="A1268" s="269"/>
      <c r="B1268" s="269"/>
      <c r="C1268" s="269"/>
      <c r="D1268" s="269"/>
      <c r="E1268" s="269"/>
      <c r="F1268" s="269"/>
      <c r="G1268" s="269"/>
      <c r="H1268" s="269"/>
      <c r="I1268" s="269"/>
      <c r="J1268" s="334"/>
      <c r="K1268" s="334"/>
      <c r="L1268" s="334"/>
      <c r="M1268" s="328"/>
      <c r="N1268" s="328"/>
      <c r="O1268" s="386"/>
      <c r="P1268" s="356"/>
      <c r="Q1268" s="380"/>
      <c r="S1268" s="336"/>
      <c r="T1268" s="62" ph="1"/>
      <c r="V1268" s="232"/>
      <c r="W1268" s="269"/>
      <c r="X1268" s="201"/>
      <c r="Y1268" s="269"/>
      <c r="Z1268" s="269"/>
      <c r="AA1268" s="269"/>
      <c r="AB1268" s="269"/>
      <c r="AC1268" s="269"/>
      <c r="AD1268" s="269"/>
      <c r="AE1268" s="269"/>
      <c r="AG1268" s="128"/>
    </row>
    <row r="1269" spans="1:33" ht="26.25">
      <c r="A1269" s="269"/>
      <c r="B1269" s="269"/>
      <c r="C1269" s="269"/>
      <c r="D1269" s="269"/>
      <c r="E1269" s="269"/>
      <c r="F1269" s="269"/>
      <c r="G1269" s="269"/>
      <c r="H1269" s="269"/>
      <c r="I1269" s="269"/>
      <c r="J1269" s="334"/>
      <c r="K1269" s="334"/>
      <c r="L1269" s="334"/>
      <c r="M1269" s="328"/>
      <c r="N1269" s="328"/>
      <c r="O1269" s="386"/>
      <c r="P1269" s="356"/>
      <c r="Q1269" s="380"/>
      <c r="S1269" s="336"/>
      <c r="T1269" s="62" ph="1"/>
      <c r="V1269" s="232"/>
      <c r="W1269" s="269"/>
      <c r="X1269" s="201"/>
      <c r="Y1269" s="269"/>
      <c r="Z1269" s="269"/>
      <c r="AA1269" s="269"/>
      <c r="AB1269" s="269"/>
      <c r="AC1269" s="269"/>
      <c r="AD1269" s="269"/>
      <c r="AE1269" s="269"/>
      <c r="AG1269" s="128"/>
    </row>
    <row r="1270" spans="1:33" ht="26.25">
      <c r="A1270" s="269"/>
      <c r="B1270" s="269"/>
      <c r="C1270" s="269"/>
      <c r="D1270" s="269"/>
      <c r="E1270" s="269"/>
      <c r="F1270" s="269"/>
      <c r="G1270" s="269"/>
      <c r="H1270" s="269"/>
      <c r="I1270" s="269"/>
      <c r="J1270" s="334"/>
      <c r="K1270" s="334"/>
      <c r="L1270" s="334"/>
      <c r="M1270" s="328"/>
      <c r="N1270" s="328"/>
      <c r="O1270" s="386"/>
      <c r="P1270" s="356"/>
      <c r="Q1270" s="380"/>
      <c r="S1270" s="336"/>
      <c r="T1270" s="62" ph="1"/>
      <c r="V1270" s="232"/>
      <c r="W1270" s="269"/>
      <c r="X1270" s="201"/>
      <c r="Y1270" s="269"/>
      <c r="Z1270" s="269"/>
      <c r="AA1270" s="269"/>
      <c r="AB1270" s="269"/>
      <c r="AC1270" s="269"/>
      <c r="AD1270" s="269"/>
      <c r="AE1270" s="269"/>
      <c r="AG1270" s="128"/>
    </row>
    <row r="1271" spans="1:33">
      <c r="O1271" s="386"/>
      <c r="P1271" s="356"/>
      <c r="Q1271" s="380"/>
      <c r="AG1271" s="128"/>
    </row>
    <row r="1272" spans="1:33">
      <c r="O1272" s="386"/>
      <c r="P1272" s="356"/>
      <c r="Q1272" s="380"/>
      <c r="AG1272" s="128"/>
    </row>
    <row r="1273" spans="1:33">
      <c r="O1273" s="386"/>
      <c r="P1273" s="356"/>
      <c r="Q1273" s="380"/>
      <c r="AG1273" s="128"/>
    </row>
    <row r="1274" spans="1:33">
      <c r="O1274" s="386"/>
      <c r="P1274" s="356"/>
      <c r="Q1274" s="380"/>
      <c r="AG1274" s="269"/>
    </row>
    <row r="1275" spans="1:33">
      <c r="O1275" s="386"/>
      <c r="P1275" s="356"/>
      <c r="Q1275" s="380"/>
      <c r="AG1275" s="128"/>
    </row>
    <row r="1276" spans="1:33">
      <c r="O1276" s="386"/>
      <c r="P1276" s="356"/>
      <c r="Q1276" s="380"/>
      <c r="AG1276" s="128"/>
    </row>
    <row r="1277" spans="1:33">
      <c r="O1277" s="386"/>
      <c r="P1277" s="356"/>
      <c r="Q1277" s="380"/>
      <c r="AG1277" s="128"/>
    </row>
    <row r="1278" spans="1:33">
      <c r="O1278" s="386"/>
      <c r="P1278" s="356"/>
      <c r="Q1278" s="380"/>
      <c r="AG1278" s="128"/>
    </row>
    <row r="1279" spans="1:33">
      <c r="O1279" s="386"/>
      <c r="P1279" s="356"/>
      <c r="Q1279" s="380"/>
      <c r="AG1279" s="128"/>
    </row>
    <row r="1280" spans="1:33">
      <c r="O1280" s="386"/>
      <c r="P1280" s="356"/>
      <c r="Q1280" s="380"/>
      <c r="AG1280" s="128"/>
    </row>
    <row r="1281" spans="15:33">
      <c r="O1281" s="386"/>
      <c r="P1281" s="356"/>
      <c r="Q1281" s="380"/>
      <c r="AG1281" s="128"/>
    </row>
    <row r="1282" spans="15:33">
      <c r="O1282" s="386"/>
      <c r="P1282" s="356"/>
      <c r="Q1282" s="380"/>
      <c r="AG1282" s="128"/>
    </row>
    <row r="1283" spans="15:33">
      <c r="O1283" s="386"/>
      <c r="P1283" s="356"/>
      <c r="Q1283" s="380"/>
      <c r="AG1283" s="128"/>
    </row>
    <row r="1284" spans="15:33">
      <c r="O1284" s="386"/>
      <c r="P1284" s="356"/>
      <c r="Q1284" s="380"/>
      <c r="AG1284" s="269"/>
    </row>
    <row r="1285" spans="15:33">
      <c r="O1285" s="386"/>
      <c r="P1285" s="356"/>
      <c r="Q1285" s="380"/>
      <c r="AG1285" s="128"/>
    </row>
    <row r="1286" spans="15:33">
      <c r="O1286" s="386"/>
      <c r="P1286" s="356"/>
      <c r="Q1286" s="380"/>
      <c r="AG1286" s="128"/>
    </row>
    <row r="1287" spans="15:33">
      <c r="O1287" s="386"/>
      <c r="P1287" s="356"/>
      <c r="Q1287" s="380"/>
      <c r="AG1287" s="128"/>
    </row>
    <row r="1288" spans="15:33">
      <c r="O1288" s="386"/>
      <c r="P1288" s="356"/>
      <c r="Q1288" s="380"/>
      <c r="AG1288" s="269"/>
    </row>
    <row r="1289" spans="15:33">
      <c r="O1289" s="386"/>
      <c r="P1289" s="356"/>
      <c r="Q1289" s="380"/>
      <c r="AG1289" s="128"/>
    </row>
    <row r="1290" spans="15:33">
      <c r="O1290" s="386"/>
      <c r="P1290" s="356"/>
      <c r="Q1290" s="380"/>
      <c r="AG1290" s="128"/>
    </row>
    <row r="1291" spans="15:33">
      <c r="O1291" s="386"/>
      <c r="P1291" s="356"/>
      <c r="Q1291" s="380"/>
      <c r="AG1291" s="128"/>
    </row>
    <row r="1292" spans="15:33">
      <c r="O1292" s="386"/>
      <c r="P1292" s="356"/>
      <c r="Q1292" s="380"/>
      <c r="AG1292" s="128"/>
    </row>
    <row r="1293" spans="15:33">
      <c r="O1293" s="386"/>
      <c r="P1293" s="356"/>
      <c r="Q1293" s="380"/>
      <c r="AG1293" s="128"/>
    </row>
    <row r="1294" spans="15:33">
      <c r="O1294" s="386"/>
      <c r="P1294" s="356"/>
      <c r="Q1294" s="380"/>
      <c r="AG1294" s="128"/>
    </row>
    <row r="1295" spans="15:33">
      <c r="O1295" s="386"/>
      <c r="P1295" s="356"/>
      <c r="Q1295" s="380"/>
      <c r="AG1295" s="128"/>
    </row>
    <row r="1296" spans="15:33">
      <c r="O1296" s="386"/>
      <c r="P1296" s="356"/>
      <c r="Q1296" s="380"/>
      <c r="AG1296" s="128"/>
    </row>
    <row r="1297" spans="15:33">
      <c r="O1297" s="386"/>
      <c r="P1297" s="356"/>
      <c r="Q1297" s="380"/>
      <c r="AG1297" s="128"/>
    </row>
    <row r="1298" spans="15:33">
      <c r="O1298" s="386"/>
      <c r="P1298" s="356"/>
      <c r="Q1298" s="380"/>
      <c r="AG1298" s="128"/>
    </row>
    <row r="1299" spans="15:33">
      <c r="O1299" s="386"/>
      <c r="P1299" s="356"/>
      <c r="Q1299" s="380"/>
      <c r="AG1299" s="128"/>
    </row>
    <row r="1300" spans="15:33">
      <c r="O1300" s="386"/>
      <c r="P1300" s="356"/>
      <c r="Q1300" s="380"/>
      <c r="AG1300" s="128"/>
    </row>
    <row r="1301" spans="15:33">
      <c r="O1301" s="386"/>
      <c r="P1301" s="356"/>
      <c r="Q1301" s="380"/>
      <c r="AG1301" s="128"/>
    </row>
    <row r="1302" spans="15:33">
      <c r="O1302" s="386"/>
      <c r="P1302" s="356"/>
      <c r="Q1302" s="380"/>
      <c r="AG1302" s="128"/>
    </row>
    <row r="1303" spans="15:33">
      <c r="O1303" s="386"/>
      <c r="P1303" s="356"/>
      <c r="Q1303" s="380"/>
      <c r="AG1303" s="128"/>
    </row>
    <row r="1304" spans="15:33">
      <c r="O1304" s="386"/>
      <c r="P1304" s="356"/>
      <c r="Q1304" s="380"/>
      <c r="AG1304" s="128"/>
    </row>
    <row r="1305" spans="15:33">
      <c r="O1305" s="386"/>
      <c r="P1305" s="356"/>
      <c r="Q1305" s="380"/>
      <c r="AG1305" s="128"/>
    </row>
    <row r="1306" spans="15:33">
      <c r="O1306" s="386"/>
      <c r="P1306" s="356"/>
      <c r="Q1306" s="380"/>
      <c r="AG1306" s="128"/>
    </row>
    <row r="1307" spans="15:33">
      <c r="O1307" s="386"/>
      <c r="P1307" s="356"/>
      <c r="Q1307" s="380"/>
      <c r="AG1307" s="128"/>
    </row>
    <row r="1308" spans="15:33">
      <c r="O1308" s="386"/>
      <c r="P1308" s="356"/>
      <c r="Q1308" s="380"/>
      <c r="AG1308" s="128"/>
    </row>
    <row r="1309" spans="15:33">
      <c r="O1309" s="386"/>
      <c r="P1309" s="356"/>
      <c r="Q1309" s="380"/>
      <c r="AG1309" s="128"/>
    </row>
    <row r="1310" spans="15:33">
      <c r="O1310" s="386"/>
      <c r="P1310" s="356"/>
      <c r="Q1310" s="380"/>
    </row>
    <row r="1311" spans="15:33">
      <c r="O1311" s="386"/>
      <c r="P1311" s="356"/>
      <c r="Q1311" s="380"/>
      <c r="AG1311" s="128"/>
    </row>
    <row r="1312" spans="15:33">
      <c r="O1312" s="386"/>
      <c r="P1312" s="356"/>
      <c r="Q1312" s="380"/>
      <c r="AG1312" s="128"/>
    </row>
    <row r="1313" spans="15:33">
      <c r="O1313" s="386"/>
      <c r="P1313" s="356"/>
      <c r="Q1313" s="380"/>
      <c r="AG1313" s="128"/>
    </row>
    <row r="1314" spans="15:33">
      <c r="O1314" s="386"/>
      <c r="P1314" s="356"/>
      <c r="Q1314" s="380"/>
      <c r="AG1314" s="128"/>
    </row>
    <row r="1315" spans="15:33">
      <c r="O1315" s="386"/>
      <c r="P1315" s="356"/>
      <c r="Q1315" s="380"/>
      <c r="AG1315" s="128"/>
    </row>
    <row r="1316" spans="15:33">
      <c r="O1316" s="386"/>
      <c r="P1316" s="356"/>
      <c r="Q1316" s="380"/>
      <c r="AG1316" s="128"/>
    </row>
    <row r="1317" spans="15:33">
      <c r="O1317" s="386"/>
      <c r="P1317" s="356"/>
      <c r="Q1317" s="380"/>
      <c r="AG1317" s="128"/>
    </row>
    <row r="1318" spans="15:33">
      <c r="O1318" s="386"/>
      <c r="P1318" s="356"/>
      <c r="Q1318" s="380"/>
      <c r="AG1318" s="128"/>
    </row>
    <row r="1319" spans="15:33">
      <c r="O1319" s="386"/>
      <c r="P1319" s="356"/>
      <c r="Q1319" s="380"/>
      <c r="AG1319" s="128"/>
    </row>
    <row r="1320" spans="15:33">
      <c r="O1320" s="386"/>
      <c r="P1320" s="356"/>
      <c r="Q1320" s="380"/>
      <c r="AG1320" s="128"/>
    </row>
    <row r="1321" spans="15:33">
      <c r="O1321" s="386"/>
      <c r="P1321" s="356"/>
      <c r="Q1321" s="380"/>
      <c r="AG1321" s="128"/>
    </row>
    <row r="1322" spans="15:33">
      <c r="O1322" s="386"/>
      <c r="P1322" s="356"/>
      <c r="Q1322" s="380"/>
      <c r="AG1322" s="128"/>
    </row>
    <row r="1323" spans="15:33">
      <c r="O1323" s="386"/>
      <c r="P1323" s="356"/>
      <c r="Q1323" s="380"/>
      <c r="AG1323" s="128"/>
    </row>
    <row r="1324" spans="15:33">
      <c r="O1324" s="386"/>
      <c r="P1324" s="356"/>
      <c r="Q1324" s="380"/>
      <c r="AG1324" s="128"/>
    </row>
    <row r="1325" spans="15:33">
      <c r="O1325" s="386"/>
      <c r="P1325" s="356"/>
      <c r="Q1325" s="380"/>
      <c r="AG1325" s="128"/>
    </row>
    <row r="1326" spans="15:33">
      <c r="O1326" s="386"/>
      <c r="P1326" s="356"/>
      <c r="Q1326" s="380"/>
      <c r="AG1326" s="128"/>
    </row>
    <row r="1327" spans="15:33">
      <c r="O1327" s="386"/>
      <c r="P1327" s="356"/>
      <c r="Q1327" s="380"/>
      <c r="AG1327" s="128"/>
    </row>
    <row r="1328" spans="15:33">
      <c r="O1328" s="386"/>
      <c r="P1328" s="356"/>
      <c r="Q1328" s="380"/>
      <c r="AG1328" s="128"/>
    </row>
    <row r="1329" spans="15:33">
      <c r="O1329" s="386"/>
      <c r="P1329" s="356"/>
      <c r="Q1329" s="380"/>
      <c r="AG1329" s="128"/>
    </row>
    <row r="1330" spans="15:33">
      <c r="O1330" s="386"/>
      <c r="P1330" s="356"/>
      <c r="Q1330" s="380"/>
      <c r="AG1330" s="128"/>
    </row>
    <row r="1331" spans="15:33">
      <c r="O1331" s="386"/>
      <c r="P1331" s="356"/>
      <c r="Q1331" s="380"/>
      <c r="AG1331" s="128"/>
    </row>
    <row r="1332" spans="15:33">
      <c r="O1332" s="386"/>
      <c r="P1332" s="356"/>
      <c r="Q1332" s="380"/>
      <c r="AG1332" s="128"/>
    </row>
    <row r="1333" spans="15:33">
      <c r="O1333" s="386"/>
      <c r="P1333" s="356"/>
      <c r="Q1333" s="380"/>
      <c r="AG1333" s="128"/>
    </row>
    <row r="1334" spans="15:33">
      <c r="O1334" s="386"/>
      <c r="P1334" s="356"/>
      <c r="Q1334" s="380"/>
      <c r="AG1334" s="128"/>
    </row>
    <row r="1335" spans="15:33">
      <c r="O1335" s="386"/>
      <c r="P1335" s="356"/>
      <c r="Q1335" s="380"/>
      <c r="AG1335" s="128"/>
    </row>
    <row r="1336" spans="15:33">
      <c r="O1336" s="386"/>
      <c r="P1336" s="356"/>
      <c r="Q1336" s="380"/>
      <c r="AG1336" s="128"/>
    </row>
    <row r="1337" spans="15:33">
      <c r="O1337" s="386"/>
      <c r="P1337" s="356"/>
      <c r="Q1337" s="380"/>
      <c r="AG1337" s="128"/>
    </row>
    <row r="1338" spans="15:33">
      <c r="O1338" s="386"/>
      <c r="P1338" s="356"/>
      <c r="Q1338" s="380"/>
      <c r="AG1338" s="128"/>
    </row>
    <row r="1339" spans="15:33">
      <c r="O1339" s="386"/>
      <c r="P1339" s="356"/>
      <c r="Q1339" s="380"/>
      <c r="AG1339" s="128"/>
    </row>
    <row r="1340" spans="15:33">
      <c r="O1340" s="386"/>
      <c r="P1340" s="356"/>
      <c r="Q1340" s="380"/>
      <c r="AG1340" s="128"/>
    </row>
    <row r="1341" spans="15:33">
      <c r="O1341" s="386"/>
      <c r="P1341" s="356"/>
      <c r="Q1341" s="380"/>
      <c r="AG1341" s="128"/>
    </row>
    <row r="1342" spans="15:33">
      <c r="O1342" s="386"/>
      <c r="P1342" s="356"/>
      <c r="Q1342" s="380"/>
      <c r="AG1342" s="128"/>
    </row>
    <row r="1343" spans="15:33">
      <c r="O1343" s="386"/>
      <c r="P1343" s="356"/>
      <c r="Q1343" s="380"/>
      <c r="AG1343" s="128"/>
    </row>
    <row r="1344" spans="15:33">
      <c r="O1344" s="386"/>
      <c r="P1344" s="356"/>
      <c r="Q1344" s="380"/>
      <c r="AG1344" s="128"/>
    </row>
    <row r="1345" spans="15:33">
      <c r="O1345" s="386"/>
      <c r="P1345" s="356"/>
      <c r="Q1345" s="380"/>
      <c r="AG1345" s="128"/>
    </row>
    <row r="1346" spans="15:33">
      <c r="O1346" s="386"/>
      <c r="P1346" s="356"/>
      <c r="Q1346" s="380"/>
      <c r="AG1346" s="128"/>
    </row>
    <row r="1347" spans="15:33">
      <c r="O1347" s="386"/>
      <c r="P1347" s="356"/>
      <c r="Q1347" s="380"/>
      <c r="AG1347" s="128"/>
    </row>
    <row r="1348" spans="15:33">
      <c r="O1348" s="386"/>
      <c r="P1348" s="356"/>
      <c r="Q1348" s="380"/>
      <c r="AG1348" s="128"/>
    </row>
    <row r="1349" spans="15:33">
      <c r="O1349" s="386"/>
      <c r="P1349" s="356"/>
      <c r="Q1349" s="380"/>
      <c r="AG1349" s="128"/>
    </row>
    <row r="1350" spans="15:33">
      <c r="O1350" s="386"/>
      <c r="P1350" s="356"/>
      <c r="Q1350" s="380"/>
      <c r="AG1350" s="128"/>
    </row>
    <row r="1351" spans="15:33">
      <c r="O1351" s="386"/>
      <c r="P1351" s="356"/>
      <c r="Q1351" s="380"/>
      <c r="AG1351" s="128"/>
    </row>
    <row r="1352" spans="15:33">
      <c r="O1352" s="386"/>
      <c r="P1352" s="356"/>
      <c r="Q1352" s="380"/>
      <c r="AG1352" s="128"/>
    </row>
    <row r="1353" spans="15:33">
      <c r="O1353" s="386"/>
      <c r="P1353" s="356"/>
      <c r="Q1353" s="380"/>
      <c r="AG1353" s="128"/>
    </row>
    <row r="1354" spans="15:33">
      <c r="O1354" s="386"/>
      <c r="P1354" s="356"/>
      <c r="Q1354" s="380"/>
      <c r="AG1354" s="128"/>
    </row>
    <row r="1355" spans="15:33">
      <c r="O1355" s="386"/>
      <c r="P1355" s="356"/>
      <c r="Q1355" s="380"/>
      <c r="AG1355" s="269"/>
    </row>
    <row r="1356" spans="15:33">
      <c r="O1356" s="386"/>
      <c r="P1356" s="356"/>
      <c r="Q1356" s="380"/>
      <c r="AG1356" s="128"/>
    </row>
    <row r="1357" spans="15:33">
      <c r="O1357" s="386"/>
      <c r="P1357" s="356"/>
      <c r="Q1357" s="380"/>
      <c r="AG1357" s="128"/>
    </row>
    <row r="1358" spans="15:33">
      <c r="O1358" s="386"/>
      <c r="P1358" s="356"/>
      <c r="Q1358" s="380"/>
      <c r="AG1358" s="128"/>
    </row>
    <row r="1359" spans="15:33">
      <c r="O1359" s="386"/>
      <c r="P1359" s="356"/>
      <c r="Q1359" s="380"/>
      <c r="AG1359" s="128"/>
    </row>
    <row r="1360" spans="15:33">
      <c r="O1360" s="386"/>
      <c r="P1360" s="356"/>
      <c r="Q1360" s="380"/>
      <c r="AG1360" s="128"/>
    </row>
    <row r="1361" spans="15:33">
      <c r="O1361" s="386"/>
      <c r="P1361" s="356"/>
      <c r="Q1361" s="380"/>
      <c r="AG1361" s="128"/>
    </row>
    <row r="1362" spans="15:33">
      <c r="O1362" s="386"/>
      <c r="P1362" s="356"/>
      <c r="Q1362" s="380"/>
      <c r="AG1362" s="128"/>
    </row>
    <row r="1363" spans="15:33">
      <c r="O1363" s="386"/>
      <c r="P1363" s="356"/>
      <c r="Q1363" s="380"/>
      <c r="AG1363" s="128"/>
    </row>
    <row r="1364" spans="15:33">
      <c r="O1364" s="386"/>
      <c r="P1364" s="356"/>
      <c r="Q1364" s="380"/>
      <c r="AG1364" s="128"/>
    </row>
    <row r="1365" spans="15:33">
      <c r="O1365" s="386"/>
      <c r="P1365" s="356"/>
      <c r="Q1365" s="380"/>
      <c r="AG1365" s="128"/>
    </row>
    <row r="1366" spans="15:33">
      <c r="O1366" s="386"/>
      <c r="P1366" s="356"/>
      <c r="Q1366" s="380"/>
      <c r="AG1366" s="128"/>
    </row>
    <row r="1367" spans="15:33">
      <c r="O1367" s="386"/>
      <c r="P1367" s="356"/>
      <c r="Q1367" s="380"/>
      <c r="AG1367" s="128"/>
    </row>
    <row r="1368" spans="15:33">
      <c r="O1368" s="386"/>
      <c r="P1368" s="356"/>
      <c r="Q1368" s="380"/>
      <c r="AG1368" s="128"/>
    </row>
    <row r="1369" spans="15:33">
      <c r="O1369" s="386"/>
      <c r="P1369" s="356"/>
      <c r="Q1369" s="380"/>
      <c r="AG1369" s="128"/>
    </row>
    <row r="1370" spans="15:33">
      <c r="O1370" s="386"/>
      <c r="P1370" s="356"/>
      <c r="Q1370" s="380"/>
      <c r="AG1370" s="128"/>
    </row>
    <row r="1371" spans="15:33">
      <c r="O1371" s="386"/>
      <c r="P1371" s="356"/>
      <c r="Q1371" s="380"/>
      <c r="AG1371" s="128"/>
    </row>
    <row r="1372" spans="15:33">
      <c r="O1372" s="386"/>
      <c r="P1372" s="356"/>
      <c r="Q1372" s="380"/>
      <c r="AG1372" s="128"/>
    </row>
    <row r="1373" spans="15:33">
      <c r="O1373" s="386"/>
      <c r="P1373" s="356"/>
      <c r="Q1373" s="380"/>
      <c r="AG1373" s="128"/>
    </row>
    <row r="1374" spans="15:33">
      <c r="O1374" s="386"/>
      <c r="P1374" s="356"/>
      <c r="Q1374" s="380"/>
      <c r="AG1374" s="128"/>
    </row>
    <row r="1375" spans="15:33">
      <c r="O1375" s="386"/>
      <c r="P1375" s="356"/>
      <c r="Q1375" s="380"/>
      <c r="AG1375" s="128"/>
    </row>
    <row r="1376" spans="15:33">
      <c r="O1376" s="386"/>
      <c r="P1376" s="356"/>
      <c r="Q1376" s="380"/>
      <c r="AG1376" s="128"/>
    </row>
    <row r="1377" spans="15:33">
      <c r="O1377" s="386"/>
      <c r="P1377" s="356"/>
      <c r="Q1377" s="380"/>
      <c r="AG1377" s="128"/>
    </row>
    <row r="1378" spans="15:33">
      <c r="O1378" s="386"/>
      <c r="P1378" s="356"/>
      <c r="Q1378" s="380"/>
      <c r="AG1378" s="128"/>
    </row>
    <row r="1379" spans="15:33">
      <c r="O1379" s="386"/>
      <c r="P1379" s="356"/>
      <c r="Q1379" s="380"/>
      <c r="AG1379" s="128"/>
    </row>
    <row r="1380" spans="15:33">
      <c r="O1380" s="386"/>
      <c r="P1380" s="356"/>
      <c r="Q1380" s="380"/>
      <c r="AG1380" s="128"/>
    </row>
    <row r="1381" spans="15:33">
      <c r="O1381" s="386"/>
      <c r="P1381" s="356"/>
      <c r="Q1381" s="380"/>
      <c r="AG1381" s="128"/>
    </row>
    <row r="1382" spans="15:33">
      <c r="O1382" s="386"/>
      <c r="P1382" s="356"/>
      <c r="Q1382" s="380"/>
      <c r="AG1382" s="128"/>
    </row>
    <row r="1383" spans="15:33">
      <c r="O1383" s="386"/>
      <c r="P1383" s="356"/>
      <c r="Q1383" s="380"/>
      <c r="AG1383" s="128"/>
    </row>
    <row r="1384" spans="15:33">
      <c r="O1384" s="386"/>
      <c r="P1384" s="356"/>
      <c r="Q1384" s="380"/>
      <c r="AG1384" s="128"/>
    </row>
    <row r="1385" spans="15:33">
      <c r="O1385" s="386"/>
      <c r="P1385" s="356"/>
      <c r="Q1385" s="380"/>
      <c r="AG1385" s="128"/>
    </row>
    <row r="1386" spans="15:33">
      <c r="O1386" s="386"/>
      <c r="P1386" s="356"/>
      <c r="Q1386" s="380"/>
      <c r="AG1386" s="128"/>
    </row>
    <row r="1387" spans="15:33">
      <c r="O1387" s="386"/>
      <c r="P1387" s="356"/>
      <c r="Q1387" s="380"/>
      <c r="AG1387" s="128"/>
    </row>
    <row r="1388" spans="15:33">
      <c r="O1388" s="386"/>
      <c r="P1388" s="356"/>
      <c r="Q1388" s="380"/>
      <c r="AG1388" s="128"/>
    </row>
    <row r="1389" spans="15:33">
      <c r="O1389" s="386"/>
      <c r="P1389" s="356"/>
      <c r="Q1389" s="380"/>
      <c r="AG1389" s="128"/>
    </row>
    <row r="1390" spans="15:33">
      <c r="O1390" s="386"/>
      <c r="P1390" s="356"/>
      <c r="Q1390" s="380"/>
      <c r="AG1390" s="128"/>
    </row>
    <row r="1391" spans="15:33">
      <c r="O1391" s="386"/>
      <c r="P1391" s="356"/>
      <c r="Q1391" s="380"/>
      <c r="AG1391" s="128"/>
    </row>
    <row r="1392" spans="15:33">
      <c r="O1392" s="386"/>
      <c r="P1392" s="356"/>
      <c r="Q1392" s="380"/>
      <c r="AG1392" s="128"/>
    </row>
    <row r="1393" spans="1:33">
      <c r="O1393" s="386"/>
      <c r="P1393" s="356"/>
      <c r="Q1393" s="380"/>
      <c r="AG1393" s="128"/>
    </row>
    <row r="1394" spans="1:33">
      <c r="O1394" s="386"/>
      <c r="P1394" s="356"/>
      <c r="Q1394" s="380"/>
      <c r="AG1394" s="128"/>
    </row>
    <row r="1395" spans="1:33">
      <c r="O1395" s="386"/>
      <c r="P1395" s="356"/>
      <c r="Q1395" s="380"/>
      <c r="AG1395" s="128"/>
    </row>
    <row r="1396" spans="1:33" ht="26.25">
      <c r="A1396" s="269"/>
      <c r="B1396" s="269"/>
      <c r="C1396" s="269"/>
      <c r="D1396" s="269"/>
      <c r="E1396" s="269"/>
      <c r="F1396" s="269"/>
      <c r="G1396" s="269"/>
      <c r="H1396" s="269"/>
      <c r="I1396" s="269"/>
      <c r="J1396" s="334"/>
      <c r="K1396" s="334"/>
      <c r="L1396" s="334"/>
      <c r="M1396" s="328"/>
      <c r="N1396" s="328"/>
      <c r="O1396" s="386"/>
      <c r="P1396" s="356"/>
      <c r="Q1396" s="380"/>
      <c r="S1396" s="336"/>
      <c r="T1396" s="62" ph="1"/>
      <c r="V1396" s="232"/>
      <c r="W1396" s="269"/>
      <c r="X1396" s="201"/>
      <c r="Y1396" s="269"/>
      <c r="Z1396" s="269"/>
      <c r="AA1396" s="269"/>
      <c r="AB1396" s="269"/>
      <c r="AC1396" s="269"/>
      <c r="AD1396" s="269"/>
      <c r="AE1396" s="269"/>
      <c r="AG1396" s="128"/>
    </row>
    <row r="1397" spans="1:33">
      <c r="O1397" s="386"/>
      <c r="P1397" s="356"/>
      <c r="Q1397" s="380"/>
      <c r="AG1397" s="128"/>
    </row>
    <row r="1398" spans="1:33">
      <c r="O1398" s="386"/>
      <c r="P1398" s="356"/>
      <c r="Q1398" s="380"/>
      <c r="AG1398" s="269"/>
    </row>
    <row r="1399" spans="1:33">
      <c r="O1399" s="386"/>
      <c r="P1399" s="356"/>
      <c r="Q1399" s="380"/>
      <c r="AG1399" s="269"/>
    </row>
    <row r="1400" spans="1:33">
      <c r="O1400" s="386"/>
      <c r="P1400" s="356"/>
      <c r="Q1400" s="380"/>
      <c r="AG1400" s="128"/>
    </row>
    <row r="1401" spans="1:33">
      <c r="O1401" s="386"/>
      <c r="P1401" s="356"/>
      <c r="Q1401" s="380"/>
      <c r="AG1401" s="128"/>
    </row>
    <row r="1402" spans="1:33">
      <c r="O1402" s="386"/>
      <c r="P1402" s="356"/>
      <c r="Q1402" s="380"/>
      <c r="AG1402" s="128"/>
    </row>
    <row r="1403" spans="1:33">
      <c r="O1403" s="386"/>
      <c r="P1403" s="356"/>
      <c r="Q1403" s="380"/>
      <c r="AG1403" s="128"/>
    </row>
    <row r="1404" spans="1:33">
      <c r="O1404" s="386"/>
      <c r="P1404" s="356"/>
      <c r="Q1404" s="380"/>
      <c r="AG1404" s="128"/>
    </row>
    <row r="1405" spans="1:33">
      <c r="O1405" s="386"/>
      <c r="P1405" s="356"/>
      <c r="Q1405" s="380"/>
      <c r="AG1405" s="128"/>
    </row>
    <row r="1406" spans="1:33" ht="26.25">
      <c r="A1406" s="269"/>
      <c r="B1406" s="269"/>
      <c r="C1406" s="269"/>
      <c r="D1406" s="269"/>
      <c r="E1406" s="269"/>
      <c r="F1406" s="269"/>
      <c r="G1406" s="269"/>
      <c r="H1406" s="269"/>
      <c r="I1406" s="269"/>
      <c r="J1406" s="334"/>
      <c r="K1406" s="334"/>
      <c r="L1406" s="334"/>
      <c r="M1406" s="328"/>
      <c r="N1406" s="328"/>
      <c r="O1406" s="386"/>
      <c r="P1406" s="356"/>
      <c r="Q1406" s="380"/>
      <c r="S1406" s="336"/>
      <c r="T1406" s="62" ph="1"/>
      <c r="V1406" s="232"/>
      <c r="W1406" s="269"/>
      <c r="X1406" s="201"/>
      <c r="Y1406" s="269"/>
      <c r="Z1406" s="269"/>
      <c r="AA1406" s="269"/>
      <c r="AB1406" s="269"/>
      <c r="AC1406" s="269"/>
      <c r="AD1406" s="269"/>
      <c r="AE1406" s="269"/>
      <c r="AG1406" s="128"/>
    </row>
    <row r="1407" spans="1:33">
      <c r="O1407" s="386"/>
      <c r="P1407" s="356"/>
      <c r="Q1407" s="380"/>
      <c r="AG1407" s="128"/>
    </row>
    <row r="1408" spans="1:33">
      <c r="O1408" s="386"/>
      <c r="P1408" s="356"/>
      <c r="Q1408" s="380"/>
      <c r="AG1408" s="128"/>
    </row>
    <row r="1409" spans="1:33">
      <c r="O1409" s="386"/>
      <c r="P1409" s="356"/>
      <c r="Q1409" s="380"/>
      <c r="AG1409" s="128"/>
    </row>
    <row r="1410" spans="1:33" ht="26.25">
      <c r="A1410" s="269"/>
      <c r="B1410" s="269"/>
      <c r="C1410" s="269"/>
      <c r="D1410" s="269"/>
      <c r="E1410" s="269"/>
      <c r="F1410" s="269"/>
      <c r="G1410" s="269"/>
      <c r="H1410" s="269"/>
      <c r="I1410" s="269"/>
      <c r="J1410" s="334"/>
      <c r="K1410" s="334"/>
      <c r="L1410" s="334"/>
      <c r="M1410" s="328"/>
      <c r="N1410" s="328"/>
      <c r="O1410" s="386"/>
      <c r="P1410" s="356"/>
      <c r="Q1410" s="380"/>
      <c r="S1410" s="336"/>
      <c r="T1410" s="62" ph="1"/>
      <c r="V1410" s="232"/>
      <c r="W1410" s="269"/>
      <c r="X1410" s="201"/>
      <c r="Y1410" s="269"/>
      <c r="Z1410" s="269"/>
      <c r="AA1410" s="269"/>
      <c r="AB1410" s="269"/>
      <c r="AC1410" s="269"/>
      <c r="AD1410" s="269"/>
      <c r="AE1410" s="269"/>
      <c r="AG1410" s="128"/>
    </row>
    <row r="1411" spans="1:33">
      <c r="O1411" s="386"/>
      <c r="P1411" s="356"/>
      <c r="Q1411" s="380"/>
      <c r="AG1411" s="128"/>
    </row>
    <row r="1412" spans="1:33">
      <c r="O1412" s="386"/>
      <c r="P1412" s="356"/>
      <c r="Q1412" s="380"/>
      <c r="AG1412" s="269"/>
    </row>
    <row r="1413" spans="1:33">
      <c r="O1413" s="386"/>
      <c r="P1413" s="356"/>
      <c r="Q1413" s="380"/>
      <c r="AG1413" s="128"/>
    </row>
    <row r="1414" spans="1:33">
      <c r="O1414" s="386"/>
      <c r="P1414" s="356"/>
      <c r="Q1414" s="380"/>
      <c r="AG1414" s="128"/>
    </row>
    <row r="1415" spans="1:33" ht="26.25">
      <c r="A1415" s="269"/>
      <c r="B1415" s="269"/>
      <c r="C1415" s="269"/>
      <c r="D1415" s="269"/>
      <c r="E1415" s="269"/>
      <c r="F1415" s="269"/>
      <c r="G1415" s="269"/>
      <c r="H1415" s="269"/>
      <c r="I1415" s="269"/>
      <c r="J1415" s="334"/>
      <c r="K1415" s="334"/>
      <c r="L1415" s="334"/>
      <c r="M1415" s="328"/>
      <c r="N1415" s="328"/>
      <c r="O1415" s="386"/>
      <c r="P1415" s="356"/>
      <c r="Q1415" s="380"/>
      <c r="S1415" s="336"/>
      <c r="T1415" s="62" ph="1"/>
      <c r="V1415" s="232"/>
      <c r="W1415" s="269"/>
      <c r="X1415" s="201"/>
      <c r="Y1415" s="269"/>
      <c r="Z1415" s="269"/>
      <c r="AA1415" s="269"/>
      <c r="AB1415" s="269"/>
      <c r="AC1415" s="269"/>
      <c r="AD1415" s="269"/>
      <c r="AE1415" s="269"/>
      <c r="AG1415" s="128"/>
    </row>
    <row r="1416" spans="1:33" ht="26.25">
      <c r="A1416" s="269"/>
      <c r="B1416" s="269"/>
      <c r="C1416" s="269"/>
      <c r="D1416" s="269"/>
      <c r="E1416" s="269"/>
      <c r="F1416" s="269"/>
      <c r="G1416" s="269"/>
      <c r="H1416" s="269"/>
      <c r="I1416" s="269"/>
      <c r="J1416" s="334"/>
      <c r="K1416" s="334"/>
      <c r="L1416" s="334"/>
      <c r="M1416" s="328"/>
      <c r="N1416" s="328"/>
      <c r="O1416" s="386"/>
      <c r="P1416" s="356"/>
      <c r="Q1416" s="380"/>
      <c r="S1416" s="336"/>
      <c r="T1416" s="62" ph="1"/>
      <c r="V1416" s="232"/>
      <c r="W1416" s="269"/>
      <c r="X1416" s="201"/>
      <c r="Y1416" s="269"/>
      <c r="Z1416" s="269"/>
      <c r="AA1416" s="269"/>
      <c r="AB1416" s="269"/>
      <c r="AC1416" s="269"/>
      <c r="AD1416" s="269"/>
      <c r="AE1416" s="269"/>
      <c r="AG1416" s="128"/>
    </row>
    <row r="1417" spans="1:33" ht="26.25">
      <c r="A1417" s="269"/>
      <c r="B1417" s="269"/>
      <c r="C1417" s="269"/>
      <c r="D1417" s="269"/>
      <c r="E1417" s="269"/>
      <c r="F1417" s="269"/>
      <c r="G1417" s="269"/>
      <c r="H1417" s="269"/>
      <c r="I1417" s="269"/>
      <c r="J1417" s="334"/>
      <c r="K1417" s="334"/>
      <c r="L1417" s="334"/>
      <c r="M1417" s="328"/>
      <c r="N1417" s="328"/>
      <c r="O1417" s="386"/>
      <c r="P1417" s="356"/>
      <c r="Q1417" s="380"/>
      <c r="S1417" s="336"/>
      <c r="T1417" s="62" ph="1"/>
      <c r="V1417" s="232"/>
      <c r="W1417" s="269"/>
      <c r="X1417" s="201"/>
      <c r="Y1417" s="269"/>
      <c r="Z1417" s="269"/>
      <c r="AA1417" s="269"/>
      <c r="AB1417" s="269"/>
      <c r="AC1417" s="269"/>
      <c r="AD1417" s="269"/>
      <c r="AE1417" s="269"/>
      <c r="AG1417" s="128"/>
    </row>
    <row r="1418" spans="1:33">
      <c r="O1418" s="386"/>
      <c r="P1418" s="356"/>
      <c r="Q1418" s="380"/>
      <c r="AG1418" s="128"/>
    </row>
    <row r="1419" spans="1:33" ht="26.25">
      <c r="A1419" s="269"/>
      <c r="B1419" s="269"/>
      <c r="C1419" s="269"/>
      <c r="D1419" s="269"/>
      <c r="E1419" s="269"/>
      <c r="F1419" s="269"/>
      <c r="G1419" s="269"/>
      <c r="H1419" s="269"/>
      <c r="I1419" s="269"/>
      <c r="J1419" s="334"/>
      <c r="K1419" s="334"/>
      <c r="L1419" s="334"/>
      <c r="M1419" s="328"/>
      <c r="N1419" s="328"/>
      <c r="O1419" s="386"/>
      <c r="P1419" s="356"/>
      <c r="Q1419" s="380"/>
      <c r="S1419" s="336"/>
      <c r="T1419" s="62" ph="1"/>
      <c r="V1419" s="232"/>
      <c r="W1419" s="269"/>
      <c r="X1419" s="201"/>
      <c r="Y1419" s="269"/>
      <c r="Z1419" s="269"/>
      <c r="AA1419" s="269"/>
      <c r="AB1419" s="269"/>
      <c r="AC1419" s="269"/>
      <c r="AD1419" s="269"/>
      <c r="AE1419" s="269"/>
      <c r="AG1419" s="51"/>
    </row>
    <row r="1420" spans="1:33" ht="26.25">
      <c r="A1420" s="269"/>
      <c r="B1420" s="269"/>
      <c r="C1420" s="269"/>
      <c r="D1420" s="269"/>
      <c r="E1420" s="269"/>
      <c r="F1420" s="269"/>
      <c r="G1420" s="269"/>
      <c r="H1420" s="269"/>
      <c r="I1420" s="269"/>
      <c r="J1420" s="334"/>
      <c r="K1420" s="334"/>
      <c r="L1420" s="334"/>
      <c r="M1420" s="328"/>
      <c r="N1420" s="328"/>
      <c r="O1420" s="386"/>
      <c r="P1420" s="356"/>
      <c r="Q1420" s="380"/>
      <c r="S1420" s="336"/>
      <c r="T1420" s="62" ph="1"/>
      <c r="V1420" s="232"/>
      <c r="W1420" s="269"/>
      <c r="X1420" s="201"/>
      <c r="Y1420" s="269"/>
      <c r="Z1420" s="269"/>
      <c r="AA1420" s="269"/>
      <c r="AB1420" s="269"/>
      <c r="AC1420" s="269"/>
      <c r="AD1420" s="269"/>
      <c r="AE1420" s="269"/>
      <c r="AG1420" s="128"/>
    </row>
    <row r="1421" spans="1:33">
      <c r="O1421" s="386"/>
      <c r="P1421" s="356"/>
      <c r="Q1421" s="380"/>
      <c r="AG1421" s="128"/>
    </row>
    <row r="1422" spans="1:33" ht="26.25">
      <c r="A1422" s="269"/>
      <c r="B1422" s="269"/>
      <c r="C1422" s="269"/>
      <c r="D1422" s="269"/>
      <c r="E1422" s="269"/>
      <c r="F1422" s="269"/>
      <c r="G1422" s="269"/>
      <c r="H1422" s="269"/>
      <c r="I1422" s="269"/>
      <c r="J1422" s="334"/>
      <c r="K1422" s="334"/>
      <c r="L1422" s="334"/>
      <c r="M1422" s="328"/>
      <c r="N1422" s="328"/>
      <c r="O1422" s="386"/>
      <c r="P1422" s="356"/>
      <c r="Q1422" s="380"/>
      <c r="S1422" s="336"/>
      <c r="T1422" s="62" ph="1"/>
      <c r="V1422" s="232"/>
      <c r="W1422" s="269"/>
      <c r="X1422" s="201"/>
      <c r="Y1422" s="269"/>
      <c r="Z1422" s="269"/>
      <c r="AA1422" s="269"/>
      <c r="AB1422" s="269"/>
      <c r="AC1422" s="269"/>
      <c r="AD1422" s="269"/>
      <c r="AE1422" s="269"/>
      <c r="AG1422" s="128"/>
    </row>
    <row r="1423" spans="1:33">
      <c r="O1423" s="386"/>
      <c r="P1423" s="356"/>
      <c r="Q1423" s="380"/>
      <c r="AG1423" s="128"/>
    </row>
    <row r="1424" spans="1:33" ht="26.25">
      <c r="A1424" s="269"/>
      <c r="B1424" s="269"/>
      <c r="C1424" s="269"/>
      <c r="D1424" s="269"/>
      <c r="E1424" s="269"/>
      <c r="F1424" s="269"/>
      <c r="G1424" s="269"/>
      <c r="H1424" s="269"/>
      <c r="I1424" s="269"/>
      <c r="J1424" s="334"/>
      <c r="K1424" s="334"/>
      <c r="L1424" s="334"/>
      <c r="M1424" s="328"/>
      <c r="N1424" s="328"/>
      <c r="O1424" s="386"/>
      <c r="P1424" s="356"/>
      <c r="Q1424" s="380"/>
      <c r="S1424" s="336"/>
      <c r="T1424" s="62" ph="1"/>
      <c r="V1424" s="232"/>
      <c r="W1424" s="269"/>
      <c r="X1424" s="201"/>
      <c r="Y1424" s="269"/>
      <c r="Z1424" s="269"/>
      <c r="AA1424" s="269"/>
      <c r="AB1424" s="269"/>
      <c r="AC1424" s="269"/>
      <c r="AD1424" s="269"/>
      <c r="AE1424" s="269"/>
      <c r="AG1424" s="128"/>
    </row>
    <row r="1425" spans="1:33" ht="26.25">
      <c r="A1425" s="269"/>
      <c r="B1425" s="269"/>
      <c r="C1425" s="269"/>
      <c r="D1425" s="269"/>
      <c r="E1425" s="269"/>
      <c r="F1425" s="269"/>
      <c r="G1425" s="269"/>
      <c r="H1425" s="269"/>
      <c r="I1425" s="269"/>
      <c r="J1425" s="334"/>
      <c r="K1425" s="334"/>
      <c r="L1425" s="334"/>
      <c r="M1425" s="328"/>
      <c r="N1425" s="328"/>
      <c r="O1425" s="386"/>
      <c r="P1425" s="356"/>
      <c r="Q1425" s="380"/>
      <c r="S1425" s="336"/>
      <c r="T1425" s="62" ph="1"/>
      <c r="V1425" s="232"/>
      <c r="W1425" s="269"/>
      <c r="X1425" s="201"/>
      <c r="Y1425" s="269"/>
      <c r="Z1425" s="269"/>
      <c r="AA1425" s="269"/>
      <c r="AB1425" s="269"/>
      <c r="AC1425" s="269"/>
      <c r="AD1425" s="269"/>
      <c r="AE1425" s="269"/>
      <c r="AG1425" s="128"/>
    </row>
    <row r="1426" spans="1:33" ht="26.25">
      <c r="A1426" s="269"/>
      <c r="B1426" s="269"/>
      <c r="C1426" s="269"/>
      <c r="D1426" s="269"/>
      <c r="E1426" s="269"/>
      <c r="F1426" s="269"/>
      <c r="G1426" s="269"/>
      <c r="H1426" s="269"/>
      <c r="I1426" s="269"/>
      <c r="J1426" s="334"/>
      <c r="K1426" s="334"/>
      <c r="L1426" s="334"/>
      <c r="M1426" s="328"/>
      <c r="N1426" s="328"/>
      <c r="O1426" s="386"/>
      <c r="P1426" s="356"/>
      <c r="Q1426" s="380"/>
      <c r="S1426" s="336"/>
      <c r="T1426" s="62" ph="1"/>
      <c r="V1426" s="232"/>
      <c r="W1426" s="269"/>
      <c r="X1426" s="201"/>
      <c r="Y1426" s="269"/>
      <c r="Z1426" s="269"/>
      <c r="AA1426" s="269"/>
      <c r="AB1426" s="269"/>
      <c r="AC1426" s="269"/>
      <c r="AD1426" s="269"/>
      <c r="AE1426" s="269"/>
      <c r="AG1426" s="128"/>
    </row>
    <row r="1427" spans="1:33" ht="26.25">
      <c r="A1427" s="269"/>
      <c r="B1427" s="269"/>
      <c r="C1427" s="269"/>
      <c r="D1427" s="269"/>
      <c r="E1427" s="269"/>
      <c r="F1427" s="269"/>
      <c r="G1427" s="269"/>
      <c r="H1427" s="269"/>
      <c r="I1427" s="269"/>
      <c r="J1427" s="334"/>
      <c r="K1427" s="334"/>
      <c r="L1427" s="334"/>
      <c r="M1427" s="328"/>
      <c r="N1427" s="328"/>
      <c r="O1427" s="386"/>
      <c r="P1427" s="356"/>
      <c r="Q1427" s="380"/>
      <c r="S1427" s="336"/>
      <c r="T1427" s="62" ph="1"/>
      <c r="V1427" s="232"/>
      <c r="W1427" s="269"/>
      <c r="X1427" s="201"/>
      <c r="Y1427" s="269"/>
      <c r="Z1427" s="269"/>
      <c r="AA1427" s="269"/>
      <c r="AB1427" s="269"/>
      <c r="AC1427" s="269"/>
      <c r="AD1427" s="269"/>
      <c r="AE1427" s="269"/>
      <c r="AG1427" s="128"/>
    </row>
    <row r="1428" spans="1:33" ht="26.25">
      <c r="A1428" s="269"/>
      <c r="B1428" s="269"/>
      <c r="C1428" s="269"/>
      <c r="D1428" s="269"/>
      <c r="E1428" s="269"/>
      <c r="F1428" s="269"/>
      <c r="G1428" s="269"/>
      <c r="H1428" s="269"/>
      <c r="I1428" s="269"/>
      <c r="J1428" s="334"/>
      <c r="K1428" s="334"/>
      <c r="L1428" s="334"/>
      <c r="M1428" s="328"/>
      <c r="N1428" s="328"/>
      <c r="O1428" s="386"/>
      <c r="P1428" s="356"/>
      <c r="Q1428" s="380"/>
      <c r="S1428" s="336"/>
      <c r="T1428" s="62" ph="1"/>
      <c r="V1428" s="232"/>
      <c r="W1428" s="269"/>
      <c r="X1428" s="201"/>
      <c r="Y1428" s="269"/>
      <c r="Z1428" s="269"/>
      <c r="AA1428" s="269"/>
      <c r="AB1428" s="269"/>
      <c r="AC1428" s="269"/>
      <c r="AD1428" s="269"/>
      <c r="AE1428" s="269"/>
      <c r="AG1428" s="128"/>
    </row>
    <row r="1429" spans="1:33" ht="26.25">
      <c r="A1429" s="269"/>
      <c r="B1429" s="269"/>
      <c r="C1429" s="269"/>
      <c r="D1429" s="269"/>
      <c r="E1429" s="269"/>
      <c r="F1429" s="269"/>
      <c r="G1429" s="269"/>
      <c r="H1429" s="269"/>
      <c r="I1429" s="269"/>
      <c r="J1429" s="334"/>
      <c r="K1429" s="334"/>
      <c r="L1429" s="334"/>
      <c r="M1429" s="328"/>
      <c r="N1429" s="328"/>
      <c r="O1429" s="386"/>
      <c r="P1429" s="356"/>
      <c r="Q1429" s="380"/>
      <c r="S1429" s="336"/>
      <c r="T1429" s="62" ph="1"/>
      <c r="V1429" s="232"/>
      <c r="W1429" s="269"/>
      <c r="X1429" s="201"/>
      <c r="Y1429" s="269"/>
      <c r="Z1429" s="269"/>
      <c r="AA1429" s="269"/>
      <c r="AB1429" s="269"/>
      <c r="AC1429" s="269"/>
      <c r="AD1429" s="269"/>
      <c r="AE1429" s="269"/>
      <c r="AG1429" s="128"/>
    </row>
    <row r="1430" spans="1:33" ht="26.25">
      <c r="A1430" s="269"/>
      <c r="B1430" s="269"/>
      <c r="C1430" s="269"/>
      <c r="D1430" s="269"/>
      <c r="E1430" s="269"/>
      <c r="F1430" s="269"/>
      <c r="G1430" s="269"/>
      <c r="H1430" s="269"/>
      <c r="I1430" s="269"/>
      <c r="J1430" s="334"/>
      <c r="K1430" s="334"/>
      <c r="L1430" s="334"/>
      <c r="M1430" s="328"/>
      <c r="N1430" s="328"/>
      <c r="O1430" s="386"/>
      <c r="P1430" s="356"/>
      <c r="Q1430" s="380"/>
      <c r="S1430" s="336"/>
      <c r="T1430" s="62" ph="1"/>
      <c r="V1430" s="232"/>
      <c r="W1430" s="269"/>
      <c r="X1430" s="201"/>
      <c r="Y1430" s="269"/>
      <c r="Z1430" s="269"/>
      <c r="AA1430" s="269"/>
      <c r="AB1430" s="269"/>
      <c r="AC1430" s="269"/>
      <c r="AD1430" s="269"/>
      <c r="AE1430" s="269"/>
      <c r="AG1430" s="128"/>
    </row>
    <row r="1431" spans="1:33" ht="26.25">
      <c r="A1431" s="269"/>
      <c r="B1431" s="269"/>
      <c r="C1431" s="269"/>
      <c r="D1431" s="269"/>
      <c r="E1431" s="269"/>
      <c r="F1431" s="269"/>
      <c r="G1431" s="269"/>
      <c r="H1431" s="269"/>
      <c r="I1431" s="269"/>
      <c r="J1431" s="334"/>
      <c r="K1431" s="334"/>
      <c r="L1431" s="334"/>
      <c r="M1431" s="328"/>
      <c r="N1431" s="328"/>
      <c r="O1431" s="386"/>
      <c r="P1431" s="356"/>
      <c r="Q1431" s="380"/>
      <c r="S1431" s="336"/>
      <c r="T1431" s="62" ph="1"/>
      <c r="V1431" s="232"/>
      <c r="W1431" s="269"/>
      <c r="X1431" s="201"/>
      <c r="Y1431" s="269"/>
      <c r="Z1431" s="269"/>
      <c r="AA1431" s="269"/>
      <c r="AB1431" s="269"/>
      <c r="AC1431" s="269"/>
      <c r="AD1431" s="269"/>
      <c r="AE1431" s="269"/>
      <c r="AG1431" s="128"/>
    </row>
    <row r="1432" spans="1:33" ht="26.25">
      <c r="A1432" s="269"/>
      <c r="B1432" s="269"/>
      <c r="C1432" s="269"/>
      <c r="D1432" s="269"/>
      <c r="E1432" s="269"/>
      <c r="F1432" s="269"/>
      <c r="G1432" s="269"/>
      <c r="H1432" s="269"/>
      <c r="I1432" s="269"/>
      <c r="J1432" s="334"/>
      <c r="K1432" s="334"/>
      <c r="L1432" s="334"/>
      <c r="M1432" s="328"/>
      <c r="N1432" s="328"/>
      <c r="O1432" s="386"/>
      <c r="P1432" s="356"/>
      <c r="Q1432" s="380"/>
      <c r="S1432" s="336"/>
      <c r="T1432" s="62" ph="1"/>
      <c r="V1432" s="232"/>
      <c r="W1432" s="269"/>
      <c r="X1432" s="201"/>
      <c r="Y1432" s="269"/>
      <c r="Z1432" s="269"/>
      <c r="AA1432" s="269"/>
      <c r="AB1432" s="269"/>
      <c r="AC1432" s="269"/>
      <c r="AD1432" s="269"/>
      <c r="AE1432" s="269"/>
      <c r="AG1432" s="128"/>
    </row>
    <row r="1433" spans="1:33" ht="26.25">
      <c r="A1433" s="269"/>
      <c r="B1433" s="269"/>
      <c r="C1433" s="269"/>
      <c r="D1433" s="269"/>
      <c r="E1433" s="269"/>
      <c r="F1433" s="269"/>
      <c r="G1433" s="269"/>
      <c r="H1433" s="269"/>
      <c r="I1433" s="269"/>
      <c r="J1433" s="334"/>
      <c r="K1433" s="334"/>
      <c r="L1433" s="334"/>
      <c r="M1433" s="328"/>
      <c r="N1433" s="328"/>
      <c r="O1433" s="386"/>
      <c r="P1433" s="356"/>
      <c r="Q1433" s="380"/>
      <c r="S1433" s="336"/>
      <c r="T1433" s="62" ph="1"/>
      <c r="V1433" s="232"/>
      <c r="W1433" s="269"/>
      <c r="X1433" s="201"/>
      <c r="Y1433" s="269"/>
      <c r="Z1433" s="269"/>
      <c r="AA1433" s="269"/>
      <c r="AB1433" s="269"/>
      <c r="AC1433" s="269"/>
      <c r="AD1433" s="269"/>
      <c r="AE1433" s="269"/>
      <c r="AG1433" s="128"/>
    </row>
    <row r="1434" spans="1:33">
      <c r="O1434" s="386"/>
      <c r="P1434" s="356"/>
      <c r="Q1434" s="380"/>
      <c r="AG1434" s="128"/>
    </row>
    <row r="1435" spans="1:33" ht="26.25">
      <c r="A1435" s="269"/>
      <c r="B1435" s="269"/>
      <c r="C1435" s="269"/>
      <c r="D1435" s="269"/>
      <c r="E1435" s="269"/>
      <c r="F1435" s="269"/>
      <c r="G1435" s="269"/>
      <c r="H1435" s="269"/>
      <c r="I1435" s="269"/>
      <c r="J1435" s="334"/>
      <c r="K1435" s="334"/>
      <c r="L1435" s="334"/>
      <c r="M1435" s="328"/>
      <c r="N1435" s="328"/>
      <c r="O1435" s="386"/>
      <c r="P1435" s="356"/>
      <c r="Q1435" s="380"/>
      <c r="S1435" s="336"/>
      <c r="T1435" s="62" ph="1"/>
      <c r="V1435" s="232"/>
      <c r="W1435" s="269"/>
      <c r="X1435" s="201"/>
      <c r="Y1435" s="269"/>
      <c r="Z1435" s="269"/>
      <c r="AA1435" s="269"/>
      <c r="AB1435" s="269"/>
      <c r="AC1435" s="269"/>
      <c r="AD1435" s="269"/>
      <c r="AE1435" s="269"/>
      <c r="AG1435" s="128"/>
    </row>
    <row r="1436" spans="1:33" ht="26.25">
      <c r="A1436" s="269"/>
      <c r="B1436" s="269"/>
      <c r="C1436" s="269"/>
      <c r="D1436" s="269"/>
      <c r="E1436" s="269"/>
      <c r="F1436" s="269"/>
      <c r="G1436" s="269"/>
      <c r="H1436" s="269"/>
      <c r="I1436" s="269"/>
      <c r="J1436" s="334"/>
      <c r="K1436" s="334"/>
      <c r="L1436" s="334"/>
      <c r="M1436" s="328"/>
      <c r="N1436" s="328"/>
      <c r="O1436" s="386"/>
      <c r="P1436" s="356"/>
      <c r="Q1436" s="380"/>
      <c r="S1436" s="336"/>
      <c r="T1436" s="62" ph="1"/>
      <c r="V1436" s="232"/>
      <c r="W1436" s="269"/>
      <c r="X1436" s="201"/>
      <c r="Y1436" s="269"/>
      <c r="Z1436" s="269"/>
      <c r="AA1436" s="269"/>
      <c r="AB1436" s="269"/>
      <c r="AC1436" s="269"/>
      <c r="AD1436" s="269"/>
      <c r="AE1436" s="269"/>
      <c r="AG1436" s="128"/>
    </row>
    <row r="1437" spans="1:33" ht="26.25">
      <c r="A1437" s="269"/>
      <c r="B1437" s="269"/>
      <c r="C1437" s="269"/>
      <c r="D1437" s="269"/>
      <c r="E1437" s="269"/>
      <c r="F1437" s="269"/>
      <c r="G1437" s="269"/>
      <c r="H1437" s="269"/>
      <c r="I1437" s="269"/>
      <c r="J1437" s="334"/>
      <c r="K1437" s="334"/>
      <c r="L1437" s="334"/>
      <c r="M1437" s="328"/>
      <c r="N1437" s="328"/>
      <c r="O1437" s="386"/>
      <c r="P1437" s="356"/>
      <c r="Q1437" s="380"/>
      <c r="S1437" s="336"/>
      <c r="T1437" s="62" ph="1"/>
      <c r="V1437" s="232"/>
      <c r="W1437" s="269"/>
      <c r="X1437" s="201"/>
      <c r="Y1437" s="269"/>
      <c r="Z1437" s="269"/>
      <c r="AA1437" s="269"/>
      <c r="AB1437" s="269"/>
      <c r="AC1437" s="269"/>
      <c r="AD1437" s="269"/>
      <c r="AE1437" s="269"/>
      <c r="AG1437" s="128"/>
    </row>
    <row r="1438" spans="1:33" ht="26.25">
      <c r="A1438" s="269"/>
      <c r="B1438" s="269"/>
      <c r="C1438" s="269"/>
      <c r="D1438" s="269"/>
      <c r="E1438" s="269"/>
      <c r="F1438" s="269"/>
      <c r="G1438" s="269"/>
      <c r="H1438" s="269"/>
      <c r="I1438" s="269"/>
      <c r="J1438" s="334"/>
      <c r="K1438" s="334"/>
      <c r="L1438" s="334"/>
      <c r="M1438" s="328"/>
      <c r="N1438" s="328"/>
      <c r="O1438" s="386"/>
      <c r="P1438" s="356"/>
      <c r="Q1438" s="380"/>
      <c r="S1438" s="336"/>
      <c r="T1438" s="62" ph="1"/>
      <c r="V1438" s="232"/>
      <c r="W1438" s="269"/>
      <c r="X1438" s="201"/>
      <c r="Y1438" s="269"/>
      <c r="Z1438" s="269"/>
      <c r="AA1438" s="269"/>
      <c r="AB1438" s="269"/>
      <c r="AC1438" s="269"/>
      <c r="AD1438" s="269"/>
      <c r="AE1438" s="269"/>
      <c r="AG1438" s="128"/>
    </row>
    <row r="1439" spans="1:33" ht="26.25">
      <c r="A1439" s="269"/>
      <c r="B1439" s="269"/>
      <c r="C1439" s="269"/>
      <c r="D1439" s="269"/>
      <c r="E1439" s="269"/>
      <c r="F1439" s="269"/>
      <c r="G1439" s="269"/>
      <c r="H1439" s="269"/>
      <c r="I1439" s="269"/>
      <c r="J1439" s="334"/>
      <c r="K1439" s="334"/>
      <c r="L1439" s="334"/>
      <c r="M1439" s="328"/>
      <c r="N1439" s="328"/>
      <c r="O1439" s="386"/>
      <c r="P1439" s="356"/>
      <c r="Q1439" s="380"/>
      <c r="S1439" s="336"/>
      <c r="T1439" s="62" ph="1"/>
      <c r="V1439" s="232"/>
      <c r="W1439" s="269"/>
      <c r="X1439" s="201"/>
      <c r="Y1439" s="269"/>
      <c r="Z1439" s="269"/>
      <c r="AA1439" s="269"/>
      <c r="AB1439" s="269"/>
      <c r="AC1439" s="269"/>
      <c r="AD1439" s="269"/>
      <c r="AE1439" s="269"/>
      <c r="AG1439" s="128"/>
    </row>
    <row r="1440" spans="1:33" ht="26.25">
      <c r="A1440" s="269"/>
      <c r="B1440" s="269"/>
      <c r="C1440" s="269"/>
      <c r="D1440" s="269"/>
      <c r="E1440" s="269"/>
      <c r="F1440" s="269"/>
      <c r="G1440" s="269"/>
      <c r="H1440" s="269"/>
      <c r="I1440" s="269"/>
      <c r="J1440" s="334"/>
      <c r="K1440" s="334"/>
      <c r="L1440" s="334"/>
      <c r="M1440" s="328"/>
      <c r="N1440" s="328"/>
      <c r="O1440" s="386"/>
      <c r="P1440" s="356"/>
      <c r="Q1440" s="380"/>
      <c r="S1440" s="336"/>
      <c r="T1440" s="62" ph="1"/>
      <c r="V1440" s="232"/>
      <c r="W1440" s="269"/>
      <c r="X1440" s="201"/>
      <c r="Y1440" s="269"/>
      <c r="Z1440" s="269"/>
      <c r="AA1440" s="269"/>
      <c r="AB1440" s="269"/>
      <c r="AC1440" s="269"/>
      <c r="AD1440" s="269"/>
      <c r="AE1440" s="269"/>
      <c r="AG1440" s="128"/>
    </row>
    <row r="1441" spans="1:33" ht="26.25">
      <c r="A1441" s="269"/>
      <c r="B1441" s="269"/>
      <c r="C1441" s="269"/>
      <c r="D1441" s="269"/>
      <c r="E1441" s="269"/>
      <c r="F1441" s="269"/>
      <c r="G1441" s="269"/>
      <c r="H1441" s="269"/>
      <c r="I1441" s="269"/>
      <c r="J1441" s="334"/>
      <c r="K1441" s="334"/>
      <c r="L1441" s="334"/>
      <c r="M1441" s="328"/>
      <c r="N1441" s="328"/>
      <c r="O1441" s="386"/>
      <c r="P1441" s="356"/>
      <c r="Q1441" s="380"/>
      <c r="S1441" s="336"/>
      <c r="T1441" s="62" ph="1"/>
      <c r="V1441" s="232"/>
      <c r="W1441" s="269"/>
      <c r="X1441" s="201"/>
      <c r="Y1441" s="269"/>
      <c r="Z1441" s="269"/>
      <c r="AA1441" s="269"/>
      <c r="AB1441" s="269"/>
      <c r="AC1441" s="269"/>
      <c r="AD1441" s="269"/>
      <c r="AE1441" s="269"/>
      <c r="AG1441" s="128"/>
    </row>
    <row r="1442" spans="1:33" ht="26.25">
      <c r="A1442" s="269"/>
      <c r="B1442" s="269"/>
      <c r="C1442" s="269"/>
      <c r="D1442" s="269"/>
      <c r="E1442" s="269"/>
      <c r="F1442" s="269"/>
      <c r="G1442" s="269"/>
      <c r="H1442" s="269"/>
      <c r="I1442" s="269"/>
      <c r="J1442" s="334"/>
      <c r="K1442" s="334"/>
      <c r="L1442" s="334"/>
      <c r="M1442" s="328"/>
      <c r="N1442" s="328"/>
      <c r="O1442" s="386"/>
      <c r="P1442" s="356"/>
      <c r="Q1442" s="380"/>
      <c r="S1442" s="336"/>
      <c r="T1442" s="62" ph="1"/>
      <c r="V1442" s="232"/>
      <c r="W1442" s="269"/>
      <c r="X1442" s="201"/>
      <c r="Y1442" s="269"/>
      <c r="Z1442" s="269"/>
      <c r="AA1442" s="269"/>
      <c r="AB1442" s="269"/>
      <c r="AC1442" s="269"/>
      <c r="AD1442" s="269"/>
      <c r="AE1442" s="269"/>
      <c r="AG1442" s="128"/>
    </row>
    <row r="1443" spans="1:33">
      <c r="O1443" s="386"/>
      <c r="P1443" s="356"/>
      <c r="Q1443" s="380"/>
      <c r="AG1443" s="128"/>
    </row>
    <row r="1444" spans="1:33" ht="26.25">
      <c r="A1444" s="269"/>
      <c r="B1444" s="269"/>
      <c r="C1444" s="269"/>
      <c r="D1444" s="269"/>
      <c r="E1444" s="269"/>
      <c r="F1444" s="269"/>
      <c r="G1444" s="269"/>
      <c r="H1444" s="269"/>
      <c r="I1444" s="269"/>
      <c r="J1444" s="334"/>
      <c r="K1444" s="334"/>
      <c r="L1444" s="334"/>
      <c r="M1444" s="328"/>
      <c r="N1444" s="328"/>
      <c r="O1444" s="386"/>
      <c r="P1444" s="356"/>
      <c r="Q1444" s="380"/>
      <c r="S1444" s="336"/>
      <c r="T1444" s="62" ph="1"/>
      <c r="V1444" s="232"/>
      <c r="W1444" s="269"/>
      <c r="X1444" s="201"/>
      <c r="Y1444" s="269"/>
      <c r="Z1444" s="269"/>
      <c r="AA1444" s="269"/>
      <c r="AB1444" s="269"/>
      <c r="AC1444" s="269"/>
      <c r="AD1444" s="269"/>
      <c r="AE1444" s="269"/>
      <c r="AG1444" s="128"/>
    </row>
    <row r="1445" spans="1:33" ht="26.25">
      <c r="A1445" s="269"/>
      <c r="B1445" s="269"/>
      <c r="C1445" s="269"/>
      <c r="D1445" s="269"/>
      <c r="E1445" s="269"/>
      <c r="F1445" s="269"/>
      <c r="G1445" s="269"/>
      <c r="H1445" s="269"/>
      <c r="I1445" s="269"/>
      <c r="J1445" s="334"/>
      <c r="K1445" s="334"/>
      <c r="L1445" s="334"/>
      <c r="M1445" s="328"/>
      <c r="N1445" s="328"/>
      <c r="O1445" s="386"/>
      <c r="P1445" s="356"/>
      <c r="Q1445" s="380"/>
      <c r="S1445" s="336"/>
      <c r="T1445" s="62" ph="1"/>
      <c r="V1445" s="232"/>
      <c r="W1445" s="269"/>
      <c r="X1445" s="201"/>
      <c r="Y1445" s="269"/>
      <c r="Z1445" s="269"/>
      <c r="AA1445" s="269"/>
      <c r="AB1445" s="269"/>
      <c r="AC1445" s="269"/>
      <c r="AD1445" s="269"/>
      <c r="AE1445" s="269"/>
      <c r="AG1445" s="128"/>
    </row>
    <row r="1446" spans="1:33" ht="26.25">
      <c r="A1446" s="269"/>
      <c r="B1446" s="269"/>
      <c r="C1446" s="269"/>
      <c r="D1446" s="269"/>
      <c r="E1446" s="269"/>
      <c r="F1446" s="269"/>
      <c r="G1446" s="269"/>
      <c r="H1446" s="269"/>
      <c r="I1446" s="269"/>
      <c r="J1446" s="334"/>
      <c r="K1446" s="334"/>
      <c r="L1446" s="334"/>
      <c r="M1446" s="328"/>
      <c r="N1446" s="328"/>
      <c r="O1446" s="386"/>
      <c r="P1446" s="356"/>
      <c r="Q1446" s="380"/>
      <c r="S1446" s="336"/>
      <c r="T1446" s="62" ph="1"/>
      <c r="V1446" s="232"/>
      <c r="W1446" s="269"/>
      <c r="X1446" s="201"/>
      <c r="Y1446" s="269"/>
      <c r="Z1446" s="269"/>
      <c r="AA1446" s="269"/>
      <c r="AB1446" s="269"/>
      <c r="AC1446" s="269"/>
      <c r="AD1446" s="269"/>
      <c r="AE1446" s="269"/>
      <c r="AG1446" s="128"/>
    </row>
    <row r="1447" spans="1:33" ht="26.25">
      <c r="A1447" s="269"/>
      <c r="B1447" s="269"/>
      <c r="C1447" s="269"/>
      <c r="D1447" s="269"/>
      <c r="E1447" s="269"/>
      <c r="F1447" s="269"/>
      <c r="G1447" s="269"/>
      <c r="H1447" s="269"/>
      <c r="I1447" s="269"/>
      <c r="J1447" s="334"/>
      <c r="K1447" s="334"/>
      <c r="L1447" s="334"/>
      <c r="M1447" s="328"/>
      <c r="N1447" s="328"/>
      <c r="O1447" s="386"/>
      <c r="P1447" s="356"/>
      <c r="Q1447" s="380"/>
      <c r="S1447" s="336"/>
      <c r="T1447" s="62" ph="1"/>
      <c r="V1447" s="232"/>
      <c r="W1447" s="269"/>
      <c r="X1447" s="201"/>
      <c r="Y1447" s="269"/>
      <c r="Z1447" s="269"/>
      <c r="AA1447" s="269"/>
      <c r="AB1447" s="269"/>
      <c r="AC1447" s="269"/>
      <c r="AD1447" s="269"/>
      <c r="AE1447" s="269"/>
      <c r="AG1447" s="128"/>
    </row>
    <row r="1448" spans="1:33" ht="26.25">
      <c r="A1448" s="269"/>
      <c r="B1448" s="269"/>
      <c r="C1448" s="269"/>
      <c r="D1448" s="269"/>
      <c r="E1448" s="269"/>
      <c r="F1448" s="269"/>
      <c r="G1448" s="269"/>
      <c r="H1448" s="269"/>
      <c r="I1448" s="269"/>
      <c r="J1448" s="334"/>
      <c r="K1448" s="334"/>
      <c r="L1448" s="334"/>
      <c r="M1448" s="328"/>
      <c r="N1448" s="328"/>
      <c r="O1448" s="386"/>
      <c r="P1448" s="356"/>
      <c r="Q1448" s="380"/>
      <c r="S1448" s="336"/>
      <c r="T1448" s="62" ph="1"/>
      <c r="V1448" s="232"/>
      <c r="W1448" s="269"/>
      <c r="X1448" s="201"/>
      <c r="Y1448" s="269"/>
      <c r="Z1448" s="269"/>
      <c r="AA1448" s="269"/>
      <c r="AB1448" s="269"/>
      <c r="AC1448" s="269"/>
      <c r="AD1448" s="269"/>
      <c r="AE1448" s="269"/>
      <c r="AG1448" s="128"/>
    </row>
    <row r="1449" spans="1:33" ht="26.25">
      <c r="A1449" s="269"/>
      <c r="B1449" s="269"/>
      <c r="C1449" s="269"/>
      <c r="D1449" s="269"/>
      <c r="E1449" s="269"/>
      <c r="F1449" s="269"/>
      <c r="G1449" s="269"/>
      <c r="H1449" s="269"/>
      <c r="I1449" s="269"/>
      <c r="J1449" s="334"/>
      <c r="K1449" s="334"/>
      <c r="L1449" s="334"/>
      <c r="M1449" s="328"/>
      <c r="N1449" s="328"/>
      <c r="O1449" s="386"/>
      <c r="P1449" s="356"/>
      <c r="Q1449" s="380"/>
      <c r="S1449" s="336"/>
      <c r="T1449" s="62" ph="1"/>
      <c r="V1449" s="232"/>
      <c r="W1449" s="269"/>
      <c r="X1449" s="201"/>
      <c r="Y1449" s="269"/>
      <c r="Z1449" s="269"/>
      <c r="AA1449" s="269"/>
      <c r="AB1449" s="269"/>
      <c r="AC1449" s="269"/>
      <c r="AD1449" s="269"/>
      <c r="AE1449" s="269"/>
      <c r="AG1449" s="128"/>
    </row>
    <row r="1450" spans="1:33" ht="26.25">
      <c r="A1450" s="269"/>
      <c r="B1450" s="269"/>
      <c r="C1450" s="269"/>
      <c r="D1450" s="269"/>
      <c r="E1450" s="269"/>
      <c r="F1450" s="269"/>
      <c r="G1450" s="269"/>
      <c r="H1450" s="269"/>
      <c r="I1450" s="269"/>
      <c r="J1450" s="334"/>
      <c r="K1450" s="334"/>
      <c r="L1450" s="334"/>
      <c r="M1450" s="328"/>
      <c r="N1450" s="328"/>
      <c r="O1450" s="386"/>
      <c r="P1450" s="356"/>
      <c r="Q1450" s="380"/>
      <c r="S1450" s="336"/>
      <c r="T1450" s="62" ph="1"/>
      <c r="V1450" s="232"/>
      <c r="W1450" s="269"/>
      <c r="X1450" s="201"/>
      <c r="Y1450" s="269"/>
      <c r="Z1450" s="269"/>
      <c r="AA1450" s="269"/>
      <c r="AB1450" s="269"/>
      <c r="AC1450" s="269"/>
      <c r="AD1450" s="269"/>
      <c r="AE1450" s="269"/>
      <c r="AG1450" s="128"/>
    </row>
    <row r="1451" spans="1:33" ht="26.25">
      <c r="A1451" s="269"/>
      <c r="B1451" s="269"/>
      <c r="C1451" s="269"/>
      <c r="D1451" s="269"/>
      <c r="E1451" s="269"/>
      <c r="F1451" s="269"/>
      <c r="G1451" s="269"/>
      <c r="H1451" s="269"/>
      <c r="I1451" s="269"/>
      <c r="J1451" s="334"/>
      <c r="K1451" s="334"/>
      <c r="L1451" s="334"/>
      <c r="M1451" s="328"/>
      <c r="N1451" s="328"/>
      <c r="O1451" s="386"/>
      <c r="P1451" s="356"/>
      <c r="Q1451" s="380"/>
      <c r="S1451" s="336"/>
      <c r="T1451" s="62" ph="1"/>
      <c r="V1451" s="232"/>
      <c r="W1451" s="269"/>
      <c r="X1451" s="201"/>
      <c r="Y1451" s="269"/>
      <c r="Z1451" s="269"/>
      <c r="AA1451" s="269"/>
      <c r="AB1451" s="269"/>
      <c r="AC1451" s="269"/>
      <c r="AD1451" s="269"/>
      <c r="AE1451" s="269"/>
      <c r="AG1451" s="128"/>
    </row>
    <row r="1452" spans="1:33" ht="26.25">
      <c r="A1452" s="269"/>
      <c r="B1452" s="269"/>
      <c r="C1452" s="269"/>
      <c r="D1452" s="269"/>
      <c r="E1452" s="269"/>
      <c r="F1452" s="269"/>
      <c r="G1452" s="269"/>
      <c r="H1452" s="269"/>
      <c r="I1452" s="269"/>
      <c r="J1452" s="334"/>
      <c r="K1452" s="334"/>
      <c r="L1452" s="334"/>
      <c r="M1452" s="328"/>
      <c r="N1452" s="328"/>
      <c r="O1452" s="386"/>
      <c r="P1452" s="356"/>
      <c r="Q1452" s="380"/>
      <c r="S1452" s="336"/>
      <c r="T1452" s="62" ph="1"/>
      <c r="V1452" s="232"/>
      <c r="W1452" s="269"/>
      <c r="X1452" s="201"/>
      <c r="Y1452" s="269"/>
      <c r="Z1452" s="269"/>
      <c r="AA1452" s="269"/>
      <c r="AB1452" s="269"/>
      <c r="AC1452" s="269"/>
      <c r="AD1452" s="269"/>
      <c r="AE1452" s="269"/>
      <c r="AG1452" s="125"/>
    </row>
    <row r="1453" spans="1:33" ht="26.25">
      <c r="A1453" s="269"/>
      <c r="B1453" s="269"/>
      <c r="C1453" s="269"/>
      <c r="D1453" s="269"/>
      <c r="E1453" s="269"/>
      <c r="F1453" s="269"/>
      <c r="G1453" s="269"/>
      <c r="H1453" s="269"/>
      <c r="I1453" s="269"/>
      <c r="J1453" s="334"/>
      <c r="K1453" s="334"/>
      <c r="L1453" s="334"/>
      <c r="M1453" s="328"/>
      <c r="N1453" s="328"/>
      <c r="O1453" s="386"/>
      <c r="P1453" s="356"/>
      <c r="Q1453" s="380"/>
      <c r="S1453" s="336"/>
      <c r="T1453" s="62" ph="1"/>
      <c r="V1453" s="232"/>
      <c r="W1453" s="269"/>
      <c r="X1453" s="201"/>
      <c r="Y1453" s="269"/>
      <c r="Z1453" s="269"/>
      <c r="AA1453" s="269"/>
      <c r="AB1453" s="269"/>
      <c r="AC1453" s="269"/>
      <c r="AD1453" s="269"/>
      <c r="AE1453" s="269"/>
      <c r="AG1453" s="128"/>
    </row>
    <row r="1454" spans="1:33" ht="26.25">
      <c r="A1454" s="269"/>
      <c r="B1454" s="269"/>
      <c r="C1454" s="269"/>
      <c r="D1454" s="269"/>
      <c r="E1454" s="269"/>
      <c r="F1454" s="269"/>
      <c r="G1454" s="269"/>
      <c r="H1454" s="269"/>
      <c r="I1454" s="269"/>
      <c r="J1454" s="334"/>
      <c r="K1454" s="334"/>
      <c r="L1454" s="334"/>
      <c r="M1454" s="328"/>
      <c r="N1454" s="328"/>
      <c r="O1454" s="386"/>
      <c r="P1454" s="356"/>
      <c r="Q1454" s="380"/>
      <c r="S1454" s="336"/>
      <c r="T1454" s="62" ph="1"/>
      <c r="V1454" s="232"/>
      <c r="W1454" s="269"/>
      <c r="X1454" s="201"/>
      <c r="Y1454" s="269"/>
      <c r="Z1454" s="269"/>
      <c r="AA1454" s="269"/>
      <c r="AB1454" s="269"/>
      <c r="AC1454" s="269"/>
      <c r="AD1454" s="269"/>
      <c r="AE1454" s="269"/>
      <c r="AG1454" s="128"/>
    </row>
    <row r="1455" spans="1:33">
      <c r="O1455" s="386"/>
      <c r="P1455" s="356"/>
      <c r="Q1455" s="380"/>
      <c r="AG1455" s="128"/>
    </row>
    <row r="1456" spans="1:33" ht="26.25">
      <c r="A1456" s="269"/>
      <c r="B1456" s="269"/>
      <c r="C1456" s="269"/>
      <c r="D1456" s="269"/>
      <c r="E1456" s="269"/>
      <c r="F1456" s="269"/>
      <c r="G1456" s="269"/>
      <c r="H1456" s="269"/>
      <c r="I1456" s="269"/>
      <c r="J1456" s="334"/>
      <c r="K1456" s="334"/>
      <c r="L1456" s="334"/>
      <c r="M1456" s="328"/>
      <c r="N1456" s="328"/>
      <c r="O1456" s="386"/>
      <c r="P1456" s="356"/>
      <c r="Q1456" s="380"/>
      <c r="S1456" s="336"/>
      <c r="T1456" s="62" ph="1"/>
      <c r="V1456" s="232"/>
      <c r="W1456" s="269"/>
      <c r="X1456" s="201"/>
      <c r="Y1456" s="269"/>
      <c r="Z1456" s="269"/>
      <c r="AA1456" s="269"/>
      <c r="AB1456" s="269"/>
      <c r="AC1456" s="269"/>
      <c r="AD1456" s="269"/>
      <c r="AE1456" s="269"/>
      <c r="AG1456" s="128"/>
    </row>
    <row r="1457" spans="1:33" ht="26.25">
      <c r="A1457" s="269"/>
      <c r="B1457" s="269"/>
      <c r="C1457" s="269"/>
      <c r="D1457" s="269"/>
      <c r="E1457" s="269"/>
      <c r="F1457" s="269"/>
      <c r="G1457" s="269"/>
      <c r="H1457" s="269"/>
      <c r="I1457" s="269"/>
      <c r="J1457" s="334"/>
      <c r="K1457" s="334"/>
      <c r="L1457" s="334"/>
      <c r="M1457" s="328"/>
      <c r="N1457" s="328"/>
      <c r="O1457" s="386"/>
      <c r="P1457" s="356"/>
      <c r="Q1457" s="380"/>
      <c r="S1457" s="336"/>
      <c r="T1457" s="62" ph="1"/>
      <c r="V1457" s="232"/>
      <c r="W1457" s="269"/>
      <c r="X1457" s="201"/>
      <c r="Y1457" s="269"/>
      <c r="Z1457" s="269"/>
      <c r="AA1457" s="269"/>
      <c r="AB1457" s="269"/>
      <c r="AC1457" s="269"/>
      <c r="AD1457" s="269"/>
      <c r="AE1457" s="269"/>
      <c r="AG1457" s="128"/>
    </row>
    <row r="1458" spans="1:33" ht="26.25">
      <c r="A1458" s="269"/>
      <c r="B1458" s="269"/>
      <c r="C1458" s="269"/>
      <c r="D1458" s="269"/>
      <c r="E1458" s="269"/>
      <c r="F1458" s="269"/>
      <c r="G1458" s="269"/>
      <c r="H1458" s="269"/>
      <c r="I1458" s="269"/>
      <c r="J1458" s="334"/>
      <c r="K1458" s="334"/>
      <c r="L1458" s="334"/>
      <c r="M1458" s="328"/>
      <c r="N1458" s="328"/>
      <c r="O1458" s="386"/>
      <c r="P1458" s="356"/>
      <c r="Q1458" s="380"/>
      <c r="S1458" s="336"/>
      <c r="T1458" s="62" ph="1"/>
      <c r="V1458" s="232"/>
      <c r="W1458" s="269"/>
      <c r="X1458" s="201"/>
      <c r="Y1458" s="269"/>
      <c r="Z1458" s="269"/>
      <c r="AA1458" s="269"/>
      <c r="AB1458" s="269"/>
      <c r="AC1458" s="269"/>
      <c r="AD1458" s="269"/>
      <c r="AE1458" s="269"/>
      <c r="AG1458" s="128"/>
    </row>
    <row r="1459" spans="1:33" ht="26.25">
      <c r="A1459" s="269"/>
      <c r="B1459" s="269"/>
      <c r="C1459" s="269"/>
      <c r="D1459" s="269"/>
      <c r="E1459" s="269"/>
      <c r="F1459" s="269"/>
      <c r="G1459" s="269"/>
      <c r="H1459" s="269"/>
      <c r="I1459" s="269"/>
      <c r="J1459" s="334"/>
      <c r="K1459" s="334"/>
      <c r="L1459" s="334"/>
      <c r="M1459" s="328"/>
      <c r="N1459" s="328"/>
      <c r="O1459" s="386"/>
      <c r="P1459" s="356"/>
      <c r="Q1459" s="380"/>
      <c r="S1459" s="336"/>
      <c r="T1459" s="62" ph="1"/>
      <c r="V1459" s="232"/>
      <c r="W1459" s="269"/>
      <c r="X1459" s="201"/>
      <c r="Y1459" s="269"/>
      <c r="Z1459" s="269"/>
      <c r="AA1459" s="269"/>
      <c r="AB1459" s="269"/>
      <c r="AC1459" s="269"/>
      <c r="AD1459" s="269"/>
      <c r="AE1459" s="269"/>
      <c r="AG1459" s="128"/>
    </row>
    <row r="1460" spans="1:33" ht="26.25">
      <c r="A1460" s="269"/>
      <c r="B1460" s="269"/>
      <c r="C1460" s="269"/>
      <c r="D1460" s="269"/>
      <c r="E1460" s="269"/>
      <c r="F1460" s="269"/>
      <c r="G1460" s="269"/>
      <c r="H1460" s="269"/>
      <c r="I1460" s="269"/>
      <c r="J1460" s="334"/>
      <c r="K1460" s="334"/>
      <c r="L1460" s="334"/>
      <c r="M1460" s="328"/>
      <c r="N1460" s="328"/>
      <c r="O1460" s="386"/>
      <c r="P1460" s="356"/>
      <c r="Q1460" s="380"/>
      <c r="S1460" s="336"/>
      <c r="T1460" s="62" ph="1"/>
      <c r="V1460" s="232"/>
      <c r="W1460" s="269"/>
      <c r="X1460" s="201"/>
      <c r="Y1460" s="269"/>
      <c r="Z1460" s="269"/>
      <c r="AA1460" s="269"/>
      <c r="AB1460" s="269"/>
      <c r="AC1460" s="269"/>
      <c r="AD1460" s="269"/>
      <c r="AE1460" s="269"/>
      <c r="AG1460" s="128"/>
    </row>
    <row r="1461" spans="1:33" ht="26.25">
      <c r="A1461" s="269"/>
      <c r="B1461" s="269"/>
      <c r="C1461" s="269"/>
      <c r="D1461" s="269"/>
      <c r="E1461" s="269"/>
      <c r="F1461" s="269"/>
      <c r="G1461" s="269"/>
      <c r="H1461" s="269"/>
      <c r="I1461" s="269"/>
      <c r="J1461" s="334"/>
      <c r="K1461" s="334"/>
      <c r="L1461" s="334"/>
      <c r="M1461" s="328"/>
      <c r="N1461" s="328"/>
      <c r="O1461" s="386"/>
      <c r="P1461" s="356"/>
      <c r="Q1461" s="380"/>
      <c r="S1461" s="336"/>
      <c r="T1461" s="62" ph="1"/>
      <c r="V1461" s="232"/>
      <c r="W1461" s="269"/>
      <c r="X1461" s="201"/>
      <c r="Y1461" s="269"/>
      <c r="Z1461" s="269"/>
      <c r="AA1461" s="269"/>
      <c r="AB1461" s="269"/>
      <c r="AC1461" s="269"/>
      <c r="AD1461" s="269"/>
      <c r="AE1461" s="269"/>
      <c r="AG1461" s="128"/>
    </row>
    <row r="1462" spans="1:33" ht="26.25">
      <c r="A1462" s="269"/>
      <c r="B1462" s="269"/>
      <c r="C1462" s="269"/>
      <c r="D1462" s="269"/>
      <c r="E1462" s="269"/>
      <c r="F1462" s="269"/>
      <c r="G1462" s="269"/>
      <c r="H1462" s="269"/>
      <c r="I1462" s="269"/>
      <c r="J1462" s="334"/>
      <c r="K1462" s="334"/>
      <c r="L1462" s="334"/>
      <c r="M1462" s="328"/>
      <c r="N1462" s="328"/>
      <c r="O1462" s="386"/>
      <c r="P1462" s="356"/>
      <c r="Q1462" s="380"/>
      <c r="S1462" s="336"/>
      <c r="T1462" s="62" ph="1"/>
      <c r="V1462" s="232"/>
      <c r="W1462" s="269"/>
      <c r="X1462" s="201"/>
      <c r="Y1462" s="269"/>
      <c r="Z1462" s="269"/>
      <c r="AA1462" s="269"/>
      <c r="AB1462" s="269"/>
      <c r="AC1462" s="269"/>
      <c r="AD1462" s="269"/>
      <c r="AE1462" s="269"/>
      <c r="AG1462" s="128"/>
    </row>
    <row r="1463" spans="1:33" ht="26.25">
      <c r="A1463" s="269"/>
      <c r="B1463" s="269"/>
      <c r="C1463" s="269"/>
      <c r="D1463" s="269"/>
      <c r="E1463" s="269"/>
      <c r="F1463" s="269"/>
      <c r="G1463" s="269"/>
      <c r="H1463" s="269"/>
      <c r="I1463" s="269"/>
      <c r="J1463" s="334"/>
      <c r="K1463" s="334"/>
      <c r="L1463" s="334"/>
      <c r="M1463" s="328"/>
      <c r="N1463" s="328"/>
      <c r="O1463" s="386"/>
      <c r="P1463" s="356"/>
      <c r="Q1463" s="380"/>
      <c r="S1463" s="336"/>
      <c r="T1463" s="62" ph="1"/>
      <c r="V1463" s="232"/>
      <c r="W1463" s="269"/>
      <c r="X1463" s="201"/>
      <c r="Y1463" s="269"/>
      <c r="Z1463" s="269"/>
      <c r="AA1463" s="269"/>
      <c r="AB1463" s="269"/>
      <c r="AC1463" s="269"/>
      <c r="AD1463" s="269"/>
      <c r="AE1463" s="269"/>
      <c r="AG1463" s="128"/>
    </row>
    <row r="1464" spans="1:33">
      <c r="O1464" s="386"/>
      <c r="P1464" s="356"/>
      <c r="Q1464" s="380"/>
      <c r="AG1464" s="128"/>
    </row>
    <row r="1465" spans="1:33" ht="26.25">
      <c r="A1465" s="269"/>
      <c r="B1465" s="269"/>
      <c r="C1465" s="269"/>
      <c r="D1465" s="269"/>
      <c r="E1465" s="269"/>
      <c r="F1465" s="269"/>
      <c r="G1465" s="269"/>
      <c r="H1465" s="269"/>
      <c r="I1465" s="269"/>
      <c r="J1465" s="334"/>
      <c r="K1465" s="334"/>
      <c r="L1465" s="334"/>
      <c r="M1465" s="328"/>
      <c r="N1465" s="328"/>
      <c r="O1465" s="386"/>
      <c r="P1465" s="356"/>
      <c r="Q1465" s="380"/>
      <c r="S1465" s="336"/>
      <c r="T1465" s="62" ph="1"/>
      <c r="V1465" s="232"/>
      <c r="W1465" s="269"/>
      <c r="X1465" s="201"/>
      <c r="Y1465" s="269"/>
      <c r="Z1465" s="269"/>
      <c r="AA1465" s="269"/>
      <c r="AB1465" s="269"/>
      <c r="AC1465" s="269"/>
      <c r="AD1465" s="269"/>
      <c r="AE1465" s="269"/>
      <c r="AG1465" s="128"/>
    </row>
    <row r="1466" spans="1:33" ht="26.25">
      <c r="A1466" s="269"/>
      <c r="B1466" s="269"/>
      <c r="C1466" s="269"/>
      <c r="D1466" s="269"/>
      <c r="E1466" s="269"/>
      <c r="F1466" s="269"/>
      <c r="G1466" s="269"/>
      <c r="H1466" s="269"/>
      <c r="I1466" s="269"/>
      <c r="J1466" s="334"/>
      <c r="K1466" s="334"/>
      <c r="L1466" s="334"/>
      <c r="M1466" s="328"/>
      <c r="N1466" s="328"/>
      <c r="O1466" s="386"/>
      <c r="P1466" s="356"/>
      <c r="Q1466" s="380"/>
      <c r="S1466" s="336"/>
      <c r="T1466" s="62" ph="1"/>
      <c r="V1466" s="232"/>
      <c r="W1466" s="269"/>
      <c r="X1466" s="201"/>
      <c r="Y1466" s="269"/>
      <c r="Z1466" s="269"/>
      <c r="AA1466" s="269"/>
      <c r="AB1466" s="269"/>
      <c r="AC1466" s="269"/>
      <c r="AD1466" s="269"/>
      <c r="AE1466" s="269"/>
      <c r="AG1466" s="128"/>
    </row>
    <row r="1467" spans="1:33" ht="26.25">
      <c r="A1467" s="269"/>
      <c r="B1467" s="269"/>
      <c r="C1467" s="269"/>
      <c r="D1467" s="269"/>
      <c r="E1467" s="269"/>
      <c r="F1467" s="269"/>
      <c r="G1467" s="269"/>
      <c r="H1467" s="269"/>
      <c r="I1467" s="269"/>
      <c r="J1467" s="334"/>
      <c r="K1467" s="334"/>
      <c r="L1467" s="334"/>
      <c r="M1467" s="328"/>
      <c r="N1467" s="328"/>
      <c r="O1467" s="386"/>
      <c r="P1467" s="356"/>
      <c r="Q1467" s="380"/>
      <c r="S1467" s="336"/>
      <c r="T1467" s="62" ph="1"/>
      <c r="V1467" s="232"/>
      <c r="W1467" s="269"/>
      <c r="X1467" s="201"/>
      <c r="Y1467" s="269"/>
      <c r="Z1467" s="269"/>
      <c r="AA1467" s="269"/>
      <c r="AB1467" s="269"/>
      <c r="AC1467" s="269"/>
      <c r="AD1467" s="269"/>
      <c r="AE1467" s="269"/>
      <c r="AG1467" s="128"/>
    </row>
    <row r="1468" spans="1:33" ht="26.25">
      <c r="A1468" s="269"/>
      <c r="B1468" s="269"/>
      <c r="C1468" s="269"/>
      <c r="D1468" s="269"/>
      <c r="E1468" s="269"/>
      <c r="F1468" s="269"/>
      <c r="G1468" s="269"/>
      <c r="H1468" s="269"/>
      <c r="I1468" s="269"/>
      <c r="J1468" s="334"/>
      <c r="K1468" s="334"/>
      <c r="L1468" s="334"/>
      <c r="M1468" s="328"/>
      <c r="N1468" s="328"/>
      <c r="O1468" s="386"/>
      <c r="P1468" s="356"/>
      <c r="Q1468" s="380"/>
      <c r="S1468" s="336"/>
      <c r="T1468" s="62" ph="1"/>
      <c r="V1468" s="232"/>
      <c r="W1468" s="269"/>
      <c r="X1468" s="201"/>
      <c r="Y1468" s="269"/>
      <c r="Z1468" s="269"/>
      <c r="AA1468" s="269"/>
      <c r="AB1468" s="269"/>
      <c r="AC1468" s="269"/>
      <c r="AD1468" s="269"/>
      <c r="AE1468" s="269"/>
      <c r="AG1468" s="128"/>
    </row>
    <row r="1469" spans="1:33" ht="26.25">
      <c r="A1469" s="269"/>
      <c r="B1469" s="269"/>
      <c r="C1469" s="269"/>
      <c r="D1469" s="269"/>
      <c r="E1469" s="269"/>
      <c r="F1469" s="269"/>
      <c r="G1469" s="269"/>
      <c r="H1469" s="269"/>
      <c r="I1469" s="269"/>
      <c r="J1469" s="334"/>
      <c r="K1469" s="334"/>
      <c r="L1469" s="334"/>
      <c r="M1469" s="328"/>
      <c r="N1469" s="328"/>
      <c r="O1469" s="386"/>
      <c r="P1469" s="356"/>
      <c r="Q1469" s="380"/>
      <c r="S1469" s="336"/>
      <c r="T1469" s="62" ph="1"/>
      <c r="V1469" s="232"/>
      <c r="W1469" s="269"/>
      <c r="X1469" s="201"/>
      <c r="Y1469" s="269"/>
      <c r="Z1469" s="269"/>
      <c r="AA1469" s="269"/>
      <c r="AB1469" s="269"/>
      <c r="AC1469" s="269"/>
      <c r="AD1469" s="269"/>
      <c r="AE1469" s="269"/>
      <c r="AG1469" s="128"/>
    </row>
    <row r="1470" spans="1:33" ht="26.25">
      <c r="A1470" s="269"/>
      <c r="B1470" s="269"/>
      <c r="C1470" s="269"/>
      <c r="D1470" s="269"/>
      <c r="E1470" s="269"/>
      <c r="F1470" s="269"/>
      <c r="G1470" s="269"/>
      <c r="H1470" s="269"/>
      <c r="I1470" s="269"/>
      <c r="J1470" s="334"/>
      <c r="K1470" s="334"/>
      <c r="L1470" s="334"/>
      <c r="M1470" s="328"/>
      <c r="N1470" s="328"/>
      <c r="O1470" s="386"/>
      <c r="P1470" s="356"/>
      <c r="Q1470" s="380"/>
      <c r="S1470" s="336"/>
      <c r="T1470" s="62" ph="1"/>
      <c r="V1470" s="232"/>
      <c r="W1470" s="269"/>
      <c r="X1470" s="201"/>
      <c r="Y1470" s="269"/>
      <c r="Z1470" s="269"/>
      <c r="AA1470" s="269"/>
      <c r="AB1470" s="269"/>
      <c r="AC1470" s="269"/>
      <c r="AD1470" s="269"/>
      <c r="AE1470" s="269"/>
      <c r="AG1470" s="128"/>
    </row>
    <row r="1471" spans="1:33" ht="26.25">
      <c r="A1471" s="269"/>
      <c r="B1471" s="269"/>
      <c r="C1471" s="269"/>
      <c r="D1471" s="269"/>
      <c r="E1471" s="269"/>
      <c r="F1471" s="269"/>
      <c r="G1471" s="269"/>
      <c r="H1471" s="269"/>
      <c r="I1471" s="269"/>
      <c r="J1471" s="334"/>
      <c r="K1471" s="334"/>
      <c r="L1471" s="334"/>
      <c r="M1471" s="328"/>
      <c r="N1471" s="328"/>
      <c r="O1471" s="386"/>
      <c r="P1471" s="356"/>
      <c r="Q1471" s="380"/>
      <c r="S1471" s="336"/>
      <c r="T1471" s="62" ph="1"/>
      <c r="V1471" s="232"/>
      <c r="W1471" s="269"/>
      <c r="X1471" s="201"/>
      <c r="Y1471" s="269"/>
      <c r="Z1471" s="269"/>
      <c r="AA1471" s="269"/>
      <c r="AB1471" s="269"/>
      <c r="AC1471" s="269"/>
      <c r="AD1471" s="269"/>
      <c r="AE1471" s="269"/>
      <c r="AG1471" s="128"/>
    </row>
    <row r="1472" spans="1:33" ht="26.25">
      <c r="A1472" s="269"/>
      <c r="B1472" s="269"/>
      <c r="C1472" s="269"/>
      <c r="D1472" s="269"/>
      <c r="E1472" s="269"/>
      <c r="F1472" s="269"/>
      <c r="G1472" s="269"/>
      <c r="H1472" s="269"/>
      <c r="I1472" s="269"/>
      <c r="J1472" s="334"/>
      <c r="K1472" s="334"/>
      <c r="L1472" s="334"/>
      <c r="M1472" s="328"/>
      <c r="N1472" s="328"/>
      <c r="O1472" s="386"/>
      <c r="P1472" s="356"/>
      <c r="Q1472" s="380"/>
      <c r="S1472" s="336"/>
      <c r="T1472" s="62" ph="1"/>
      <c r="V1472" s="232"/>
      <c r="W1472" s="269"/>
      <c r="X1472" s="201"/>
      <c r="Y1472" s="269"/>
      <c r="Z1472" s="269"/>
      <c r="AA1472" s="269"/>
      <c r="AB1472" s="269"/>
      <c r="AC1472" s="269"/>
      <c r="AD1472" s="269"/>
      <c r="AE1472" s="269"/>
      <c r="AG1472" s="128"/>
    </row>
    <row r="1473" spans="1:33" ht="26.25">
      <c r="A1473" s="269"/>
      <c r="B1473" s="269"/>
      <c r="C1473" s="269"/>
      <c r="D1473" s="269"/>
      <c r="E1473" s="269"/>
      <c r="F1473" s="269"/>
      <c r="G1473" s="269"/>
      <c r="H1473" s="269"/>
      <c r="I1473" s="269"/>
      <c r="J1473" s="334"/>
      <c r="K1473" s="334"/>
      <c r="L1473" s="334"/>
      <c r="M1473" s="328"/>
      <c r="N1473" s="328"/>
      <c r="O1473" s="386"/>
      <c r="P1473" s="356"/>
      <c r="Q1473" s="380"/>
      <c r="S1473" s="336"/>
      <c r="T1473" s="62" ph="1"/>
      <c r="V1473" s="232"/>
      <c r="W1473" s="269"/>
      <c r="X1473" s="201"/>
      <c r="Y1473" s="269"/>
      <c r="Z1473" s="269"/>
      <c r="AA1473" s="269"/>
      <c r="AB1473" s="269"/>
      <c r="AC1473" s="269"/>
      <c r="AD1473" s="269"/>
      <c r="AE1473" s="269"/>
      <c r="AG1473" s="128"/>
    </row>
    <row r="1474" spans="1:33" ht="26.25">
      <c r="A1474" s="269"/>
      <c r="B1474" s="269"/>
      <c r="C1474" s="269"/>
      <c r="D1474" s="269"/>
      <c r="E1474" s="269"/>
      <c r="F1474" s="269"/>
      <c r="G1474" s="269"/>
      <c r="H1474" s="269"/>
      <c r="I1474" s="269"/>
      <c r="J1474" s="334"/>
      <c r="K1474" s="334"/>
      <c r="L1474" s="334"/>
      <c r="M1474" s="328"/>
      <c r="N1474" s="328"/>
      <c r="O1474" s="386"/>
      <c r="P1474" s="356"/>
      <c r="Q1474" s="380"/>
      <c r="S1474" s="336"/>
      <c r="T1474" s="62" ph="1"/>
      <c r="V1474" s="232"/>
      <c r="W1474" s="269"/>
      <c r="X1474" s="201"/>
      <c r="Y1474" s="269"/>
      <c r="Z1474" s="269"/>
      <c r="AA1474" s="269"/>
      <c r="AB1474" s="269"/>
      <c r="AC1474" s="269"/>
      <c r="AD1474" s="269"/>
      <c r="AE1474" s="269"/>
      <c r="AG1474" s="128"/>
    </row>
    <row r="1475" spans="1:33" ht="26.25">
      <c r="A1475" s="269"/>
      <c r="B1475" s="269"/>
      <c r="C1475" s="269"/>
      <c r="D1475" s="269"/>
      <c r="E1475" s="269"/>
      <c r="F1475" s="269"/>
      <c r="G1475" s="269"/>
      <c r="H1475" s="269"/>
      <c r="I1475" s="269"/>
      <c r="J1475" s="334"/>
      <c r="K1475" s="334"/>
      <c r="L1475" s="334"/>
      <c r="M1475" s="328"/>
      <c r="N1475" s="328"/>
      <c r="O1475" s="386"/>
      <c r="P1475" s="356"/>
      <c r="Q1475" s="380"/>
      <c r="S1475" s="336"/>
      <c r="T1475" s="62" ph="1"/>
      <c r="V1475" s="232"/>
      <c r="W1475" s="269"/>
      <c r="X1475" s="201"/>
      <c r="Y1475" s="269"/>
      <c r="Z1475" s="269"/>
      <c r="AA1475" s="269"/>
      <c r="AB1475" s="269"/>
      <c r="AC1475" s="269"/>
      <c r="AD1475" s="269"/>
      <c r="AE1475" s="269"/>
      <c r="AG1475" s="128"/>
    </row>
    <row r="1476" spans="1:33" ht="26.25">
      <c r="A1476" s="269"/>
      <c r="B1476" s="269"/>
      <c r="C1476" s="269"/>
      <c r="D1476" s="269"/>
      <c r="E1476" s="269"/>
      <c r="F1476" s="269"/>
      <c r="G1476" s="269"/>
      <c r="H1476" s="269"/>
      <c r="I1476" s="269"/>
      <c r="J1476" s="334"/>
      <c r="K1476" s="334"/>
      <c r="L1476" s="334"/>
      <c r="M1476" s="328"/>
      <c r="N1476" s="328"/>
      <c r="O1476" s="386"/>
      <c r="P1476" s="356"/>
      <c r="Q1476" s="380"/>
      <c r="S1476" s="336"/>
      <c r="T1476" s="62" ph="1"/>
      <c r="V1476" s="232"/>
      <c r="W1476" s="269"/>
      <c r="X1476" s="201"/>
      <c r="Y1476" s="269"/>
      <c r="Z1476" s="269"/>
      <c r="AA1476" s="269"/>
      <c r="AB1476" s="269"/>
      <c r="AC1476" s="269"/>
      <c r="AD1476" s="269"/>
      <c r="AE1476" s="269"/>
      <c r="AG1476" s="269"/>
    </row>
    <row r="1477" spans="1:33" ht="26.25">
      <c r="A1477" s="269"/>
      <c r="B1477" s="269"/>
      <c r="C1477" s="269"/>
      <c r="D1477" s="269"/>
      <c r="E1477" s="269"/>
      <c r="F1477" s="269"/>
      <c r="G1477" s="269"/>
      <c r="H1477" s="269"/>
      <c r="I1477" s="269"/>
      <c r="J1477" s="334"/>
      <c r="K1477" s="334"/>
      <c r="L1477" s="334"/>
      <c r="M1477" s="328"/>
      <c r="N1477" s="328"/>
      <c r="O1477" s="386"/>
      <c r="P1477" s="356"/>
      <c r="Q1477" s="380"/>
      <c r="S1477" s="336"/>
      <c r="T1477" s="62" ph="1"/>
      <c r="V1477" s="232"/>
      <c r="W1477" s="269"/>
      <c r="X1477" s="201"/>
      <c r="Y1477" s="269"/>
      <c r="Z1477" s="269"/>
      <c r="AA1477" s="269"/>
      <c r="AB1477" s="269"/>
      <c r="AC1477" s="269"/>
      <c r="AD1477" s="269"/>
      <c r="AE1477" s="269"/>
      <c r="AG1477" s="128"/>
    </row>
    <row r="1478" spans="1:33" ht="26.25">
      <c r="A1478" s="269"/>
      <c r="B1478" s="269"/>
      <c r="C1478" s="269"/>
      <c r="D1478" s="269"/>
      <c r="E1478" s="269"/>
      <c r="F1478" s="269"/>
      <c r="G1478" s="269"/>
      <c r="H1478" s="269"/>
      <c r="I1478" s="269"/>
      <c r="J1478" s="334"/>
      <c r="K1478" s="334"/>
      <c r="L1478" s="334"/>
      <c r="M1478" s="328"/>
      <c r="N1478" s="328"/>
      <c r="O1478" s="386"/>
      <c r="P1478" s="356"/>
      <c r="Q1478" s="380"/>
      <c r="S1478" s="336"/>
      <c r="T1478" s="62" ph="1"/>
      <c r="V1478" s="232"/>
      <c r="W1478" s="269"/>
      <c r="X1478" s="201"/>
      <c r="Y1478" s="269"/>
      <c r="Z1478" s="269"/>
      <c r="AA1478" s="269"/>
      <c r="AB1478" s="269"/>
      <c r="AC1478" s="269"/>
      <c r="AD1478" s="269"/>
      <c r="AE1478" s="269"/>
      <c r="AG1478" s="128"/>
    </row>
    <row r="1479" spans="1:33" ht="26.25">
      <c r="A1479" s="269"/>
      <c r="B1479" s="269"/>
      <c r="C1479" s="269"/>
      <c r="D1479" s="269"/>
      <c r="E1479" s="269"/>
      <c r="F1479" s="269"/>
      <c r="G1479" s="269"/>
      <c r="H1479" s="269"/>
      <c r="I1479" s="269"/>
      <c r="J1479" s="334"/>
      <c r="K1479" s="334"/>
      <c r="L1479" s="334"/>
      <c r="M1479" s="328"/>
      <c r="N1479" s="328"/>
      <c r="O1479" s="386"/>
      <c r="P1479" s="356"/>
      <c r="Q1479" s="380"/>
      <c r="S1479" s="336"/>
      <c r="T1479" s="62" ph="1"/>
      <c r="V1479" s="232"/>
      <c r="W1479" s="269"/>
      <c r="X1479" s="201"/>
      <c r="Y1479" s="269"/>
      <c r="Z1479" s="269"/>
      <c r="AA1479" s="269"/>
      <c r="AB1479" s="269"/>
      <c r="AC1479" s="269"/>
      <c r="AD1479" s="269"/>
      <c r="AE1479" s="269"/>
      <c r="AG1479" s="128"/>
    </row>
    <row r="1480" spans="1:33" ht="26.25">
      <c r="A1480" s="269"/>
      <c r="B1480" s="269"/>
      <c r="C1480" s="269"/>
      <c r="D1480" s="269"/>
      <c r="E1480" s="269"/>
      <c r="F1480" s="269"/>
      <c r="G1480" s="269"/>
      <c r="H1480" s="269"/>
      <c r="I1480" s="269"/>
      <c r="J1480" s="334"/>
      <c r="K1480" s="334"/>
      <c r="L1480" s="334"/>
      <c r="M1480" s="328"/>
      <c r="N1480" s="328"/>
      <c r="O1480" s="386"/>
      <c r="P1480" s="356"/>
      <c r="Q1480" s="380"/>
      <c r="S1480" s="336"/>
      <c r="T1480" s="62" ph="1"/>
      <c r="V1480" s="232"/>
      <c r="W1480" s="269"/>
      <c r="X1480" s="201"/>
      <c r="Y1480" s="269"/>
      <c r="Z1480" s="269"/>
      <c r="AA1480" s="269"/>
      <c r="AB1480" s="269"/>
      <c r="AC1480" s="269"/>
      <c r="AD1480" s="269"/>
      <c r="AE1480" s="269"/>
      <c r="AG1480" s="128"/>
    </row>
    <row r="1481" spans="1:33" ht="26.25">
      <c r="A1481" s="269"/>
      <c r="B1481" s="269"/>
      <c r="C1481" s="269"/>
      <c r="D1481" s="269"/>
      <c r="E1481" s="269"/>
      <c r="F1481" s="269"/>
      <c r="G1481" s="269"/>
      <c r="H1481" s="269"/>
      <c r="I1481" s="269"/>
      <c r="J1481" s="334"/>
      <c r="K1481" s="334"/>
      <c r="L1481" s="334"/>
      <c r="M1481" s="328"/>
      <c r="N1481" s="328"/>
      <c r="O1481" s="386"/>
      <c r="P1481" s="356"/>
      <c r="Q1481" s="380"/>
      <c r="S1481" s="336"/>
      <c r="T1481" s="62" ph="1"/>
      <c r="V1481" s="232"/>
      <c r="W1481" s="269"/>
      <c r="X1481" s="201"/>
      <c r="Y1481" s="269"/>
      <c r="Z1481" s="269"/>
      <c r="AA1481" s="269"/>
      <c r="AB1481" s="269"/>
      <c r="AC1481" s="269"/>
      <c r="AD1481" s="269"/>
      <c r="AE1481" s="269"/>
      <c r="AG1481" s="269"/>
    </row>
    <row r="1482" spans="1:33" ht="26.25">
      <c r="A1482" s="269"/>
      <c r="B1482" s="269"/>
      <c r="C1482" s="269"/>
      <c r="D1482" s="269"/>
      <c r="E1482" s="269"/>
      <c r="F1482" s="269"/>
      <c r="G1482" s="269"/>
      <c r="H1482" s="269"/>
      <c r="I1482" s="269"/>
      <c r="J1482" s="334"/>
      <c r="K1482" s="334"/>
      <c r="L1482" s="334"/>
      <c r="M1482" s="328"/>
      <c r="N1482" s="328"/>
      <c r="O1482" s="386"/>
      <c r="P1482" s="356"/>
      <c r="Q1482" s="380"/>
      <c r="S1482" s="336"/>
      <c r="T1482" s="62" ph="1"/>
      <c r="V1482" s="232"/>
      <c r="W1482" s="269"/>
      <c r="X1482" s="201"/>
      <c r="Y1482" s="269"/>
      <c r="Z1482" s="269"/>
      <c r="AA1482" s="269"/>
      <c r="AB1482" s="269"/>
      <c r="AC1482" s="269"/>
      <c r="AD1482" s="269"/>
      <c r="AE1482" s="269"/>
      <c r="AG1482" s="128"/>
    </row>
    <row r="1483" spans="1:33" ht="26.25">
      <c r="A1483" s="269"/>
      <c r="B1483" s="269"/>
      <c r="C1483" s="269"/>
      <c r="D1483" s="269"/>
      <c r="E1483" s="269"/>
      <c r="F1483" s="269"/>
      <c r="G1483" s="269"/>
      <c r="H1483" s="269"/>
      <c r="I1483" s="269"/>
      <c r="J1483" s="334"/>
      <c r="K1483" s="334"/>
      <c r="L1483" s="334"/>
      <c r="M1483" s="328"/>
      <c r="N1483" s="328"/>
      <c r="O1483" s="386"/>
      <c r="P1483" s="356"/>
      <c r="Q1483" s="380"/>
      <c r="S1483" s="336"/>
      <c r="T1483" s="62" ph="1"/>
      <c r="V1483" s="232"/>
      <c r="W1483" s="269"/>
      <c r="X1483" s="201"/>
      <c r="Y1483" s="269"/>
      <c r="Z1483" s="269"/>
      <c r="AA1483" s="269"/>
      <c r="AB1483" s="269"/>
      <c r="AC1483" s="269"/>
      <c r="AD1483" s="269"/>
      <c r="AE1483" s="269"/>
      <c r="AG1483" s="128"/>
    </row>
    <row r="1484" spans="1:33" ht="26.25">
      <c r="A1484" s="269"/>
      <c r="B1484" s="269"/>
      <c r="C1484" s="269"/>
      <c r="D1484" s="269"/>
      <c r="E1484" s="269"/>
      <c r="F1484" s="269"/>
      <c r="G1484" s="269"/>
      <c r="H1484" s="269"/>
      <c r="I1484" s="269"/>
      <c r="J1484" s="334"/>
      <c r="K1484" s="334"/>
      <c r="L1484" s="334"/>
      <c r="M1484" s="328"/>
      <c r="N1484" s="328"/>
      <c r="O1484" s="386"/>
      <c r="P1484" s="356"/>
      <c r="Q1484" s="380"/>
      <c r="S1484" s="336"/>
      <c r="T1484" s="62" ph="1"/>
      <c r="V1484" s="232"/>
      <c r="W1484" s="269"/>
      <c r="X1484" s="201"/>
      <c r="Y1484" s="269"/>
      <c r="Z1484" s="269"/>
      <c r="AA1484" s="269"/>
      <c r="AB1484" s="269"/>
      <c r="AC1484" s="269"/>
      <c r="AD1484" s="269"/>
      <c r="AE1484" s="269"/>
      <c r="AG1484" s="128"/>
    </row>
    <row r="1485" spans="1:33" ht="26.25">
      <c r="A1485" s="269"/>
      <c r="B1485" s="269"/>
      <c r="C1485" s="269"/>
      <c r="D1485" s="269"/>
      <c r="E1485" s="269"/>
      <c r="F1485" s="269"/>
      <c r="G1485" s="269"/>
      <c r="H1485" s="269"/>
      <c r="I1485" s="269"/>
      <c r="J1485" s="334"/>
      <c r="K1485" s="334"/>
      <c r="L1485" s="334"/>
      <c r="M1485" s="328"/>
      <c r="N1485" s="328"/>
      <c r="O1485" s="386"/>
      <c r="P1485" s="356"/>
      <c r="Q1485" s="380"/>
      <c r="S1485" s="336"/>
      <c r="T1485" s="62" ph="1"/>
      <c r="V1485" s="232"/>
      <c r="W1485" s="269"/>
      <c r="X1485" s="201"/>
      <c r="Y1485" s="269"/>
      <c r="Z1485" s="269"/>
      <c r="AA1485" s="269"/>
      <c r="AB1485" s="269"/>
      <c r="AC1485" s="269"/>
      <c r="AD1485" s="269"/>
      <c r="AE1485" s="269"/>
      <c r="AG1485" s="128"/>
    </row>
    <row r="1486" spans="1:33" ht="26.25">
      <c r="A1486" s="269"/>
      <c r="B1486" s="269"/>
      <c r="C1486" s="269"/>
      <c r="D1486" s="269"/>
      <c r="E1486" s="269"/>
      <c r="F1486" s="269"/>
      <c r="G1486" s="269"/>
      <c r="H1486" s="269"/>
      <c r="I1486" s="269"/>
      <c r="J1486" s="334"/>
      <c r="K1486" s="334"/>
      <c r="L1486" s="334"/>
      <c r="M1486" s="328"/>
      <c r="N1486" s="328"/>
      <c r="O1486" s="386"/>
      <c r="P1486" s="356"/>
      <c r="Q1486" s="380"/>
      <c r="S1486" s="336"/>
      <c r="T1486" s="62" ph="1"/>
      <c r="V1486" s="232"/>
      <c r="W1486" s="269"/>
      <c r="X1486" s="201"/>
      <c r="Y1486" s="269"/>
      <c r="Z1486" s="269"/>
      <c r="AA1486" s="269"/>
      <c r="AB1486" s="269"/>
      <c r="AC1486" s="269"/>
      <c r="AD1486" s="269"/>
      <c r="AE1486" s="269"/>
      <c r="AG1486" s="128"/>
    </row>
    <row r="1487" spans="1:33" ht="26.25">
      <c r="A1487" s="269"/>
      <c r="B1487" s="269"/>
      <c r="C1487" s="269"/>
      <c r="D1487" s="269"/>
      <c r="E1487" s="269"/>
      <c r="F1487" s="269"/>
      <c r="G1487" s="269"/>
      <c r="H1487" s="269"/>
      <c r="I1487" s="269"/>
      <c r="J1487" s="334"/>
      <c r="K1487" s="334"/>
      <c r="L1487" s="334"/>
      <c r="M1487" s="328"/>
      <c r="N1487" s="328"/>
      <c r="O1487" s="386"/>
      <c r="P1487" s="356"/>
      <c r="Q1487" s="380"/>
      <c r="S1487" s="336"/>
      <c r="T1487" s="62" ph="1"/>
      <c r="V1487" s="232"/>
      <c r="W1487" s="269"/>
      <c r="X1487" s="201"/>
      <c r="Y1487" s="269"/>
      <c r="Z1487" s="269"/>
      <c r="AA1487" s="269"/>
      <c r="AB1487" s="269"/>
      <c r="AC1487" s="269"/>
      <c r="AD1487" s="269"/>
      <c r="AE1487" s="269"/>
      <c r="AG1487" s="128"/>
    </row>
    <row r="1488" spans="1:33" ht="26.25">
      <c r="A1488" s="269"/>
      <c r="B1488" s="269"/>
      <c r="C1488" s="269"/>
      <c r="D1488" s="269"/>
      <c r="E1488" s="269"/>
      <c r="F1488" s="269"/>
      <c r="G1488" s="269"/>
      <c r="H1488" s="269"/>
      <c r="I1488" s="269"/>
      <c r="J1488" s="334"/>
      <c r="K1488" s="334"/>
      <c r="L1488" s="334"/>
      <c r="M1488" s="328"/>
      <c r="N1488" s="328"/>
      <c r="O1488" s="386"/>
      <c r="P1488" s="356"/>
      <c r="Q1488" s="380"/>
      <c r="S1488" s="336"/>
      <c r="T1488" s="62" ph="1"/>
      <c r="V1488" s="232"/>
      <c r="W1488" s="269"/>
      <c r="X1488" s="201"/>
      <c r="Y1488" s="269"/>
      <c r="Z1488" s="269"/>
      <c r="AA1488" s="269"/>
      <c r="AB1488" s="269"/>
      <c r="AC1488" s="269"/>
      <c r="AD1488" s="269"/>
      <c r="AE1488" s="269"/>
      <c r="AG1488" s="128"/>
    </row>
    <row r="1489" spans="1:33" ht="26.25">
      <c r="A1489" s="269"/>
      <c r="B1489" s="269"/>
      <c r="C1489" s="269"/>
      <c r="D1489" s="269"/>
      <c r="E1489" s="269"/>
      <c r="F1489" s="269"/>
      <c r="G1489" s="269"/>
      <c r="H1489" s="269"/>
      <c r="I1489" s="269"/>
      <c r="J1489" s="334"/>
      <c r="K1489" s="334"/>
      <c r="L1489" s="334"/>
      <c r="M1489" s="328"/>
      <c r="N1489" s="328"/>
      <c r="O1489" s="386"/>
      <c r="P1489" s="356"/>
      <c r="Q1489" s="380"/>
      <c r="S1489" s="336"/>
      <c r="T1489" s="62" ph="1"/>
      <c r="V1489" s="232"/>
      <c r="W1489" s="269"/>
      <c r="X1489" s="201"/>
      <c r="Y1489" s="269"/>
      <c r="Z1489" s="269"/>
      <c r="AA1489" s="269"/>
      <c r="AB1489" s="269"/>
      <c r="AC1489" s="269"/>
      <c r="AD1489" s="269"/>
      <c r="AE1489" s="269"/>
      <c r="AG1489" s="128"/>
    </row>
    <row r="1490" spans="1:33" ht="26.25">
      <c r="A1490" s="269"/>
      <c r="B1490" s="269"/>
      <c r="C1490" s="269"/>
      <c r="D1490" s="269"/>
      <c r="E1490" s="269"/>
      <c r="F1490" s="269"/>
      <c r="G1490" s="269"/>
      <c r="H1490" s="269"/>
      <c r="I1490" s="269"/>
      <c r="J1490" s="334"/>
      <c r="K1490" s="334"/>
      <c r="L1490" s="334"/>
      <c r="M1490" s="328"/>
      <c r="N1490" s="328"/>
      <c r="O1490" s="386"/>
      <c r="P1490" s="356"/>
      <c r="Q1490" s="380"/>
      <c r="S1490" s="336"/>
      <c r="T1490" s="62" ph="1"/>
      <c r="V1490" s="232"/>
      <c r="W1490" s="269"/>
      <c r="X1490" s="201"/>
      <c r="Y1490" s="269"/>
      <c r="Z1490" s="269"/>
      <c r="AA1490" s="269"/>
      <c r="AB1490" s="269"/>
      <c r="AC1490" s="269"/>
      <c r="AD1490" s="269"/>
      <c r="AE1490" s="269"/>
      <c r="AG1490" s="128"/>
    </row>
    <row r="1491" spans="1:33" ht="26.25">
      <c r="A1491" s="269"/>
      <c r="B1491" s="269"/>
      <c r="C1491" s="269"/>
      <c r="D1491" s="269"/>
      <c r="E1491" s="269"/>
      <c r="F1491" s="269"/>
      <c r="G1491" s="269"/>
      <c r="H1491" s="269"/>
      <c r="I1491" s="269"/>
      <c r="J1491" s="334"/>
      <c r="K1491" s="334"/>
      <c r="L1491" s="334"/>
      <c r="M1491" s="328"/>
      <c r="N1491" s="328"/>
      <c r="O1491" s="386"/>
      <c r="P1491" s="356"/>
      <c r="Q1491" s="380"/>
      <c r="S1491" s="336"/>
      <c r="T1491" s="62" ph="1"/>
      <c r="V1491" s="232"/>
      <c r="W1491" s="269"/>
      <c r="X1491" s="201"/>
      <c r="Y1491" s="269"/>
      <c r="Z1491" s="269"/>
      <c r="AA1491" s="269"/>
      <c r="AB1491" s="269"/>
      <c r="AC1491" s="269"/>
      <c r="AD1491" s="269"/>
      <c r="AE1491" s="269"/>
      <c r="AG1491" s="128"/>
    </row>
    <row r="1492" spans="1:33" ht="26.25">
      <c r="A1492" s="269"/>
      <c r="B1492" s="269"/>
      <c r="C1492" s="269"/>
      <c r="D1492" s="269"/>
      <c r="E1492" s="269"/>
      <c r="F1492" s="269"/>
      <c r="G1492" s="269"/>
      <c r="H1492" s="269"/>
      <c r="I1492" s="269"/>
      <c r="J1492" s="334"/>
      <c r="K1492" s="334"/>
      <c r="L1492" s="334"/>
      <c r="M1492" s="328"/>
      <c r="N1492" s="328"/>
      <c r="O1492" s="386"/>
      <c r="P1492" s="356"/>
      <c r="Q1492" s="380"/>
      <c r="S1492" s="336"/>
      <c r="T1492" s="62" ph="1"/>
      <c r="V1492" s="232"/>
      <c r="W1492" s="269"/>
      <c r="X1492" s="201"/>
      <c r="Y1492" s="269"/>
      <c r="Z1492" s="269"/>
      <c r="AA1492" s="269"/>
      <c r="AB1492" s="269"/>
      <c r="AC1492" s="269"/>
      <c r="AD1492" s="269"/>
      <c r="AE1492" s="269"/>
      <c r="AG1492" s="128"/>
    </row>
    <row r="1493" spans="1:33" ht="26.25">
      <c r="A1493" s="269"/>
      <c r="B1493" s="269"/>
      <c r="C1493" s="269"/>
      <c r="D1493" s="269"/>
      <c r="E1493" s="269"/>
      <c r="F1493" s="269"/>
      <c r="G1493" s="269"/>
      <c r="H1493" s="269"/>
      <c r="I1493" s="269"/>
      <c r="J1493" s="334"/>
      <c r="K1493" s="334"/>
      <c r="L1493" s="334"/>
      <c r="M1493" s="328"/>
      <c r="N1493" s="328"/>
      <c r="O1493" s="386"/>
      <c r="P1493" s="356"/>
      <c r="Q1493" s="380"/>
      <c r="S1493" s="336"/>
      <c r="T1493" s="62" ph="1"/>
      <c r="V1493" s="232"/>
      <c r="W1493" s="269"/>
      <c r="X1493" s="201"/>
      <c r="Y1493" s="269"/>
      <c r="Z1493" s="269"/>
      <c r="AA1493" s="269"/>
      <c r="AB1493" s="269"/>
      <c r="AC1493" s="269"/>
      <c r="AD1493" s="269"/>
      <c r="AE1493" s="269"/>
      <c r="AG1493" s="269"/>
    </row>
    <row r="1494" spans="1:33" ht="26.25">
      <c r="A1494" s="269"/>
      <c r="B1494" s="269"/>
      <c r="C1494" s="269"/>
      <c r="D1494" s="269"/>
      <c r="E1494" s="269"/>
      <c r="F1494" s="269"/>
      <c r="G1494" s="269"/>
      <c r="H1494" s="269"/>
      <c r="I1494" s="269"/>
      <c r="J1494" s="334"/>
      <c r="K1494" s="334"/>
      <c r="L1494" s="334"/>
      <c r="M1494" s="328"/>
      <c r="N1494" s="328"/>
      <c r="O1494" s="386"/>
      <c r="P1494" s="356"/>
      <c r="Q1494" s="380"/>
      <c r="S1494" s="336"/>
      <c r="T1494" s="62" ph="1"/>
      <c r="V1494" s="232"/>
      <c r="W1494" s="269"/>
      <c r="X1494" s="201"/>
      <c r="Y1494" s="269"/>
      <c r="Z1494" s="269"/>
      <c r="AA1494" s="269"/>
      <c r="AB1494" s="269"/>
      <c r="AC1494" s="269"/>
      <c r="AD1494" s="269"/>
      <c r="AE1494" s="269"/>
      <c r="AG1494" s="269"/>
    </row>
    <row r="1495" spans="1:33" ht="26.25">
      <c r="A1495" s="269"/>
      <c r="B1495" s="269"/>
      <c r="C1495" s="269"/>
      <c r="D1495" s="269"/>
      <c r="E1495" s="269"/>
      <c r="F1495" s="269"/>
      <c r="G1495" s="269"/>
      <c r="H1495" s="269"/>
      <c r="I1495" s="269"/>
      <c r="J1495" s="334"/>
      <c r="K1495" s="334"/>
      <c r="L1495" s="334"/>
      <c r="M1495" s="328"/>
      <c r="N1495" s="328"/>
      <c r="O1495" s="386"/>
      <c r="P1495" s="356"/>
      <c r="Q1495" s="380"/>
      <c r="S1495" s="336"/>
      <c r="T1495" s="62" ph="1"/>
      <c r="V1495" s="232"/>
      <c r="W1495" s="269"/>
      <c r="X1495" s="201"/>
      <c r="Y1495" s="269"/>
      <c r="Z1495" s="269"/>
      <c r="AA1495" s="269"/>
      <c r="AB1495" s="269"/>
      <c r="AC1495" s="269"/>
      <c r="AD1495" s="269"/>
      <c r="AE1495" s="269"/>
      <c r="AG1495" s="269"/>
    </row>
    <row r="1496" spans="1:33" ht="26.25">
      <c r="A1496" s="269"/>
      <c r="B1496" s="269"/>
      <c r="C1496" s="269"/>
      <c r="D1496" s="269"/>
      <c r="E1496" s="269"/>
      <c r="F1496" s="269"/>
      <c r="G1496" s="269"/>
      <c r="H1496" s="269"/>
      <c r="I1496" s="269"/>
      <c r="J1496" s="334"/>
      <c r="K1496" s="334"/>
      <c r="L1496" s="334"/>
      <c r="M1496" s="328"/>
      <c r="N1496" s="328"/>
      <c r="O1496" s="386"/>
      <c r="P1496" s="356"/>
      <c r="Q1496" s="380"/>
      <c r="S1496" s="336"/>
      <c r="T1496" s="62" ph="1"/>
      <c r="V1496" s="232"/>
      <c r="W1496" s="269"/>
      <c r="X1496" s="201"/>
      <c r="Y1496" s="269"/>
      <c r="Z1496" s="269"/>
      <c r="AA1496" s="269"/>
      <c r="AB1496" s="269"/>
      <c r="AC1496" s="269"/>
      <c r="AD1496" s="269"/>
      <c r="AE1496" s="269"/>
      <c r="AG1496" s="269"/>
    </row>
    <row r="1497" spans="1:33" ht="26.25">
      <c r="A1497" s="269"/>
      <c r="B1497" s="269"/>
      <c r="C1497" s="269"/>
      <c r="D1497" s="269"/>
      <c r="E1497" s="269"/>
      <c r="F1497" s="269"/>
      <c r="G1497" s="269"/>
      <c r="H1497" s="269"/>
      <c r="I1497" s="269"/>
      <c r="J1497" s="334"/>
      <c r="K1497" s="334"/>
      <c r="L1497" s="334"/>
      <c r="M1497" s="328"/>
      <c r="N1497" s="328"/>
      <c r="O1497" s="386"/>
      <c r="P1497" s="356"/>
      <c r="Q1497" s="380"/>
      <c r="S1497" s="336"/>
      <c r="T1497" s="62" ph="1"/>
      <c r="V1497" s="232"/>
      <c r="W1497" s="269"/>
      <c r="X1497" s="201"/>
      <c r="Y1497" s="269"/>
      <c r="Z1497" s="269"/>
      <c r="AA1497" s="269"/>
      <c r="AB1497" s="269"/>
      <c r="AC1497" s="269"/>
      <c r="AD1497" s="269"/>
      <c r="AE1497" s="269"/>
      <c r="AG1497" s="269"/>
    </row>
    <row r="1498" spans="1:33" ht="26.25">
      <c r="A1498" s="269"/>
      <c r="B1498" s="269"/>
      <c r="C1498" s="269"/>
      <c r="D1498" s="269"/>
      <c r="E1498" s="269"/>
      <c r="F1498" s="269"/>
      <c r="G1498" s="269"/>
      <c r="H1498" s="269"/>
      <c r="I1498" s="269"/>
      <c r="J1498" s="334"/>
      <c r="K1498" s="334"/>
      <c r="L1498" s="334"/>
      <c r="M1498" s="328"/>
      <c r="N1498" s="328"/>
      <c r="O1498" s="386"/>
      <c r="P1498" s="356"/>
      <c r="Q1498" s="380"/>
      <c r="S1498" s="336"/>
      <c r="T1498" s="62" ph="1"/>
      <c r="V1498" s="232"/>
      <c r="W1498" s="269"/>
      <c r="X1498" s="201"/>
      <c r="Y1498" s="269"/>
      <c r="Z1498" s="269"/>
      <c r="AA1498" s="269"/>
      <c r="AB1498" s="269"/>
      <c r="AC1498" s="269"/>
      <c r="AD1498" s="269"/>
      <c r="AE1498" s="269"/>
      <c r="AG1498" s="269"/>
    </row>
    <row r="1499" spans="1:33" ht="26.25">
      <c r="A1499" s="269"/>
      <c r="B1499" s="269"/>
      <c r="C1499" s="269"/>
      <c r="D1499" s="269"/>
      <c r="E1499" s="269"/>
      <c r="F1499" s="269"/>
      <c r="G1499" s="269"/>
      <c r="H1499" s="269"/>
      <c r="I1499" s="269"/>
      <c r="J1499" s="334"/>
      <c r="K1499" s="334"/>
      <c r="L1499" s="334"/>
      <c r="M1499" s="328"/>
      <c r="N1499" s="328"/>
      <c r="O1499" s="386"/>
      <c r="P1499" s="356"/>
      <c r="Q1499" s="380"/>
      <c r="S1499" s="336"/>
      <c r="T1499" s="62" ph="1"/>
      <c r="V1499" s="232"/>
      <c r="W1499" s="269"/>
      <c r="X1499" s="201"/>
      <c r="Y1499" s="269"/>
      <c r="Z1499" s="269"/>
      <c r="AA1499" s="269"/>
      <c r="AB1499" s="269"/>
      <c r="AC1499" s="269"/>
      <c r="AD1499" s="269"/>
      <c r="AE1499" s="269"/>
      <c r="AG1499" s="269"/>
    </row>
    <row r="1500" spans="1:33" ht="26.25">
      <c r="A1500" s="269"/>
      <c r="B1500" s="269"/>
      <c r="C1500" s="269"/>
      <c r="D1500" s="269"/>
      <c r="E1500" s="269"/>
      <c r="F1500" s="269"/>
      <c r="G1500" s="269"/>
      <c r="H1500" s="269"/>
      <c r="I1500" s="269"/>
      <c r="J1500" s="334"/>
      <c r="K1500" s="334"/>
      <c r="L1500" s="334"/>
      <c r="M1500" s="328"/>
      <c r="N1500" s="328"/>
      <c r="O1500" s="386"/>
      <c r="P1500" s="356"/>
      <c r="Q1500" s="380"/>
      <c r="S1500" s="336"/>
      <c r="T1500" s="62" ph="1"/>
      <c r="V1500" s="232"/>
      <c r="W1500" s="269"/>
      <c r="X1500" s="201"/>
      <c r="Y1500" s="269"/>
      <c r="Z1500" s="269"/>
      <c r="AA1500" s="269"/>
      <c r="AB1500" s="269"/>
      <c r="AC1500" s="269"/>
      <c r="AD1500" s="269"/>
      <c r="AE1500" s="269"/>
      <c r="AG1500" s="269"/>
    </row>
    <row r="1501" spans="1:33" ht="26.25">
      <c r="A1501" s="269"/>
      <c r="B1501" s="269"/>
      <c r="C1501" s="269"/>
      <c r="D1501" s="269"/>
      <c r="E1501" s="269"/>
      <c r="F1501" s="269"/>
      <c r="G1501" s="269"/>
      <c r="H1501" s="269"/>
      <c r="I1501" s="269"/>
      <c r="J1501" s="334"/>
      <c r="K1501" s="334"/>
      <c r="L1501" s="334"/>
      <c r="M1501" s="328"/>
      <c r="N1501" s="328"/>
      <c r="O1501" s="386"/>
      <c r="P1501" s="356"/>
      <c r="Q1501" s="380"/>
      <c r="S1501" s="336"/>
      <c r="T1501" s="62" ph="1"/>
      <c r="V1501" s="232"/>
      <c r="W1501" s="269"/>
      <c r="X1501" s="201"/>
      <c r="Y1501" s="269"/>
      <c r="Z1501" s="269"/>
      <c r="AA1501" s="269"/>
      <c r="AB1501" s="269"/>
      <c r="AC1501" s="269"/>
      <c r="AD1501" s="269"/>
      <c r="AE1501" s="269"/>
      <c r="AG1501" s="269"/>
    </row>
    <row r="1502" spans="1:33" ht="26.25">
      <c r="A1502" s="269"/>
      <c r="B1502" s="269"/>
      <c r="C1502" s="269"/>
      <c r="D1502" s="269"/>
      <c r="E1502" s="269"/>
      <c r="F1502" s="269"/>
      <c r="G1502" s="269"/>
      <c r="H1502" s="269"/>
      <c r="I1502" s="269"/>
      <c r="J1502" s="334"/>
      <c r="K1502" s="334"/>
      <c r="L1502" s="334"/>
      <c r="M1502" s="328"/>
      <c r="N1502" s="328"/>
      <c r="O1502" s="386"/>
      <c r="P1502" s="356"/>
      <c r="Q1502" s="380"/>
      <c r="S1502" s="336"/>
      <c r="T1502" s="62" ph="1"/>
      <c r="V1502" s="232"/>
      <c r="W1502" s="269"/>
      <c r="X1502" s="201"/>
      <c r="Y1502" s="269"/>
      <c r="Z1502" s="269"/>
      <c r="AA1502" s="269"/>
      <c r="AB1502" s="269"/>
      <c r="AC1502" s="269"/>
      <c r="AD1502" s="269"/>
      <c r="AE1502" s="269"/>
      <c r="AG1502" s="128"/>
    </row>
    <row r="1503" spans="1:33" ht="26.25">
      <c r="A1503" s="269"/>
      <c r="B1503" s="269"/>
      <c r="C1503" s="269"/>
      <c r="D1503" s="269"/>
      <c r="E1503" s="269"/>
      <c r="F1503" s="269"/>
      <c r="G1503" s="269"/>
      <c r="H1503" s="269"/>
      <c r="I1503" s="269"/>
      <c r="J1503" s="334"/>
      <c r="K1503" s="334"/>
      <c r="L1503" s="334"/>
      <c r="M1503" s="328"/>
      <c r="N1503" s="328"/>
      <c r="O1503" s="386"/>
      <c r="P1503" s="356"/>
      <c r="Q1503" s="380"/>
      <c r="S1503" s="336"/>
      <c r="T1503" s="62" ph="1"/>
      <c r="V1503" s="232"/>
      <c r="W1503" s="269"/>
      <c r="X1503" s="201"/>
      <c r="Y1503" s="269"/>
      <c r="Z1503" s="269"/>
      <c r="AA1503" s="269"/>
      <c r="AB1503" s="269"/>
      <c r="AC1503" s="269"/>
      <c r="AD1503" s="269"/>
      <c r="AE1503" s="269"/>
      <c r="AG1503" s="269"/>
    </row>
    <row r="1504" spans="1:33" ht="26.25">
      <c r="A1504" s="269"/>
      <c r="B1504" s="269"/>
      <c r="C1504" s="269"/>
      <c r="D1504" s="269"/>
      <c r="E1504" s="269"/>
      <c r="F1504" s="269"/>
      <c r="G1504" s="269"/>
      <c r="H1504" s="269"/>
      <c r="I1504" s="269"/>
      <c r="J1504" s="334"/>
      <c r="K1504" s="334"/>
      <c r="L1504" s="334"/>
      <c r="M1504" s="328"/>
      <c r="N1504" s="328"/>
      <c r="O1504" s="386"/>
      <c r="P1504" s="356"/>
      <c r="Q1504" s="380"/>
      <c r="S1504" s="336"/>
      <c r="T1504" s="62" ph="1"/>
      <c r="V1504" s="232"/>
      <c r="W1504" s="269"/>
      <c r="X1504" s="201"/>
      <c r="Y1504" s="269"/>
      <c r="Z1504" s="269"/>
      <c r="AA1504" s="269"/>
      <c r="AB1504" s="269"/>
      <c r="AC1504" s="269"/>
      <c r="AD1504" s="269"/>
      <c r="AE1504" s="269"/>
      <c r="AG1504" s="269"/>
    </row>
    <row r="1505" spans="1:33" ht="26.25">
      <c r="A1505" s="269"/>
      <c r="B1505" s="269"/>
      <c r="C1505" s="269"/>
      <c r="D1505" s="269"/>
      <c r="E1505" s="269"/>
      <c r="F1505" s="269"/>
      <c r="G1505" s="269"/>
      <c r="H1505" s="269"/>
      <c r="I1505" s="269"/>
      <c r="J1505" s="334"/>
      <c r="K1505" s="334"/>
      <c r="L1505" s="334"/>
      <c r="M1505" s="328"/>
      <c r="N1505" s="328"/>
      <c r="O1505" s="386"/>
      <c r="P1505" s="356"/>
      <c r="Q1505" s="380"/>
      <c r="S1505" s="336"/>
      <c r="T1505" s="62" ph="1"/>
      <c r="V1505" s="232"/>
      <c r="W1505" s="269"/>
      <c r="X1505" s="201"/>
      <c r="Y1505" s="269"/>
      <c r="Z1505" s="269"/>
      <c r="AA1505" s="269"/>
      <c r="AB1505" s="269"/>
      <c r="AC1505" s="269"/>
      <c r="AD1505" s="269"/>
      <c r="AE1505" s="269"/>
      <c r="AG1505" s="269"/>
    </row>
    <row r="1506" spans="1:33" ht="26.25">
      <c r="A1506" s="269"/>
      <c r="B1506" s="269"/>
      <c r="C1506" s="269"/>
      <c r="D1506" s="269"/>
      <c r="E1506" s="269"/>
      <c r="F1506" s="269"/>
      <c r="G1506" s="269"/>
      <c r="H1506" s="269"/>
      <c r="I1506" s="269"/>
      <c r="J1506" s="334"/>
      <c r="K1506" s="334"/>
      <c r="L1506" s="334"/>
      <c r="M1506" s="328"/>
      <c r="N1506" s="328"/>
      <c r="O1506" s="386"/>
      <c r="P1506" s="356"/>
      <c r="Q1506" s="380"/>
      <c r="S1506" s="336"/>
      <c r="T1506" s="62" ph="1"/>
      <c r="V1506" s="232"/>
      <c r="W1506" s="269"/>
      <c r="X1506" s="201"/>
      <c r="Y1506" s="269"/>
      <c r="Z1506" s="269"/>
      <c r="AA1506" s="269"/>
      <c r="AB1506" s="269"/>
      <c r="AC1506" s="269"/>
      <c r="AD1506" s="269"/>
      <c r="AE1506" s="269"/>
      <c r="AG1506" s="128"/>
    </row>
    <row r="1507" spans="1:33" ht="26.25">
      <c r="A1507" s="269"/>
      <c r="B1507" s="269"/>
      <c r="C1507" s="269"/>
      <c r="D1507" s="269"/>
      <c r="E1507" s="269"/>
      <c r="F1507" s="269"/>
      <c r="G1507" s="269"/>
      <c r="H1507" s="269"/>
      <c r="I1507" s="269"/>
      <c r="J1507" s="334"/>
      <c r="K1507" s="334"/>
      <c r="L1507" s="334"/>
      <c r="M1507" s="328"/>
      <c r="N1507" s="328"/>
      <c r="O1507" s="386"/>
      <c r="P1507" s="356"/>
      <c r="Q1507" s="380"/>
      <c r="S1507" s="336"/>
      <c r="T1507" s="62" ph="1"/>
      <c r="V1507" s="232"/>
      <c r="W1507" s="269"/>
      <c r="X1507" s="201"/>
      <c r="Y1507" s="269"/>
      <c r="Z1507" s="269"/>
      <c r="AA1507" s="269"/>
      <c r="AB1507" s="269"/>
      <c r="AC1507" s="269"/>
      <c r="AD1507" s="269"/>
      <c r="AE1507" s="269"/>
      <c r="AG1507" s="269"/>
    </row>
    <row r="1508" spans="1:33" ht="26.25">
      <c r="A1508" s="269"/>
      <c r="B1508" s="269"/>
      <c r="C1508" s="269"/>
      <c r="D1508" s="269"/>
      <c r="E1508" s="269"/>
      <c r="F1508" s="269"/>
      <c r="G1508" s="269"/>
      <c r="H1508" s="269"/>
      <c r="I1508" s="269"/>
      <c r="J1508" s="334"/>
      <c r="K1508" s="334"/>
      <c r="L1508" s="334"/>
      <c r="M1508" s="328"/>
      <c r="N1508" s="328"/>
      <c r="O1508" s="386"/>
      <c r="P1508" s="356"/>
      <c r="Q1508" s="380"/>
      <c r="S1508" s="336"/>
      <c r="T1508" s="62" ph="1"/>
      <c r="V1508" s="232"/>
      <c r="W1508" s="269"/>
      <c r="X1508" s="201"/>
      <c r="Y1508" s="269"/>
      <c r="Z1508" s="269"/>
      <c r="AA1508" s="269"/>
      <c r="AB1508" s="269"/>
      <c r="AC1508" s="269"/>
      <c r="AD1508" s="269"/>
      <c r="AE1508" s="269"/>
      <c r="AG1508" s="269"/>
    </row>
    <row r="1509" spans="1:33" ht="26.25">
      <c r="A1509" s="269"/>
      <c r="B1509" s="269"/>
      <c r="C1509" s="269"/>
      <c r="D1509" s="269"/>
      <c r="E1509" s="269"/>
      <c r="F1509" s="269"/>
      <c r="G1509" s="269"/>
      <c r="H1509" s="269"/>
      <c r="I1509" s="269"/>
      <c r="J1509" s="334"/>
      <c r="K1509" s="334"/>
      <c r="L1509" s="334"/>
      <c r="M1509" s="328"/>
      <c r="N1509" s="328"/>
      <c r="O1509" s="386"/>
      <c r="P1509" s="356"/>
      <c r="Q1509" s="380"/>
      <c r="S1509" s="336"/>
      <c r="T1509" s="62" ph="1"/>
      <c r="V1509" s="232"/>
      <c r="W1509" s="269"/>
      <c r="X1509" s="201"/>
      <c r="Y1509" s="269"/>
      <c r="Z1509" s="269"/>
      <c r="AA1509" s="269"/>
      <c r="AB1509" s="269"/>
      <c r="AC1509" s="269"/>
      <c r="AD1509" s="269"/>
      <c r="AE1509" s="269"/>
      <c r="AG1509" s="128"/>
    </row>
    <row r="1510" spans="1:33" ht="26.25">
      <c r="A1510" s="269"/>
      <c r="B1510" s="269"/>
      <c r="C1510" s="269"/>
      <c r="D1510" s="269"/>
      <c r="E1510" s="269"/>
      <c r="F1510" s="269"/>
      <c r="G1510" s="269"/>
      <c r="H1510" s="269"/>
      <c r="I1510" s="269"/>
      <c r="J1510" s="334"/>
      <c r="K1510" s="334"/>
      <c r="L1510" s="334"/>
      <c r="M1510" s="328"/>
      <c r="N1510" s="328"/>
      <c r="O1510" s="386"/>
      <c r="P1510" s="356"/>
      <c r="Q1510" s="380"/>
      <c r="S1510" s="336"/>
      <c r="T1510" s="62" ph="1"/>
      <c r="V1510" s="232"/>
      <c r="W1510" s="269"/>
      <c r="X1510" s="201"/>
      <c r="Y1510" s="269"/>
      <c r="Z1510" s="269"/>
      <c r="AA1510" s="269"/>
      <c r="AB1510" s="269"/>
      <c r="AC1510" s="269"/>
      <c r="AD1510" s="269"/>
      <c r="AE1510" s="269"/>
      <c r="AG1510" s="128"/>
    </row>
    <row r="1511" spans="1:33" ht="26.25">
      <c r="A1511" s="269"/>
      <c r="B1511" s="269"/>
      <c r="C1511" s="269"/>
      <c r="D1511" s="269"/>
      <c r="E1511" s="269"/>
      <c r="F1511" s="269"/>
      <c r="G1511" s="269"/>
      <c r="H1511" s="269"/>
      <c r="I1511" s="269"/>
      <c r="J1511" s="334"/>
      <c r="K1511" s="334"/>
      <c r="L1511" s="334"/>
      <c r="M1511" s="328"/>
      <c r="N1511" s="328"/>
      <c r="O1511" s="386"/>
      <c r="P1511" s="356"/>
      <c r="Q1511" s="380"/>
      <c r="S1511" s="336"/>
      <c r="T1511" s="62" ph="1"/>
      <c r="V1511" s="232"/>
      <c r="W1511" s="269"/>
      <c r="X1511" s="201"/>
      <c r="Y1511" s="269"/>
      <c r="Z1511" s="269"/>
      <c r="AA1511" s="269"/>
      <c r="AB1511" s="269"/>
      <c r="AC1511" s="269"/>
      <c r="AD1511" s="269"/>
      <c r="AE1511" s="269"/>
    </row>
    <row r="1512" spans="1:33" ht="26.25">
      <c r="A1512" s="269"/>
      <c r="B1512" s="269"/>
      <c r="C1512" s="269"/>
      <c r="D1512" s="269"/>
      <c r="E1512" s="269"/>
      <c r="F1512" s="269"/>
      <c r="G1512" s="269"/>
      <c r="H1512" s="269"/>
      <c r="I1512" s="269"/>
      <c r="J1512" s="334"/>
      <c r="K1512" s="334"/>
      <c r="L1512" s="334"/>
      <c r="M1512" s="328"/>
      <c r="N1512" s="328"/>
      <c r="O1512" s="386"/>
      <c r="P1512" s="356"/>
      <c r="Q1512" s="380"/>
      <c r="S1512" s="336"/>
      <c r="T1512" s="62" ph="1"/>
      <c r="V1512" s="232"/>
      <c r="W1512" s="269"/>
      <c r="X1512" s="201"/>
      <c r="Y1512" s="269"/>
      <c r="Z1512" s="269"/>
      <c r="AA1512" s="269"/>
      <c r="AB1512" s="269"/>
      <c r="AC1512" s="269"/>
      <c r="AD1512" s="269"/>
      <c r="AE1512" s="269"/>
    </row>
    <row r="1513" spans="1:33" ht="26.25">
      <c r="A1513" s="269"/>
      <c r="B1513" s="269"/>
      <c r="C1513" s="269"/>
      <c r="D1513" s="269"/>
      <c r="E1513" s="269"/>
      <c r="F1513" s="269"/>
      <c r="G1513" s="269"/>
      <c r="H1513" s="269"/>
      <c r="I1513" s="269"/>
      <c r="J1513" s="334"/>
      <c r="K1513" s="334"/>
      <c r="L1513" s="334"/>
      <c r="M1513" s="328"/>
      <c r="N1513" s="328"/>
      <c r="O1513" s="386"/>
      <c r="P1513" s="356"/>
      <c r="Q1513" s="380"/>
      <c r="S1513" s="336"/>
      <c r="T1513" s="62" ph="1"/>
      <c r="V1513" s="232"/>
      <c r="W1513" s="269"/>
      <c r="X1513" s="201"/>
      <c r="Y1513" s="269"/>
      <c r="Z1513" s="269"/>
      <c r="AA1513" s="269"/>
      <c r="AB1513" s="269"/>
      <c r="AC1513" s="269"/>
      <c r="AD1513" s="269"/>
      <c r="AE1513" s="269"/>
    </row>
    <row r="1514" spans="1:33" ht="26.25">
      <c r="A1514" s="269"/>
      <c r="B1514" s="269"/>
      <c r="C1514" s="269"/>
      <c r="D1514" s="269"/>
      <c r="E1514" s="269"/>
      <c r="F1514" s="269"/>
      <c r="G1514" s="269"/>
      <c r="H1514" s="269"/>
      <c r="I1514" s="269"/>
      <c r="J1514" s="334"/>
      <c r="K1514" s="334"/>
      <c r="L1514" s="334"/>
      <c r="M1514" s="328"/>
      <c r="N1514" s="328"/>
      <c r="O1514" s="386"/>
      <c r="P1514" s="356"/>
      <c r="Q1514" s="380"/>
      <c r="S1514" s="336"/>
      <c r="T1514" s="62" ph="1"/>
      <c r="V1514" s="232"/>
      <c r="W1514" s="269"/>
      <c r="X1514" s="201"/>
      <c r="Y1514" s="269"/>
      <c r="Z1514" s="269"/>
      <c r="AA1514" s="269"/>
      <c r="AB1514" s="269"/>
      <c r="AC1514" s="269"/>
      <c r="AD1514" s="269"/>
      <c r="AE1514" s="269"/>
    </row>
    <row r="1515" spans="1:33" ht="26.25">
      <c r="A1515" s="269"/>
      <c r="B1515" s="269"/>
      <c r="C1515" s="269"/>
      <c r="D1515" s="269"/>
      <c r="E1515" s="269"/>
      <c r="F1515" s="269"/>
      <c r="G1515" s="269"/>
      <c r="H1515" s="269"/>
      <c r="I1515" s="269"/>
      <c r="J1515" s="334"/>
      <c r="K1515" s="334"/>
      <c r="L1515" s="334"/>
      <c r="M1515" s="328"/>
      <c r="N1515" s="328"/>
      <c r="O1515" s="386"/>
      <c r="P1515" s="356"/>
      <c r="Q1515" s="380"/>
      <c r="S1515" s="336"/>
      <c r="T1515" s="62" ph="1"/>
      <c r="V1515" s="232"/>
      <c r="W1515" s="269"/>
      <c r="X1515" s="201"/>
      <c r="Y1515" s="269"/>
      <c r="Z1515" s="269"/>
      <c r="AA1515" s="269"/>
      <c r="AB1515" s="269"/>
      <c r="AC1515" s="269"/>
      <c r="AD1515" s="269"/>
      <c r="AE1515" s="269"/>
    </row>
    <row r="1516" spans="1:33" ht="26.25">
      <c r="A1516" s="269"/>
      <c r="B1516" s="269"/>
      <c r="C1516" s="269"/>
      <c r="D1516" s="269"/>
      <c r="E1516" s="269"/>
      <c r="F1516" s="269"/>
      <c r="G1516" s="269"/>
      <c r="H1516" s="269"/>
      <c r="I1516" s="269"/>
      <c r="J1516" s="334"/>
      <c r="K1516" s="334"/>
      <c r="L1516" s="334"/>
      <c r="M1516" s="328"/>
      <c r="N1516" s="328"/>
      <c r="O1516" s="386"/>
      <c r="P1516" s="356"/>
      <c r="Q1516" s="380"/>
      <c r="S1516" s="336"/>
      <c r="T1516" s="62" ph="1"/>
      <c r="V1516" s="232"/>
      <c r="W1516" s="269"/>
      <c r="X1516" s="201"/>
      <c r="Y1516" s="269"/>
      <c r="Z1516" s="269"/>
      <c r="AA1516" s="269"/>
      <c r="AB1516" s="269"/>
      <c r="AC1516" s="269"/>
      <c r="AD1516" s="269"/>
      <c r="AE1516" s="269"/>
    </row>
    <row r="1517" spans="1:33" ht="26.25">
      <c r="A1517" s="269"/>
      <c r="B1517" s="269"/>
      <c r="C1517" s="269"/>
      <c r="D1517" s="269"/>
      <c r="E1517" s="269"/>
      <c r="F1517" s="269"/>
      <c r="G1517" s="269"/>
      <c r="H1517" s="269"/>
      <c r="I1517" s="269"/>
      <c r="J1517" s="334"/>
      <c r="K1517" s="334"/>
      <c r="L1517" s="334"/>
      <c r="M1517" s="328"/>
      <c r="N1517" s="328"/>
      <c r="O1517" s="386"/>
      <c r="P1517" s="356"/>
      <c r="Q1517" s="380"/>
      <c r="S1517" s="336"/>
      <c r="T1517" s="62" ph="1"/>
      <c r="V1517" s="232"/>
      <c r="W1517" s="269"/>
      <c r="X1517" s="201"/>
      <c r="Y1517" s="269"/>
      <c r="Z1517" s="269"/>
      <c r="AA1517" s="269"/>
      <c r="AB1517" s="269"/>
      <c r="AC1517" s="269"/>
      <c r="AD1517" s="269"/>
      <c r="AE1517" s="269"/>
    </row>
    <row r="1518" spans="1:33" ht="26.25">
      <c r="A1518" s="269"/>
      <c r="B1518" s="269"/>
      <c r="C1518" s="269"/>
      <c r="D1518" s="269"/>
      <c r="E1518" s="269"/>
      <c r="F1518" s="269"/>
      <c r="G1518" s="269"/>
      <c r="H1518" s="269"/>
      <c r="I1518" s="269"/>
      <c r="J1518" s="334"/>
      <c r="K1518" s="334"/>
      <c r="L1518" s="334"/>
      <c r="M1518" s="328"/>
      <c r="N1518" s="328"/>
      <c r="O1518" s="386"/>
      <c r="P1518" s="356"/>
      <c r="Q1518" s="380"/>
      <c r="S1518" s="336"/>
      <c r="T1518" s="62" ph="1"/>
      <c r="V1518" s="232"/>
      <c r="W1518" s="269"/>
      <c r="X1518" s="201"/>
      <c r="Y1518" s="269"/>
      <c r="Z1518" s="269"/>
      <c r="AA1518" s="269"/>
      <c r="AB1518" s="269"/>
      <c r="AC1518" s="269"/>
      <c r="AD1518" s="269"/>
      <c r="AE1518" s="269"/>
    </row>
    <row r="1519" spans="1:33" ht="26.25">
      <c r="A1519" s="269"/>
      <c r="B1519" s="269"/>
      <c r="C1519" s="269"/>
      <c r="D1519" s="269"/>
      <c r="E1519" s="269"/>
      <c r="F1519" s="269"/>
      <c r="G1519" s="269"/>
      <c r="H1519" s="269"/>
      <c r="I1519" s="269"/>
      <c r="J1519" s="334"/>
      <c r="K1519" s="334"/>
      <c r="L1519" s="334"/>
      <c r="M1519" s="328"/>
      <c r="N1519" s="328"/>
      <c r="O1519" s="386"/>
      <c r="P1519" s="356"/>
      <c r="Q1519" s="380"/>
      <c r="S1519" s="336"/>
      <c r="T1519" s="62" ph="1"/>
      <c r="V1519" s="232"/>
      <c r="W1519" s="269"/>
      <c r="X1519" s="201"/>
      <c r="Y1519" s="269"/>
      <c r="Z1519" s="269"/>
      <c r="AA1519" s="269"/>
      <c r="AB1519" s="269"/>
      <c r="AC1519" s="269"/>
      <c r="AD1519" s="269"/>
      <c r="AE1519" s="269"/>
    </row>
    <row r="1520" spans="1:33" ht="26.25">
      <c r="A1520" s="269"/>
      <c r="B1520" s="269"/>
      <c r="C1520" s="269"/>
      <c r="D1520" s="269"/>
      <c r="E1520" s="269"/>
      <c r="F1520" s="269"/>
      <c r="G1520" s="269"/>
      <c r="H1520" s="269"/>
      <c r="I1520" s="269"/>
      <c r="J1520" s="334"/>
      <c r="K1520" s="334"/>
      <c r="L1520" s="334"/>
      <c r="M1520" s="328"/>
      <c r="N1520" s="328"/>
      <c r="O1520" s="386"/>
      <c r="P1520" s="356"/>
      <c r="Q1520" s="380"/>
      <c r="S1520" s="336"/>
      <c r="T1520" s="62" ph="1"/>
      <c r="V1520" s="232"/>
      <c r="W1520" s="269"/>
      <c r="X1520" s="201"/>
      <c r="Y1520" s="269"/>
      <c r="Z1520" s="269"/>
      <c r="AA1520" s="269"/>
      <c r="AB1520" s="269"/>
      <c r="AC1520" s="269"/>
      <c r="AD1520" s="269"/>
      <c r="AE1520" s="269"/>
    </row>
    <row r="1521" spans="1:31" ht="26.25">
      <c r="A1521" s="269"/>
      <c r="B1521" s="269"/>
      <c r="C1521" s="269"/>
      <c r="D1521" s="269"/>
      <c r="E1521" s="269"/>
      <c r="F1521" s="269"/>
      <c r="G1521" s="269"/>
      <c r="H1521" s="269"/>
      <c r="I1521" s="269"/>
      <c r="J1521" s="334"/>
      <c r="K1521" s="334"/>
      <c r="L1521" s="334"/>
      <c r="M1521" s="328"/>
      <c r="N1521" s="328"/>
      <c r="O1521" s="386"/>
      <c r="P1521" s="356"/>
      <c r="Q1521" s="380"/>
      <c r="S1521" s="336"/>
      <c r="T1521" s="62" ph="1"/>
      <c r="V1521" s="232"/>
      <c r="W1521" s="269"/>
      <c r="X1521" s="201"/>
      <c r="Y1521" s="269"/>
      <c r="Z1521" s="269"/>
      <c r="AA1521" s="269"/>
      <c r="AB1521" s="269"/>
      <c r="AC1521" s="269"/>
      <c r="AD1521" s="269"/>
      <c r="AE1521" s="269"/>
    </row>
    <row r="1522" spans="1:31" ht="26.25">
      <c r="A1522" s="269"/>
      <c r="B1522" s="269"/>
      <c r="C1522" s="269"/>
      <c r="D1522" s="269"/>
      <c r="E1522" s="269"/>
      <c r="F1522" s="269"/>
      <c r="G1522" s="269"/>
      <c r="H1522" s="269"/>
      <c r="I1522" s="269"/>
      <c r="J1522" s="334"/>
      <c r="K1522" s="334"/>
      <c r="L1522" s="334"/>
      <c r="M1522" s="328"/>
      <c r="N1522" s="328"/>
      <c r="O1522" s="386"/>
      <c r="P1522" s="356"/>
      <c r="Q1522" s="380"/>
      <c r="S1522" s="336"/>
      <c r="T1522" s="62" ph="1"/>
      <c r="V1522" s="232"/>
      <c r="W1522" s="269"/>
      <c r="X1522" s="201"/>
      <c r="Y1522" s="269"/>
      <c r="Z1522" s="269"/>
      <c r="AA1522" s="269"/>
      <c r="AB1522" s="269"/>
      <c r="AC1522" s="269"/>
      <c r="AD1522" s="269"/>
      <c r="AE1522" s="269"/>
    </row>
    <row r="1523" spans="1:31" ht="26.25">
      <c r="A1523" s="269"/>
      <c r="B1523" s="269"/>
      <c r="C1523" s="269"/>
      <c r="D1523" s="269"/>
      <c r="E1523" s="269"/>
      <c r="F1523" s="269"/>
      <c r="G1523" s="269"/>
      <c r="H1523" s="269"/>
      <c r="I1523" s="269"/>
      <c r="J1523" s="334"/>
      <c r="K1523" s="334"/>
      <c r="L1523" s="334"/>
      <c r="M1523" s="328"/>
      <c r="N1523" s="328"/>
      <c r="O1523" s="386"/>
      <c r="P1523" s="356"/>
      <c r="Q1523" s="380"/>
      <c r="S1523" s="336"/>
      <c r="T1523" s="62" ph="1"/>
      <c r="V1523" s="232"/>
      <c r="W1523" s="269"/>
      <c r="X1523" s="201"/>
      <c r="Y1523" s="269"/>
      <c r="Z1523" s="269"/>
      <c r="AA1523" s="269"/>
      <c r="AB1523" s="269"/>
      <c r="AC1523" s="269"/>
      <c r="AD1523" s="269"/>
      <c r="AE1523" s="269"/>
    </row>
    <row r="1524" spans="1:31" ht="26.25">
      <c r="A1524" s="269"/>
      <c r="B1524" s="269"/>
      <c r="C1524" s="269"/>
      <c r="D1524" s="269"/>
      <c r="E1524" s="269"/>
      <c r="F1524" s="269"/>
      <c r="G1524" s="269"/>
      <c r="H1524" s="269"/>
      <c r="I1524" s="269"/>
      <c r="J1524" s="334"/>
      <c r="K1524" s="334"/>
      <c r="L1524" s="334"/>
      <c r="M1524" s="328"/>
      <c r="N1524" s="328"/>
      <c r="O1524" s="386"/>
      <c r="P1524" s="356"/>
      <c r="Q1524" s="380"/>
      <c r="S1524" s="336"/>
      <c r="T1524" s="62" ph="1"/>
      <c r="V1524" s="232"/>
      <c r="W1524" s="269"/>
      <c r="X1524" s="201"/>
      <c r="Y1524" s="269"/>
      <c r="Z1524" s="269"/>
      <c r="AA1524" s="269"/>
      <c r="AB1524" s="269"/>
      <c r="AC1524" s="269"/>
      <c r="AD1524" s="269"/>
      <c r="AE1524" s="269"/>
    </row>
    <row r="1525" spans="1:31" ht="26.25">
      <c r="A1525" s="269"/>
      <c r="B1525" s="269"/>
      <c r="C1525" s="269"/>
      <c r="D1525" s="269"/>
      <c r="E1525" s="269"/>
      <c r="F1525" s="269"/>
      <c r="G1525" s="269"/>
      <c r="H1525" s="269"/>
      <c r="I1525" s="269"/>
      <c r="J1525" s="334"/>
      <c r="K1525" s="334"/>
      <c r="L1525" s="334"/>
      <c r="M1525" s="328"/>
      <c r="N1525" s="328"/>
      <c r="O1525" s="386"/>
      <c r="P1525" s="356"/>
      <c r="Q1525" s="380"/>
      <c r="S1525" s="336"/>
      <c r="T1525" s="62" ph="1"/>
      <c r="V1525" s="232"/>
      <c r="W1525" s="269"/>
      <c r="X1525" s="201"/>
      <c r="Y1525" s="269"/>
      <c r="Z1525" s="269"/>
      <c r="AA1525" s="269"/>
      <c r="AB1525" s="269"/>
      <c r="AC1525" s="269"/>
      <c r="AD1525" s="269"/>
      <c r="AE1525" s="269"/>
    </row>
    <row r="1526" spans="1:31" ht="26.25">
      <c r="A1526" s="269"/>
      <c r="B1526" s="269"/>
      <c r="C1526" s="269"/>
      <c r="D1526" s="269"/>
      <c r="E1526" s="269"/>
      <c r="F1526" s="269"/>
      <c r="G1526" s="269"/>
      <c r="H1526" s="269"/>
      <c r="I1526" s="269"/>
      <c r="J1526" s="334"/>
      <c r="K1526" s="334"/>
      <c r="L1526" s="334"/>
      <c r="M1526" s="328"/>
      <c r="N1526" s="328"/>
      <c r="O1526" s="386"/>
      <c r="P1526" s="356"/>
      <c r="Q1526" s="380"/>
      <c r="S1526" s="336"/>
      <c r="T1526" s="62" ph="1"/>
      <c r="V1526" s="232"/>
      <c r="W1526" s="269"/>
      <c r="X1526" s="201"/>
      <c r="Y1526" s="269"/>
      <c r="Z1526" s="269"/>
      <c r="AA1526" s="269"/>
      <c r="AB1526" s="269"/>
      <c r="AC1526" s="269"/>
      <c r="AD1526" s="269"/>
      <c r="AE1526" s="269"/>
    </row>
    <row r="1527" spans="1:31" ht="26.25">
      <c r="A1527" s="269"/>
      <c r="B1527" s="269"/>
      <c r="C1527" s="269"/>
      <c r="D1527" s="269"/>
      <c r="E1527" s="269"/>
      <c r="F1527" s="269"/>
      <c r="G1527" s="269"/>
      <c r="H1527" s="269"/>
      <c r="I1527" s="269"/>
      <c r="J1527" s="334"/>
      <c r="K1527" s="334"/>
      <c r="L1527" s="334"/>
      <c r="M1527" s="328"/>
      <c r="N1527" s="328"/>
      <c r="O1527" s="386"/>
      <c r="P1527" s="356"/>
      <c r="Q1527" s="380"/>
      <c r="S1527" s="336"/>
      <c r="T1527" s="62" ph="1"/>
      <c r="V1527" s="232"/>
      <c r="W1527" s="269"/>
      <c r="X1527" s="201"/>
      <c r="Y1527" s="269"/>
      <c r="Z1527" s="269"/>
      <c r="AA1527" s="269"/>
      <c r="AB1527" s="269"/>
      <c r="AC1527" s="269"/>
      <c r="AD1527" s="269"/>
      <c r="AE1527" s="269"/>
    </row>
    <row r="1528" spans="1:31" ht="26.25">
      <c r="A1528" s="269"/>
      <c r="B1528" s="269"/>
      <c r="C1528" s="269"/>
      <c r="D1528" s="269"/>
      <c r="E1528" s="269"/>
      <c r="F1528" s="269"/>
      <c r="G1528" s="269"/>
      <c r="H1528" s="269"/>
      <c r="I1528" s="269"/>
      <c r="J1528" s="334"/>
      <c r="K1528" s="334"/>
      <c r="L1528" s="334"/>
      <c r="M1528" s="328"/>
      <c r="N1528" s="328"/>
      <c r="O1528" s="386"/>
      <c r="P1528" s="356"/>
      <c r="Q1528" s="380"/>
      <c r="S1528" s="336"/>
      <c r="T1528" s="62" ph="1"/>
      <c r="V1528" s="232"/>
      <c r="W1528" s="269"/>
      <c r="X1528" s="201"/>
      <c r="Y1528" s="269"/>
      <c r="Z1528" s="269"/>
      <c r="AA1528" s="269"/>
      <c r="AB1528" s="269"/>
      <c r="AC1528" s="269"/>
      <c r="AD1528" s="269"/>
      <c r="AE1528" s="269"/>
    </row>
    <row r="1529" spans="1:31" ht="26.25">
      <c r="A1529" s="269"/>
      <c r="B1529" s="269"/>
      <c r="C1529" s="269"/>
      <c r="D1529" s="269"/>
      <c r="E1529" s="269"/>
      <c r="F1529" s="269"/>
      <c r="G1529" s="269"/>
      <c r="H1529" s="269"/>
      <c r="I1529" s="269"/>
      <c r="J1529" s="334"/>
      <c r="K1529" s="334"/>
      <c r="L1529" s="334"/>
      <c r="M1529" s="328"/>
      <c r="N1529" s="328"/>
      <c r="O1529" s="386"/>
      <c r="P1529" s="356"/>
      <c r="Q1529" s="380"/>
      <c r="S1529" s="336"/>
      <c r="T1529" s="62" ph="1"/>
      <c r="V1529" s="232"/>
      <c r="W1529" s="269"/>
      <c r="X1529" s="201"/>
      <c r="Y1529" s="269"/>
      <c r="Z1529" s="269"/>
      <c r="AA1529" s="269"/>
      <c r="AB1529" s="269"/>
      <c r="AC1529" s="269"/>
      <c r="AD1529" s="269"/>
      <c r="AE1529" s="269"/>
    </row>
    <row r="1530" spans="1:31" ht="26.25">
      <c r="A1530" s="269"/>
      <c r="B1530" s="269"/>
      <c r="C1530" s="269"/>
      <c r="D1530" s="269"/>
      <c r="E1530" s="269"/>
      <c r="F1530" s="269"/>
      <c r="G1530" s="269"/>
      <c r="H1530" s="269"/>
      <c r="I1530" s="269"/>
      <c r="J1530" s="334"/>
      <c r="K1530" s="334"/>
      <c r="L1530" s="334"/>
      <c r="M1530" s="328"/>
      <c r="N1530" s="328"/>
      <c r="O1530" s="386"/>
      <c r="P1530" s="356"/>
      <c r="Q1530" s="380"/>
      <c r="S1530" s="336"/>
      <c r="T1530" s="62" ph="1"/>
      <c r="V1530" s="232"/>
      <c r="W1530" s="269"/>
      <c r="X1530" s="201"/>
      <c r="Y1530" s="269"/>
      <c r="Z1530" s="269"/>
      <c r="AA1530" s="269"/>
      <c r="AB1530" s="269"/>
      <c r="AC1530" s="269"/>
      <c r="AD1530" s="269"/>
      <c r="AE1530" s="269"/>
    </row>
    <row r="1531" spans="1:31" ht="26.25">
      <c r="A1531" s="269"/>
      <c r="B1531" s="269"/>
      <c r="C1531" s="269"/>
      <c r="D1531" s="269"/>
      <c r="E1531" s="269"/>
      <c r="F1531" s="269"/>
      <c r="G1531" s="269"/>
      <c r="H1531" s="269"/>
      <c r="I1531" s="269"/>
      <c r="J1531" s="334"/>
      <c r="K1531" s="334"/>
      <c r="L1531" s="334"/>
      <c r="M1531" s="328"/>
      <c r="N1531" s="328"/>
      <c r="O1531" s="386"/>
      <c r="P1531" s="356"/>
      <c r="Q1531" s="380"/>
      <c r="S1531" s="336"/>
      <c r="T1531" s="62" ph="1"/>
      <c r="V1531" s="232"/>
      <c r="W1531" s="269"/>
      <c r="X1531" s="201"/>
      <c r="Y1531" s="269"/>
      <c r="Z1531" s="269"/>
      <c r="AA1531" s="269"/>
      <c r="AB1531" s="269"/>
      <c r="AC1531" s="269"/>
      <c r="AD1531" s="269"/>
      <c r="AE1531" s="269"/>
    </row>
    <row r="1532" spans="1:31" ht="26.25">
      <c r="A1532" s="269"/>
      <c r="B1532" s="269"/>
      <c r="C1532" s="269"/>
      <c r="D1532" s="269"/>
      <c r="E1532" s="269"/>
      <c r="F1532" s="269"/>
      <c r="G1532" s="269"/>
      <c r="H1532" s="269"/>
      <c r="I1532" s="269"/>
      <c r="J1532" s="334"/>
      <c r="K1532" s="334"/>
      <c r="L1532" s="334"/>
      <c r="M1532" s="328"/>
      <c r="N1532" s="328"/>
      <c r="O1532" s="386"/>
      <c r="P1532" s="356"/>
      <c r="Q1532" s="380"/>
      <c r="S1532" s="336"/>
      <c r="T1532" s="62" ph="1"/>
      <c r="V1532" s="232"/>
      <c r="W1532" s="269"/>
      <c r="X1532" s="201"/>
      <c r="Y1532" s="269"/>
      <c r="Z1532" s="269"/>
      <c r="AA1532" s="269"/>
      <c r="AB1532" s="269"/>
      <c r="AC1532" s="269"/>
      <c r="AD1532" s="269"/>
      <c r="AE1532" s="269"/>
    </row>
    <row r="1533" spans="1:31" ht="26.25">
      <c r="A1533" s="269"/>
      <c r="B1533" s="269"/>
      <c r="C1533" s="269"/>
      <c r="D1533" s="269"/>
      <c r="E1533" s="269"/>
      <c r="F1533" s="269"/>
      <c r="G1533" s="269"/>
      <c r="H1533" s="269"/>
      <c r="I1533" s="269"/>
      <c r="J1533" s="334"/>
      <c r="K1533" s="334"/>
      <c r="L1533" s="334"/>
      <c r="M1533" s="328"/>
      <c r="N1533" s="328"/>
      <c r="O1533" s="386"/>
      <c r="P1533" s="356"/>
      <c r="Q1533" s="380"/>
      <c r="S1533" s="336"/>
      <c r="T1533" s="62" ph="1"/>
      <c r="V1533" s="232"/>
      <c r="W1533" s="269"/>
      <c r="X1533" s="201"/>
      <c r="Y1533" s="269"/>
      <c r="Z1533" s="269"/>
      <c r="AA1533" s="269"/>
      <c r="AB1533" s="269"/>
      <c r="AC1533" s="269"/>
      <c r="AD1533" s="269"/>
      <c r="AE1533" s="269"/>
    </row>
    <row r="1534" spans="1:31" ht="26.25">
      <c r="A1534" s="269"/>
      <c r="B1534" s="269"/>
      <c r="C1534" s="269"/>
      <c r="D1534" s="269"/>
      <c r="E1534" s="269"/>
      <c r="F1534" s="269"/>
      <c r="G1534" s="269"/>
      <c r="H1534" s="269"/>
      <c r="I1534" s="269"/>
      <c r="J1534" s="334"/>
      <c r="K1534" s="334"/>
      <c r="L1534" s="334"/>
      <c r="M1534" s="328"/>
      <c r="N1534" s="328"/>
      <c r="O1534" s="386"/>
      <c r="P1534" s="356"/>
      <c r="Q1534" s="380"/>
      <c r="S1534" s="336"/>
      <c r="T1534" s="62" ph="1"/>
      <c r="V1534" s="232"/>
      <c r="W1534" s="269"/>
      <c r="X1534" s="201"/>
      <c r="Y1534" s="269"/>
      <c r="Z1534" s="269"/>
      <c r="AA1534" s="269"/>
      <c r="AB1534" s="269"/>
      <c r="AC1534" s="269"/>
      <c r="AD1534" s="269"/>
      <c r="AE1534" s="269"/>
    </row>
    <row r="1535" spans="1:31" ht="26.25">
      <c r="A1535" s="269"/>
      <c r="B1535" s="269"/>
      <c r="C1535" s="269"/>
      <c r="D1535" s="269"/>
      <c r="E1535" s="269"/>
      <c r="F1535" s="269"/>
      <c r="G1535" s="269"/>
      <c r="H1535" s="269"/>
      <c r="I1535" s="269"/>
      <c r="J1535" s="334"/>
      <c r="K1535" s="334"/>
      <c r="L1535" s="334"/>
      <c r="M1535" s="328"/>
      <c r="N1535" s="328"/>
      <c r="O1535" s="386"/>
      <c r="P1535" s="356"/>
      <c r="Q1535" s="380"/>
      <c r="S1535" s="336"/>
      <c r="T1535" s="62" ph="1"/>
      <c r="V1535" s="232"/>
      <c r="W1535" s="269"/>
      <c r="X1535" s="201"/>
      <c r="Y1535" s="269"/>
      <c r="Z1535" s="269"/>
      <c r="AA1535" s="269"/>
      <c r="AB1535" s="269"/>
      <c r="AC1535" s="269"/>
      <c r="AD1535" s="269"/>
      <c r="AE1535" s="269"/>
    </row>
    <row r="1536" spans="1:31" ht="26.25">
      <c r="A1536" s="269"/>
      <c r="B1536" s="269"/>
      <c r="C1536" s="269"/>
      <c r="D1536" s="269"/>
      <c r="E1536" s="269"/>
      <c r="F1536" s="269"/>
      <c r="G1536" s="269"/>
      <c r="H1536" s="269"/>
      <c r="I1536" s="269"/>
      <c r="J1536" s="334"/>
      <c r="K1536" s="334"/>
      <c r="L1536" s="334"/>
      <c r="M1536" s="328"/>
      <c r="N1536" s="328"/>
      <c r="O1536" s="386"/>
      <c r="P1536" s="356"/>
      <c r="Q1536" s="380"/>
      <c r="S1536" s="336"/>
      <c r="T1536" s="62" ph="1"/>
      <c r="V1536" s="232"/>
      <c r="W1536" s="269"/>
      <c r="X1536" s="201"/>
      <c r="Y1536" s="269"/>
      <c r="Z1536" s="269"/>
      <c r="AA1536" s="269"/>
      <c r="AB1536" s="269"/>
      <c r="AC1536" s="269"/>
      <c r="AD1536" s="269"/>
      <c r="AE1536" s="269"/>
    </row>
    <row r="1537" spans="1:31" ht="26.25">
      <c r="A1537" s="269"/>
      <c r="B1537" s="269"/>
      <c r="C1537" s="269"/>
      <c r="D1537" s="269"/>
      <c r="E1537" s="269"/>
      <c r="F1537" s="269"/>
      <c r="G1537" s="269"/>
      <c r="H1537" s="269"/>
      <c r="I1537" s="269"/>
      <c r="J1537" s="334"/>
      <c r="K1537" s="334"/>
      <c r="L1537" s="334"/>
      <c r="M1537" s="328"/>
      <c r="N1537" s="328"/>
      <c r="O1537" s="386"/>
      <c r="P1537" s="356"/>
      <c r="Q1537" s="380"/>
      <c r="S1537" s="336"/>
      <c r="T1537" s="62" ph="1"/>
      <c r="V1537" s="232"/>
      <c r="W1537" s="269"/>
      <c r="X1537" s="201"/>
      <c r="Y1537" s="269"/>
      <c r="Z1537" s="269"/>
      <c r="AA1537" s="269"/>
      <c r="AB1537" s="269"/>
      <c r="AC1537" s="269"/>
      <c r="AD1537" s="269"/>
      <c r="AE1537" s="269"/>
    </row>
    <row r="1538" spans="1:31" ht="26.25">
      <c r="A1538" s="269"/>
      <c r="B1538" s="269"/>
      <c r="C1538" s="269"/>
      <c r="D1538" s="269"/>
      <c r="E1538" s="269"/>
      <c r="F1538" s="269"/>
      <c r="G1538" s="269"/>
      <c r="H1538" s="269"/>
      <c r="I1538" s="269"/>
      <c r="J1538" s="334"/>
      <c r="K1538" s="334"/>
      <c r="L1538" s="334"/>
      <c r="M1538" s="328"/>
      <c r="N1538" s="328"/>
      <c r="O1538" s="386"/>
      <c r="P1538" s="356"/>
      <c r="Q1538" s="380"/>
      <c r="S1538" s="336"/>
      <c r="T1538" s="62" ph="1"/>
      <c r="V1538" s="232"/>
      <c r="W1538" s="269"/>
      <c r="X1538" s="201"/>
      <c r="Y1538" s="269"/>
      <c r="Z1538" s="269"/>
      <c r="AA1538" s="269"/>
      <c r="AB1538" s="269"/>
      <c r="AC1538" s="269"/>
      <c r="AD1538" s="269"/>
      <c r="AE1538" s="269"/>
    </row>
    <row r="1539" spans="1:31" ht="26.25">
      <c r="A1539" s="269"/>
      <c r="B1539" s="269"/>
      <c r="C1539" s="269"/>
      <c r="D1539" s="269"/>
      <c r="E1539" s="269"/>
      <c r="F1539" s="269"/>
      <c r="G1539" s="269"/>
      <c r="H1539" s="269"/>
      <c r="I1539" s="269"/>
      <c r="J1539" s="334"/>
      <c r="K1539" s="334"/>
      <c r="L1539" s="334"/>
      <c r="M1539" s="328"/>
      <c r="N1539" s="328"/>
      <c r="O1539" s="386"/>
      <c r="P1539" s="356"/>
      <c r="Q1539" s="380"/>
      <c r="S1539" s="336"/>
      <c r="T1539" s="62" ph="1"/>
      <c r="V1539" s="232"/>
      <c r="W1539" s="269"/>
      <c r="X1539" s="201"/>
      <c r="Y1539" s="269"/>
      <c r="Z1539" s="269"/>
      <c r="AA1539" s="269"/>
      <c r="AB1539" s="269"/>
      <c r="AC1539" s="269"/>
      <c r="AD1539" s="269"/>
      <c r="AE1539" s="269"/>
    </row>
    <row r="1540" spans="1:31" ht="26.25">
      <c r="A1540" s="269"/>
      <c r="B1540" s="269"/>
      <c r="C1540" s="269"/>
      <c r="D1540" s="269"/>
      <c r="E1540" s="269"/>
      <c r="F1540" s="269"/>
      <c r="G1540" s="269"/>
      <c r="H1540" s="269"/>
      <c r="I1540" s="269"/>
      <c r="J1540" s="334"/>
      <c r="K1540" s="334"/>
      <c r="L1540" s="334"/>
      <c r="M1540" s="328"/>
      <c r="N1540" s="328"/>
      <c r="O1540" s="386"/>
      <c r="P1540" s="356"/>
      <c r="Q1540" s="380"/>
      <c r="S1540" s="336"/>
      <c r="T1540" s="62" ph="1"/>
      <c r="V1540" s="232"/>
      <c r="W1540" s="269"/>
      <c r="X1540" s="201"/>
      <c r="Y1540" s="269"/>
      <c r="Z1540" s="269"/>
      <c r="AA1540" s="269"/>
      <c r="AB1540" s="269"/>
      <c r="AC1540" s="269"/>
      <c r="AD1540" s="269"/>
      <c r="AE1540" s="269"/>
    </row>
    <row r="1541" spans="1:31" ht="26.25">
      <c r="A1541" s="269"/>
      <c r="B1541" s="269"/>
      <c r="C1541" s="269"/>
      <c r="D1541" s="269"/>
      <c r="E1541" s="269"/>
      <c r="F1541" s="269"/>
      <c r="G1541" s="269"/>
      <c r="H1541" s="269"/>
      <c r="I1541" s="269"/>
      <c r="J1541" s="334"/>
      <c r="K1541" s="334"/>
      <c r="L1541" s="334"/>
      <c r="M1541" s="328"/>
      <c r="N1541" s="328"/>
      <c r="O1541" s="386"/>
      <c r="P1541" s="356"/>
      <c r="Q1541" s="380"/>
      <c r="S1541" s="336"/>
      <c r="T1541" s="62" ph="1"/>
      <c r="V1541" s="232"/>
      <c r="W1541" s="269"/>
      <c r="X1541" s="201"/>
      <c r="Y1541" s="269"/>
      <c r="Z1541" s="269"/>
      <c r="AA1541" s="269"/>
      <c r="AB1541" s="269"/>
      <c r="AC1541" s="269"/>
      <c r="AD1541" s="269"/>
      <c r="AE1541" s="269"/>
    </row>
    <row r="1542" spans="1:31" ht="26.25">
      <c r="A1542" s="269"/>
      <c r="B1542" s="269"/>
      <c r="C1542" s="269"/>
      <c r="D1542" s="269"/>
      <c r="E1542" s="269"/>
      <c r="F1542" s="269"/>
      <c r="G1542" s="269"/>
      <c r="H1542" s="269"/>
      <c r="I1542" s="269"/>
      <c r="J1542" s="334"/>
      <c r="K1542" s="334"/>
      <c r="L1542" s="334"/>
      <c r="M1542" s="328"/>
      <c r="N1542" s="328"/>
      <c r="O1542" s="386"/>
      <c r="P1542" s="356"/>
      <c r="Q1542" s="380"/>
      <c r="S1542" s="336"/>
      <c r="T1542" s="62" ph="1"/>
      <c r="V1542" s="232"/>
      <c r="W1542" s="269"/>
      <c r="X1542" s="201"/>
      <c r="Y1542" s="269"/>
      <c r="Z1542" s="269"/>
      <c r="AA1542" s="269"/>
      <c r="AB1542" s="269"/>
      <c r="AC1542" s="269"/>
      <c r="AD1542" s="269"/>
      <c r="AE1542" s="269"/>
    </row>
    <row r="1543" spans="1:31" ht="26.25">
      <c r="A1543" s="269"/>
      <c r="B1543" s="269"/>
      <c r="C1543" s="269"/>
      <c r="D1543" s="269"/>
      <c r="E1543" s="269"/>
      <c r="F1543" s="269"/>
      <c r="G1543" s="269"/>
      <c r="H1543" s="269"/>
      <c r="I1543" s="269"/>
      <c r="J1543" s="334"/>
      <c r="K1543" s="334"/>
      <c r="L1543" s="334"/>
      <c r="M1543" s="328"/>
      <c r="N1543" s="328"/>
      <c r="O1543" s="386"/>
      <c r="P1543" s="356"/>
      <c r="Q1543" s="380"/>
      <c r="S1543" s="336"/>
      <c r="T1543" s="62" ph="1"/>
      <c r="V1543" s="232"/>
      <c r="W1543" s="269"/>
      <c r="X1543" s="201"/>
      <c r="Y1543" s="269"/>
      <c r="Z1543" s="269"/>
      <c r="AA1543" s="269"/>
      <c r="AB1543" s="269"/>
      <c r="AC1543" s="269"/>
      <c r="AD1543" s="269"/>
      <c r="AE1543" s="269"/>
    </row>
    <row r="1544" spans="1:31" ht="26.25">
      <c r="A1544" s="269"/>
      <c r="B1544" s="269"/>
      <c r="C1544" s="269"/>
      <c r="D1544" s="269"/>
      <c r="E1544" s="269"/>
      <c r="F1544" s="269"/>
      <c r="G1544" s="269"/>
      <c r="H1544" s="269"/>
      <c r="I1544" s="269"/>
      <c r="J1544" s="334"/>
      <c r="K1544" s="334"/>
      <c r="L1544" s="334"/>
      <c r="M1544" s="328"/>
      <c r="N1544" s="328"/>
      <c r="O1544" s="386"/>
      <c r="P1544" s="356"/>
      <c r="Q1544" s="380"/>
      <c r="S1544" s="336"/>
      <c r="T1544" s="62" ph="1"/>
      <c r="V1544" s="232"/>
      <c r="W1544" s="269"/>
      <c r="X1544" s="201"/>
      <c r="Y1544" s="269"/>
      <c r="Z1544" s="269"/>
      <c r="AA1544" s="269"/>
      <c r="AB1544" s="269"/>
      <c r="AC1544" s="269"/>
      <c r="AD1544" s="269"/>
      <c r="AE1544" s="269"/>
    </row>
    <row r="1545" spans="1:31" ht="26.25">
      <c r="A1545" s="269"/>
      <c r="B1545" s="269"/>
      <c r="C1545" s="269"/>
      <c r="D1545" s="269"/>
      <c r="E1545" s="269"/>
      <c r="F1545" s="269"/>
      <c r="G1545" s="269"/>
      <c r="H1545" s="269"/>
      <c r="I1545" s="269"/>
      <c r="J1545" s="334"/>
      <c r="K1545" s="334"/>
      <c r="L1545" s="334"/>
      <c r="M1545" s="328"/>
      <c r="N1545" s="328"/>
      <c r="O1545" s="386"/>
      <c r="P1545" s="356"/>
      <c r="Q1545" s="380"/>
      <c r="S1545" s="336"/>
      <c r="T1545" s="62" ph="1"/>
      <c r="V1545" s="232"/>
      <c r="W1545" s="269"/>
      <c r="X1545" s="201"/>
      <c r="Y1545" s="269"/>
      <c r="Z1545" s="269"/>
      <c r="AA1545" s="269"/>
      <c r="AB1545" s="269"/>
      <c r="AC1545" s="269"/>
      <c r="AD1545" s="269"/>
      <c r="AE1545" s="269"/>
    </row>
    <row r="1546" spans="1:31" ht="26.25">
      <c r="A1546" s="269"/>
      <c r="B1546" s="269"/>
      <c r="C1546" s="269"/>
      <c r="D1546" s="269"/>
      <c r="E1546" s="269"/>
      <c r="F1546" s="269"/>
      <c r="G1546" s="269"/>
      <c r="H1546" s="269"/>
      <c r="I1546" s="269"/>
      <c r="J1546" s="334"/>
      <c r="K1546" s="334"/>
      <c r="L1546" s="334"/>
      <c r="M1546" s="328"/>
      <c r="N1546" s="328"/>
      <c r="O1546" s="386"/>
      <c r="P1546" s="356"/>
      <c r="Q1546" s="380"/>
      <c r="S1546" s="336"/>
      <c r="T1546" s="62" ph="1"/>
      <c r="V1546" s="232"/>
      <c r="W1546" s="269"/>
      <c r="X1546" s="201"/>
      <c r="Y1546" s="269"/>
      <c r="Z1546" s="269"/>
      <c r="AA1546" s="269"/>
      <c r="AB1546" s="269"/>
      <c r="AC1546" s="269"/>
      <c r="AD1546" s="269"/>
      <c r="AE1546" s="269"/>
    </row>
    <row r="1547" spans="1:31" ht="26.25">
      <c r="A1547" s="269"/>
      <c r="B1547" s="269"/>
      <c r="C1547" s="269"/>
      <c r="D1547" s="269"/>
      <c r="E1547" s="269"/>
      <c r="F1547" s="269"/>
      <c r="G1547" s="269"/>
      <c r="H1547" s="269"/>
      <c r="I1547" s="269"/>
      <c r="J1547" s="334"/>
      <c r="K1547" s="334"/>
      <c r="L1547" s="334"/>
      <c r="M1547" s="328"/>
      <c r="N1547" s="328"/>
      <c r="O1547" s="386"/>
      <c r="P1547" s="356"/>
      <c r="Q1547" s="380"/>
      <c r="S1547" s="336"/>
      <c r="T1547" s="62" ph="1"/>
      <c r="V1547" s="232"/>
      <c r="W1547" s="269"/>
      <c r="X1547" s="201"/>
      <c r="Y1547" s="269"/>
      <c r="Z1547" s="269"/>
      <c r="AA1547" s="269"/>
      <c r="AB1547" s="269"/>
      <c r="AC1547" s="269"/>
      <c r="AD1547" s="269"/>
      <c r="AE1547" s="269"/>
    </row>
    <row r="1548" spans="1:31" ht="26.25">
      <c r="A1548" s="269"/>
      <c r="B1548" s="269"/>
      <c r="C1548" s="269"/>
      <c r="D1548" s="269"/>
      <c r="E1548" s="269"/>
      <c r="F1548" s="269"/>
      <c r="G1548" s="269"/>
      <c r="H1548" s="269"/>
      <c r="I1548" s="269"/>
      <c r="J1548" s="334"/>
      <c r="K1548" s="334"/>
      <c r="L1548" s="334"/>
      <c r="M1548" s="328"/>
      <c r="N1548" s="328"/>
      <c r="O1548" s="386"/>
      <c r="P1548" s="356"/>
      <c r="Q1548" s="380"/>
      <c r="S1548" s="336"/>
      <c r="T1548" s="62" ph="1"/>
      <c r="V1548" s="232"/>
      <c r="W1548" s="269"/>
      <c r="X1548" s="201"/>
      <c r="Y1548" s="269"/>
      <c r="Z1548" s="269"/>
      <c r="AA1548" s="269"/>
      <c r="AB1548" s="269"/>
      <c r="AC1548" s="269"/>
      <c r="AD1548" s="269"/>
      <c r="AE1548" s="269"/>
    </row>
    <row r="1549" spans="1:31" ht="26.25">
      <c r="A1549" s="269"/>
      <c r="B1549" s="269"/>
      <c r="C1549" s="269"/>
      <c r="D1549" s="269"/>
      <c r="E1549" s="269"/>
      <c r="F1549" s="269"/>
      <c r="G1549" s="269"/>
      <c r="H1549" s="269"/>
      <c r="I1549" s="269"/>
      <c r="J1549" s="334"/>
      <c r="K1549" s="334"/>
      <c r="L1549" s="334"/>
      <c r="M1549" s="328"/>
      <c r="N1549" s="328"/>
      <c r="O1549" s="386"/>
      <c r="P1549" s="356"/>
      <c r="Q1549" s="380"/>
      <c r="S1549" s="336"/>
      <c r="T1549" s="62" ph="1"/>
      <c r="V1549" s="232"/>
      <c r="W1549" s="269"/>
      <c r="X1549" s="201"/>
      <c r="Y1549" s="269"/>
      <c r="Z1549" s="269"/>
      <c r="AA1549" s="269"/>
      <c r="AB1549" s="269"/>
      <c r="AC1549" s="269"/>
      <c r="AD1549" s="269"/>
      <c r="AE1549" s="269"/>
    </row>
    <row r="1550" spans="1:31" ht="26.25">
      <c r="A1550" s="269"/>
      <c r="B1550" s="269"/>
      <c r="C1550" s="269"/>
      <c r="D1550" s="269"/>
      <c r="E1550" s="269"/>
      <c r="F1550" s="269"/>
      <c r="G1550" s="269"/>
      <c r="H1550" s="269"/>
      <c r="I1550" s="269"/>
      <c r="J1550" s="334"/>
      <c r="K1550" s="334"/>
      <c r="L1550" s="334"/>
      <c r="M1550" s="328"/>
      <c r="N1550" s="328"/>
      <c r="O1550" s="386"/>
      <c r="P1550" s="356"/>
      <c r="Q1550" s="380"/>
      <c r="S1550" s="336"/>
      <c r="T1550" s="62" ph="1"/>
      <c r="V1550" s="232"/>
      <c r="W1550" s="269"/>
      <c r="X1550" s="201"/>
      <c r="Y1550" s="269"/>
      <c r="Z1550" s="269"/>
      <c r="AA1550" s="269"/>
      <c r="AB1550" s="269"/>
      <c r="AC1550" s="269"/>
      <c r="AD1550" s="269"/>
      <c r="AE1550" s="269"/>
    </row>
    <row r="1551" spans="1:31" ht="26.25">
      <c r="A1551" s="269"/>
      <c r="B1551" s="269"/>
      <c r="C1551" s="269"/>
      <c r="D1551" s="269"/>
      <c r="E1551" s="269"/>
      <c r="F1551" s="269"/>
      <c r="G1551" s="269"/>
      <c r="H1551" s="269"/>
      <c r="I1551" s="269"/>
      <c r="J1551" s="334"/>
      <c r="K1551" s="334"/>
      <c r="L1551" s="334"/>
      <c r="M1551" s="328"/>
      <c r="N1551" s="328"/>
      <c r="O1551" s="386"/>
      <c r="P1551" s="356"/>
      <c r="Q1551" s="380"/>
      <c r="S1551" s="336"/>
      <c r="T1551" s="62" ph="1"/>
      <c r="V1551" s="232"/>
      <c r="W1551" s="269"/>
      <c r="X1551" s="201"/>
      <c r="Y1551" s="269"/>
      <c r="Z1551" s="269"/>
      <c r="AA1551" s="269"/>
      <c r="AB1551" s="269"/>
      <c r="AC1551" s="269"/>
      <c r="AD1551" s="269"/>
      <c r="AE1551" s="269"/>
    </row>
    <row r="1552" spans="1:31" ht="26.25">
      <c r="A1552" s="269"/>
      <c r="B1552" s="269"/>
      <c r="C1552" s="269"/>
      <c r="D1552" s="269"/>
      <c r="E1552" s="269"/>
      <c r="F1552" s="269"/>
      <c r="G1552" s="269"/>
      <c r="H1552" s="269"/>
      <c r="I1552" s="269"/>
      <c r="J1552" s="334"/>
      <c r="K1552" s="334"/>
      <c r="L1552" s="334"/>
      <c r="M1552" s="328"/>
      <c r="N1552" s="328"/>
      <c r="O1552" s="386"/>
      <c r="P1552" s="356"/>
      <c r="Q1552" s="380"/>
      <c r="S1552" s="336"/>
      <c r="T1552" s="62" ph="1"/>
      <c r="V1552" s="232"/>
      <c r="W1552" s="269"/>
      <c r="X1552" s="201"/>
      <c r="Y1552" s="269"/>
      <c r="Z1552" s="269"/>
      <c r="AA1552" s="269"/>
      <c r="AB1552" s="269"/>
      <c r="AC1552" s="269"/>
      <c r="AD1552" s="269"/>
      <c r="AE1552" s="269"/>
    </row>
    <row r="1553" spans="1:31" ht="26.25">
      <c r="A1553" s="269"/>
      <c r="B1553" s="269"/>
      <c r="C1553" s="269"/>
      <c r="D1553" s="269"/>
      <c r="E1553" s="269"/>
      <c r="F1553" s="269"/>
      <c r="G1553" s="269"/>
      <c r="H1553" s="269"/>
      <c r="I1553" s="269"/>
      <c r="J1553" s="334"/>
      <c r="K1553" s="334"/>
      <c r="L1553" s="334"/>
      <c r="M1553" s="328"/>
      <c r="N1553" s="328"/>
      <c r="O1553" s="386"/>
      <c r="P1553" s="356"/>
      <c r="Q1553" s="380"/>
      <c r="S1553" s="336"/>
      <c r="T1553" s="62" ph="1"/>
      <c r="V1553" s="232"/>
      <c r="W1553" s="269"/>
      <c r="X1553" s="201"/>
      <c r="Y1553" s="269"/>
      <c r="Z1553" s="269"/>
      <c r="AA1553" s="269"/>
      <c r="AB1553" s="269"/>
      <c r="AC1553" s="269"/>
      <c r="AD1553" s="269"/>
      <c r="AE1553" s="269"/>
    </row>
    <row r="1554" spans="1:31" ht="26.25">
      <c r="A1554" s="269"/>
      <c r="B1554" s="269"/>
      <c r="C1554" s="269"/>
      <c r="D1554" s="269"/>
      <c r="E1554" s="269"/>
      <c r="F1554" s="269"/>
      <c r="G1554" s="269"/>
      <c r="H1554" s="269"/>
      <c r="I1554" s="269"/>
      <c r="J1554" s="334"/>
      <c r="K1554" s="334"/>
      <c r="L1554" s="334"/>
      <c r="M1554" s="328"/>
      <c r="N1554" s="328"/>
      <c r="O1554" s="386"/>
      <c r="P1554" s="356"/>
      <c r="Q1554" s="380"/>
      <c r="S1554" s="336"/>
      <c r="T1554" s="62" ph="1"/>
      <c r="V1554" s="232"/>
      <c r="W1554" s="269"/>
      <c r="X1554" s="201"/>
      <c r="Y1554" s="269"/>
      <c r="Z1554" s="269"/>
      <c r="AA1554" s="269"/>
      <c r="AB1554" s="269"/>
      <c r="AC1554" s="269"/>
      <c r="AD1554" s="269"/>
      <c r="AE1554" s="269"/>
    </row>
    <row r="1555" spans="1:31" ht="26.25">
      <c r="A1555" s="269"/>
      <c r="B1555" s="269"/>
      <c r="C1555" s="269"/>
      <c r="D1555" s="269"/>
      <c r="E1555" s="269"/>
      <c r="F1555" s="269"/>
      <c r="G1555" s="269"/>
      <c r="H1555" s="269"/>
      <c r="I1555" s="269"/>
      <c r="J1555" s="334"/>
      <c r="K1555" s="334"/>
      <c r="L1555" s="334"/>
      <c r="M1555" s="328"/>
      <c r="N1555" s="328"/>
      <c r="O1555" s="386"/>
      <c r="P1555" s="356"/>
      <c r="Q1555" s="380"/>
      <c r="S1555" s="336"/>
      <c r="T1555" s="62" ph="1"/>
      <c r="V1555" s="232"/>
      <c r="W1555" s="269"/>
      <c r="X1555" s="201"/>
      <c r="Y1555" s="269"/>
      <c r="Z1555" s="269"/>
      <c r="AA1555" s="269"/>
      <c r="AB1555" s="269"/>
      <c r="AC1555" s="269"/>
      <c r="AD1555" s="269"/>
      <c r="AE1555" s="269"/>
    </row>
    <row r="1556" spans="1:31" ht="26.25">
      <c r="A1556" s="269"/>
      <c r="B1556" s="269"/>
      <c r="C1556" s="269"/>
      <c r="D1556" s="269"/>
      <c r="E1556" s="269"/>
      <c r="F1556" s="269"/>
      <c r="G1556" s="269"/>
      <c r="H1556" s="269"/>
      <c r="I1556" s="269"/>
      <c r="J1556" s="334"/>
      <c r="K1556" s="334"/>
      <c r="L1556" s="334"/>
      <c r="M1556" s="328"/>
      <c r="N1556" s="328"/>
      <c r="O1556" s="386"/>
      <c r="P1556" s="356"/>
      <c r="Q1556" s="380"/>
      <c r="S1556" s="336"/>
      <c r="T1556" s="62" ph="1"/>
      <c r="V1556" s="232"/>
      <c r="W1556" s="269"/>
      <c r="X1556" s="201"/>
      <c r="Y1556" s="269"/>
      <c r="Z1556" s="269"/>
      <c r="AA1556" s="269"/>
      <c r="AB1556" s="269"/>
      <c r="AC1556" s="269"/>
      <c r="AD1556" s="269"/>
      <c r="AE1556" s="269"/>
    </row>
    <row r="1557" spans="1:31" ht="26.25">
      <c r="A1557" s="269"/>
      <c r="B1557" s="269"/>
      <c r="C1557" s="269"/>
      <c r="D1557" s="269"/>
      <c r="E1557" s="269"/>
      <c r="F1557" s="269"/>
      <c r="G1557" s="269"/>
      <c r="H1557" s="269"/>
      <c r="I1557" s="269"/>
      <c r="J1557" s="334"/>
      <c r="K1557" s="334"/>
      <c r="L1557" s="334"/>
      <c r="M1557" s="328"/>
      <c r="N1557" s="328"/>
      <c r="O1557" s="386"/>
      <c r="P1557" s="356"/>
      <c r="Q1557" s="380"/>
      <c r="S1557" s="336"/>
      <c r="T1557" s="62" ph="1"/>
      <c r="V1557" s="232"/>
      <c r="W1557" s="269"/>
      <c r="X1557" s="201"/>
      <c r="Y1557" s="269"/>
      <c r="Z1557" s="269"/>
      <c r="AA1557" s="269"/>
      <c r="AB1557" s="269"/>
      <c r="AC1557" s="269"/>
      <c r="AD1557" s="269"/>
      <c r="AE1557" s="269"/>
    </row>
    <row r="1558" spans="1:31" ht="26.25">
      <c r="A1558" s="269"/>
      <c r="B1558" s="269"/>
      <c r="C1558" s="269"/>
      <c r="D1558" s="269"/>
      <c r="E1558" s="269"/>
      <c r="F1558" s="269"/>
      <c r="G1558" s="269"/>
      <c r="H1558" s="269"/>
      <c r="I1558" s="269"/>
      <c r="J1558" s="334"/>
      <c r="K1558" s="334"/>
      <c r="L1558" s="334"/>
      <c r="M1558" s="328"/>
      <c r="N1558" s="328"/>
      <c r="O1558" s="386"/>
      <c r="P1558" s="356"/>
      <c r="Q1558" s="380"/>
      <c r="S1558" s="336"/>
      <c r="T1558" s="62" ph="1"/>
      <c r="V1558" s="232"/>
      <c r="W1558" s="269"/>
      <c r="X1558" s="201"/>
      <c r="Y1558" s="269"/>
      <c r="Z1558" s="269"/>
      <c r="AA1558" s="269"/>
      <c r="AB1558" s="269"/>
      <c r="AC1558" s="269"/>
      <c r="AD1558" s="269"/>
      <c r="AE1558" s="269"/>
    </row>
    <row r="1559" spans="1:31" ht="26.25">
      <c r="A1559" s="269"/>
      <c r="B1559" s="269"/>
      <c r="C1559" s="269"/>
      <c r="D1559" s="269"/>
      <c r="E1559" s="269"/>
      <c r="F1559" s="269"/>
      <c r="G1559" s="269"/>
      <c r="H1559" s="269"/>
      <c r="I1559" s="269"/>
      <c r="J1559" s="334"/>
      <c r="K1559" s="334"/>
      <c r="L1559" s="334"/>
      <c r="M1559" s="328"/>
      <c r="N1559" s="328"/>
      <c r="O1559" s="386"/>
      <c r="P1559" s="356"/>
      <c r="Q1559" s="380"/>
      <c r="S1559" s="336"/>
      <c r="T1559" s="62" ph="1"/>
      <c r="V1559" s="232"/>
      <c r="W1559" s="269"/>
      <c r="X1559" s="201"/>
      <c r="Y1559" s="269"/>
      <c r="Z1559" s="269"/>
      <c r="AA1559" s="269"/>
      <c r="AB1559" s="269"/>
      <c r="AC1559" s="269"/>
      <c r="AD1559" s="269"/>
      <c r="AE1559" s="269"/>
    </row>
    <row r="1560" spans="1:31" ht="26.25">
      <c r="A1560" s="269"/>
      <c r="B1560" s="269"/>
      <c r="C1560" s="269"/>
      <c r="D1560" s="269"/>
      <c r="E1560" s="269"/>
      <c r="F1560" s="269"/>
      <c r="G1560" s="269"/>
      <c r="H1560" s="269"/>
      <c r="I1560" s="269"/>
      <c r="J1560" s="334"/>
      <c r="K1560" s="334"/>
      <c r="L1560" s="334"/>
      <c r="M1560" s="328"/>
      <c r="N1560" s="328"/>
      <c r="O1560" s="386"/>
      <c r="P1560" s="356"/>
      <c r="Q1560" s="380"/>
      <c r="S1560" s="336"/>
      <c r="T1560" s="62" ph="1"/>
      <c r="V1560" s="232"/>
      <c r="W1560" s="269"/>
      <c r="X1560" s="201"/>
      <c r="Y1560" s="269"/>
      <c r="Z1560" s="269"/>
      <c r="AA1560" s="269"/>
      <c r="AB1560" s="269"/>
      <c r="AC1560" s="269"/>
      <c r="AD1560" s="269"/>
      <c r="AE1560" s="269"/>
    </row>
    <row r="1561" spans="1:31" ht="26.25">
      <c r="A1561" s="269"/>
      <c r="B1561" s="269"/>
      <c r="C1561" s="269"/>
      <c r="D1561" s="269"/>
      <c r="E1561" s="269"/>
      <c r="F1561" s="269"/>
      <c r="G1561" s="269"/>
      <c r="H1561" s="269"/>
      <c r="I1561" s="269"/>
      <c r="J1561" s="334"/>
      <c r="K1561" s="334"/>
      <c r="L1561" s="334"/>
      <c r="M1561" s="328"/>
      <c r="N1561" s="328"/>
      <c r="O1561" s="386"/>
      <c r="P1561" s="356"/>
      <c r="Q1561" s="380"/>
      <c r="S1561" s="336"/>
      <c r="T1561" s="62" ph="1"/>
      <c r="V1561" s="232"/>
      <c r="W1561" s="269"/>
      <c r="X1561" s="201"/>
      <c r="Y1561" s="269"/>
      <c r="Z1561" s="269"/>
      <c r="AA1561" s="269"/>
      <c r="AB1561" s="269"/>
      <c r="AC1561" s="269"/>
      <c r="AD1561" s="269"/>
      <c r="AE1561" s="269"/>
    </row>
    <row r="1562" spans="1:31" ht="26.25">
      <c r="A1562" s="269"/>
      <c r="B1562" s="269"/>
      <c r="C1562" s="269"/>
      <c r="D1562" s="269"/>
      <c r="E1562" s="269"/>
      <c r="F1562" s="269"/>
      <c r="G1562" s="269"/>
      <c r="H1562" s="269"/>
      <c r="I1562" s="269"/>
      <c r="J1562" s="334"/>
      <c r="K1562" s="334"/>
      <c r="L1562" s="334"/>
      <c r="M1562" s="328"/>
      <c r="N1562" s="328"/>
      <c r="O1562" s="386"/>
      <c r="P1562" s="356"/>
      <c r="Q1562" s="380"/>
      <c r="S1562" s="336"/>
      <c r="T1562" s="62" ph="1"/>
      <c r="V1562" s="232"/>
      <c r="W1562" s="269"/>
      <c r="X1562" s="201"/>
      <c r="Y1562" s="269"/>
      <c r="Z1562" s="269"/>
      <c r="AA1562" s="269"/>
      <c r="AB1562" s="269"/>
      <c r="AC1562" s="269"/>
      <c r="AD1562" s="269"/>
      <c r="AE1562" s="269"/>
    </row>
    <row r="1563" spans="1:31" ht="26.25">
      <c r="A1563" s="269"/>
      <c r="B1563" s="269"/>
      <c r="C1563" s="269"/>
      <c r="D1563" s="269"/>
      <c r="E1563" s="269"/>
      <c r="F1563" s="269"/>
      <c r="G1563" s="269"/>
      <c r="H1563" s="269"/>
      <c r="I1563" s="269"/>
      <c r="J1563" s="334"/>
      <c r="K1563" s="334"/>
      <c r="L1563" s="334"/>
      <c r="M1563" s="328"/>
      <c r="N1563" s="328"/>
      <c r="O1563" s="386"/>
      <c r="P1563" s="356"/>
      <c r="Q1563" s="380"/>
      <c r="S1563" s="336"/>
      <c r="T1563" s="62" ph="1"/>
      <c r="V1563" s="232"/>
      <c r="W1563" s="269"/>
      <c r="X1563" s="201"/>
      <c r="Y1563" s="269"/>
      <c r="Z1563" s="269"/>
      <c r="AA1563" s="269"/>
      <c r="AB1563" s="269"/>
      <c r="AC1563" s="269"/>
      <c r="AD1563" s="269"/>
      <c r="AE1563" s="269"/>
    </row>
    <row r="1564" spans="1:31" ht="26.25">
      <c r="A1564" s="269"/>
      <c r="B1564" s="269"/>
      <c r="C1564" s="269"/>
      <c r="D1564" s="269"/>
      <c r="E1564" s="269"/>
      <c r="F1564" s="269"/>
      <c r="G1564" s="269"/>
      <c r="H1564" s="269"/>
      <c r="I1564" s="269"/>
      <c r="J1564" s="334"/>
      <c r="K1564" s="334"/>
      <c r="L1564" s="334"/>
      <c r="M1564" s="328"/>
      <c r="N1564" s="328"/>
      <c r="O1564" s="386"/>
      <c r="P1564" s="356"/>
      <c r="Q1564" s="380"/>
      <c r="S1564" s="336"/>
      <c r="T1564" s="62" ph="1"/>
      <c r="V1564" s="232"/>
      <c r="W1564" s="269"/>
      <c r="X1564" s="201"/>
      <c r="Y1564" s="269"/>
      <c r="Z1564" s="269"/>
      <c r="AA1564" s="269"/>
      <c r="AB1564" s="269"/>
      <c r="AC1564" s="269"/>
      <c r="AD1564" s="269"/>
      <c r="AE1564" s="269"/>
    </row>
    <row r="1565" spans="1:31" ht="26.25">
      <c r="A1565" s="269"/>
      <c r="B1565" s="269"/>
      <c r="C1565" s="269"/>
      <c r="D1565" s="269"/>
      <c r="E1565" s="269"/>
      <c r="F1565" s="269"/>
      <c r="G1565" s="269"/>
      <c r="H1565" s="269"/>
      <c r="I1565" s="269"/>
      <c r="J1565" s="334"/>
      <c r="K1565" s="334"/>
      <c r="L1565" s="334"/>
      <c r="M1565" s="328"/>
      <c r="N1565" s="328"/>
      <c r="O1565" s="386"/>
      <c r="P1565" s="356"/>
      <c r="Q1565" s="380"/>
      <c r="S1565" s="336"/>
      <c r="T1565" s="62" ph="1"/>
      <c r="V1565" s="232"/>
      <c r="W1565" s="269"/>
      <c r="X1565" s="201"/>
      <c r="Y1565" s="269"/>
      <c r="Z1565" s="269"/>
      <c r="AA1565" s="269"/>
      <c r="AB1565" s="269"/>
      <c r="AC1565" s="269"/>
      <c r="AD1565" s="269"/>
      <c r="AE1565" s="269"/>
    </row>
    <row r="1566" spans="1:31" ht="26.25">
      <c r="A1566" s="269"/>
      <c r="B1566" s="269"/>
      <c r="C1566" s="269"/>
      <c r="D1566" s="269"/>
      <c r="E1566" s="269"/>
      <c r="F1566" s="269"/>
      <c r="G1566" s="269"/>
      <c r="H1566" s="269"/>
      <c r="I1566" s="269"/>
      <c r="J1566" s="334"/>
      <c r="K1566" s="334"/>
      <c r="L1566" s="334"/>
      <c r="M1566" s="328"/>
      <c r="N1566" s="328"/>
      <c r="O1566" s="386"/>
      <c r="P1566" s="356"/>
      <c r="Q1566" s="380"/>
      <c r="S1566" s="336"/>
      <c r="T1566" s="62" ph="1"/>
      <c r="V1566" s="232"/>
      <c r="W1566" s="269"/>
      <c r="X1566" s="201"/>
      <c r="Y1566" s="269"/>
      <c r="Z1566" s="269"/>
      <c r="AA1566" s="269"/>
      <c r="AB1566" s="269"/>
      <c r="AC1566" s="269"/>
      <c r="AD1566" s="269"/>
      <c r="AE1566" s="269"/>
    </row>
    <row r="1567" spans="1:31" ht="26.25">
      <c r="A1567" s="269"/>
      <c r="B1567" s="269"/>
      <c r="C1567" s="269"/>
      <c r="D1567" s="269"/>
      <c r="E1567" s="269"/>
      <c r="F1567" s="269"/>
      <c r="G1567" s="269"/>
      <c r="H1567" s="269"/>
      <c r="I1567" s="269"/>
      <c r="J1567" s="334"/>
      <c r="K1567" s="334"/>
      <c r="L1567" s="334"/>
      <c r="M1567" s="328"/>
      <c r="N1567" s="328"/>
      <c r="O1567" s="386"/>
      <c r="P1567" s="356"/>
      <c r="Q1567" s="380"/>
      <c r="S1567" s="336"/>
      <c r="T1567" s="62" ph="1"/>
      <c r="V1567" s="232"/>
      <c r="W1567" s="269"/>
      <c r="X1567" s="201"/>
      <c r="Y1567" s="269"/>
      <c r="Z1567" s="269"/>
      <c r="AA1567" s="269"/>
      <c r="AB1567" s="269"/>
      <c r="AC1567" s="269"/>
      <c r="AD1567" s="269"/>
      <c r="AE1567" s="269"/>
    </row>
    <row r="1568" spans="1:31" ht="26.25">
      <c r="A1568" s="269"/>
      <c r="B1568" s="269"/>
      <c r="C1568" s="269"/>
      <c r="D1568" s="269"/>
      <c r="E1568" s="269"/>
      <c r="F1568" s="269"/>
      <c r="G1568" s="269"/>
      <c r="H1568" s="269"/>
      <c r="I1568" s="269"/>
      <c r="J1568" s="334"/>
      <c r="K1568" s="334"/>
      <c r="L1568" s="334"/>
      <c r="M1568" s="328"/>
      <c r="N1568" s="328"/>
      <c r="O1568" s="386"/>
      <c r="P1568" s="356"/>
      <c r="Q1568" s="380"/>
      <c r="S1568" s="336"/>
      <c r="T1568" s="62" ph="1"/>
      <c r="V1568" s="232"/>
      <c r="W1568" s="269"/>
      <c r="X1568" s="201"/>
      <c r="Y1568" s="269"/>
      <c r="Z1568" s="269"/>
      <c r="AA1568" s="269"/>
      <c r="AB1568" s="269"/>
      <c r="AC1568" s="269"/>
      <c r="AD1568" s="269"/>
      <c r="AE1568" s="269"/>
    </row>
    <row r="1569" spans="1:31" ht="26.25">
      <c r="A1569" s="269"/>
      <c r="B1569" s="269"/>
      <c r="C1569" s="269"/>
      <c r="D1569" s="269"/>
      <c r="E1569" s="269"/>
      <c r="F1569" s="269"/>
      <c r="G1569" s="269"/>
      <c r="H1569" s="269"/>
      <c r="I1569" s="269"/>
      <c r="J1569" s="334"/>
      <c r="K1569" s="334"/>
      <c r="L1569" s="334"/>
      <c r="M1569" s="328"/>
      <c r="N1569" s="328"/>
      <c r="O1569" s="386"/>
      <c r="P1569" s="356"/>
      <c r="Q1569" s="380"/>
      <c r="S1569" s="336"/>
      <c r="T1569" s="62" ph="1"/>
      <c r="V1569" s="232"/>
      <c r="W1569" s="269"/>
      <c r="X1569" s="201"/>
      <c r="Y1569" s="269"/>
      <c r="Z1569" s="269"/>
      <c r="AA1569" s="269"/>
      <c r="AB1569" s="269"/>
      <c r="AC1569" s="269"/>
      <c r="AD1569" s="269"/>
      <c r="AE1569" s="269"/>
    </row>
    <row r="1570" spans="1:31" ht="26.25">
      <c r="A1570" s="269"/>
      <c r="B1570" s="269"/>
      <c r="C1570" s="269"/>
      <c r="D1570" s="269"/>
      <c r="E1570" s="269"/>
      <c r="F1570" s="269"/>
      <c r="G1570" s="269"/>
      <c r="H1570" s="269"/>
      <c r="I1570" s="269"/>
      <c r="J1570" s="334"/>
      <c r="K1570" s="334"/>
      <c r="L1570" s="334"/>
      <c r="M1570" s="328"/>
      <c r="N1570" s="328"/>
      <c r="O1570" s="386"/>
      <c r="P1570" s="356"/>
      <c r="Q1570" s="380"/>
      <c r="S1570" s="336"/>
      <c r="T1570" s="62" ph="1"/>
      <c r="V1570" s="232"/>
      <c r="W1570" s="269"/>
      <c r="X1570" s="201"/>
      <c r="Y1570" s="269"/>
      <c r="Z1570" s="269"/>
      <c r="AA1570" s="269"/>
      <c r="AB1570" s="269"/>
      <c r="AC1570" s="269"/>
      <c r="AD1570" s="269"/>
      <c r="AE1570" s="269"/>
    </row>
    <row r="1571" spans="1:31" ht="26.25">
      <c r="A1571" s="269"/>
      <c r="B1571" s="269"/>
      <c r="C1571" s="269"/>
      <c r="D1571" s="269"/>
      <c r="E1571" s="269"/>
      <c r="F1571" s="269"/>
      <c r="G1571" s="269"/>
      <c r="H1571" s="269"/>
      <c r="I1571" s="269"/>
      <c r="J1571" s="334"/>
      <c r="K1571" s="334"/>
      <c r="L1571" s="334"/>
      <c r="M1571" s="328"/>
      <c r="N1571" s="328"/>
      <c r="O1571" s="386"/>
      <c r="P1571" s="356"/>
      <c r="Q1571" s="380"/>
      <c r="S1571" s="336"/>
      <c r="T1571" s="62" ph="1"/>
      <c r="V1571" s="232"/>
      <c r="W1571" s="269"/>
      <c r="X1571" s="201"/>
      <c r="Y1571" s="269"/>
      <c r="Z1571" s="269"/>
      <c r="AA1571" s="269"/>
      <c r="AB1571" s="269"/>
      <c r="AC1571" s="269"/>
      <c r="AD1571" s="269"/>
      <c r="AE1571" s="269"/>
    </row>
    <row r="1572" spans="1:31" ht="26.25">
      <c r="A1572" s="269"/>
      <c r="B1572" s="269"/>
      <c r="C1572" s="269"/>
      <c r="D1572" s="269"/>
      <c r="E1572" s="269"/>
      <c r="F1572" s="269"/>
      <c r="G1572" s="269"/>
      <c r="H1572" s="269"/>
      <c r="I1572" s="269"/>
      <c r="J1572" s="334"/>
      <c r="K1572" s="334"/>
      <c r="L1572" s="334"/>
      <c r="M1572" s="328"/>
      <c r="N1572" s="328"/>
      <c r="O1572" s="386"/>
      <c r="P1572" s="356"/>
      <c r="Q1572" s="380"/>
      <c r="S1572" s="336"/>
      <c r="T1572" s="62" ph="1"/>
      <c r="V1572" s="232"/>
      <c r="W1572" s="269"/>
      <c r="X1572" s="201"/>
      <c r="Y1572" s="269"/>
      <c r="Z1572" s="269"/>
      <c r="AA1572" s="269"/>
      <c r="AB1572" s="269"/>
      <c r="AC1572" s="269"/>
      <c r="AD1572" s="269"/>
      <c r="AE1572" s="269"/>
    </row>
    <row r="1573" spans="1:31" ht="26.25">
      <c r="A1573" s="269"/>
      <c r="B1573" s="269"/>
      <c r="C1573" s="269"/>
      <c r="D1573" s="269"/>
      <c r="E1573" s="269"/>
      <c r="F1573" s="269"/>
      <c r="G1573" s="269"/>
      <c r="H1573" s="269"/>
      <c r="I1573" s="269"/>
      <c r="J1573" s="334"/>
      <c r="K1573" s="334"/>
      <c r="L1573" s="334"/>
      <c r="M1573" s="328"/>
      <c r="N1573" s="328"/>
      <c r="O1573" s="386"/>
      <c r="P1573" s="356"/>
      <c r="Q1573" s="380"/>
      <c r="S1573" s="336"/>
      <c r="T1573" s="62" ph="1"/>
      <c r="V1573" s="232"/>
      <c r="W1573" s="269"/>
      <c r="X1573" s="201"/>
      <c r="Y1573" s="269"/>
      <c r="Z1573" s="269"/>
      <c r="AA1573" s="269"/>
      <c r="AB1573" s="269"/>
      <c r="AC1573" s="269"/>
      <c r="AD1573" s="269"/>
      <c r="AE1573" s="269"/>
    </row>
    <row r="1574" spans="1:31" ht="26.25">
      <c r="A1574" s="269"/>
      <c r="B1574" s="269"/>
      <c r="C1574" s="269"/>
      <c r="D1574" s="269"/>
      <c r="E1574" s="269"/>
      <c r="F1574" s="269"/>
      <c r="G1574" s="269"/>
      <c r="H1574" s="269"/>
      <c r="I1574" s="269"/>
      <c r="J1574" s="334"/>
      <c r="K1574" s="334"/>
      <c r="L1574" s="334"/>
      <c r="M1574" s="328"/>
      <c r="N1574" s="328"/>
      <c r="O1574" s="386"/>
      <c r="P1574" s="356"/>
      <c r="Q1574" s="380"/>
      <c r="S1574" s="336"/>
      <c r="T1574" s="62" ph="1"/>
      <c r="V1574" s="232"/>
      <c r="W1574" s="269"/>
      <c r="X1574" s="201"/>
      <c r="Y1574" s="269"/>
      <c r="Z1574" s="269"/>
      <c r="AA1574" s="269"/>
      <c r="AB1574" s="269"/>
      <c r="AC1574" s="269"/>
      <c r="AD1574" s="269"/>
      <c r="AE1574" s="269"/>
    </row>
    <row r="1575" spans="1:31" ht="26.25">
      <c r="A1575" s="269"/>
      <c r="B1575" s="269"/>
      <c r="C1575" s="269"/>
      <c r="D1575" s="269"/>
      <c r="E1575" s="269"/>
      <c r="F1575" s="269"/>
      <c r="G1575" s="269"/>
      <c r="H1575" s="269"/>
      <c r="I1575" s="269"/>
      <c r="J1575" s="334"/>
      <c r="K1575" s="334"/>
      <c r="L1575" s="334"/>
      <c r="M1575" s="328"/>
      <c r="N1575" s="328"/>
      <c r="O1575" s="386"/>
      <c r="P1575" s="356"/>
      <c r="Q1575" s="380"/>
      <c r="S1575" s="336"/>
      <c r="T1575" s="62" ph="1"/>
      <c r="V1575" s="232"/>
      <c r="W1575" s="269"/>
      <c r="X1575" s="201"/>
      <c r="Y1575" s="269"/>
      <c r="Z1575" s="269"/>
      <c r="AA1575" s="269"/>
      <c r="AB1575" s="269"/>
      <c r="AC1575" s="269"/>
      <c r="AD1575" s="269"/>
      <c r="AE1575" s="269"/>
    </row>
    <row r="1576" spans="1:31" ht="26.25">
      <c r="A1576" s="269"/>
      <c r="B1576" s="269"/>
      <c r="C1576" s="269"/>
      <c r="D1576" s="269"/>
      <c r="E1576" s="269"/>
      <c r="F1576" s="269"/>
      <c r="G1576" s="269"/>
      <c r="H1576" s="269"/>
      <c r="I1576" s="269"/>
      <c r="J1576" s="334"/>
      <c r="K1576" s="334"/>
      <c r="L1576" s="334"/>
      <c r="M1576" s="328"/>
      <c r="N1576" s="328"/>
      <c r="O1576" s="386"/>
      <c r="P1576" s="356"/>
      <c r="Q1576" s="380"/>
      <c r="S1576" s="336"/>
      <c r="T1576" s="62" ph="1"/>
      <c r="V1576" s="232"/>
      <c r="W1576" s="269"/>
      <c r="X1576" s="201"/>
      <c r="Y1576" s="269"/>
      <c r="Z1576" s="269"/>
      <c r="AA1576" s="269"/>
      <c r="AB1576" s="269"/>
      <c r="AC1576" s="269"/>
      <c r="AD1576" s="269"/>
      <c r="AE1576" s="269"/>
    </row>
    <row r="1577" spans="1:31" ht="26.25">
      <c r="A1577" s="269"/>
      <c r="B1577" s="269"/>
      <c r="C1577" s="269"/>
      <c r="D1577" s="269"/>
      <c r="E1577" s="269"/>
      <c r="F1577" s="269"/>
      <c r="G1577" s="269"/>
      <c r="H1577" s="269"/>
      <c r="I1577" s="269"/>
      <c r="J1577" s="334"/>
      <c r="K1577" s="334"/>
      <c r="L1577" s="334"/>
      <c r="M1577" s="328"/>
      <c r="N1577" s="328"/>
      <c r="O1577" s="386"/>
      <c r="P1577" s="356"/>
      <c r="Q1577" s="380"/>
      <c r="S1577" s="336"/>
      <c r="T1577" s="62" ph="1"/>
      <c r="V1577" s="232"/>
      <c r="W1577" s="269"/>
      <c r="X1577" s="201"/>
      <c r="Y1577" s="269"/>
      <c r="Z1577" s="269"/>
      <c r="AA1577" s="269"/>
      <c r="AB1577" s="269"/>
      <c r="AC1577" s="269"/>
      <c r="AD1577" s="269"/>
      <c r="AE1577" s="269"/>
    </row>
    <row r="1578" spans="1:31" ht="26.25">
      <c r="A1578" s="269"/>
      <c r="B1578" s="269"/>
      <c r="C1578" s="269"/>
      <c r="D1578" s="269"/>
      <c r="E1578" s="269"/>
      <c r="F1578" s="269"/>
      <c r="G1578" s="269"/>
      <c r="H1578" s="269"/>
      <c r="I1578" s="269"/>
      <c r="J1578" s="334"/>
      <c r="K1578" s="334"/>
      <c r="L1578" s="334"/>
      <c r="M1578" s="328"/>
      <c r="N1578" s="328"/>
      <c r="O1578" s="386"/>
      <c r="P1578" s="356"/>
      <c r="Q1578" s="380"/>
      <c r="S1578" s="336"/>
      <c r="T1578" s="62" ph="1"/>
      <c r="V1578" s="232"/>
      <c r="W1578" s="269"/>
      <c r="X1578" s="201"/>
      <c r="Y1578" s="269"/>
      <c r="Z1578" s="269"/>
      <c r="AA1578" s="269"/>
      <c r="AB1578" s="269"/>
      <c r="AC1578" s="269"/>
      <c r="AD1578" s="269"/>
      <c r="AE1578" s="269"/>
    </row>
    <row r="1579" spans="1:31" ht="26.25">
      <c r="A1579" s="269"/>
      <c r="B1579" s="269"/>
      <c r="C1579" s="269"/>
      <c r="D1579" s="269"/>
      <c r="E1579" s="269"/>
      <c r="F1579" s="269"/>
      <c r="G1579" s="269"/>
      <c r="H1579" s="269"/>
      <c r="I1579" s="269"/>
      <c r="J1579" s="334"/>
      <c r="K1579" s="334"/>
      <c r="L1579" s="334"/>
      <c r="M1579" s="328"/>
      <c r="N1579" s="328"/>
      <c r="O1579" s="386"/>
      <c r="P1579" s="356"/>
      <c r="Q1579" s="380"/>
      <c r="S1579" s="336"/>
      <c r="T1579" s="62" ph="1"/>
      <c r="V1579" s="232"/>
      <c r="W1579" s="269"/>
      <c r="X1579" s="201"/>
      <c r="Y1579" s="269"/>
      <c r="Z1579" s="269"/>
      <c r="AA1579" s="269"/>
      <c r="AB1579" s="269"/>
      <c r="AC1579" s="269"/>
      <c r="AD1579" s="269"/>
      <c r="AE1579" s="269"/>
    </row>
    <row r="1580" spans="1:31" ht="26.25">
      <c r="A1580" s="269"/>
      <c r="B1580" s="269"/>
      <c r="C1580" s="269"/>
      <c r="D1580" s="269"/>
      <c r="E1580" s="269"/>
      <c r="F1580" s="269"/>
      <c r="G1580" s="269"/>
      <c r="H1580" s="269"/>
      <c r="I1580" s="269"/>
      <c r="J1580" s="334"/>
      <c r="K1580" s="334"/>
      <c r="L1580" s="334"/>
      <c r="M1580" s="328"/>
      <c r="N1580" s="328"/>
      <c r="O1580" s="386"/>
      <c r="P1580" s="356"/>
      <c r="Q1580" s="380"/>
      <c r="S1580" s="336"/>
      <c r="T1580" s="62" ph="1"/>
      <c r="V1580" s="232"/>
      <c r="W1580" s="269"/>
      <c r="X1580" s="201"/>
      <c r="Y1580" s="269"/>
      <c r="Z1580" s="269"/>
      <c r="AA1580" s="269"/>
      <c r="AB1580" s="269"/>
      <c r="AC1580" s="269"/>
      <c r="AD1580" s="269"/>
      <c r="AE1580" s="269"/>
    </row>
    <row r="1581" spans="1:31" ht="26.25">
      <c r="A1581" s="269"/>
      <c r="B1581" s="269"/>
      <c r="C1581" s="269"/>
      <c r="D1581" s="269"/>
      <c r="E1581" s="269"/>
      <c r="F1581" s="269"/>
      <c r="G1581" s="269"/>
      <c r="H1581" s="269"/>
      <c r="I1581" s="269"/>
      <c r="J1581" s="334"/>
      <c r="K1581" s="334"/>
      <c r="L1581" s="334"/>
      <c r="M1581" s="328"/>
      <c r="N1581" s="328"/>
      <c r="O1581" s="386"/>
      <c r="P1581" s="356"/>
      <c r="Q1581" s="380"/>
      <c r="S1581" s="336"/>
      <c r="T1581" s="62" ph="1"/>
      <c r="V1581" s="232"/>
      <c r="W1581" s="269"/>
      <c r="X1581" s="201"/>
      <c r="Y1581" s="269"/>
      <c r="Z1581" s="269"/>
      <c r="AA1581" s="269"/>
      <c r="AB1581" s="269"/>
      <c r="AC1581" s="269"/>
      <c r="AD1581" s="269"/>
      <c r="AE1581" s="269"/>
    </row>
    <row r="1582" spans="1:31" ht="26.25">
      <c r="A1582" s="269"/>
      <c r="B1582" s="269"/>
      <c r="C1582" s="269"/>
      <c r="D1582" s="269"/>
      <c r="E1582" s="269"/>
      <c r="F1582" s="269"/>
      <c r="G1582" s="269"/>
      <c r="H1582" s="269"/>
      <c r="I1582" s="269"/>
      <c r="J1582" s="334"/>
      <c r="K1582" s="334"/>
      <c r="L1582" s="334"/>
      <c r="M1582" s="328"/>
      <c r="N1582" s="328"/>
      <c r="O1582" s="386"/>
      <c r="P1582" s="356"/>
      <c r="Q1582" s="380"/>
      <c r="S1582" s="336"/>
      <c r="T1582" s="62" ph="1"/>
      <c r="V1582" s="232"/>
      <c r="W1582" s="269"/>
      <c r="X1582" s="201"/>
      <c r="Y1582" s="269"/>
      <c r="Z1582" s="269"/>
      <c r="AA1582" s="269"/>
      <c r="AB1582" s="269"/>
      <c r="AC1582" s="269"/>
      <c r="AD1582" s="269"/>
      <c r="AE1582" s="269"/>
    </row>
    <row r="1583" spans="1:31" ht="26.25">
      <c r="A1583" s="269"/>
      <c r="B1583" s="269"/>
      <c r="C1583" s="269"/>
      <c r="D1583" s="269"/>
      <c r="E1583" s="269"/>
      <c r="F1583" s="269"/>
      <c r="G1583" s="269"/>
      <c r="H1583" s="269"/>
      <c r="I1583" s="269"/>
      <c r="J1583" s="334"/>
      <c r="K1583" s="334"/>
      <c r="L1583" s="334"/>
      <c r="M1583" s="328"/>
      <c r="N1583" s="328"/>
      <c r="O1583" s="386"/>
      <c r="P1583" s="356"/>
      <c r="Q1583" s="380"/>
      <c r="S1583" s="336"/>
      <c r="T1583" s="62" ph="1"/>
      <c r="V1583" s="232"/>
      <c r="W1583" s="269"/>
      <c r="X1583" s="201"/>
      <c r="Y1583" s="269"/>
      <c r="Z1583" s="269"/>
      <c r="AA1583" s="269"/>
      <c r="AB1583" s="269"/>
      <c r="AC1583" s="269"/>
      <c r="AD1583" s="269"/>
      <c r="AE1583" s="269"/>
    </row>
    <row r="1584" spans="1:31" ht="26.25">
      <c r="A1584" s="269"/>
      <c r="B1584" s="269"/>
      <c r="C1584" s="269"/>
      <c r="D1584" s="269"/>
      <c r="E1584" s="269"/>
      <c r="F1584" s="269"/>
      <c r="G1584" s="269"/>
      <c r="H1584" s="269"/>
      <c r="I1584" s="269"/>
      <c r="J1584" s="334"/>
      <c r="K1584" s="334"/>
      <c r="L1584" s="334"/>
      <c r="M1584" s="328"/>
      <c r="N1584" s="328"/>
      <c r="O1584" s="386"/>
      <c r="P1584" s="356"/>
      <c r="Q1584" s="380"/>
      <c r="S1584" s="336"/>
      <c r="T1584" s="62" ph="1"/>
      <c r="V1584" s="232"/>
      <c r="W1584" s="269"/>
      <c r="X1584" s="201"/>
      <c r="Y1584" s="269"/>
      <c r="Z1584" s="269"/>
      <c r="AA1584" s="269"/>
      <c r="AB1584" s="269"/>
      <c r="AC1584" s="269"/>
      <c r="AD1584" s="269"/>
      <c r="AE1584" s="269"/>
    </row>
    <row r="1585" spans="1:31" ht="26.25">
      <c r="A1585" s="269"/>
      <c r="B1585" s="269"/>
      <c r="C1585" s="269"/>
      <c r="D1585" s="269"/>
      <c r="E1585" s="269"/>
      <c r="F1585" s="269"/>
      <c r="G1585" s="269"/>
      <c r="H1585" s="269"/>
      <c r="I1585" s="269"/>
      <c r="J1585" s="334"/>
      <c r="K1585" s="334"/>
      <c r="L1585" s="334"/>
      <c r="M1585" s="328"/>
      <c r="N1585" s="328"/>
      <c r="O1585" s="386"/>
      <c r="P1585" s="356"/>
      <c r="Q1585" s="380"/>
      <c r="S1585" s="336"/>
      <c r="T1585" s="62" ph="1"/>
      <c r="V1585" s="232"/>
      <c r="W1585" s="269"/>
      <c r="X1585" s="201"/>
      <c r="Y1585" s="269"/>
      <c r="Z1585" s="269"/>
      <c r="AA1585" s="269"/>
      <c r="AB1585" s="269"/>
      <c r="AC1585" s="269"/>
      <c r="AD1585" s="269"/>
      <c r="AE1585" s="269"/>
    </row>
    <row r="1586" spans="1:31" ht="26.25">
      <c r="A1586" s="269"/>
      <c r="B1586" s="269"/>
      <c r="C1586" s="269"/>
      <c r="D1586" s="269"/>
      <c r="E1586" s="269"/>
      <c r="F1586" s="269"/>
      <c r="G1586" s="269"/>
      <c r="H1586" s="269"/>
      <c r="I1586" s="269"/>
      <c r="J1586" s="334"/>
      <c r="K1586" s="334"/>
      <c r="L1586" s="334"/>
      <c r="M1586" s="328"/>
      <c r="N1586" s="328"/>
      <c r="O1586" s="386"/>
      <c r="P1586" s="356"/>
      <c r="Q1586" s="380"/>
      <c r="S1586" s="336"/>
      <c r="T1586" s="62" ph="1"/>
      <c r="V1586" s="232"/>
      <c r="W1586" s="269"/>
      <c r="X1586" s="201"/>
      <c r="Y1586" s="269"/>
      <c r="Z1586" s="269"/>
      <c r="AA1586" s="269"/>
      <c r="AB1586" s="269"/>
      <c r="AC1586" s="269"/>
      <c r="AD1586" s="269"/>
      <c r="AE1586" s="269"/>
    </row>
    <row r="1587" spans="1:31" ht="26.25">
      <c r="A1587" s="269"/>
      <c r="B1587" s="269"/>
      <c r="C1587" s="269"/>
      <c r="D1587" s="269"/>
      <c r="E1587" s="269"/>
      <c r="F1587" s="269"/>
      <c r="G1587" s="269"/>
      <c r="H1587" s="269"/>
      <c r="I1587" s="269"/>
      <c r="J1587" s="334"/>
      <c r="K1587" s="334"/>
      <c r="L1587" s="334"/>
      <c r="M1587" s="328"/>
      <c r="N1587" s="328"/>
      <c r="O1587" s="386"/>
      <c r="P1587" s="356"/>
      <c r="Q1587" s="380"/>
      <c r="S1587" s="336"/>
      <c r="T1587" s="62" ph="1"/>
      <c r="V1587" s="232"/>
      <c r="W1587" s="269"/>
      <c r="X1587" s="201"/>
      <c r="Y1587" s="269"/>
      <c r="Z1587" s="269"/>
      <c r="AA1587" s="269"/>
      <c r="AB1587" s="269"/>
      <c r="AC1587" s="269"/>
      <c r="AD1587" s="269"/>
      <c r="AE1587" s="269"/>
    </row>
    <row r="1588" spans="1:31" ht="26.25">
      <c r="A1588" s="269"/>
      <c r="B1588" s="269"/>
      <c r="C1588" s="269"/>
      <c r="D1588" s="269"/>
      <c r="E1588" s="269"/>
      <c r="F1588" s="269"/>
      <c r="G1588" s="269"/>
      <c r="H1588" s="269"/>
      <c r="I1588" s="269"/>
      <c r="J1588" s="334"/>
      <c r="K1588" s="334"/>
      <c r="L1588" s="334"/>
      <c r="M1588" s="328"/>
      <c r="N1588" s="328"/>
      <c r="O1588" s="386"/>
      <c r="P1588" s="356"/>
      <c r="Q1588" s="380"/>
      <c r="S1588" s="336"/>
      <c r="T1588" s="62" ph="1"/>
      <c r="V1588" s="232"/>
      <c r="W1588" s="269"/>
      <c r="X1588" s="201"/>
      <c r="Y1588" s="269"/>
      <c r="Z1588" s="269"/>
      <c r="AA1588" s="269"/>
      <c r="AB1588" s="269"/>
      <c r="AC1588" s="269"/>
      <c r="AD1588" s="269"/>
      <c r="AE1588" s="269"/>
    </row>
    <row r="1589" spans="1:31" ht="26.25">
      <c r="A1589" s="269"/>
      <c r="B1589" s="269"/>
      <c r="C1589" s="269"/>
      <c r="D1589" s="269"/>
      <c r="E1589" s="269"/>
      <c r="F1589" s="269"/>
      <c r="G1589" s="269"/>
      <c r="H1589" s="269"/>
      <c r="I1589" s="269"/>
      <c r="J1589" s="334"/>
      <c r="K1589" s="334"/>
      <c r="L1589" s="334"/>
      <c r="M1589" s="328"/>
      <c r="N1589" s="328"/>
      <c r="O1589" s="386"/>
      <c r="P1589" s="356"/>
      <c r="Q1589" s="380"/>
      <c r="S1589" s="336"/>
      <c r="T1589" s="62" ph="1"/>
      <c r="V1589" s="232"/>
      <c r="W1589" s="269"/>
      <c r="X1589" s="201"/>
      <c r="Y1589" s="269"/>
      <c r="Z1589" s="269"/>
      <c r="AA1589" s="269"/>
      <c r="AB1589" s="269"/>
      <c r="AC1589" s="269"/>
      <c r="AD1589" s="269"/>
      <c r="AE1589" s="269"/>
    </row>
    <row r="1590" spans="1:31" ht="26.25">
      <c r="A1590" s="269"/>
      <c r="B1590" s="269"/>
      <c r="C1590" s="269"/>
      <c r="D1590" s="269"/>
      <c r="E1590" s="269"/>
      <c r="F1590" s="269"/>
      <c r="G1590" s="269"/>
      <c r="H1590" s="269"/>
      <c r="I1590" s="269"/>
      <c r="J1590" s="334"/>
      <c r="K1590" s="334"/>
      <c r="L1590" s="334"/>
      <c r="M1590" s="328"/>
      <c r="N1590" s="328"/>
      <c r="O1590" s="386"/>
      <c r="P1590" s="356"/>
      <c r="Q1590" s="380"/>
      <c r="S1590" s="336"/>
      <c r="T1590" s="62" ph="1"/>
      <c r="V1590" s="232"/>
      <c r="W1590" s="269"/>
      <c r="X1590" s="201"/>
      <c r="Y1590" s="269"/>
      <c r="Z1590" s="269"/>
      <c r="AA1590" s="269"/>
      <c r="AB1590" s="269"/>
      <c r="AC1590" s="269"/>
      <c r="AD1590" s="269"/>
      <c r="AE1590" s="269"/>
    </row>
    <row r="1591" spans="1:31" ht="26.25">
      <c r="A1591" s="269"/>
      <c r="B1591" s="269"/>
      <c r="C1591" s="269"/>
      <c r="D1591" s="269"/>
      <c r="E1591" s="269"/>
      <c r="F1591" s="269"/>
      <c r="G1591" s="269"/>
      <c r="H1591" s="269"/>
      <c r="I1591" s="269"/>
      <c r="J1591" s="334"/>
      <c r="K1591" s="334"/>
      <c r="L1591" s="334"/>
      <c r="M1591" s="328"/>
      <c r="N1591" s="328"/>
      <c r="O1591" s="386"/>
      <c r="P1591" s="356"/>
      <c r="Q1591" s="380"/>
      <c r="S1591" s="336"/>
      <c r="T1591" s="62" ph="1"/>
      <c r="V1591" s="232"/>
      <c r="W1591" s="269"/>
      <c r="X1591" s="201"/>
      <c r="Y1591" s="269"/>
      <c r="Z1591" s="269"/>
      <c r="AA1591" s="269"/>
      <c r="AB1591" s="269"/>
      <c r="AC1591" s="269"/>
      <c r="AD1591" s="269"/>
      <c r="AE1591" s="269"/>
    </row>
    <row r="1592" spans="1:31" ht="26.25">
      <c r="A1592" s="269"/>
      <c r="B1592" s="269"/>
      <c r="C1592" s="269"/>
      <c r="D1592" s="269"/>
      <c r="E1592" s="269"/>
      <c r="F1592" s="269"/>
      <c r="G1592" s="269"/>
      <c r="H1592" s="269"/>
      <c r="I1592" s="269"/>
      <c r="J1592" s="334"/>
      <c r="K1592" s="334"/>
      <c r="L1592" s="334"/>
      <c r="M1592" s="328"/>
      <c r="N1592" s="328"/>
      <c r="O1592" s="386"/>
      <c r="P1592" s="356"/>
      <c r="Q1592" s="380"/>
      <c r="S1592" s="336"/>
      <c r="T1592" s="62" ph="1"/>
      <c r="V1592" s="232"/>
      <c r="W1592" s="269"/>
      <c r="X1592" s="201"/>
      <c r="Y1592" s="269"/>
      <c r="Z1592" s="269"/>
      <c r="AA1592" s="269"/>
      <c r="AB1592" s="269"/>
      <c r="AC1592" s="269"/>
      <c r="AD1592" s="269"/>
      <c r="AE1592" s="269"/>
    </row>
    <row r="1593" spans="1:31" ht="26.25">
      <c r="A1593" s="269"/>
      <c r="B1593" s="269"/>
      <c r="C1593" s="269"/>
      <c r="D1593" s="269"/>
      <c r="E1593" s="269"/>
      <c r="F1593" s="269"/>
      <c r="G1593" s="269"/>
      <c r="H1593" s="269"/>
      <c r="I1593" s="269"/>
      <c r="J1593" s="334"/>
      <c r="K1593" s="334"/>
      <c r="L1593" s="334"/>
      <c r="M1593" s="328"/>
      <c r="N1593" s="328"/>
      <c r="O1593" s="386"/>
      <c r="P1593" s="356"/>
      <c r="Q1593" s="380"/>
      <c r="S1593" s="336"/>
      <c r="T1593" s="62" ph="1"/>
      <c r="V1593" s="232"/>
      <c r="W1593" s="269"/>
      <c r="X1593" s="201"/>
      <c r="Y1593" s="269"/>
      <c r="Z1593" s="269"/>
      <c r="AA1593" s="269"/>
      <c r="AB1593" s="269"/>
      <c r="AC1593" s="269"/>
      <c r="AD1593" s="269"/>
      <c r="AE1593" s="269"/>
    </row>
    <row r="1594" spans="1:31" ht="26.25">
      <c r="A1594" s="269"/>
      <c r="B1594" s="269"/>
      <c r="C1594" s="269"/>
      <c r="D1594" s="269"/>
      <c r="E1594" s="269"/>
      <c r="F1594" s="269"/>
      <c r="G1594" s="269"/>
      <c r="H1594" s="269"/>
      <c r="I1594" s="269"/>
      <c r="J1594" s="334"/>
      <c r="K1594" s="334"/>
      <c r="L1594" s="334"/>
      <c r="M1594" s="328"/>
      <c r="N1594" s="328"/>
      <c r="O1594" s="386"/>
      <c r="P1594" s="356"/>
      <c r="Q1594" s="380"/>
      <c r="S1594" s="336"/>
      <c r="T1594" s="62" ph="1"/>
      <c r="V1594" s="232"/>
      <c r="W1594" s="269"/>
      <c r="X1594" s="201"/>
      <c r="Y1594" s="269"/>
      <c r="Z1594" s="269"/>
      <c r="AA1594" s="269"/>
      <c r="AB1594" s="269"/>
      <c r="AC1594" s="269"/>
      <c r="AD1594" s="269"/>
      <c r="AE1594" s="269"/>
    </row>
    <row r="1595" spans="1:31" ht="26.25">
      <c r="A1595" s="269"/>
      <c r="B1595" s="269"/>
      <c r="C1595" s="269"/>
      <c r="D1595" s="269"/>
      <c r="E1595" s="269"/>
      <c r="F1595" s="269"/>
      <c r="G1595" s="269"/>
      <c r="H1595" s="269"/>
      <c r="I1595" s="269"/>
      <c r="J1595" s="334"/>
      <c r="K1595" s="334"/>
      <c r="L1595" s="334"/>
      <c r="M1595" s="328"/>
      <c r="N1595" s="328"/>
      <c r="O1595" s="386"/>
      <c r="P1595" s="356"/>
      <c r="Q1595" s="380"/>
      <c r="S1595" s="336"/>
      <c r="T1595" s="62" ph="1"/>
      <c r="V1595" s="232"/>
      <c r="W1595" s="269"/>
      <c r="X1595" s="201"/>
      <c r="Y1595" s="269"/>
      <c r="Z1595" s="269"/>
      <c r="AA1595" s="269"/>
      <c r="AB1595" s="269"/>
      <c r="AC1595" s="269"/>
      <c r="AD1595" s="269"/>
      <c r="AE1595" s="269"/>
    </row>
    <row r="1596" spans="1:31" ht="26.25">
      <c r="A1596" s="269"/>
      <c r="B1596" s="269"/>
      <c r="C1596" s="269"/>
      <c r="D1596" s="269"/>
      <c r="E1596" s="269"/>
      <c r="F1596" s="269"/>
      <c r="G1596" s="269"/>
      <c r="H1596" s="269"/>
      <c r="I1596" s="269"/>
      <c r="J1596" s="334"/>
      <c r="K1596" s="334"/>
      <c r="L1596" s="334"/>
      <c r="M1596" s="328"/>
      <c r="N1596" s="328"/>
      <c r="O1596" s="386"/>
      <c r="P1596" s="356"/>
      <c r="Q1596" s="380"/>
      <c r="S1596" s="336"/>
      <c r="T1596" s="62" ph="1"/>
      <c r="V1596" s="232"/>
      <c r="W1596" s="269"/>
      <c r="X1596" s="201"/>
      <c r="Y1596" s="269"/>
      <c r="Z1596" s="269"/>
      <c r="AA1596" s="269"/>
      <c r="AB1596" s="269"/>
      <c r="AC1596" s="269"/>
      <c r="AD1596" s="269"/>
      <c r="AE1596" s="269"/>
    </row>
    <row r="1597" spans="1:31" ht="26.25">
      <c r="A1597" s="269"/>
      <c r="B1597" s="269"/>
      <c r="C1597" s="269"/>
      <c r="D1597" s="269"/>
      <c r="E1597" s="269"/>
      <c r="F1597" s="269"/>
      <c r="G1597" s="269"/>
      <c r="H1597" s="269"/>
      <c r="I1597" s="269"/>
      <c r="J1597" s="334"/>
      <c r="K1597" s="334"/>
      <c r="L1597" s="334"/>
      <c r="M1597" s="328"/>
      <c r="N1597" s="328"/>
      <c r="O1597" s="386"/>
      <c r="P1597" s="356"/>
      <c r="Q1597" s="380"/>
      <c r="S1597" s="336"/>
      <c r="T1597" s="62" ph="1"/>
      <c r="V1597" s="232"/>
      <c r="W1597" s="269"/>
      <c r="X1597" s="201"/>
      <c r="Y1597" s="269"/>
      <c r="Z1597" s="269"/>
      <c r="AA1597" s="269"/>
      <c r="AB1597" s="269"/>
      <c r="AC1597" s="269"/>
      <c r="AD1597" s="269"/>
      <c r="AE1597" s="269"/>
    </row>
    <row r="1598" spans="1:31" ht="26.25">
      <c r="A1598" s="269"/>
      <c r="B1598" s="269"/>
      <c r="C1598" s="269"/>
      <c r="D1598" s="269"/>
      <c r="E1598" s="269"/>
      <c r="F1598" s="269"/>
      <c r="G1598" s="269"/>
      <c r="H1598" s="269"/>
      <c r="I1598" s="269"/>
      <c r="J1598" s="334"/>
      <c r="K1598" s="334"/>
      <c r="L1598" s="334"/>
      <c r="M1598" s="328"/>
      <c r="N1598" s="328"/>
      <c r="O1598" s="386"/>
      <c r="P1598" s="356"/>
      <c r="Q1598" s="380"/>
      <c r="S1598" s="336"/>
      <c r="T1598" s="62" ph="1"/>
      <c r="V1598" s="232"/>
      <c r="W1598" s="269"/>
      <c r="X1598" s="201"/>
      <c r="Y1598" s="269"/>
      <c r="Z1598" s="269"/>
      <c r="AA1598" s="269"/>
      <c r="AB1598" s="269"/>
      <c r="AC1598" s="269"/>
      <c r="AD1598" s="269"/>
      <c r="AE1598" s="269"/>
    </row>
    <row r="1599" spans="1:31" ht="26.25">
      <c r="A1599" s="269"/>
      <c r="B1599" s="269"/>
      <c r="C1599" s="269"/>
      <c r="D1599" s="269"/>
      <c r="E1599" s="269"/>
      <c r="F1599" s="269"/>
      <c r="G1599" s="269"/>
      <c r="H1599" s="269"/>
      <c r="I1599" s="269"/>
      <c r="J1599" s="334"/>
      <c r="K1599" s="334"/>
      <c r="L1599" s="334"/>
      <c r="M1599" s="328"/>
      <c r="N1599" s="328"/>
      <c r="O1599" s="386"/>
      <c r="P1599" s="356"/>
      <c r="Q1599" s="380"/>
      <c r="S1599" s="336"/>
      <c r="T1599" s="62" ph="1"/>
      <c r="V1599" s="232"/>
      <c r="W1599" s="269"/>
      <c r="X1599" s="201"/>
      <c r="Y1599" s="269"/>
      <c r="Z1599" s="269"/>
      <c r="AA1599" s="269"/>
      <c r="AB1599" s="269"/>
      <c r="AC1599" s="269"/>
      <c r="AD1599" s="269"/>
      <c r="AE1599" s="269"/>
    </row>
    <row r="1600" spans="1:31" ht="26.25">
      <c r="A1600" s="269"/>
      <c r="B1600" s="269"/>
      <c r="C1600" s="269"/>
      <c r="D1600" s="269"/>
      <c r="E1600" s="269"/>
      <c r="F1600" s="269"/>
      <c r="G1600" s="269"/>
      <c r="H1600" s="269"/>
      <c r="I1600" s="269"/>
      <c r="J1600" s="334"/>
      <c r="K1600" s="334"/>
      <c r="L1600" s="334"/>
      <c r="M1600" s="328"/>
      <c r="N1600" s="328"/>
      <c r="O1600" s="386"/>
      <c r="P1600" s="356"/>
      <c r="Q1600" s="380"/>
      <c r="S1600" s="336"/>
      <c r="T1600" s="62" ph="1"/>
      <c r="V1600" s="232"/>
      <c r="W1600" s="269"/>
      <c r="X1600" s="201"/>
      <c r="Y1600" s="269"/>
      <c r="Z1600" s="269"/>
      <c r="AA1600" s="269"/>
      <c r="AB1600" s="269"/>
      <c r="AC1600" s="269"/>
      <c r="AD1600" s="269"/>
      <c r="AE1600" s="269"/>
    </row>
    <row r="1601" spans="1:31" ht="26.25">
      <c r="A1601" s="269"/>
      <c r="B1601" s="269"/>
      <c r="C1601" s="269"/>
      <c r="D1601" s="269"/>
      <c r="E1601" s="269"/>
      <c r="F1601" s="269"/>
      <c r="G1601" s="269"/>
      <c r="H1601" s="269"/>
      <c r="I1601" s="269"/>
      <c r="J1601" s="334"/>
      <c r="K1601" s="334"/>
      <c r="L1601" s="334"/>
      <c r="M1601" s="328"/>
      <c r="N1601" s="328"/>
      <c r="O1601" s="386"/>
      <c r="P1601" s="356"/>
      <c r="Q1601" s="380"/>
      <c r="S1601" s="336"/>
      <c r="T1601" s="62" ph="1"/>
      <c r="V1601" s="232"/>
      <c r="W1601" s="269"/>
      <c r="X1601" s="201"/>
      <c r="Y1601" s="269"/>
      <c r="Z1601" s="269"/>
      <c r="AA1601" s="269"/>
      <c r="AB1601" s="269"/>
      <c r="AC1601" s="269"/>
      <c r="AD1601" s="269"/>
      <c r="AE1601" s="269"/>
    </row>
    <row r="1602" spans="1:31" ht="26.25">
      <c r="A1602" s="269"/>
      <c r="B1602" s="269"/>
      <c r="C1602" s="269"/>
      <c r="D1602" s="269"/>
      <c r="E1602" s="269"/>
      <c r="F1602" s="269"/>
      <c r="G1602" s="269"/>
      <c r="H1602" s="269"/>
      <c r="I1602" s="269"/>
      <c r="J1602" s="334"/>
      <c r="K1602" s="334"/>
      <c r="L1602" s="334"/>
      <c r="M1602" s="328"/>
      <c r="N1602" s="328"/>
      <c r="O1602" s="386"/>
      <c r="P1602" s="356"/>
      <c r="Q1602" s="380"/>
      <c r="S1602" s="336"/>
      <c r="T1602" s="62" ph="1"/>
      <c r="V1602" s="232"/>
      <c r="W1602" s="269"/>
      <c r="X1602" s="201"/>
      <c r="Y1602" s="269"/>
      <c r="Z1602" s="269"/>
      <c r="AA1602" s="269"/>
      <c r="AB1602" s="269"/>
      <c r="AC1602" s="269"/>
      <c r="AD1602" s="269"/>
      <c r="AE1602" s="269"/>
    </row>
    <row r="1603" spans="1:31" ht="26.25">
      <c r="A1603" s="269"/>
      <c r="B1603" s="269"/>
      <c r="C1603" s="269"/>
      <c r="D1603" s="269"/>
      <c r="E1603" s="269"/>
      <c r="F1603" s="269"/>
      <c r="G1603" s="269"/>
      <c r="H1603" s="269"/>
      <c r="I1603" s="269"/>
      <c r="J1603" s="334"/>
      <c r="K1603" s="334"/>
      <c r="L1603" s="334"/>
      <c r="M1603" s="328"/>
      <c r="N1603" s="328"/>
      <c r="O1603" s="386"/>
      <c r="P1603" s="356"/>
      <c r="Q1603" s="380"/>
      <c r="S1603" s="336"/>
      <c r="T1603" s="62" ph="1"/>
      <c r="V1603" s="232"/>
      <c r="W1603" s="269"/>
      <c r="X1603" s="201"/>
      <c r="Y1603" s="269"/>
      <c r="Z1603" s="269"/>
      <c r="AA1603" s="269"/>
      <c r="AB1603" s="269"/>
      <c r="AC1603" s="269"/>
      <c r="AD1603" s="269"/>
      <c r="AE1603" s="269"/>
    </row>
    <row r="1604" spans="1:31" ht="26.25">
      <c r="A1604" s="269"/>
      <c r="B1604" s="269"/>
      <c r="C1604" s="269"/>
      <c r="D1604" s="269"/>
      <c r="E1604" s="269"/>
      <c r="F1604" s="269"/>
      <c r="G1604" s="269"/>
      <c r="H1604" s="269"/>
      <c r="I1604" s="269"/>
      <c r="J1604" s="334"/>
      <c r="K1604" s="334"/>
      <c r="L1604" s="334"/>
      <c r="M1604" s="328"/>
      <c r="N1604" s="328"/>
      <c r="O1604" s="386"/>
      <c r="P1604" s="356"/>
      <c r="Q1604" s="380"/>
      <c r="S1604" s="336"/>
      <c r="T1604" s="62" ph="1"/>
      <c r="V1604" s="232"/>
      <c r="W1604" s="269"/>
      <c r="X1604" s="201"/>
      <c r="Y1604" s="269"/>
      <c r="Z1604" s="269"/>
      <c r="AA1604" s="269"/>
      <c r="AB1604" s="269"/>
      <c r="AC1604" s="269"/>
      <c r="AD1604" s="269"/>
      <c r="AE1604" s="269"/>
    </row>
    <row r="1605" spans="1:31" ht="26.25">
      <c r="A1605" s="269"/>
      <c r="B1605" s="269"/>
      <c r="C1605" s="269"/>
      <c r="D1605" s="269"/>
      <c r="E1605" s="269"/>
      <c r="F1605" s="269"/>
      <c r="G1605" s="269"/>
      <c r="H1605" s="269"/>
      <c r="I1605" s="269"/>
      <c r="J1605" s="334"/>
      <c r="K1605" s="334"/>
      <c r="L1605" s="334"/>
      <c r="M1605" s="328"/>
      <c r="N1605" s="328"/>
      <c r="O1605" s="386"/>
      <c r="P1605" s="356"/>
      <c r="Q1605" s="380"/>
      <c r="S1605" s="336"/>
      <c r="T1605" s="62" ph="1"/>
      <c r="V1605" s="232"/>
      <c r="W1605" s="269"/>
      <c r="X1605" s="201"/>
      <c r="Y1605" s="269"/>
      <c r="Z1605" s="269"/>
      <c r="AA1605" s="269"/>
      <c r="AB1605" s="269"/>
      <c r="AC1605" s="269"/>
      <c r="AD1605" s="269"/>
      <c r="AE1605" s="269"/>
    </row>
    <row r="1606" spans="1:31" ht="26.25">
      <c r="A1606" s="269"/>
      <c r="B1606" s="269"/>
      <c r="C1606" s="269"/>
      <c r="D1606" s="269"/>
      <c r="E1606" s="269"/>
      <c r="F1606" s="269"/>
      <c r="G1606" s="269"/>
      <c r="H1606" s="269"/>
      <c r="I1606" s="269"/>
      <c r="J1606" s="334"/>
      <c r="K1606" s="334"/>
      <c r="L1606" s="334"/>
      <c r="M1606" s="328"/>
      <c r="N1606" s="328"/>
      <c r="O1606" s="386"/>
      <c r="P1606" s="356"/>
      <c r="Q1606" s="380"/>
      <c r="S1606" s="336"/>
      <c r="T1606" s="62" ph="1"/>
      <c r="V1606" s="232"/>
      <c r="W1606" s="269"/>
      <c r="X1606" s="201"/>
      <c r="Y1606" s="269"/>
      <c r="Z1606" s="269"/>
      <c r="AA1606" s="269"/>
      <c r="AB1606" s="269"/>
      <c r="AC1606" s="269"/>
      <c r="AD1606" s="269"/>
      <c r="AE1606" s="269"/>
    </row>
    <row r="1607" spans="1:31" ht="26.25">
      <c r="A1607" s="269"/>
      <c r="B1607" s="269"/>
      <c r="C1607" s="269"/>
      <c r="D1607" s="269"/>
      <c r="E1607" s="269"/>
      <c r="F1607" s="269"/>
      <c r="G1607" s="269"/>
      <c r="H1607" s="269"/>
      <c r="I1607" s="269"/>
      <c r="J1607" s="334"/>
      <c r="K1607" s="334"/>
      <c r="L1607" s="334"/>
      <c r="M1607" s="328"/>
      <c r="N1607" s="328"/>
      <c r="O1607" s="386"/>
      <c r="P1607" s="356"/>
      <c r="Q1607" s="380"/>
      <c r="S1607" s="336"/>
      <c r="T1607" s="62" ph="1"/>
      <c r="V1607" s="232"/>
      <c r="W1607" s="269"/>
      <c r="X1607" s="201"/>
      <c r="Y1607" s="269"/>
      <c r="Z1607" s="269"/>
      <c r="AA1607" s="269"/>
      <c r="AB1607" s="269"/>
      <c r="AC1607" s="269"/>
      <c r="AD1607" s="269"/>
      <c r="AE1607" s="269"/>
    </row>
    <row r="1608" spans="1:31" ht="26.25">
      <c r="A1608" s="269"/>
      <c r="B1608" s="269"/>
      <c r="C1608" s="269"/>
      <c r="D1608" s="269"/>
      <c r="E1608" s="269"/>
      <c r="F1608" s="269"/>
      <c r="G1608" s="269"/>
      <c r="H1608" s="269"/>
      <c r="I1608" s="269"/>
      <c r="J1608" s="334"/>
      <c r="K1608" s="334"/>
      <c r="L1608" s="334"/>
      <c r="M1608" s="328"/>
      <c r="N1608" s="328"/>
      <c r="O1608" s="386"/>
      <c r="P1608" s="356"/>
      <c r="Q1608" s="380"/>
      <c r="S1608" s="336"/>
      <c r="T1608" s="62" ph="1"/>
      <c r="V1608" s="232"/>
      <c r="W1608" s="269"/>
      <c r="X1608" s="201"/>
      <c r="Y1608" s="269"/>
      <c r="Z1608" s="269"/>
      <c r="AA1608" s="269"/>
      <c r="AB1608" s="269"/>
      <c r="AC1608" s="269"/>
      <c r="AD1608" s="269"/>
      <c r="AE1608" s="269"/>
    </row>
    <row r="1609" spans="1:31" ht="26.25">
      <c r="A1609" s="269"/>
      <c r="B1609" s="269"/>
      <c r="C1609" s="269"/>
      <c r="D1609" s="269"/>
      <c r="E1609" s="269"/>
      <c r="F1609" s="269"/>
      <c r="G1609" s="269"/>
      <c r="H1609" s="269"/>
      <c r="I1609" s="269"/>
      <c r="J1609" s="334"/>
      <c r="K1609" s="334"/>
      <c r="L1609" s="334"/>
      <c r="M1609" s="328"/>
      <c r="N1609" s="328"/>
      <c r="O1609" s="386"/>
      <c r="P1609" s="356"/>
      <c r="Q1609" s="380"/>
      <c r="S1609" s="336"/>
      <c r="T1609" s="62" ph="1"/>
      <c r="V1609" s="232"/>
      <c r="W1609" s="269"/>
      <c r="X1609" s="201"/>
      <c r="Y1609" s="269"/>
      <c r="Z1609" s="269"/>
      <c r="AA1609" s="269"/>
      <c r="AB1609" s="269"/>
      <c r="AC1609" s="269"/>
      <c r="AD1609" s="269"/>
      <c r="AE1609" s="269"/>
    </row>
    <row r="1610" spans="1:31" ht="26.25">
      <c r="A1610" s="269"/>
      <c r="B1610" s="269"/>
      <c r="C1610" s="269"/>
      <c r="D1610" s="269"/>
      <c r="E1610" s="269"/>
      <c r="F1610" s="269"/>
      <c r="G1610" s="269"/>
      <c r="H1610" s="269"/>
      <c r="I1610" s="269"/>
      <c r="J1610" s="334"/>
      <c r="K1610" s="334"/>
      <c r="L1610" s="334"/>
      <c r="M1610" s="328"/>
      <c r="N1610" s="328"/>
      <c r="O1610" s="386"/>
      <c r="P1610" s="356"/>
      <c r="Q1610" s="380"/>
      <c r="S1610" s="336"/>
      <c r="T1610" s="62" ph="1"/>
      <c r="V1610" s="232"/>
      <c r="W1610" s="269"/>
      <c r="X1610" s="201"/>
      <c r="Y1610" s="269"/>
      <c r="Z1610" s="269"/>
      <c r="AA1610" s="269"/>
      <c r="AB1610" s="269"/>
      <c r="AC1610" s="269"/>
      <c r="AD1610" s="269"/>
      <c r="AE1610" s="269"/>
    </row>
    <row r="1611" spans="1:31" ht="26.25">
      <c r="A1611" s="269"/>
      <c r="B1611" s="269"/>
      <c r="C1611" s="269"/>
      <c r="D1611" s="269"/>
      <c r="E1611" s="269"/>
      <c r="F1611" s="269"/>
      <c r="G1611" s="269"/>
      <c r="H1611" s="269"/>
      <c r="I1611" s="269"/>
      <c r="J1611" s="334"/>
      <c r="K1611" s="334"/>
      <c r="L1611" s="334"/>
      <c r="M1611" s="328"/>
      <c r="N1611" s="328"/>
      <c r="O1611" s="386"/>
      <c r="P1611" s="356"/>
      <c r="Q1611" s="380"/>
      <c r="S1611" s="336"/>
      <c r="T1611" s="62" ph="1"/>
      <c r="V1611" s="232"/>
      <c r="W1611" s="269"/>
      <c r="X1611" s="201"/>
      <c r="Y1611" s="269"/>
      <c r="Z1611" s="269"/>
      <c r="AA1611" s="269"/>
      <c r="AB1611" s="269"/>
      <c r="AC1611" s="269"/>
      <c r="AD1611" s="269"/>
      <c r="AE1611" s="269"/>
    </row>
    <row r="1612" spans="1:31" ht="26.25">
      <c r="A1612" s="269"/>
      <c r="B1612" s="269"/>
      <c r="C1612" s="269"/>
      <c r="D1612" s="269"/>
      <c r="E1612" s="269"/>
      <c r="F1612" s="269"/>
      <c r="G1612" s="269"/>
      <c r="H1612" s="269"/>
      <c r="I1612" s="269"/>
      <c r="J1612" s="334"/>
      <c r="K1612" s="334"/>
      <c r="L1612" s="334"/>
      <c r="M1612" s="328"/>
      <c r="N1612" s="328"/>
      <c r="O1612" s="386"/>
      <c r="P1612" s="356"/>
      <c r="Q1612" s="380"/>
      <c r="S1612" s="336"/>
      <c r="T1612" s="62" ph="1"/>
      <c r="V1612" s="232"/>
      <c r="W1612" s="269"/>
      <c r="X1612" s="201"/>
      <c r="Y1612" s="269"/>
      <c r="Z1612" s="269"/>
      <c r="AA1612" s="269"/>
      <c r="AB1612" s="269"/>
      <c r="AC1612" s="269"/>
      <c r="AD1612" s="269"/>
      <c r="AE1612" s="269"/>
    </row>
    <row r="1613" spans="1:31" ht="26.25">
      <c r="A1613" s="269"/>
      <c r="B1613" s="269"/>
      <c r="C1613" s="269"/>
      <c r="D1613" s="269"/>
      <c r="E1613" s="269"/>
      <c r="F1613" s="269"/>
      <c r="G1613" s="269"/>
      <c r="H1613" s="269"/>
      <c r="I1613" s="269"/>
      <c r="J1613" s="334"/>
      <c r="K1613" s="334"/>
      <c r="L1613" s="334"/>
      <c r="M1613" s="328"/>
      <c r="N1613" s="328"/>
      <c r="O1613" s="386"/>
      <c r="P1613" s="356"/>
      <c r="Q1613" s="380"/>
      <c r="S1613" s="336"/>
      <c r="T1613" s="62" ph="1"/>
      <c r="V1613" s="232"/>
      <c r="W1613" s="269"/>
      <c r="X1613" s="201"/>
      <c r="Y1613" s="269"/>
      <c r="Z1613" s="269"/>
      <c r="AA1613" s="269"/>
      <c r="AB1613" s="269"/>
      <c r="AC1613" s="269"/>
      <c r="AD1613" s="269"/>
      <c r="AE1613" s="269"/>
    </row>
    <row r="1614" spans="1:31" ht="26.25">
      <c r="A1614" s="269"/>
      <c r="B1614" s="269"/>
      <c r="C1614" s="269"/>
      <c r="D1614" s="269"/>
      <c r="E1614" s="269"/>
      <c r="F1614" s="269"/>
      <c r="G1614" s="269"/>
      <c r="H1614" s="269"/>
      <c r="I1614" s="269"/>
      <c r="J1614" s="334"/>
      <c r="K1614" s="334"/>
      <c r="L1614" s="334"/>
      <c r="M1614" s="328"/>
      <c r="N1614" s="328"/>
      <c r="O1614" s="386"/>
      <c r="P1614" s="356"/>
      <c r="Q1614" s="380"/>
      <c r="S1614" s="336"/>
      <c r="T1614" s="62" ph="1"/>
      <c r="V1614" s="232"/>
      <c r="W1614" s="269"/>
      <c r="X1614" s="201"/>
      <c r="Y1614" s="269"/>
      <c r="Z1614" s="269"/>
      <c r="AA1614" s="269"/>
      <c r="AB1614" s="269"/>
      <c r="AC1614" s="269"/>
      <c r="AD1614" s="269"/>
      <c r="AE1614" s="269"/>
    </row>
    <row r="1615" spans="1:31" ht="26.25">
      <c r="A1615" s="269"/>
      <c r="B1615" s="269"/>
      <c r="C1615" s="269"/>
      <c r="D1615" s="269"/>
      <c r="E1615" s="269"/>
      <c r="F1615" s="269"/>
      <c r="G1615" s="269"/>
      <c r="H1615" s="269"/>
      <c r="I1615" s="269"/>
      <c r="J1615" s="334"/>
      <c r="K1615" s="334"/>
      <c r="L1615" s="334"/>
      <c r="M1615" s="328"/>
      <c r="N1615" s="328"/>
      <c r="O1615" s="386"/>
      <c r="P1615" s="356"/>
      <c r="Q1615" s="380"/>
      <c r="S1615" s="336"/>
      <c r="T1615" s="62" ph="1"/>
      <c r="V1615" s="232"/>
      <c r="W1615" s="269"/>
      <c r="X1615" s="201"/>
      <c r="Y1615" s="269"/>
      <c r="Z1615" s="269"/>
      <c r="AA1615" s="269"/>
      <c r="AB1615" s="269"/>
      <c r="AC1615" s="269"/>
      <c r="AD1615" s="269"/>
      <c r="AE1615" s="269"/>
    </row>
    <row r="1616" spans="1:31" ht="26.25">
      <c r="A1616" s="269"/>
      <c r="B1616" s="269"/>
      <c r="C1616" s="269"/>
      <c r="D1616" s="269"/>
      <c r="E1616" s="269"/>
      <c r="F1616" s="269"/>
      <c r="G1616" s="269"/>
      <c r="H1616" s="269"/>
      <c r="I1616" s="269"/>
      <c r="J1616" s="334"/>
      <c r="K1616" s="334"/>
      <c r="L1616" s="334"/>
      <c r="M1616" s="328"/>
      <c r="N1616" s="328"/>
      <c r="O1616" s="386"/>
      <c r="P1616" s="356"/>
      <c r="Q1616" s="380"/>
      <c r="S1616" s="336"/>
      <c r="T1616" s="62" ph="1"/>
      <c r="V1616" s="232"/>
      <c r="W1616" s="269"/>
      <c r="X1616" s="201"/>
      <c r="Y1616" s="269"/>
      <c r="Z1616" s="269"/>
      <c r="AA1616" s="269"/>
      <c r="AB1616" s="269"/>
      <c r="AC1616" s="269"/>
      <c r="AD1616" s="269"/>
      <c r="AE1616" s="269"/>
    </row>
    <row r="1617" spans="1:31" ht="26.25">
      <c r="A1617" s="269"/>
      <c r="B1617" s="269"/>
      <c r="C1617" s="269"/>
      <c r="D1617" s="269"/>
      <c r="E1617" s="269"/>
      <c r="F1617" s="269"/>
      <c r="G1617" s="269"/>
      <c r="H1617" s="269"/>
      <c r="I1617" s="269"/>
      <c r="J1617" s="334"/>
      <c r="K1617" s="334"/>
      <c r="L1617" s="334"/>
      <c r="M1617" s="328"/>
      <c r="N1617" s="328"/>
      <c r="O1617" s="386"/>
      <c r="P1617" s="356"/>
      <c r="Q1617" s="380"/>
      <c r="S1617" s="336"/>
      <c r="T1617" s="62" ph="1"/>
      <c r="V1617" s="232"/>
      <c r="W1617" s="269"/>
      <c r="X1617" s="201"/>
      <c r="Y1617" s="269"/>
      <c r="Z1617" s="269"/>
      <c r="AA1617" s="269"/>
      <c r="AB1617" s="269"/>
      <c r="AC1617" s="269"/>
      <c r="AD1617" s="269"/>
      <c r="AE1617" s="269"/>
    </row>
    <row r="1618" spans="1:31" ht="26.25">
      <c r="A1618" s="269"/>
      <c r="B1618" s="269"/>
      <c r="C1618" s="269"/>
      <c r="D1618" s="269"/>
      <c r="E1618" s="269"/>
      <c r="F1618" s="269"/>
      <c r="G1618" s="269"/>
      <c r="H1618" s="269"/>
      <c r="I1618" s="269"/>
      <c r="J1618" s="334"/>
      <c r="K1618" s="334"/>
      <c r="L1618" s="334"/>
      <c r="M1618" s="328"/>
      <c r="N1618" s="328"/>
      <c r="O1618" s="386"/>
      <c r="P1618" s="356"/>
      <c r="Q1618" s="380"/>
      <c r="S1618" s="336"/>
      <c r="T1618" s="62" ph="1"/>
      <c r="V1618" s="232"/>
      <c r="W1618" s="269"/>
      <c r="X1618" s="201"/>
      <c r="Y1618" s="269"/>
      <c r="Z1618" s="269"/>
      <c r="AA1618" s="269"/>
      <c r="AB1618" s="269"/>
      <c r="AC1618" s="269"/>
      <c r="AD1618" s="269"/>
      <c r="AE1618" s="269"/>
    </row>
    <row r="1619" spans="1:31" ht="26.25">
      <c r="A1619" s="269"/>
      <c r="B1619" s="269"/>
      <c r="C1619" s="269"/>
      <c r="D1619" s="269"/>
      <c r="E1619" s="269"/>
      <c r="F1619" s="269"/>
      <c r="G1619" s="269"/>
      <c r="H1619" s="269"/>
      <c r="I1619" s="269"/>
      <c r="J1619" s="334"/>
      <c r="K1619" s="334"/>
      <c r="L1619" s="334"/>
      <c r="M1619" s="328"/>
      <c r="N1619" s="328"/>
      <c r="O1619" s="386"/>
      <c r="P1619" s="356"/>
      <c r="Q1619" s="380"/>
      <c r="S1619" s="336"/>
      <c r="T1619" s="62" ph="1"/>
      <c r="V1619" s="232"/>
      <c r="W1619" s="269"/>
      <c r="X1619" s="201"/>
      <c r="Y1619" s="269"/>
      <c r="Z1619" s="269"/>
      <c r="AA1619" s="269"/>
      <c r="AB1619" s="269"/>
      <c r="AC1619" s="269"/>
      <c r="AD1619" s="269"/>
      <c r="AE1619" s="269"/>
    </row>
    <row r="1620" spans="1:31" ht="26.25">
      <c r="A1620" s="269"/>
      <c r="B1620" s="269"/>
      <c r="C1620" s="269"/>
      <c r="D1620" s="269"/>
      <c r="E1620" s="269"/>
      <c r="F1620" s="269"/>
      <c r="G1620" s="269"/>
      <c r="H1620" s="269"/>
      <c r="I1620" s="269"/>
      <c r="J1620" s="334"/>
      <c r="K1620" s="334"/>
      <c r="L1620" s="334"/>
      <c r="M1620" s="328"/>
      <c r="N1620" s="328"/>
      <c r="O1620" s="386"/>
      <c r="P1620" s="356"/>
      <c r="Q1620" s="380"/>
      <c r="S1620" s="336"/>
      <c r="T1620" s="62" ph="1"/>
      <c r="V1620" s="232"/>
      <c r="W1620" s="269"/>
      <c r="X1620" s="201"/>
      <c r="Y1620" s="269"/>
      <c r="Z1620" s="269"/>
      <c r="AA1620" s="269"/>
      <c r="AB1620" s="269"/>
      <c r="AC1620" s="269"/>
      <c r="AD1620" s="269"/>
      <c r="AE1620" s="269"/>
    </row>
    <row r="1621" spans="1:31" ht="26.25">
      <c r="A1621" s="269"/>
      <c r="B1621" s="269"/>
      <c r="C1621" s="269"/>
      <c r="D1621" s="269"/>
      <c r="E1621" s="269"/>
      <c r="F1621" s="269"/>
      <c r="G1621" s="269"/>
      <c r="H1621" s="269"/>
      <c r="I1621" s="269"/>
      <c r="J1621" s="334"/>
      <c r="K1621" s="334"/>
      <c r="L1621" s="334"/>
      <c r="M1621" s="328"/>
      <c r="N1621" s="328"/>
      <c r="O1621" s="386"/>
      <c r="P1621" s="356"/>
      <c r="Q1621" s="380"/>
      <c r="S1621" s="336"/>
      <c r="T1621" s="62" ph="1"/>
      <c r="V1621" s="232"/>
      <c r="W1621" s="269"/>
      <c r="X1621" s="201"/>
      <c r="Y1621" s="269"/>
      <c r="Z1621" s="269"/>
      <c r="AA1621" s="269"/>
      <c r="AB1621" s="269"/>
      <c r="AC1621" s="269"/>
      <c r="AD1621" s="269"/>
      <c r="AE1621" s="269"/>
    </row>
    <row r="1622" spans="1:31" ht="26.25">
      <c r="A1622" s="269"/>
      <c r="B1622" s="269"/>
      <c r="C1622" s="269"/>
      <c r="D1622" s="269"/>
      <c r="E1622" s="269"/>
      <c r="F1622" s="269"/>
      <c r="G1622" s="269"/>
      <c r="H1622" s="269"/>
      <c r="I1622" s="269"/>
      <c r="J1622" s="334"/>
      <c r="K1622" s="334"/>
      <c r="L1622" s="334"/>
      <c r="M1622" s="328"/>
      <c r="N1622" s="328"/>
      <c r="O1622" s="386"/>
      <c r="P1622" s="356"/>
      <c r="Q1622" s="380"/>
      <c r="S1622" s="336"/>
      <c r="T1622" s="62" ph="1"/>
      <c r="V1622" s="232"/>
      <c r="W1622" s="269"/>
      <c r="X1622" s="201"/>
      <c r="Y1622" s="269"/>
      <c r="Z1622" s="269"/>
      <c r="AA1622" s="269"/>
      <c r="AB1622" s="269"/>
      <c r="AC1622" s="269"/>
      <c r="AD1622" s="269"/>
      <c r="AE1622" s="269"/>
    </row>
    <row r="1623" spans="1:31" ht="26.25">
      <c r="A1623" s="269"/>
      <c r="B1623" s="269"/>
      <c r="C1623" s="269"/>
      <c r="D1623" s="269"/>
      <c r="E1623" s="269"/>
      <c r="F1623" s="269"/>
      <c r="G1623" s="269"/>
      <c r="H1623" s="269"/>
      <c r="I1623" s="269"/>
      <c r="J1623" s="334"/>
      <c r="K1623" s="334"/>
      <c r="L1623" s="334"/>
      <c r="M1623" s="328"/>
      <c r="N1623" s="328"/>
      <c r="O1623" s="386"/>
      <c r="P1623" s="356"/>
      <c r="Q1623" s="380"/>
      <c r="S1623" s="336"/>
      <c r="T1623" s="62" ph="1"/>
      <c r="V1623" s="232"/>
      <c r="W1623" s="269"/>
      <c r="X1623" s="201"/>
      <c r="Y1623" s="269"/>
      <c r="Z1623" s="269"/>
      <c r="AA1623" s="269"/>
      <c r="AB1623" s="269"/>
      <c r="AC1623" s="269"/>
      <c r="AD1623" s="269"/>
      <c r="AE1623" s="269"/>
    </row>
    <row r="1624" spans="1:31" ht="26.25">
      <c r="A1624" s="269"/>
      <c r="B1624" s="269"/>
      <c r="C1624" s="269"/>
      <c r="D1624" s="269"/>
      <c r="E1624" s="269"/>
      <c r="F1624" s="269"/>
      <c r="G1624" s="269"/>
      <c r="H1624" s="269"/>
      <c r="I1624" s="269"/>
      <c r="J1624" s="334"/>
      <c r="K1624" s="334"/>
      <c r="L1624" s="334"/>
      <c r="M1624" s="328"/>
      <c r="N1624" s="328"/>
      <c r="O1624" s="386"/>
      <c r="P1624" s="356"/>
      <c r="Q1624" s="380"/>
      <c r="S1624" s="336"/>
      <c r="T1624" s="62" ph="1"/>
      <c r="V1624" s="232"/>
      <c r="W1624" s="269"/>
      <c r="X1624" s="201"/>
      <c r="Y1624" s="269"/>
      <c r="Z1624" s="269"/>
      <c r="AA1624" s="269"/>
      <c r="AB1624" s="269"/>
      <c r="AC1624" s="269"/>
      <c r="AD1624" s="269"/>
      <c r="AE1624" s="269"/>
    </row>
    <row r="1625" spans="1:31" ht="26.25">
      <c r="A1625" s="269"/>
      <c r="B1625" s="269"/>
      <c r="C1625" s="269"/>
      <c r="D1625" s="269"/>
      <c r="E1625" s="269"/>
      <c r="F1625" s="269"/>
      <c r="G1625" s="269"/>
      <c r="H1625" s="269"/>
      <c r="I1625" s="269"/>
      <c r="J1625" s="334"/>
      <c r="K1625" s="334"/>
      <c r="L1625" s="334"/>
      <c r="M1625" s="328"/>
      <c r="N1625" s="328"/>
      <c r="O1625" s="386"/>
      <c r="P1625" s="356"/>
      <c r="Q1625" s="380"/>
      <c r="S1625" s="336"/>
      <c r="T1625" s="62" ph="1"/>
      <c r="V1625" s="232"/>
      <c r="W1625" s="269"/>
      <c r="X1625" s="201"/>
      <c r="Y1625" s="269"/>
      <c r="Z1625" s="269"/>
      <c r="AA1625" s="269"/>
      <c r="AB1625" s="269"/>
      <c r="AC1625" s="269"/>
      <c r="AD1625" s="269"/>
      <c r="AE1625" s="269"/>
    </row>
    <row r="1626" spans="1:31" ht="26.25">
      <c r="A1626" s="269"/>
      <c r="B1626" s="269"/>
      <c r="C1626" s="269"/>
      <c r="D1626" s="269"/>
      <c r="E1626" s="269"/>
      <c r="F1626" s="269"/>
      <c r="G1626" s="269"/>
      <c r="H1626" s="269"/>
      <c r="I1626" s="269"/>
      <c r="J1626" s="334"/>
      <c r="K1626" s="334"/>
      <c r="L1626" s="334"/>
      <c r="M1626" s="328"/>
      <c r="N1626" s="328"/>
      <c r="O1626" s="386"/>
      <c r="P1626" s="356"/>
      <c r="Q1626" s="380"/>
      <c r="S1626" s="336"/>
      <c r="T1626" s="62" ph="1"/>
      <c r="V1626" s="232"/>
      <c r="W1626" s="269"/>
      <c r="X1626" s="201"/>
      <c r="Y1626" s="269"/>
      <c r="Z1626" s="269"/>
      <c r="AA1626" s="269"/>
      <c r="AB1626" s="269"/>
      <c r="AC1626" s="269"/>
      <c r="AD1626" s="269"/>
      <c r="AE1626" s="269"/>
    </row>
    <row r="1627" spans="1:31" ht="26.25">
      <c r="A1627" s="269"/>
      <c r="B1627" s="269"/>
      <c r="C1627" s="269"/>
      <c r="D1627" s="269"/>
      <c r="E1627" s="269"/>
      <c r="F1627" s="269"/>
      <c r="G1627" s="269"/>
      <c r="H1627" s="269"/>
      <c r="I1627" s="269"/>
      <c r="J1627" s="334"/>
      <c r="K1627" s="334"/>
      <c r="L1627" s="334"/>
      <c r="M1627" s="328"/>
      <c r="N1627" s="328"/>
      <c r="O1627" s="386"/>
      <c r="P1627" s="356"/>
      <c r="Q1627" s="380"/>
      <c r="S1627" s="336"/>
      <c r="T1627" s="62" ph="1"/>
      <c r="V1627" s="232"/>
      <c r="W1627" s="269"/>
      <c r="X1627" s="201"/>
      <c r="Y1627" s="269"/>
      <c r="Z1627" s="269"/>
      <c r="AA1627" s="269"/>
      <c r="AB1627" s="269"/>
      <c r="AC1627" s="269"/>
      <c r="AD1627" s="269"/>
      <c r="AE1627" s="269"/>
    </row>
    <row r="1628" spans="1:31" ht="26.25">
      <c r="A1628" s="269"/>
      <c r="B1628" s="269"/>
      <c r="C1628" s="269"/>
      <c r="D1628" s="269"/>
      <c r="E1628" s="269"/>
      <c r="F1628" s="269"/>
      <c r="G1628" s="269"/>
      <c r="H1628" s="269"/>
      <c r="I1628" s="269"/>
      <c r="J1628" s="334"/>
      <c r="K1628" s="334"/>
      <c r="L1628" s="334"/>
      <c r="M1628" s="328"/>
      <c r="N1628" s="328"/>
      <c r="O1628" s="386"/>
      <c r="P1628" s="356"/>
      <c r="Q1628" s="380"/>
      <c r="S1628" s="336"/>
      <c r="T1628" s="62" ph="1"/>
      <c r="V1628" s="232"/>
      <c r="W1628" s="269"/>
      <c r="X1628" s="201"/>
      <c r="Y1628" s="269"/>
      <c r="Z1628" s="269"/>
      <c r="AA1628" s="269"/>
      <c r="AB1628" s="269"/>
      <c r="AC1628" s="269"/>
      <c r="AD1628" s="269"/>
      <c r="AE1628" s="269"/>
    </row>
    <row r="1629" spans="1:31" ht="26.25">
      <c r="A1629" s="269"/>
      <c r="B1629" s="269"/>
      <c r="C1629" s="269"/>
      <c r="D1629" s="269"/>
      <c r="E1629" s="269"/>
      <c r="F1629" s="269"/>
      <c r="G1629" s="269"/>
      <c r="H1629" s="269"/>
      <c r="I1629" s="269"/>
      <c r="J1629" s="334"/>
      <c r="K1629" s="334"/>
      <c r="L1629" s="334"/>
      <c r="M1629" s="328"/>
      <c r="N1629" s="328"/>
      <c r="O1629" s="386"/>
      <c r="P1629" s="356"/>
      <c r="Q1629" s="380"/>
      <c r="S1629" s="336"/>
      <c r="T1629" s="62" ph="1"/>
      <c r="V1629" s="232"/>
      <c r="W1629" s="269"/>
      <c r="X1629" s="201"/>
      <c r="Y1629" s="269"/>
      <c r="Z1629" s="269"/>
      <c r="AA1629" s="269"/>
      <c r="AB1629" s="269"/>
      <c r="AC1629" s="269"/>
      <c r="AD1629" s="269"/>
      <c r="AE1629" s="269"/>
    </row>
    <row r="1630" spans="1:31" ht="26.25">
      <c r="A1630" s="269"/>
      <c r="B1630" s="269"/>
      <c r="C1630" s="269"/>
      <c r="D1630" s="269"/>
      <c r="E1630" s="269"/>
      <c r="F1630" s="269"/>
      <c r="G1630" s="269"/>
      <c r="H1630" s="269"/>
      <c r="I1630" s="269"/>
      <c r="J1630" s="334"/>
      <c r="K1630" s="334"/>
      <c r="L1630" s="334"/>
      <c r="M1630" s="328"/>
      <c r="N1630" s="328"/>
      <c r="O1630" s="386"/>
      <c r="P1630" s="356"/>
      <c r="Q1630" s="380"/>
      <c r="S1630" s="336"/>
      <c r="T1630" s="62" ph="1"/>
      <c r="V1630" s="232"/>
      <c r="W1630" s="269"/>
      <c r="X1630" s="201"/>
      <c r="Y1630" s="269"/>
      <c r="Z1630" s="269"/>
      <c r="AA1630" s="269"/>
      <c r="AB1630" s="269"/>
      <c r="AC1630" s="269"/>
      <c r="AD1630" s="269"/>
      <c r="AE1630" s="269"/>
    </row>
    <row r="1631" spans="1:31" ht="26.25">
      <c r="A1631" s="269"/>
      <c r="B1631" s="269"/>
      <c r="C1631" s="269"/>
      <c r="D1631" s="269"/>
      <c r="E1631" s="269"/>
      <c r="F1631" s="269"/>
      <c r="G1631" s="269"/>
      <c r="H1631" s="269"/>
      <c r="I1631" s="269"/>
      <c r="J1631" s="334"/>
      <c r="K1631" s="334"/>
      <c r="L1631" s="334"/>
      <c r="M1631" s="328"/>
      <c r="N1631" s="328"/>
      <c r="O1631" s="386"/>
      <c r="P1631" s="356"/>
      <c r="Q1631" s="380"/>
      <c r="S1631" s="336"/>
      <c r="T1631" s="62" ph="1"/>
      <c r="V1631" s="232"/>
      <c r="W1631" s="269"/>
      <c r="X1631" s="201"/>
      <c r="Y1631" s="269"/>
      <c r="Z1631" s="269"/>
      <c r="AA1631" s="269"/>
      <c r="AB1631" s="269"/>
      <c r="AC1631" s="269"/>
      <c r="AD1631" s="269"/>
      <c r="AE1631" s="269"/>
    </row>
    <row r="1632" spans="1:31" ht="26.25">
      <c r="A1632" s="269"/>
      <c r="B1632" s="269"/>
      <c r="C1632" s="269"/>
      <c r="D1632" s="269"/>
      <c r="E1632" s="269"/>
      <c r="F1632" s="269"/>
      <c r="G1632" s="269"/>
      <c r="H1632" s="269"/>
      <c r="I1632" s="269"/>
      <c r="J1632" s="334"/>
      <c r="K1632" s="334"/>
      <c r="L1632" s="334"/>
      <c r="M1632" s="328"/>
      <c r="N1632" s="328"/>
      <c r="O1632" s="386"/>
      <c r="P1632" s="356"/>
      <c r="Q1632" s="380"/>
      <c r="S1632" s="336"/>
      <c r="T1632" s="62" ph="1"/>
      <c r="V1632" s="232"/>
      <c r="W1632" s="269"/>
      <c r="X1632" s="201"/>
      <c r="Y1632" s="269"/>
      <c r="Z1632" s="269"/>
      <c r="AA1632" s="269"/>
      <c r="AB1632" s="269"/>
      <c r="AC1632" s="269"/>
      <c r="AD1632" s="269"/>
      <c r="AE1632" s="269"/>
    </row>
    <row r="1633" spans="1:31" ht="26.25">
      <c r="A1633" s="269"/>
      <c r="B1633" s="269"/>
      <c r="C1633" s="269"/>
      <c r="D1633" s="269"/>
      <c r="E1633" s="269"/>
      <c r="F1633" s="269"/>
      <c r="G1633" s="269"/>
      <c r="H1633" s="269"/>
      <c r="I1633" s="269"/>
      <c r="J1633" s="334"/>
      <c r="K1633" s="334"/>
      <c r="L1633" s="334"/>
      <c r="M1633" s="328"/>
      <c r="N1633" s="328"/>
      <c r="O1633" s="386"/>
      <c r="P1633" s="356"/>
      <c r="Q1633" s="380"/>
      <c r="S1633" s="336"/>
      <c r="T1633" s="62" ph="1"/>
      <c r="V1633" s="232"/>
      <c r="W1633" s="269"/>
      <c r="X1633" s="201"/>
      <c r="Y1633" s="269"/>
      <c r="Z1633" s="269"/>
      <c r="AA1633" s="269"/>
      <c r="AB1633" s="269"/>
      <c r="AC1633" s="269"/>
      <c r="AD1633" s="269"/>
      <c r="AE1633" s="269"/>
    </row>
    <row r="1634" spans="1:31" ht="26.25">
      <c r="A1634" s="269"/>
      <c r="B1634" s="269"/>
      <c r="C1634" s="269"/>
      <c r="D1634" s="269"/>
      <c r="E1634" s="269"/>
      <c r="F1634" s="269"/>
      <c r="G1634" s="269"/>
      <c r="H1634" s="269"/>
      <c r="I1634" s="269"/>
      <c r="J1634" s="334"/>
      <c r="K1634" s="334"/>
      <c r="L1634" s="334"/>
      <c r="M1634" s="328"/>
      <c r="N1634" s="328"/>
      <c r="O1634" s="386"/>
      <c r="P1634" s="356"/>
      <c r="Q1634" s="380"/>
      <c r="S1634" s="336"/>
      <c r="T1634" s="62" ph="1"/>
      <c r="V1634" s="232"/>
      <c r="W1634" s="269"/>
      <c r="X1634" s="201"/>
      <c r="Y1634" s="269"/>
      <c r="Z1634" s="269"/>
      <c r="AA1634" s="269"/>
      <c r="AB1634" s="269"/>
      <c r="AC1634" s="269"/>
      <c r="AD1634" s="269"/>
      <c r="AE1634" s="269"/>
    </row>
    <row r="1635" spans="1:31" ht="26.25">
      <c r="A1635" s="269"/>
      <c r="B1635" s="269"/>
      <c r="C1635" s="269"/>
      <c r="D1635" s="269"/>
      <c r="E1635" s="269"/>
      <c r="F1635" s="269"/>
      <c r="G1635" s="269"/>
      <c r="H1635" s="269"/>
      <c r="I1635" s="269"/>
      <c r="J1635" s="334"/>
      <c r="K1635" s="334"/>
      <c r="L1635" s="334"/>
      <c r="M1635" s="328"/>
      <c r="N1635" s="328"/>
      <c r="O1635" s="386"/>
      <c r="P1635" s="356"/>
      <c r="Q1635" s="380"/>
      <c r="S1635" s="336"/>
      <c r="T1635" s="62" ph="1"/>
      <c r="V1635" s="232"/>
      <c r="W1635" s="269"/>
      <c r="X1635" s="201"/>
      <c r="Y1635" s="269"/>
      <c r="Z1635" s="269"/>
      <c r="AA1635" s="269"/>
      <c r="AB1635" s="269"/>
      <c r="AC1635" s="269"/>
      <c r="AD1635" s="269"/>
      <c r="AE1635" s="269"/>
    </row>
    <row r="1636" spans="1:31" ht="26.25">
      <c r="A1636" s="269"/>
      <c r="B1636" s="269"/>
      <c r="C1636" s="269"/>
      <c r="D1636" s="269"/>
      <c r="E1636" s="269"/>
      <c r="F1636" s="269"/>
      <c r="G1636" s="269"/>
      <c r="H1636" s="269"/>
      <c r="I1636" s="269"/>
      <c r="J1636" s="334"/>
      <c r="K1636" s="334"/>
      <c r="L1636" s="334"/>
      <c r="M1636" s="328"/>
      <c r="N1636" s="328"/>
      <c r="O1636" s="386"/>
      <c r="P1636" s="356"/>
      <c r="Q1636" s="380"/>
      <c r="S1636" s="336"/>
      <c r="T1636" s="62" ph="1"/>
      <c r="V1636" s="232"/>
      <c r="W1636" s="269"/>
      <c r="X1636" s="201"/>
      <c r="Y1636" s="269"/>
      <c r="Z1636" s="269"/>
      <c r="AA1636" s="269"/>
      <c r="AB1636" s="269"/>
      <c r="AC1636" s="269"/>
      <c r="AD1636" s="269"/>
      <c r="AE1636" s="269"/>
    </row>
    <row r="1637" spans="1:31" ht="26.25">
      <c r="A1637" s="269"/>
      <c r="B1637" s="269"/>
      <c r="C1637" s="269"/>
      <c r="D1637" s="269"/>
      <c r="E1637" s="269"/>
      <c r="F1637" s="269"/>
      <c r="G1637" s="269"/>
      <c r="H1637" s="269"/>
      <c r="I1637" s="269"/>
      <c r="J1637" s="334"/>
      <c r="K1637" s="334"/>
      <c r="L1637" s="334"/>
      <c r="M1637" s="328"/>
      <c r="N1637" s="328"/>
      <c r="O1637" s="386"/>
      <c r="P1637" s="356"/>
      <c r="Q1637" s="380"/>
      <c r="S1637" s="336"/>
      <c r="T1637" s="62" ph="1"/>
      <c r="V1637" s="232"/>
      <c r="W1637" s="269"/>
      <c r="X1637" s="201"/>
      <c r="Y1637" s="269"/>
      <c r="Z1637" s="269"/>
      <c r="AA1637" s="269"/>
      <c r="AB1637" s="269"/>
      <c r="AC1637" s="269"/>
      <c r="AD1637" s="269"/>
      <c r="AE1637" s="269"/>
    </row>
    <row r="1638" spans="1:31" ht="26.25">
      <c r="A1638" s="269"/>
      <c r="B1638" s="269"/>
      <c r="C1638" s="269"/>
      <c r="D1638" s="269"/>
      <c r="E1638" s="269"/>
      <c r="F1638" s="269"/>
      <c r="G1638" s="269"/>
      <c r="H1638" s="269"/>
      <c r="I1638" s="269"/>
      <c r="J1638" s="334"/>
      <c r="K1638" s="334"/>
      <c r="L1638" s="334"/>
      <c r="M1638" s="328"/>
      <c r="N1638" s="328"/>
      <c r="O1638" s="386"/>
      <c r="P1638" s="356"/>
      <c r="Q1638" s="380"/>
      <c r="S1638" s="336"/>
      <c r="T1638" s="62" ph="1"/>
      <c r="V1638" s="232"/>
      <c r="W1638" s="269"/>
      <c r="X1638" s="201"/>
      <c r="Y1638" s="269"/>
      <c r="Z1638" s="269"/>
      <c r="AA1638" s="269"/>
      <c r="AB1638" s="269"/>
      <c r="AC1638" s="269"/>
      <c r="AD1638" s="269"/>
      <c r="AE1638" s="269"/>
    </row>
    <row r="1639" spans="1:31" ht="26.25">
      <c r="A1639" s="269"/>
      <c r="B1639" s="269"/>
      <c r="C1639" s="269"/>
      <c r="D1639" s="269"/>
      <c r="E1639" s="269"/>
      <c r="F1639" s="269"/>
      <c r="G1639" s="269"/>
      <c r="H1639" s="269"/>
      <c r="I1639" s="269"/>
      <c r="J1639" s="334"/>
      <c r="K1639" s="334"/>
      <c r="L1639" s="334"/>
      <c r="M1639" s="328"/>
      <c r="N1639" s="328"/>
      <c r="O1639" s="386"/>
      <c r="P1639" s="356"/>
      <c r="Q1639" s="380"/>
      <c r="S1639" s="336"/>
      <c r="T1639" s="62" ph="1"/>
      <c r="V1639" s="232"/>
      <c r="W1639" s="269"/>
      <c r="X1639" s="201"/>
      <c r="Y1639" s="269"/>
      <c r="Z1639" s="269"/>
      <c r="AA1639" s="269"/>
      <c r="AB1639" s="269"/>
      <c r="AC1639" s="269"/>
      <c r="AD1639" s="269"/>
      <c r="AE1639" s="269"/>
    </row>
    <row r="1640" spans="1:31" ht="26.25">
      <c r="A1640" s="269"/>
      <c r="B1640" s="269"/>
      <c r="C1640" s="269"/>
      <c r="D1640" s="269"/>
      <c r="E1640" s="269"/>
      <c r="F1640" s="269"/>
      <c r="G1640" s="269"/>
      <c r="H1640" s="269"/>
      <c r="I1640" s="269"/>
      <c r="J1640" s="334"/>
      <c r="K1640" s="334"/>
      <c r="L1640" s="334"/>
      <c r="M1640" s="328"/>
      <c r="N1640" s="328"/>
      <c r="O1640" s="386"/>
      <c r="P1640" s="356"/>
      <c r="Q1640" s="380"/>
      <c r="S1640" s="336"/>
      <c r="T1640" s="62" ph="1"/>
      <c r="V1640" s="232"/>
      <c r="W1640" s="269"/>
      <c r="X1640" s="201"/>
      <c r="Y1640" s="269"/>
      <c r="Z1640" s="269"/>
      <c r="AA1640" s="269"/>
      <c r="AB1640" s="269"/>
      <c r="AC1640" s="269"/>
      <c r="AD1640" s="269"/>
      <c r="AE1640" s="269"/>
    </row>
    <row r="1641" spans="1:31" ht="26.25">
      <c r="A1641" s="269"/>
      <c r="B1641" s="269"/>
      <c r="C1641" s="269"/>
      <c r="D1641" s="269"/>
      <c r="E1641" s="269"/>
      <c r="F1641" s="269"/>
      <c r="G1641" s="269"/>
      <c r="H1641" s="269"/>
      <c r="I1641" s="269"/>
      <c r="J1641" s="334"/>
      <c r="K1641" s="334"/>
      <c r="L1641" s="334"/>
      <c r="M1641" s="328"/>
      <c r="N1641" s="328"/>
      <c r="O1641" s="386"/>
      <c r="P1641" s="356"/>
      <c r="Q1641" s="380"/>
      <c r="S1641" s="336"/>
      <c r="T1641" s="62" ph="1"/>
      <c r="V1641" s="232"/>
      <c r="W1641" s="269"/>
      <c r="X1641" s="201"/>
      <c r="Y1641" s="269"/>
      <c r="Z1641" s="269"/>
      <c r="AA1641" s="269"/>
      <c r="AB1641" s="269"/>
      <c r="AC1641" s="269"/>
      <c r="AD1641" s="269"/>
      <c r="AE1641" s="269"/>
    </row>
    <row r="1642" spans="1:31" ht="26.25">
      <c r="A1642" s="269"/>
      <c r="B1642" s="269"/>
      <c r="C1642" s="269"/>
      <c r="D1642" s="269"/>
      <c r="E1642" s="269"/>
      <c r="F1642" s="269"/>
      <c r="G1642" s="269"/>
      <c r="H1642" s="269"/>
      <c r="I1642" s="269"/>
      <c r="J1642" s="334"/>
      <c r="K1642" s="334"/>
      <c r="L1642" s="334"/>
      <c r="M1642" s="328"/>
      <c r="N1642" s="328"/>
      <c r="O1642" s="386"/>
      <c r="P1642" s="356"/>
      <c r="Q1642" s="380"/>
      <c r="S1642" s="336"/>
      <c r="T1642" s="62" ph="1"/>
      <c r="V1642" s="232"/>
      <c r="W1642" s="269"/>
      <c r="X1642" s="201"/>
      <c r="Y1642" s="269"/>
      <c r="Z1642" s="269"/>
      <c r="AA1642" s="269"/>
      <c r="AB1642" s="269"/>
      <c r="AC1642" s="269"/>
      <c r="AD1642" s="269"/>
      <c r="AE1642" s="269"/>
    </row>
    <row r="1643" spans="1:31" ht="26.25">
      <c r="A1643" s="269"/>
      <c r="B1643" s="269"/>
      <c r="C1643" s="269"/>
      <c r="D1643" s="269"/>
      <c r="E1643" s="269"/>
      <c r="F1643" s="269"/>
      <c r="G1643" s="269"/>
      <c r="H1643" s="269"/>
      <c r="I1643" s="269"/>
      <c r="J1643" s="334"/>
      <c r="K1643" s="334"/>
      <c r="L1643" s="334"/>
      <c r="M1643" s="328"/>
      <c r="N1643" s="328"/>
      <c r="O1643" s="386"/>
      <c r="P1643" s="356"/>
      <c r="Q1643" s="380"/>
      <c r="S1643" s="336"/>
      <c r="T1643" s="62" ph="1"/>
      <c r="V1643" s="232"/>
      <c r="W1643" s="269"/>
      <c r="X1643" s="201"/>
      <c r="Y1643" s="269"/>
      <c r="Z1643" s="269"/>
      <c r="AA1643" s="269"/>
      <c r="AB1643" s="269"/>
      <c r="AC1643" s="269"/>
      <c r="AD1643" s="269"/>
      <c r="AE1643" s="269"/>
    </row>
    <row r="1644" spans="1:31" ht="26.25">
      <c r="A1644" s="269"/>
      <c r="B1644" s="269"/>
      <c r="C1644" s="269"/>
      <c r="D1644" s="269"/>
      <c r="E1644" s="269"/>
      <c r="F1644" s="269"/>
      <c r="G1644" s="269"/>
      <c r="H1644" s="269"/>
      <c r="I1644" s="269"/>
      <c r="J1644" s="334"/>
      <c r="K1644" s="334"/>
      <c r="L1644" s="334"/>
      <c r="M1644" s="328"/>
      <c r="N1644" s="328"/>
      <c r="O1644" s="386"/>
      <c r="P1644" s="356"/>
      <c r="Q1644" s="380"/>
      <c r="S1644" s="336"/>
      <c r="T1644" s="62" ph="1"/>
      <c r="V1644" s="232"/>
      <c r="W1644" s="269"/>
      <c r="X1644" s="201"/>
      <c r="Y1644" s="269"/>
      <c r="Z1644" s="269"/>
      <c r="AA1644" s="269"/>
      <c r="AB1644" s="269"/>
      <c r="AC1644" s="269"/>
      <c r="AD1644" s="269"/>
      <c r="AE1644" s="269"/>
    </row>
    <row r="1645" spans="1:31" ht="26.25">
      <c r="A1645" s="269"/>
      <c r="B1645" s="269"/>
      <c r="C1645" s="269"/>
      <c r="D1645" s="269"/>
      <c r="E1645" s="269"/>
      <c r="F1645" s="269"/>
      <c r="G1645" s="269"/>
      <c r="H1645" s="269"/>
      <c r="I1645" s="269"/>
      <c r="J1645" s="334"/>
      <c r="K1645" s="334"/>
      <c r="L1645" s="334"/>
      <c r="M1645" s="328"/>
      <c r="N1645" s="328"/>
      <c r="O1645" s="386"/>
      <c r="P1645" s="356"/>
      <c r="Q1645" s="380"/>
      <c r="S1645" s="336"/>
      <c r="T1645" s="62" ph="1"/>
      <c r="V1645" s="232"/>
      <c r="W1645" s="269"/>
      <c r="X1645" s="201"/>
      <c r="Y1645" s="269"/>
      <c r="Z1645" s="269"/>
      <c r="AA1645" s="269"/>
      <c r="AB1645" s="269"/>
      <c r="AC1645" s="269"/>
      <c r="AD1645" s="269"/>
      <c r="AE1645" s="269"/>
    </row>
    <row r="1646" spans="1:31" ht="26.25">
      <c r="A1646" s="269"/>
      <c r="B1646" s="269"/>
      <c r="C1646" s="269"/>
      <c r="D1646" s="269"/>
      <c r="E1646" s="269"/>
      <c r="F1646" s="269"/>
      <c r="G1646" s="269"/>
      <c r="H1646" s="269"/>
      <c r="I1646" s="269"/>
      <c r="J1646" s="334"/>
      <c r="K1646" s="334"/>
      <c r="L1646" s="334"/>
      <c r="M1646" s="328"/>
      <c r="N1646" s="328"/>
      <c r="O1646" s="386"/>
      <c r="P1646" s="356"/>
      <c r="Q1646" s="380"/>
      <c r="S1646" s="336"/>
      <c r="T1646" s="62" ph="1"/>
      <c r="V1646" s="232"/>
      <c r="W1646" s="269"/>
      <c r="X1646" s="201"/>
      <c r="Y1646" s="269"/>
      <c r="Z1646" s="269"/>
      <c r="AA1646" s="269"/>
      <c r="AB1646" s="269"/>
      <c r="AC1646" s="269"/>
      <c r="AD1646" s="269"/>
      <c r="AE1646" s="269"/>
    </row>
    <row r="1647" spans="1:31" ht="26.25">
      <c r="A1647" s="269"/>
      <c r="B1647" s="269"/>
      <c r="C1647" s="269"/>
      <c r="D1647" s="269"/>
      <c r="E1647" s="269"/>
      <c r="F1647" s="269"/>
      <c r="G1647" s="269"/>
      <c r="H1647" s="269"/>
      <c r="I1647" s="269"/>
      <c r="J1647" s="334"/>
      <c r="K1647" s="334"/>
      <c r="L1647" s="334"/>
      <c r="M1647" s="328"/>
      <c r="N1647" s="328"/>
      <c r="O1647" s="386"/>
      <c r="P1647" s="356"/>
      <c r="Q1647" s="380"/>
      <c r="S1647" s="336"/>
      <c r="T1647" s="62" ph="1"/>
      <c r="V1647" s="232"/>
      <c r="W1647" s="269"/>
      <c r="X1647" s="201"/>
      <c r="Y1647" s="269"/>
      <c r="Z1647" s="269"/>
      <c r="AA1647" s="269"/>
      <c r="AB1647" s="269"/>
      <c r="AC1647" s="269"/>
      <c r="AD1647" s="269"/>
      <c r="AE1647" s="269"/>
    </row>
    <row r="1648" spans="1:31" ht="26.25">
      <c r="A1648" s="269"/>
      <c r="B1648" s="269"/>
      <c r="C1648" s="269"/>
      <c r="D1648" s="269"/>
      <c r="E1648" s="269"/>
      <c r="F1648" s="269"/>
      <c r="G1648" s="269"/>
      <c r="H1648" s="269"/>
      <c r="I1648" s="269"/>
      <c r="J1648" s="334"/>
      <c r="K1648" s="334"/>
      <c r="L1648" s="334"/>
      <c r="M1648" s="328"/>
      <c r="N1648" s="328"/>
      <c r="O1648" s="386"/>
      <c r="P1648" s="356"/>
      <c r="Q1648" s="380"/>
      <c r="S1648" s="336"/>
      <c r="T1648" s="62" ph="1"/>
      <c r="V1648" s="232"/>
      <c r="W1648" s="269"/>
      <c r="X1648" s="201"/>
      <c r="Y1648" s="269"/>
      <c r="Z1648" s="269"/>
      <c r="AA1648" s="269"/>
      <c r="AB1648" s="269"/>
      <c r="AC1648" s="269"/>
      <c r="AD1648" s="269"/>
      <c r="AE1648" s="269"/>
    </row>
    <row r="1649" spans="1:31" ht="26.25">
      <c r="A1649" s="269"/>
      <c r="B1649" s="269"/>
      <c r="C1649" s="269"/>
      <c r="D1649" s="269"/>
      <c r="E1649" s="269"/>
      <c r="F1649" s="269"/>
      <c r="G1649" s="269"/>
      <c r="H1649" s="269"/>
      <c r="I1649" s="269"/>
      <c r="J1649" s="334"/>
      <c r="K1649" s="334"/>
      <c r="L1649" s="334"/>
      <c r="M1649" s="328"/>
      <c r="N1649" s="328"/>
      <c r="O1649" s="386"/>
      <c r="P1649" s="356"/>
      <c r="Q1649" s="380"/>
      <c r="S1649" s="336"/>
      <c r="T1649" s="62" ph="1"/>
      <c r="V1649" s="232"/>
      <c r="W1649" s="269"/>
      <c r="X1649" s="201"/>
      <c r="Y1649" s="269"/>
      <c r="Z1649" s="269"/>
      <c r="AA1649" s="269"/>
      <c r="AB1649" s="269"/>
      <c r="AC1649" s="269"/>
      <c r="AD1649" s="269"/>
      <c r="AE1649" s="269"/>
    </row>
    <row r="1650" spans="1:31" ht="26.25">
      <c r="A1650" s="269"/>
      <c r="B1650" s="269"/>
      <c r="C1650" s="269"/>
      <c r="D1650" s="269"/>
      <c r="E1650" s="269"/>
      <c r="F1650" s="269"/>
      <c r="G1650" s="269"/>
      <c r="H1650" s="269"/>
      <c r="I1650" s="269"/>
      <c r="J1650" s="334"/>
      <c r="K1650" s="334"/>
      <c r="L1650" s="334"/>
      <c r="M1650" s="328"/>
      <c r="N1650" s="328"/>
      <c r="O1650" s="386"/>
      <c r="P1650" s="356"/>
      <c r="Q1650" s="380"/>
      <c r="S1650" s="336"/>
      <c r="T1650" s="62" ph="1"/>
      <c r="V1650" s="232"/>
      <c r="W1650" s="269"/>
      <c r="X1650" s="201"/>
      <c r="Y1650" s="269"/>
      <c r="Z1650" s="269"/>
      <c r="AA1650" s="269"/>
      <c r="AB1650" s="269"/>
      <c r="AC1650" s="269"/>
      <c r="AD1650" s="269"/>
      <c r="AE1650" s="269"/>
    </row>
    <row r="1651" spans="1:31" ht="26.25">
      <c r="A1651" s="269"/>
      <c r="B1651" s="269"/>
      <c r="C1651" s="269"/>
      <c r="D1651" s="269"/>
      <c r="E1651" s="269"/>
      <c r="F1651" s="269"/>
      <c r="G1651" s="269"/>
      <c r="H1651" s="269"/>
      <c r="I1651" s="269"/>
      <c r="J1651" s="334"/>
      <c r="K1651" s="334"/>
      <c r="L1651" s="334"/>
      <c r="M1651" s="328"/>
      <c r="N1651" s="328"/>
      <c r="O1651" s="386"/>
      <c r="P1651" s="356"/>
      <c r="Q1651" s="380"/>
      <c r="S1651" s="336"/>
      <c r="T1651" s="62" ph="1"/>
      <c r="V1651" s="232"/>
      <c r="W1651" s="269"/>
      <c r="X1651" s="201"/>
      <c r="Y1651" s="269"/>
      <c r="Z1651" s="269"/>
      <c r="AA1651" s="269"/>
      <c r="AB1651" s="269"/>
      <c r="AC1651" s="269"/>
      <c r="AD1651" s="269"/>
      <c r="AE1651" s="269"/>
    </row>
    <row r="1652" spans="1:31" ht="26.25">
      <c r="A1652" s="269"/>
      <c r="B1652" s="269"/>
      <c r="C1652" s="269"/>
      <c r="D1652" s="269"/>
      <c r="E1652" s="269"/>
      <c r="F1652" s="269"/>
      <c r="G1652" s="269"/>
      <c r="H1652" s="269"/>
      <c r="I1652" s="269"/>
      <c r="J1652" s="334"/>
      <c r="K1652" s="334"/>
      <c r="L1652" s="334"/>
      <c r="M1652" s="328"/>
      <c r="N1652" s="328"/>
      <c r="O1652" s="386"/>
      <c r="P1652" s="356"/>
      <c r="Q1652" s="380"/>
      <c r="S1652" s="336"/>
      <c r="T1652" s="62" ph="1"/>
      <c r="V1652" s="232"/>
      <c r="W1652" s="269"/>
      <c r="X1652" s="201"/>
      <c r="Y1652" s="269"/>
      <c r="Z1652" s="269"/>
      <c r="AA1652" s="269"/>
      <c r="AB1652" s="269"/>
      <c r="AC1652" s="269"/>
      <c r="AD1652" s="269"/>
      <c r="AE1652" s="269"/>
    </row>
    <row r="1653" spans="1:31" ht="26.25">
      <c r="A1653" s="269"/>
      <c r="B1653" s="269"/>
      <c r="C1653" s="269"/>
      <c r="D1653" s="269"/>
      <c r="E1653" s="269"/>
      <c r="F1653" s="269"/>
      <c r="G1653" s="269"/>
      <c r="H1653" s="269"/>
      <c r="I1653" s="269"/>
      <c r="J1653" s="334"/>
      <c r="K1653" s="334"/>
      <c r="L1653" s="334"/>
      <c r="M1653" s="328"/>
      <c r="N1653" s="328"/>
      <c r="O1653" s="386"/>
      <c r="P1653" s="356"/>
      <c r="Q1653" s="380"/>
      <c r="S1653" s="336"/>
      <c r="T1653" s="62" ph="1"/>
      <c r="V1653" s="232"/>
      <c r="W1653" s="269"/>
      <c r="X1653" s="201"/>
      <c r="Y1653" s="269"/>
      <c r="Z1653" s="269"/>
      <c r="AA1653" s="269"/>
      <c r="AB1653" s="269"/>
      <c r="AC1653" s="269"/>
      <c r="AD1653" s="269"/>
      <c r="AE1653" s="269"/>
    </row>
    <row r="1654" spans="1:31" ht="26.25">
      <c r="A1654" s="269"/>
      <c r="B1654" s="269"/>
      <c r="C1654" s="269"/>
      <c r="D1654" s="269"/>
      <c r="E1654" s="269"/>
      <c r="F1654" s="269"/>
      <c r="G1654" s="269"/>
      <c r="H1654" s="269"/>
      <c r="I1654" s="269"/>
      <c r="J1654" s="334"/>
      <c r="K1654" s="334"/>
      <c r="L1654" s="334"/>
      <c r="M1654" s="328"/>
      <c r="N1654" s="328"/>
      <c r="O1654" s="386"/>
      <c r="P1654" s="356"/>
      <c r="Q1654" s="380"/>
      <c r="S1654" s="336"/>
      <c r="T1654" s="62" ph="1"/>
      <c r="V1654" s="232"/>
      <c r="W1654" s="269"/>
      <c r="X1654" s="201"/>
      <c r="Y1654" s="269"/>
      <c r="Z1654" s="269"/>
      <c r="AA1654" s="269"/>
      <c r="AB1654" s="269"/>
      <c r="AC1654" s="269"/>
      <c r="AD1654" s="269"/>
      <c r="AE1654" s="269"/>
    </row>
    <row r="1655" spans="1:31" ht="26.25">
      <c r="A1655" s="269"/>
      <c r="B1655" s="269"/>
      <c r="C1655" s="269"/>
      <c r="D1655" s="269"/>
      <c r="E1655" s="269"/>
      <c r="F1655" s="269"/>
      <c r="G1655" s="269"/>
      <c r="H1655" s="269"/>
      <c r="I1655" s="269"/>
      <c r="J1655" s="334"/>
      <c r="K1655" s="334"/>
      <c r="L1655" s="334"/>
      <c r="M1655" s="328"/>
      <c r="N1655" s="328"/>
      <c r="O1655" s="386"/>
      <c r="P1655" s="356"/>
      <c r="Q1655" s="380"/>
      <c r="S1655" s="336"/>
      <c r="T1655" s="62" ph="1"/>
      <c r="V1655" s="232"/>
      <c r="W1655" s="269"/>
      <c r="X1655" s="201"/>
      <c r="Y1655" s="269"/>
      <c r="Z1655" s="269"/>
      <c r="AA1655" s="269"/>
      <c r="AB1655" s="269"/>
      <c r="AC1655" s="269"/>
      <c r="AD1655" s="269"/>
      <c r="AE1655" s="269"/>
    </row>
    <row r="1656" spans="1:31" ht="26.25">
      <c r="A1656" s="269"/>
      <c r="B1656" s="269"/>
      <c r="C1656" s="269"/>
      <c r="D1656" s="269"/>
      <c r="E1656" s="269"/>
      <c r="F1656" s="269"/>
      <c r="G1656" s="269"/>
      <c r="H1656" s="269"/>
      <c r="I1656" s="269"/>
      <c r="J1656" s="334"/>
      <c r="K1656" s="334"/>
      <c r="L1656" s="334"/>
      <c r="M1656" s="328"/>
      <c r="N1656" s="328"/>
      <c r="O1656" s="386"/>
      <c r="P1656" s="356"/>
      <c r="Q1656" s="380"/>
      <c r="S1656" s="336"/>
      <c r="T1656" s="62" ph="1"/>
      <c r="V1656" s="232"/>
      <c r="W1656" s="269"/>
      <c r="X1656" s="201"/>
      <c r="Y1656" s="269"/>
      <c r="Z1656" s="269"/>
      <c r="AA1656" s="269"/>
      <c r="AB1656" s="269"/>
      <c r="AC1656" s="269"/>
      <c r="AD1656" s="269"/>
      <c r="AE1656" s="269"/>
    </row>
    <row r="1657" spans="1:31" ht="26.25">
      <c r="A1657" s="269"/>
      <c r="B1657" s="269"/>
      <c r="C1657" s="269"/>
      <c r="D1657" s="269"/>
      <c r="E1657" s="269"/>
      <c r="F1657" s="269"/>
      <c r="G1657" s="269"/>
      <c r="H1657" s="269"/>
      <c r="I1657" s="269"/>
      <c r="J1657" s="334"/>
      <c r="K1657" s="334"/>
      <c r="L1657" s="334"/>
      <c r="M1657" s="328"/>
      <c r="N1657" s="328"/>
      <c r="O1657" s="386"/>
      <c r="P1657" s="356"/>
      <c r="Q1657" s="380"/>
      <c r="S1657" s="336"/>
      <c r="T1657" s="62" ph="1"/>
      <c r="V1657" s="232"/>
      <c r="W1657" s="269"/>
      <c r="X1657" s="201"/>
      <c r="Y1657" s="269"/>
      <c r="Z1657" s="269"/>
      <c r="AA1657" s="269"/>
      <c r="AB1657" s="269"/>
      <c r="AC1657" s="269"/>
      <c r="AD1657" s="269"/>
      <c r="AE1657" s="269"/>
    </row>
    <row r="1658" spans="1:31" ht="26.25">
      <c r="A1658" s="269"/>
      <c r="B1658" s="269"/>
      <c r="C1658" s="269"/>
      <c r="D1658" s="269"/>
      <c r="E1658" s="269"/>
      <c r="F1658" s="269"/>
      <c r="G1658" s="269"/>
      <c r="H1658" s="269"/>
      <c r="I1658" s="269"/>
      <c r="J1658" s="334"/>
      <c r="K1658" s="334"/>
      <c r="L1658" s="334"/>
      <c r="M1658" s="328"/>
      <c r="N1658" s="328"/>
      <c r="O1658" s="386"/>
      <c r="P1658" s="356"/>
      <c r="Q1658" s="380"/>
      <c r="S1658" s="336"/>
      <c r="T1658" s="62" ph="1"/>
      <c r="V1658" s="232"/>
      <c r="W1658" s="269"/>
      <c r="X1658" s="201"/>
      <c r="Y1658" s="269"/>
      <c r="Z1658" s="269"/>
      <c r="AA1658" s="269"/>
      <c r="AB1658" s="269"/>
      <c r="AC1658" s="269"/>
      <c r="AD1658" s="269"/>
      <c r="AE1658" s="269"/>
    </row>
    <row r="1659" spans="1:31" ht="26.25">
      <c r="A1659" s="269"/>
      <c r="B1659" s="269"/>
      <c r="C1659" s="269"/>
      <c r="D1659" s="269"/>
      <c r="E1659" s="269"/>
      <c r="F1659" s="269"/>
      <c r="G1659" s="269"/>
      <c r="H1659" s="269"/>
      <c r="I1659" s="269"/>
      <c r="J1659" s="334"/>
      <c r="K1659" s="334"/>
      <c r="L1659" s="334"/>
      <c r="M1659" s="328"/>
      <c r="N1659" s="328"/>
      <c r="O1659" s="386"/>
      <c r="P1659" s="356"/>
      <c r="Q1659" s="380"/>
      <c r="S1659" s="336"/>
      <c r="T1659" s="62" ph="1"/>
      <c r="V1659" s="232"/>
      <c r="W1659" s="269"/>
      <c r="X1659" s="201"/>
      <c r="Y1659" s="269"/>
      <c r="Z1659" s="269"/>
      <c r="AA1659" s="269"/>
      <c r="AB1659" s="269"/>
      <c r="AC1659" s="269"/>
      <c r="AD1659" s="269"/>
      <c r="AE1659" s="269"/>
    </row>
    <row r="1660" spans="1:31" ht="26.25">
      <c r="A1660" s="269"/>
      <c r="B1660" s="269"/>
      <c r="C1660" s="269"/>
      <c r="D1660" s="269"/>
      <c r="E1660" s="269"/>
      <c r="F1660" s="269"/>
      <c r="G1660" s="269"/>
      <c r="H1660" s="269"/>
      <c r="I1660" s="269"/>
      <c r="J1660" s="334"/>
      <c r="K1660" s="334"/>
      <c r="L1660" s="334"/>
      <c r="M1660" s="328"/>
      <c r="N1660" s="328"/>
      <c r="O1660" s="386"/>
      <c r="P1660" s="356"/>
      <c r="Q1660" s="380"/>
      <c r="S1660" s="336"/>
      <c r="T1660" s="62" ph="1"/>
      <c r="V1660" s="232"/>
      <c r="W1660" s="269"/>
      <c r="X1660" s="201"/>
      <c r="Y1660" s="269"/>
      <c r="Z1660" s="269"/>
      <c r="AA1660" s="269"/>
      <c r="AB1660" s="269"/>
      <c r="AC1660" s="269"/>
      <c r="AD1660" s="269"/>
      <c r="AE1660" s="269"/>
    </row>
    <row r="1661" spans="1:31" ht="26.25">
      <c r="A1661" s="269"/>
      <c r="B1661" s="269"/>
      <c r="C1661" s="269"/>
      <c r="D1661" s="269"/>
      <c r="E1661" s="269"/>
      <c r="F1661" s="269"/>
      <c r="G1661" s="269"/>
      <c r="H1661" s="269"/>
      <c r="I1661" s="269"/>
      <c r="J1661" s="334"/>
      <c r="K1661" s="334"/>
      <c r="L1661" s="334"/>
      <c r="M1661" s="328"/>
      <c r="N1661" s="328"/>
      <c r="O1661" s="386"/>
      <c r="P1661" s="356"/>
      <c r="Q1661" s="380"/>
      <c r="S1661" s="336"/>
      <c r="T1661" s="62" ph="1"/>
      <c r="V1661" s="232"/>
      <c r="W1661" s="269"/>
      <c r="X1661" s="201"/>
      <c r="Y1661" s="269"/>
      <c r="Z1661" s="269"/>
      <c r="AA1661" s="269"/>
      <c r="AB1661" s="269"/>
      <c r="AC1661" s="269"/>
      <c r="AD1661" s="269"/>
      <c r="AE1661" s="269"/>
    </row>
    <row r="1662" spans="1:31" ht="26.25">
      <c r="A1662" s="269"/>
      <c r="B1662" s="269"/>
      <c r="C1662" s="269"/>
      <c r="D1662" s="269"/>
      <c r="E1662" s="269"/>
      <c r="F1662" s="269"/>
      <c r="G1662" s="269"/>
      <c r="H1662" s="269"/>
      <c r="I1662" s="269"/>
      <c r="J1662" s="334"/>
      <c r="K1662" s="334"/>
      <c r="L1662" s="334"/>
      <c r="M1662" s="328"/>
      <c r="N1662" s="328"/>
      <c r="O1662" s="386"/>
      <c r="P1662" s="356"/>
      <c r="Q1662" s="380"/>
      <c r="S1662" s="336"/>
      <c r="T1662" s="62" ph="1"/>
      <c r="V1662" s="232"/>
      <c r="W1662" s="269"/>
      <c r="X1662" s="201"/>
      <c r="Y1662" s="269"/>
      <c r="Z1662" s="269"/>
      <c r="AA1662" s="269"/>
      <c r="AB1662" s="269"/>
      <c r="AC1662" s="269"/>
      <c r="AD1662" s="269"/>
      <c r="AE1662" s="269"/>
    </row>
    <row r="1663" spans="1:31" ht="26.25">
      <c r="A1663" s="269"/>
      <c r="B1663" s="269"/>
      <c r="C1663" s="269"/>
      <c r="D1663" s="269"/>
      <c r="E1663" s="269"/>
      <c r="F1663" s="269"/>
      <c r="G1663" s="269"/>
      <c r="H1663" s="269"/>
      <c r="I1663" s="269"/>
      <c r="J1663" s="334"/>
      <c r="K1663" s="334"/>
      <c r="L1663" s="334"/>
      <c r="M1663" s="328"/>
      <c r="N1663" s="328"/>
      <c r="O1663" s="386"/>
      <c r="P1663" s="356"/>
      <c r="Q1663" s="380"/>
      <c r="S1663" s="336"/>
      <c r="T1663" s="62" ph="1"/>
      <c r="V1663" s="232"/>
      <c r="W1663" s="269"/>
      <c r="X1663" s="201"/>
      <c r="Y1663" s="269"/>
      <c r="Z1663" s="269"/>
      <c r="AA1663" s="269"/>
      <c r="AB1663" s="269"/>
      <c r="AC1663" s="269"/>
      <c r="AD1663" s="269"/>
      <c r="AE1663" s="269"/>
    </row>
    <row r="1664" spans="1:31" ht="26.25">
      <c r="A1664" s="269"/>
      <c r="B1664" s="269"/>
      <c r="C1664" s="269"/>
      <c r="D1664" s="269"/>
      <c r="E1664" s="269"/>
      <c r="F1664" s="269"/>
      <c r="G1664" s="269"/>
      <c r="H1664" s="269"/>
      <c r="I1664" s="269"/>
      <c r="J1664" s="334"/>
      <c r="K1664" s="334"/>
      <c r="L1664" s="334"/>
      <c r="M1664" s="328"/>
      <c r="N1664" s="328"/>
      <c r="O1664" s="386"/>
      <c r="P1664" s="356"/>
      <c r="Q1664" s="380"/>
      <c r="S1664" s="336"/>
      <c r="T1664" s="62" ph="1"/>
      <c r="V1664" s="232"/>
      <c r="W1664" s="269"/>
      <c r="X1664" s="201"/>
      <c r="Y1664" s="269"/>
      <c r="Z1664" s="269"/>
      <c r="AA1664" s="269"/>
      <c r="AB1664" s="269"/>
      <c r="AC1664" s="269"/>
      <c r="AD1664" s="269"/>
      <c r="AE1664" s="269"/>
    </row>
    <row r="1665" spans="1:31" ht="26.25">
      <c r="A1665" s="269"/>
      <c r="B1665" s="269"/>
      <c r="C1665" s="269"/>
      <c r="D1665" s="269"/>
      <c r="E1665" s="269"/>
      <c r="F1665" s="269"/>
      <c r="G1665" s="269"/>
      <c r="H1665" s="269"/>
      <c r="I1665" s="269"/>
      <c r="J1665" s="334"/>
      <c r="K1665" s="334"/>
      <c r="L1665" s="334"/>
      <c r="M1665" s="328"/>
      <c r="N1665" s="328"/>
      <c r="O1665" s="386"/>
      <c r="P1665" s="356"/>
      <c r="Q1665" s="380"/>
      <c r="S1665" s="336"/>
      <c r="T1665" s="62" ph="1"/>
      <c r="V1665" s="232"/>
      <c r="W1665" s="269"/>
      <c r="X1665" s="201"/>
      <c r="Y1665" s="269"/>
      <c r="Z1665" s="269"/>
      <c r="AA1665" s="269"/>
      <c r="AB1665" s="269"/>
      <c r="AC1665" s="269"/>
      <c r="AD1665" s="269"/>
      <c r="AE1665" s="269"/>
    </row>
    <row r="1666" spans="1:31" ht="26.25">
      <c r="A1666" s="269"/>
      <c r="B1666" s="269"/>
      <c r="C1666" s="269"/>
      <c r="D1666" s="269"/>
      <c r="E1666" s="269"/>
      <c r="F1666" s="269"/>
      <c r="G1666" s="269"/>
      <c r="H1666" s="269"/>
      <c r="I1666" s="269"/>
      <c r="J1666" s="334"/>
      <c r="K1666" s="334"/>
      <c r="L1666" s="334"/>
      <c r="M1666" s="328"/>
      <c r="N1666" s="328"/>
      <c r="O1666" s="386"/>
      <c r="P1666" s="356"/>
      <c r="Q1666" s="380"/>
      <c r="S1666" s="336"/>
      <c r="T1666" s="62" ph="1"/>
      <c r="V1666" s="232"/>
      <c r="W1666" s="269"/>
      <c r="X1666" s="201"/>
      <c r="Y1666" s="269"/>
      <c r="Z1666" s="269"/>
      <c r="AA1666" s="269"/>
      <c r="AB1666" s="269"/>
      <c r="AC1666" s="269"/>
      <c r="AD1666" s="269"/>
      <c r="AE1666" s="269"/>
    </row>
    <row r="1667" spans="1:31" ht="26.25">
      <c r="A1667" s="269"/>
      <c r="B1667" s="269"/>
      <c r="C1667" s="269"/>
      <c r="D1667" s="269"/>
      <c r="E1667" s="269"/>
      <c r="F1667" s="269"/>
      <c r="G1667" s="269"/>
      <c r="H1667" s="269"/>
      <c r="I1667" s="269"/>
      <c r="J1667" s="334"/>
      <c r="K1667" s="334"/>
      <c r="L1667" s="334"/>
      <c r="M1667" s="328"/>
      <c r="N1667" s="328"/>
      <c r="O1667" s="386"/>
      <c r="P1667" s="356"/>
      <c r="Q1667" s="380"/>
      <c r="S1667" s="336"/>
      <c r="T1667" s="62" ph="1"/>
      <c r="V1667" s="232"/>
      <c r="W1667" s="269"/>
      <c r="X1667" s="201"/>
      <c r="Y1667" s="269"/>
      <c r="Z1667" s="269"/>
      <c r="AA1667" s="269"/>
      <c r="AB1667" s="269"/>
      <c r="AC1667" s="269"/>
      <c r="AD1667" s="269"/>
      <c r="AE1667" s="269"/>
    </row>
    <row r="1668" spans="1:31" ht="26.25">
      <c r="A1668" s="269"/>
      <c r="B1668" s="269"/>
      <c r="C1668" s="269"/>
      <c r="D1668" s="269"/>
      <c r="E1668" s="269"/>
      <c r="F1668" s="269"/>
      <c r="G1668" s="269"/>
      <c r="H1668" s="269"/>
      <c r="I1668" s="269"/>
      <c r="J1668" s="334"/>
      <c r="K1668" s="334"/>
      <c r="L1668" s="334"/>
      <c r="M1668" s="328"/>
      <c r="N1668" s="328"/>
      <c r="O1668" s="386"/>
      <c r="P1668" s="356"/>
      <c r="Q1668" s="380"/>
      <c r="S1668" s="336"/>
      <c r="T1668" s="62" ph="1"/>
      <c r="V1668" s="232"/>
      <c r="W1668" s="269"/>
      <c r="X1668" s="201"/>
      <c r="Y1668" s="269"/>
      <c r="Z1668" s="269"/>
      <c r="AA1668" s="269"/>
      <c r="AB1668" s="269"/>
      <c r="AC1668" s="269"/>
      <c r="AD1668" s="269"/>
      <c r="AE1668" s="269"/>
    </row>
    <row r="1669" spans="1:31" ht="26.25">
      <c r="A1669" s="269"/>
      <c r="B1669" s="269"/>
      <c r="C1669" s="269"/>
      <c r="D1669" s="269"/>
      <c r="E1669" s="269"/>
      <c r="F1669" s="269"/>
      <c r="G1669" s="269"/>
      <c r="H1669" s="269"/>
      <c r="I1669" s="269"/>
      <c r="J1669" s="334"/>
      <c r="K1669" s="334"/>
      <c r="L1669" s="334"/>
      <c r="M1669" s="328"/>
      <c r="N1669" s="328"/>
      <c r="O1669" s="386"/>
      <c r="P1669" s="356"/>
      <c r="Q1669" s="380"/>
      <c r="S1669" s="336"/>
      <c r="T1669" s="62" ph="1"/>
      <c r="V1669" s="232"/>
      <c r="W1669" s="269"/>
      <c r="X1669" s="201"/>
      <c r="Y1669" s="269"/>
      <c r="Z1669" s="269"/>
      <c r="AA1669" s="269"/>
      <c r="AB1669" s="269"/>
      <c r="AC1669" s="269"/>
      <c r="AD1669" s="269"/>
      <c r="AE1669" s="269"/>
    </row>
    <row r="1670" spans="1:31" ht="26.25">
      <c r="A1670" s="269"/>
      <c r="B1670" s="269"/>
      <c r="C1670" s="269"/>
      <c r="D1670" s="269"/>
      <c r="E1670" s="269"/>
      <c r="F1670" s="269"/>
      <c r="G1670" s="269"/>
      <c r="H1670" s="269"/>
      <c r="I1670" s="269"/>
      <c r="J1670" s="334"/>
      <c r="K1670" s="334"/>
      <c r="L1670" s="334"/>
      <c r="M1670" s="328"/>
      <c r="N1670" s="328"/>
      <c r="O1670" s="386"/>
      <c r="P1670" s="356"/>
      <c r="Q1670" s="380"/>
      <c r="S1670" s="336"/>
      <c r="T1670" s="62" ph="1"/>
      <c r="V1670" s="232"/>
      <c r="W1670" s="269"/>
      <c r="X1670" s="201"/>
      <c r="Y1670" s="269"/>
      <c r="Z1670" s="269"/>
      <c r="AA1670" s="269"/>
      <c r="AB1670" s="269"/>
      <c r="AC1670" s="269"/>
      <c r="AD1670" s="269"/>
      <c r="AE1670" s="269"/>
    </row>
    <row r="1671" spans="1:31" ht="26.25">
      <c r="A1671" s="269"/>
      <c r="B1671" s="269"/>
      <c r="C1671" s="269"/>
      <c r="D1671" s="269"/>
      <c r="E1671" s="269"/>
      <c r="F1671" s="269"/>
      <c r="G1671" s="269"/>
      <c r="H1671" s="269"/>
      <c r="I1671" s="269"/>
      <c r="J1671" s="334"/>
      <c r="K1671" s="334"/>
      <c r="L1671" s="334"/>
      <c r="M1671" s="328"/>
      <c r="N1671" s="328"/>
      <c r="O1671" s="386"/>
      <c r="P1671" s="356"/>
      <c r="Q1671" s="380"/>
      <c r="S1671" s="336"/>
      <c r="T1671" s="62" ph="1"/>
      <c r="V1671" s="232"/>
      <c r="W1671" s="269"/>
      <c r="X1671" s="201"/>
      <c r="Y1671" s="269"/>
      <c r="Z1671" s="269"/>
      <c r="AA1671" s="269"/>
      <c r="AB1671" s="269"/>
      <c r="AC1671" s="269"/>
      <c r="AD1671" s="269"/>
      <c r="AE1671" s="269"/>
    </row>
    <row r="1672" spans="1:31" ht="26.25">
      <c r="A1672" s="269"/>
      <c r="B1672" s="269"/>
      <c r="C1672" s="269"/>
      <c r="D1672" s="269"/>
      <c r="E1672" s="269"/>
      <c r="F1672" s="269"/>
      <c r="G1672" s="269"/>
      <c r="H1672" s="269"/>
      <c r="I1672" s="269"/>
      <c r="J1672" s="334"/>
      <c r="K1672" s="334"/>
      <c r="L1672" s="334"/>
      <c r="M1672" s="328"/>
      <c r="N1672" s="328"/>
      <c r="O1672" s="386"/>
      <c r="P1672" s="356"/>
      <c r="Q1672" s="380"/>
      <c r="S1672" s="336"/>
      <c r="T1672" s="62" ph="1"/>
      <c r="V1672" s="232"/>
      <c r="W1672" s="269"/>
      <c r="X1672" s="201"/>
      <c r="Y1672" s="269"/>
      <c r="Z1672" s="269"/>
      <c r="AA1672" s="269"/>
      <c r="AB1672" s="269"/>
      <c r="AC1672" s="269"/>
      <c r="AD1672" s="269"/>
      <c r="AE1672" s="269"/>
    </row>
    <row r="1673" spans="1:31" ht="26.25">
      <c r="A1673" s="269"/>
      <c r="B1673" s="269"/>
      <c r="C1673" s="269"/>
      <c r="D1673" s="269"/>
      <c r="E1673" s="269"/>
      <c r="F1673" s="269"/>
      <c r="G1673" s="269"/>
      <c r="H1673" s="269"/>
      <c r="I1673" s="269"/>
      <c r="J1673" s="334"/>
      <c r="K1673" s="334"/>
      <c r="L1673" s="334"/>
      <c r="M1673" s="328"/>
      <c r="N1673" s="328"/>
      <c r="O1673" s="386"/>
      <c r="P1673" s="356"/>
      <c r="Q1673" s="380"/>
      <c r="S1673" s="336"/>
      <c r="T1673" s="62" ph="1"/>
      <c r="V1673" s="232"/>
      <c r="W1673" s="269"/>
      <c r="X1673" s="201"/>
      <c r="Y1673" s="269"/>
      <c r="Z1673" s="269"/>
      <c r="AA1673" s="269"/>
      <c r="AB1673" s="269"/>
      <c r="AC1673" s="269"/>
      <c r="AD1673" s="269"/>
      <c r="AE1673" s="269"/>
    </row>
    <row r="1674" spans="1:31" ht="26.25">
      <c r="A1674" s="269"/>
      <c r="B1674" s="269"/>
      <c r="C1674" s="269"/>
      <c r="D1674" s="269"/>
      <c r="E1674" s="269"/>
      <c r="F1674" s="269"/>
      <c r="G1674" s="269"/>
      <c r="H1674" s="269"/>
      <c r="I1674" s="269"/>
      <c r="J1674" s="334"/>
      <c r="K1674" s="334"/>
      <c r="L1674" s="334"/>
      <c r="M1674" s="328"/>
      <c r="N1674" s="328"/>
      <c r="O1674" s="386"/>
      <c r="P1674" s="356"/>
      <c r="Q1674" s="380"/>
      <c r="S1674" s="336"/>
      <c r="T1674" s="62" ph="1"/>
      <c r="V1674" s="232"/>
      <c r="W1674" s="269"/>
      <c r="X1674" s="201"/>
      <c r="Y1674" s="269"/>
      <c r="Z1674" s="269"/>
      <c r="AA1674" s="269"/>
      <c r="AB1674" s="269"/>
      <c r="AC1674" s="269"/>
      <c r="AD1674" s="269"/>
      <c r="AE1674" s="269"/>
    </row>
    <row r="1675" spans="1:31" ht="26.25">
      <c r="A1675" s="269"/>
      <c r="B1675" s="269"/>
      <c r="C1675" s="269"/>
      <c r="D1675" s="269"/>
      <c r="E1675" s="269"/>
      <c r="F1675" s="269"/>
      <c r="G1675" s="269"/>
      <c r="H1675" s="269"/>
      <c r="I1675" s="269"/>
      <c r="J1675" s="334"/>
      <c r="K1675" s="334"/>
      <c r="L1675" s="334"/>
      <c r="M1675" s="328"/>
      <c r="N1675" s="328"/>
      <c r="O1675" s="386"/>
      <c r="P1675" s="356"/>
      <c r="Q1675" s="380"/>
      <c r="S1675" s="336"/>
      <c r="T1675" s="62" ph="1"/>
      <c r="V1675" s="232"/>
      <c r="W1675" s="269"/>
      <c r="X1675" s="201"/>
      <c r="Y1675" s="269"/>
      <c r="Z1675" s="269"/>
      <c r="AA1675" s="269"/>
      <c r="AB1675" s="269"/>
      <c r="AC1675" s="269"/>
      <c r="AD1675" s="269"/>
      <c r="AE1675" s="269"/>
    </row>
    <row r="1676" spans="1:31" ht="26.25">
      <c r="A1676" s="269"/>
      <c r="B1676" s="269"/>
      <c r="C1676" s="269"/>
      <c r="D1676" s="269"/>
      <c r="E1676" s="269"/>
      <c r="F1676" s="269"/>
      <c r="G1676" s="269"/>
      <c r="H1676" s="269"/>
      <c r="I1676" s="269"/>
      <c r="J1676" s="334"/>
      <c r="K1676" s="334"/>
      <c r="L1676" s="334"/>
      <c r="M1676" s="328"/>
      <c r="N1676" s="328"/>
      <c r="O1676" s="386"/>
      <c r="P1676" s="356"/>
      <c r="Q1676" s="380"/>
      <c r="S1676" s="336"/>
      <c r="T1676" s="62" ph="1"/>
      <c r="V1676" s="232"/>
      <c r="W1676" s="269"/>
      <c r="X1676" s="201"/>
      <c r="Y1676" s="269"/>
      <c r="Z1676" s="269"/>
      <c r="AA1676" s="269"/>
      <c r="AB1676" s="269"/>
      <c r="AC1676" s="269"/>
      <c r="AD1676" s="269"/>
      <c r="AE1676" s="269"/>
    </row>
    <row r="1677" spans="1:31" ht="26.25">
      <c r="A1677" s="269"/>
      <c r="B1677" s="269"/>
      <c r="C1677" s="269"/>
      <c r="D1677" s="269"/>
      <c r="E1677" s="269"/>
      <c r="F1677" s="269"/>
      <c r="G1677" s="269"/>
      <c r="H1677" s="269"/>
      <c r="I1677" s="269"/>
      <c r="J1677" s="334"/>
      <c r="K1677" s="334"/>
      <c r="L1677" s="334"/>
      <c r="M1677" s="328"/>
      <c r="N1677" s="328"/>
      <c r="O1677" s="386"/>
      <c r="P1677" s="356"/>
      <c r="Q1677" s="380"/>
      <c r="S1677" s="336"/>
      <c r="T1677" s="62" ph="1"/>
      <c r="V1677" s="232"/>
      <c r="W1677" s="269"/>
      <c r="X1677" s="201"/>
      <c r="Y1677" s="269"/>
      <c r="Z1677" s="269"/>
      <c r="AA1677" s="269"/>
      <c r="AB1677" s="269"/>
      <c r="AC1677" s="269"/>
      <c r="AD1677" s="269"/>
      <c r="AE1677" s="269"/>
    </row>
    <row r="1678" spans="1:31" ht="26.25">
      <c r="A1678" s="269"/>
      <c r="B1678" s="269"/>
      <c r="C1678" s="269"/>
      <c r="D1678" s="269"/>
      <c r="E1678" s="269"/>
      <c r="F1678" s="269"/>
      <c r="G1678" s="269"/>
      <c r="H1678" s="269"/>
      <c r="I1678" s="269"/>
      <c r="J1678" s="334"/>
      <c r="K1678" s="334"/>
      <c r="L1678" s="334"/>
      <c r="M1678" s="328"/>
      <c r="N1678" s="328"/>
      <c r="O1678" s="386"/>
      <c r="P1678" s="356"/>
      <c r="Q1678" s="380"/>
      <c r="S1678" s="336"/>
      <c r="T1678" s="62" ph="1"/>
      <c r="V1678" s="232"/>
      <c r="W1678" s="269"/>
      <c r="X1678" s="201"/>
      <c r="Y1678" s="269"/>
      <c r="Z1678" s="269"/>
      <c r="AA1678" s="269"/>
      <c r="AB1678" s="269"/>
      <c r="AC1678" s="269"/>
      <c r="AD1678" s="269"/>
      <c r="AE1678" s="269"/>
    </row>
    <row r="1679" spans="1:31" ht="26.25">
      <c r="A1679" s="269"/>
      <c r="B1679" s="269"/>
      <c r="C1679" s="269"/>
      <c r="D1679" s="269"/>
      <c r="E1679" s="269"/>
      <c r="F1679" s="269"/>
      <c r="G1679" s="269"/>
      <c r="H1679" s="269"/>
      <c r="I1679" s="269"/>
      <c r="J1679" s="334"/>
      <c r="K1679" s="334"/>
      <c r="L1679" s="334"/>
      <c r="M1679" s="328"/>
      <c r="N1679" s="328"/>
      <c r="O1679" s="386"/>
      <c r="P1679" s="356"/>
      <c r="Q1679" s="380"/>
      <c r="S1679" s="336"/>
      <c r="T1679" s="62" ph="1"/>
      <c r="V1679" s="232"/>
      <c r="W1679" s="269"/>
      <c r="X1679" s="201"/>
      <c r="Y1679" s="269"/>
      <c r="Z1679" s="269"/>
      <c r="AA1679" s="269"/>
      <c r="AB1679" s="269"/>
      <c r="AC1679" s="269"/>
      <c r="AD1679" s="269"/>
      <c r="AE1679" s="269"/>
    </row>
    <row r="1680" spans="1:31" ht="26.25">
      <c r="A1680" s="269"/>
      <c r="B1680" s="269"/>
      <c r="C1680" s="269"/>
      <c r="D1680" s="269"/>
      <c r="E1680" s="269"/>
      <c r="F1680" s="269"/>
      <c r="G1680" s="269"/>
      <c r="H1680" s="269"/>
      <c r="I1680" s="269"/>
      <c r="J1680" s="334"/>
      <c r="K1680" s="334"/>
      <c r="L1680" s="334"/>
      <c r="M1680" s="328"/>
      <c r="N1680" s="328"/>
      <c r="O1680" s="386"/>
      <c r="P1680" s="356"/>
      <c r="Q1680" s="380"/>
      <c r="S1680" s="336"/>
      <c r="T1680" s="62" ph="1"/>
      <c r="V1680" s="232"/>
      <c r="W1680" s="269"/>
      <c r="X1680" s="201"/>
      <c r="Y1680" s="269"/>
      <c r="Z1680" s="269"/>
      <c r="AA1680" s="269"/>
      <c r="AB1680" s="269"/>
      <c r="AC1680" s="269"/>
      <c r="AD1680" s="269"/>
      <c r="AE1680" s="269"/>
    </row>
    <row r="1681" spans="1:31" ht="26.25">
      <c r="A1681" s="269"/>
      <c r="B1681" s="269"/>
      <c r="C1681" s="269"/>
      <c r="D1681" s="269"/>
      <c r="E1681" s="269"/>
      <c r="F1681" s="269"/>
      <c r="G1681" s="269"/>
      <c r="H1681" s="269"/>
      <c r="I1681" s="269"/>
      <c r="J1681" s="334"/>
      <c r="K1681" s="334"/>
      <c r="L1681" s="334"/>
      <c r="M1681" s="328"/>
      <c r="N1681" s="328"/>
      <c r="O1681" s="386"/>
      <c r="P1681" s="356"/>
      <c r="Q1681" s="380"/>
      <c r="S1681" s="336"/>
      <c r="T1681" s="62" ph="1"/>
      <c r="V1681" s="232"/>
      <c r="W1681" s="269"/>
      <c r="X1681" s="201"/>
      <c r="Y1681" s="269"/>
      <c r="Z1681" s="269"/>
      <c r="AA1681" s="269"/>
      <c r="AB1681" s="269"/>
      <c r="AC1681" s="269"/>
      <c r="AD1681" s="269"/>
      <c r="AE1681" s="269"/>
    </row>
    <row r="1682" spans="1:31" ht="26.25">
      <c r="A1682" s="269"/>
      <c r="B1682" s="269"/>
      <c r="C1682" s="269"/>
      <c r="D1682" s="269"/>
      <c r="E1682" s="269"/>
      <c r="F1682" s="269"/>
      <c r="G1682" s="269"/>
      <c r="H1682" s="269"/>
      <c r="I1682" s="269"/>
      <c r="J1682" s="334"/>
      <c r="K1682" s="334"/>
      <c r="L1682" s="334"/>
      <c r="M1682" s="328"/>
      <c r="N1682" s="328"/>
      <c r="O1682" s="386"/>
      <c r="P1682" s="356"/>
      <c r="Q1682" s="380"/>
      <c r="S1682" s="336"/>
      <c r="T1682" s="62" ph="1"/>
      <c r="V1682" s="232"/>
      <c r="W1682" s="269"/>
      <c r="X1682" s="201"/>
      <c r="Y1682" s="269"/>
      <c r="Z1682" s="269"/>
      <c r="AA1682" s="269"/>
      <c r="AB1682" s="269"/>
      <c r="AC1682" s="269"/>
      <c r="AD1682" s="269"/>
      <c r="AE1682" s="269"/>
    </row>
    <row r="1683" spans="1:31" ht="26.25">
      <c r="A1683" s="269"/>
      <c r="B1683" s="269"/>
      <c r="C1683" s="269"/>
      <c r="D1683" s="269"/>
      <c r="E1683" s="269"/>
      <c r="F1683" s="269"/>
      <c r="G1683" s="269"/>
      <c r="H1683" s="269"/>
      <c r="I1683" s="269"/>
      <c r="J1683" s="334"/>
      <c r="K1683" s="334"/>
      <c r="L1683" s="334"/>
      <c r="M1683" s="328"/>
      <c r="N1683" s="328"/>
      <c r="O1683" s="386"/>
      <c r="P1683" s="356"/>
      <c r="Q1683" s="380"/>
      <c r="S1683" s="336"/>
      <c r="T1683" s="62" ph="1"/>
      <c r="V1683" s="232"/>
      <c r="W1683" s="269"/>
      <c r="X1683" s="201"/>
      <c r="Y1683" s="269"/>
      <c r="Z1683" s="269"/>
      <c r="AA1683" s="269"/>
      <c r="AB1683" s="269"/>
      <c r="AC1683" s="269"/>
      <c r="AD1683" s="269"/>
      <c r="AE1683" s="269"/>
    </row>
    <row r="1684" spans="1:31" ht="26.25">
      <c r="A1684" s="269"/>
      <c r="B1684" s="269"/>
      <c r="C1684" s="269"/>
      <c r="D1684" s="269"/>
      <c r="E1684" s="269"/>
      <c r="F1684" s="269"/>
      <c r="G1684" s="269"/>
      <c r="H1684" s="269"/>
      <c r="I1684" s="269"/>
      <c r="J1684" s="334"/>
      <c r="K1684" s="334"/>
      <c r="L1684" s="334"/>
      <c r="M1684" s="328"/>
      <c r="N1684" s="328"/>
      <c r="O1684" s="386"/>
      <c r="P1684" s="356"/>
      <c r="Q1684" s="380"/>
      <c r="S1684" s="336"/>
      <c r="T1684" s="62" ph="1"/>
      <c r="V1684" s="232"/>
      <c r="W1684" s="269"/>
      <c r="X1684" s="201"/>
      <c r="Y1684" s="269"/>
      <c r="Z1684" s="269"/>
      <c r="AA1684" s="269"/>
      <c r="AB1684" s="269"/>
      <c r="AC1684" s="269"/>
      <c r="AD1684" s="269"/>
      <c r="AE1684" s="269"/>
    </row>
    <row r="1685" spans="1:31" ht="26.25">
      <c r="A1685" s="269"/>
      <c r="B1685" s="269"/>
      <c r="C1685" s="269"/>
      <c r="D1685" s="269"/>
      <c r="E1685" s="269"/>
      <c r="F1685" s="269"/>
      <c r="G1685" s="269"/>
      <c r="H1685" s="269"/>
      <c r="I1685" s="269"/>
      <c r="J1685" s="334"/>
      <c r="K1685" s="334"/>
      <c r="L1685" s="334"/>
      <c r="M1685" s="328"/>
      <c r="N1685" s="328"/>
      <c r="O1685" s="386"/>
      <c r="P1685" s="356"/>
      <c r="Q1685" s="380"/>
      <c r="S1685" s="336"/>
      <c r="T1685" s="62" ph="1"/>
      <c r="V1685" s="232"/>
      <c r="W1685" s="269"/>
      <c r="X1685" s="201"/>
      <c r="Y1685" s="269"/>
      <c r="Z1685" s="269"/>
      <c r="AA1685" s="269"/>
      <c r="AB1685" s="269"/>
      <c r="AC1685" s="269"/>
      <c r="AD1685" s="269"/>
      <c r="AE1685" s="269"/>
    </row>
    <row r="1686" spans="1:31" ht="26.25">
      <c r="A1686" s="269"/>
      <c r="B1686" s="269"/>
      <c r="C1686" s="269"/>
      <c r="D1686" s="269"/>
      <c r="E1686" s="269"/>
      <c r="F1686" s="269"/>
      <c r="G1686" s="269"/>
      <c r="H1686" s="269"/>
      <c r="I1686" s="269"/>
      <c r="J1686" s="334"/>
      <c r="K1686" s="334"/>
      <c r="L1686" s="334"/>
      <c r="M1686" s="328"/>
      <c r="N1686" s="328"/>
      <c r="O1686" s="386"/>
      <c r="P1686" s="356"/>
      <c r="Q1686" s="380"/>
      <c r="S1686" s="336"/>
      <c r="T1686" s="62" ph="1"/>
      <c r="V1686" s="232"/>
      <c r="W1686" s="269"/>
      <c r="X1686" s="201"/>
      <c r="Y1686" s="269"/>
      <c r="Z1686" s="269"/>
      <c r="AA1686" s="269"/>
      <c r="AB1686" s="269"/>
      <c r="AC1686" s="269"/>
      <c r="AD1686" s="269"/>
      <c r="AE1686" s="269"/>
    </row>
    <row r="1687" spans="1:31" ht="26.25">
      <c r="A1687" s="269"/>
      <c r="B1687" s="269"/>
      <c r="C1687" s="269"/>
      <c r="D1687" s="269"/>
      <c r="E1687" s="269"/>
      <c r="F1687" s="269"/>
      <c r="G1687" s="269"/>
      <c r="H1687" s="269"/>
      <c r="I1687" s="269"/>
      <c r="J1687" s="334"/>
      <c r="K1687" s="334"/>
      <c r="L1687" s="334"/>
      <c r="M1687" s="328"/>
      <c r="N1687" s="328"/>
      <c r="O1687" s="386"/>
      <c r="P1687" s="356"/>
      <c r="Q1687" s="380"/>
      <c r="S1687" s="336"/>
      <c r="T1687" s="62" ph="1"/>
      <c r="V1687" s="232"/>
      <c r="W1687" s="269"/>
      <c r="X1687" s="201"/>
      <c r="Y1687" s="269"/>
      <c r="Z1687" s="269"/>
      <c r="AA1687" s="269"/>
      <c r="AB1687" s="269"/>
      <c r="AC1687" s="269"/>
      <c r="AD1687" s="269"/>
      <c r="AE1687" s="269"/>
    </row>
    <row r="1688" spans="1:31" ht="26.25">
      <c r="A1688" s="269"/>
      <c r="B1688" s="269"/>
      <c r="C1688" s="269"/>
      <c r="D1688" s="269"/>
      <c r="E1688" s="269"/>
      <c r="F1688" s="269"/>
      <c r="G1688" s="269"/>
      <c r="H1688" s="269"/>
      <c r="I1688" s="269"/>
      <c r="J1688" s="334"/>
      <c r="K1688" s="334"/>
      <c r="L1688" s="334"/>
      <c r="M1688" s="328"/>
      <c r="N1688" s="328"/>
      <c r="O1688" s="386"/>
      <c r="P1688" s="356"/>
      <c r="Q1688" s="380"/>
      <c r="S1688" s="336"/>
      <c r="T1688" s="62" ph="1"/>
      <c r="V1688" s="232"/>
      <c r="W1688" s="269"/>
      <c r="X1688" s="201"/>
      <c r="Y1688" s="269"/>
      <c r="Z1688" s="269"/>
      <c r="AA1688" s="269"/>
      <c r="AB1688" s="269"/>
      <c r="AC1688" s="269"/>
      <c r="AD1688" s="269"/>
      <c r="AE1688" s="269"/>
    </row>
    <row r="1689" spans="1:31" ht="26.25">
      <c r="A1689" s="269"/>
      <c r="B1689" s="269"/>
      <c r="C1689" s="269"/>
      <c r="D1689" s="269"/>
      <c r="E1689" s="269"/>
      <c r="F1689" s="269"/>
      <c r="G1689" s="269"/>
      <c r="H1689" s="269"/>
      <c r="I1689" s="269"/>
      <c r="J1689" s="334"/>
      <c r="K1689" s="334"/>
      <c r="L1689" s="334"/>
      <c r="M1689" s="328"/>
      <c r="N1689" s="328"/>
      <c r="O1689" s="386"/>
      <c r="P1689" s="356"/>
      <c r="Q1689" s="380"/>
      <c r="S1689" s="336"/>
      <c r="T1689" s="62" ph="1"/>
      <c r="V1689" s="232"/>
      <c r="W1689" s="269"/>
      <c r="X1689" s="201"/>
      <c r="Y1689" s="269"/>
      <c r="Z1689" s="269"/>
      <c r="AA1689" s="269"/>
      <c r="AB1689" s="269"/>
      <c r="AC1689" s="269"/>
      <c r="AD1689" s="269"/>
      <c r="AE1689" s="269"/>
    </row>
    <row r="1690" spans="1:31" ht="26.25">
      <c r="A1690" s="269"/>
      <c r="B1690" s="269"/>
      <c r="C1690" s="269"/>
      <c r="D1690" s="269"/>
      <c r="E1690" s="269"/>
      <c r="F1690" s="269"/>
      <c r="G1690" s="269"/>
      <c r="H1690" s="269"/>
      <c r="I1690" s="269"/>
      <c r="J1690" s="334"/>
      <c r="K1690" s="334"/>
      <c r="L1690" s="334"/>
      <c r="M1690" s="328"/>
      <c r="N1690" s="328"/>
      <c r="O1690" s="386"/>
      <c r="P1690" s="356"/>
      <c r="Q1690" s="380"/>
      <c r="S1690" s="336"/>
      <c r="T1690" s="62" ph="1"/>
      <c r="V1690" s="232"/>
      <c r="W1690" s="269"/>
      <c r="X1690" s="201"/>
      <c r="Y1690" s="269"/>
      <c r="Z1690" s="269"/>
      <c r="AA1690" s="269"/>
      <c r="AB1690" s="269"/>
      <c r="AC1690" s="269"/>
      <c r="AD1690" s="269"/>
      <c r="AE1690" s="269"/>
    </row>
    <row r="1691" spans="1:31" ht="26.25">
      <c r="A1691" s="269"/>
      <c r="B1691" s="269"/>
      <c r="C1691" s="269"/>
      <c r="D1691" s="269"/>
      <c r="E1691" s="269"/>
      <c r="F1691" s="269"/>
      <c r="G1691" s="269"/>
      <c r="H1691" s="269"/>
      <c r="I1691" s="269"/>
      <c r="J1691" s="334"/>
      <c r="K1691" s="334"/>
      <c r="L1691" s="334"/>
      <c r="M1691" s="328"/>
      <c r="N1691" s="328"/>
      <c r="O1691" s="386"/>
      <c r="P1691" s="356"/>
      <c r="Q1691" s="380"/>
      <c r="S1691" s="336"/>
      <c r="T1691" s="62" ph="1"/>
      <c r="V1691" s="232"/>
      <c r="W1691" s="269"/>
      <c r="X1691" s="201"/>
      <c r="Y1691" s="269"/>
      <c r="Z1691" s="269"/>
      <c r="AA1691" s="269"/>
      <c r="AB1691" s="269"/>
      <c r="AC1691" s="269"/>
      <c r="AD1691" s="269"/>
      <c r="AE1691" s="269"/>
    </row>
    <row r="1692" spans="1:31" ht="26.25">
      <c r="A1692" s="269"/>
      <c r="B1692" s="269"/>
      <c r="C1692" s="269"/>
      <c r="D1692" s="269"/>
      <c r="E1692" s="269"/>
      <c r="F1692" s="269"/>
      <c r="G1692" s="269"/>
      <c r="H1692" s="269"/>
      <c r="I1692" s="269"/>
      <c r="J1692" s="334"/>
      <c r="K1692" s="334"/>
      <c r="L1692" s="334"/>
      <c r="M1692" s="328"/>
      <c r="N1692" s="328"/>
      <c r="O1692" s="386"/>
      <c r="P1692" s="356"/>
      <c r="Q1692" s="380"/>
      <c r="S1692" s="336"/>
      <c r="T1692" s="62" ph="1"/>
      <c r="V1692" s="232"/>
      <c r="W1692" s="269"/>
      <c r="X1692" s="201"/>
      <c r="Y1692" s="269"/>
      <c r="Z1692" s="269"/>
      <c r="AA1692" s="269"/>
      <c r="AB1692" s="269"/>
      <c r="AC1692" s="269"/>
      <c r="AD1692" s="269"/>
      <c r="AE1692" s="269"/>
    </row>
    <row r="1693" spans="1:31" ht="26.25">
      <c r="A1693" s="269"/>
      <c r="B1693" s="269"/>
      <c r="C1693" s="269"/>
      <c r="D1693" s="269"/>
      <c r="E1693" s="269"/>
      <c r="F1693" s="269"/>
      <c r="G1693" s="269"/>
      <c r="H1693" s="269"/>
      <c r="I1693" s="269"/>
      <c r="J1693" s="334"/>
      <c r="K1693" s="334"/>
      <c r="L1693" s="334"/>
      <c r="M1693" s="328"/>
      <c r="N1693" s="328"/>
      <c r="O1693" s="386"/>
      <c r="P1693" s="356"/>
      <c r="Q1693" s="380"/>
      <c r="S1693" s="336"/>
      <c r="T1693" s="62" ph="1"/>
      <c r="V1693" s="232"/>
      <c r="W1693" s="269"/>
      <c r="X1693" s="201"/>
      <c r="Y1693" s="269"/>
      <c r="Z1693" s="269"/>
      <c r="AA1693" s="269"/>
      <c r="AB1693" s="269"/>
      <c r="AC1693" s="269"/>
      <c r="AD1693" s="269"/>
      <c r="AE1693" s="269"/>
    </row>
    <row r="1694" spans="1:31" ht="26.25">
      <c r="A1694" s="269"/>
      <c r="B1694" s="269"/>
      <c r="C1694" s="269"/>
      <c r="D1694" s="269"/>
      <c r="E1694" s="269"/>
      <c r="F1694" s="269"/>
      <c r="G1694" s="269"/>
      <c r="H1694" s="269"/>
      <c r="I1694" s="269"/>
      <c r="J1694" s="334"/>
      <c r="K1694" s="334"/>
      <c r="L1694" s="334"/>
      <c r="M1694" s="328"/>
      <c r="N1694" s="328"/>
      <c r="O1694" s="386"/>
      <c r="P1694" s="356"/>
      <c r="Q1694" s="380"/>
      <c r="S1694" s="336"/>
      <c r="T1694" s="62" ph="1"/>
      <c r="V1694" s="232"/>
      <c r="W1694" s="269"/>
      <c r="X1694" s="201"/>
      <c r="Y1694" s="269"/>
      <c r="Z1694" s="269"/>
      <c r="AA1694" s="269"/>
      <c r="AB1694" s="269"/>
      <c r="AC1694" s="269"/>
      <c r="AD1694" s="269"/>
      <c r="AE1694" s="269"/>
    </row>
    <row r="1695" spans="1:31" ht="26.25">
      <c r="A1695" s="269"/>
      <c r="B1695" s="269"/>
      <c r="C1695" s="269"/>
      <c r="D1695" s="269"/>
      <c r="E1695" s="269"/>
      <c r="F1695" s="269"/>
      <c r="G1695" s="269"/>
      <c r="H1695" s="269"/>
      <c r="I1695" s="269"/>
      <c r="J1695" s="334"/>
      <c r="K1695" s="334"/>
      <c r="L1695" s="334"/>
      <c r="M1695" s="328"/>
      <c r="N1695" s="328"/>
      <c r="O1695" s="386"/>
      <c r="P1695" s="356"/>
      <c r="Q1695" s="380"/>
      <c r="S1695" s="336"/>
      <c r="T1695" s="62" ph="1"/>
      <c r="V1695" s="232"/>
      <c r="W1695" s="269"/>
      <c r="X1695" s="201"/>
      <c r="Y1695" s="269"/>
      <c r="Z1695" s="269"/>
      <c r="AA1695" s="269"/>
      <c r="AB1695" s="269"/>
      <c r="AC1695" s="269"/>
      <c r="AD1695" s="269"/>
      <c r="AE1695" s="269"/>
    </row>
    <row r="1696" spans="1:31" ht="26.25">
      <c r="A1696" s="269"/>
      <c r="B1696" s="269"/>
      <c r="C1696" s="269"/>
      <c r="D1696" s="269"/>
      <c r="E1696" s="269"/>
      <c r="F1696" s="269"/>
      <c r="G1696" s="269"/>
      <c r="H1696" s="269"/>
      <c r="I1696" s="269"/>
      <c r="J1696" s="334"/>
      <c r="K1696" s="334"/>
      <c r="L1696" s="334"/>
      <c r="M1696" s="328"/>
      <c r="N1696" s="328"/>
      <c r="O1696" s="386"/>
      <c r="P1696" s="356"/>
      <c r="Q1696" s="380"/>
      <c r="S1696" s="336"/>
      <c r="T1696" s="62" ph="1"/>
      <c r="V1696" s="232"/>
      <c r="W1696" s="269"/>
      <c r="X1696" s="201"/>
      <c r="Y1696" s="269"/>
      <c r="Z1696" s="269"/>
      <c r="AA1696" s="269"/>
      <c r="AB1696" s="269"/>
      <c r="AC1696" s="269"/>
      <c r="AD1696" s="269"/>
      <c r="AE1696" s="269"/>
    </row>
    <row r="1697" spans="1:31" ht="26.25">
      <c r="A1697" s="269"/>
      <c r="B1697" s="269"/>
      <c r="C1697" s="269"/>
      <c r="D1697" s="269"/>
      <c r="E1697" s="269"/>
      <c r="F1697" s="269"/>
      <c r="G1697" s="269"/>
      <c r="H1697" s="269"/>
      <c r="I1697" s="269"/>
      <c r="J1697" s="334"/>
      <c r="K1697" s="334"/>
      <c r="L1697" s="334"/>
      <c r="M1697" s="328"/>
      <c r="N1697" s="328"/>
      <c r="O1697" s="386"/>
      <c r="P1697" s="356"/>
      <c r="Q1697" s="380"/>
      <c r="S1697" s="336"/>
      <c r="T1697" s="62" ph="1"/>
      <c r="V1697" s="232"/>
      <c r="W1697" s="269"/>
      <c r="X1697" s="201"/>
      <c r="Y1697" s="269"/>
      <c r="Z1697" s="269"/>
      <c r="AA1697" s="269"/>
      <c r="AB1697" s="269"/>
      <c r="AC1697" s="269"/>
      <c r="AD1697" s="269"/>
      <c r="AE1697" s="269"/>
    </row>
    <row r="1698" spans="1:31" ht="26.25">
      <c r="A1698" s="269"/>
      <c r="B1698" s="269"/>
      <c r="C1698" s="269"/>
      <c r="D1698" s="269"/>
      <c r="E1698" s="269"/>
      <c r="F1698" s="269"/>
      <c r="G1698" s="269"/>
      <c r="H1698" s="269"/>
      <c r="I1698" s="269"/>
      <c r="J1698" s="334"/>
      <c r="K1698" s="334"/>
      <c r="L1698" s="334"/>
      <c r="M1698" s="328"/>
      <c r="N1698" s="328"/>
      <c r="O1698" s="386"/>
      <c r="P1698" s="356"/>
      <c r="Q1698" s="380"/>
      <c r="S1698" s="336"/>
      <c r="T1698" s="62" ph="1"/>
      <c r="V1698" s="232"/>
      <c r="W1698" s="269"/>
      <c r="X1698" s="201"/>
      <c r="Y1698" s="269"/>
      <c r="Z1698" s="269"/>
      <c r="AA1698" s="269"/>
      <c r="AB1698" s="269"/>
      <c r="AC1698" s="269"/>
      <c r="AD1698" s="269"/>
      <c r="AE1698" s="269"/>
    </row>
    <row r="1699" spans="1:31" ht="26.25">
      <c r="A1699" s="269"/>
      <c r="B1699" s="269"/>
      <c r="C1699" s="269"/>
      <c r="D1699" s="269"/>
      <c r="E1699" s="269"/>
      <c r="F1699" s="269"/>
      <c r="G1699" s="269"/>
      <c r="H1699" s="269"/>
      <c r="I1699" s="269"/>
      <c r="J1699" s="334"/>
      <c r="K1699" s="334"/>
      <c r="L1699" s="334"/>
      <c r="M1699" s="328"/>
      <c r="N1699" s="328"/>
      <c r="O1699" s="386"/>
      <c r="P1699" s="356"/>
      <c r="Q1699" s="380"/>
      <c r="S1699" s="336"/>
      <c r="T1699" s="62" ph="1"/>
      <c r="V1699" s="232"/>
      <c r="W1699" s="269"/>
      <c r="X1699" s="201"/>
      <c r="Y1699" s="269"/>
      <c r="Z1699" s="269"/>
      <c r="AA1699" s="269"/>
      <c r="AB1699" s="269"/>
      <c r="AC1699" s="269"/>
      <c r="AD1699" s="269"/>
      <c r="AE1699" s="269"/>
    </row>
    <row r="1700" spans="1:31" ht="26.25">
      <c r="A1700" s="269"/>
      <c r="B1700" s="269"/>
      <c r="C1700" s="269"/>
      <c r="D1700" s="269"/>
      <c r="E1700" s="269"/>
      <c r="F1700" s="269"/>
      <c r="G1700" s="269"/>
      <c r="H1700" s="269"/>
      <c r="I1700" s="269"/>
      <c r="J1700" s="334"/>
      <c r="K1700" s="334"/>
      <c r="L1700" s="334"/>
      <c r="M1700" s="328"/>
      <c r="N1700" s="328"/>
      <c r="O1700" s="386"/>
      <c r="P1700" s="356"/>
      <c r="Q1700" s="380"/>
      <c r="S1700" s="336"/>
      <c r="T1700" s="62" ph="1"/>
      <c r="V1700" s="232"/>
      <c r="W1700" s="269"/>
      <c r="X1700" s="201"/>
      <c r="Y1700" s="269"/>
      <c r="Z1700" s="269"/>
      <c r="AA1700" s="269"/>
      <c r="AB1700" s="269"/>
      <c r="AC1700" s="269"/>
      <c r="AD1700" s="269"/>
      <c r="AE1700" s="269"/>
    </row>
    <row r="1701" spans="1:31" ht="26.25">
      <c r="A1701" s="269"/>
      <c r="B1701" s="269"/>
      <c r="C1701" s="269"/>
      <c r="D1701" s="269"/>
      <c r="E1701" s="269"/>
      <c r="F1701" s="269"/>
      <c r="G1701" s="269"/>
      <c r="H1701" s="269"/>
      <c r="I1701" s="269"/>
      <c r="J1701" s="334"/>
      <c r="K1701" s="334"/>
      <c r="L1701" s="334"/>
      <c r="M1701" s="328"/>
      <c r="N1701" s="328"/>
      <c r="O1701" s="386"/>
      <c r="P1701" s="356"/>
      <c r="Q1701" s="380"/>
      <c r="S1701" s="336"/>
      <c r="T1701" s="62" ph="1"/>
      <c r="V1701" s="232"/>
      <c r="W1701" s="269"/>
      <c r="X1701" s="201"/>
      <c r="Y1701" s="269"/>
      <c r="Z1701" s="269"/>
      <c r="AA1701" s="269"/>
      <c r="AB1701" s="269"/>
      <c r="AC1701" s="269"/>
      <c r="AD1701" s="269"/>
      <c r="AE1701" s="269"/>
    </row>
    <row r="1702" spans="1:31" ht="26.25">
      <c r="A1702" s="269"/>
      <c r="B1702" s="269"/>
      <c r="C1702" s="269"/>
      <c r="D1702" s="269"/>
      <c r="E1702" s="269"/>
      <c r="F1702" s="269"/>
      <c r="G1702" s="269"/>
      <c r="H1702" s="269"/>
      <c r="I1702" s="269"/>
      <c r="J1702" s="334"/>
      <c r="K1702" s="334"/>
      <c r="L1702" s="334"/>
      <c r="M1702" s="328"/>
      <c r="N1702" s="328"/>
      <c r="O1702" s="386"/>
      <c r="P1702" s="356"/>
      <c r="Q1702" s="380"/>
      <c r="S1702" s="336"/>
      <c r="T1702" s="62" ph="1"/>
      <c r="V1702" s="232"/>
      <c r="W1702" s="269"/>
      <c r="X1702" s="201"/>
      <c r="Y1702" s="269"/>
      <c r="Z1702" s="269"/>
      <c r="AA1702" s="269"/>
      <c r="AB1702" s="269"/>
      <c r="AC1702" s="269"/>
      <c r="AD1702" s="269"/>
      <c r="AE1702" s="269"/>
    </row>
    <row r="1703" spans="1:31" ht="26.25">
      <c r="A1703" s="269"/>
      <c r="B1703" s="269"/>
      <c r="C1703" s="269"/>
      <c r="D1703" s="269"/>
      <c r="E1703" s="269"/>
      <c r="F1703" s="269"/>
      <c r="G1703" s="269"/>
      <c r="H1703" s="269"/>
      <c r="I1703" s="269"/>
      <c r="J1703" s="334"/>
      <c r="K1703" s="334"/>
      <c r="L1703" s="334"/>
      <c r="M1703" s="328"/>
      <c r="N1703" s="328"/>
      <c r="O1703" s="386"/>
      <c r="P1703" s="356"/>
      <c r="Q1703" s="380"/>
      <c r="S1703" s="336"/>
      <c r="T1703" s="62" ph="1"/>
      <c r="V1703" s="232"/>
      <c r="W1703" s="269"/>
      <c r="X1703" s="201"/>
      <c r="Y1703" s="269"/>
      <c r="Z1703" s="269"/>
      <c r="AA1703" s="269"/>
      <c r="AB1703" s="269"/>
      <c r="AC1703" s="269"/>
      <c r="AD1703" s="269"/>
      <c r="AE1703" s="269"/>
    </row>
    <row r="1704" spans="1:31" ht="26.25">
      <c r="A1704" s="269"/>
      <c r="B1704" s="269"/>
      <c r="C1704" s="269"/>
      <c r="D1704" s="269"/>
      <c r="E1704" s="269"/>
      <c r="F1704" s="269"/>
      <c r="G1704" s="269"/>
      <c r="H1704" s="269"/>
      <c r="I1704" s="269"/>
      <c r="J1704" s="334"/>
      <c r="K1704" s="334"/>
      <c r="L1704" s="334"/>
      <c r="M1704" s="328"/>
      <c r="N1704" s="328"/>
      <c r="O1704" s="386"/>
      <c r="P1704" s="356"/>
      <c r="Q1704" s="380"/>
      <c r="S1704" s="336"/>
      <c r="T1704" s="62" ph="1"/>
      <c r="V1704" s="232"/>
      <c r="W1704" s="269"/>
      <c r="X1704" s="201"/>
      <c r="Y1704" s="269"/>
      <c r="Z1704" s="269"/>
      <c r="AA1704" s="269"/>
      <c r="AB1704" s="269"/>
      <c r="AC1704" s="269"/>
      <c r="AD1704" s="269"/>
      <c r="AE1704" s="269"/>
    </row>
    <row r="1705" spans="1:31" ht="26.25">
      <c r="A1705" s="269"/>
      <c r="B1705" s="269"/>
      <c r="C1705" s="269"/>
      <c r="D1705" s="269"/>
      <c r="E1705" s="269"/>
      <c r="F1705" s="269"/>
      <c r="G1705" s="269"/>
      <c r="H1705" s="269"/>
      <c r="I1705" s="269"/>
      <c r="J1705" s="334"/>
      <c r="K1705" s="334"/>
      <c r="L1705" s="334"/>
      <c r="M1705" s="328"/>
      <c r="N1705" s="328"/>
      <c r="O1705" s="386"/>
      <c r="P1705" s="356"/>
      <c r="Q1705" s="380"/>
      <c r="S1705" s="336"/>
      <c r="T1705" s="62" ph="1"/>
      <c r="V1705" s="232"/>
      <c r="W1705" s="269"/>
      <c r="X1705" s="201"/>
      <c r="Y1705" s="269"/>
      <c r="Z1705" s="269"/>
      <c r="AA1705" s="269"/>
      <c r="AB1705" s="269"/>
      <c r="AC1705" s="269"/>
      <c r="AD1705" s="269"/>
      <c r="AE1705" s="269"/>
    </row>
    <row r="1706" spans="1:31" ht="26.25">
      <c r="A1706" s="269"/>
      <c r="B1706" s="269"/>
      <c r="C1706" s="269"/>
      <c r="D1706" s="269"/>
      <c r="E1706" s="269"/>
      <c r="F1706" s="269"/>
      <c r="G1706" s="269"/>
      <c r="H1706" s="269"/>
      <c r="I1706" s="269"/>
      <c r="J1706" s="334"/>
      <c r="K1706" s="334"/>
      <c r="L1706" s="334"/>
      <c r="M1706" s="328"/>
      <c r="N1706" s="328"/>
      <c r="O1706" s="386"/>
      <c r="P1706" s="356"/>
      <c r="Q1706" s="380"/>
      <c r="S1706" s="336"/>
      <c r="T1706" s="62" ph="1"/>
      <c r="V1706" s="232"/>
      <c r="W1706" s="269"/>
      <c r="X1706" s="201"/>
      <c r="Y1706" s="269"/>
      <c r="Z1706" s="269"/>
      <c r="AA1706" s="269"/>
      <c r="AB1706" s="269"/>
      <c r="AC1706" s="269"/>
      <c r="AD1706" s="269"/>
      <c r="AE1706" s="269"/>
    </row>
    <row r="1707" spans="1:31" ht="26.25">
      <c r="A1707" s="269"/>
      <c r="B1707" s="269"/>
      <c r="C1707" s="269"/>
      <c r="D1707" s="269"/>
      <c r="E1707" s="269"/>
      <c r="F1707" s="269"/>
      <c r="G1707" s="269"/>
      <c r="H1707" s="269"/>
      <c r="I1707" s="269"/>
      <c r="J1707" s="334"/>
      <c r="K1707" s="334"/>
      <c r="L1707" s="334"/>
      <c r="M1707" s="328"/>
      <c r="N1707" s="328"/>
      <c r="O1707" s="386"/>
      <c r="P1707" s="356"/>
      <c r="Q1707" s="380"/>
      <c r="S1707" s="336"/>
      <c r="T1707" s="62" ph="1"/>
      <c r="V1707" s="232"/>
      <c r="W1707" s="269"/>
      <c r="X1707" s="201"/>
      <c r="Y1707" s="269"/>
      <c r="Z1707" s="269"/>
      <c r="AA1707" s="269"/>
      <c r="AB1707" s="269"/>
      <c r="AC1707" s="269"/>
      <c r="AD1707" s="269"/>
      <c r="AE1707" s="269"/>
    </row>
    <row r="1708" spans="1:31" ht="26.25">
      <c r="A1708" s="269"/>
      <c r="B1708" s="269"/>
      <c r="C1708" s="269"/>
      <c r="D1708" s="269"/>
      <c r="E1708" s="269"/>
      <c r="F1708" s="269"/>
      <c r="G1708" s="269"/>
      <c r="H1708" s="269"/>
      <c r="I1708" s="269"/>
      <c r="J1708" s="334"/>
      <c r="K1708" s="334"/>
      <c r="L1708" s="334"/>
      <c r="M1708" s="328"/>
      <c r="N1708" s="328"/>
      <c r="O1708" s="386"/>
      <c r="P1708" s="356"/>
      <c r="Q1708" s="380"/>
      <c r="S1708" s="336"/>
      <c r="T1708" s="62" ph="1"/>
      <c r="V1708" s="232"/>
      <c r="W1708" s="269"/>
      <c r="X1708" s="201"/>
      <c r="Y1708" s="269"/>
      <c r="Z1708" s="269"/>
      <c r="AA1708" s="269"/>
      <c r="AB1708" s="269"/>
      <c r="AC1708" s="269"/>
      <c r="AD1708" s="269"/>
      <c r="AE1708" s="269"/>
    </row>
    <row r="1709" spans="1:31" ht="26.25">
      <c r="A1709" s="269"/>
      <c r="B1709" s="269"/>
      <c r="C1709" s="269"/>
      <c r="D1709" s="269"/>
      <c r="E1709" s="269"/>
      <c r="F1709" s="269"/>
      <c r="G1709" s="269"/>
      <c r="H1709" s="269"/>
      <c r="I1709" s="269"/>
      <c r="J1709" s="334"/>
      <c r="K1709" s="334"/>
      <c r="L1709" s="334"/>
      <c r="M1709" s="328"/>
      <c r="N1709" s="328"/>
      <c r="O1709" s="386"/>
      <c r="P1709" s="356"/>
      <c r="Q1709" s="380"/>
      <c r="S1709" s="336"/>
      <c r="T1709" s="62" ph="1"/>
      <c r="V1709" s="232"/>
      <c r="W1709" s="269"/>
      <c r="X1709" s="201"/>
      <c r="Y1709" s="269"/>
      <c r="Z1709" s="269"/>
      <c r="AA1709" s="269"/>
      <c r="AB1709" s="269"/>
      <c r="AC1709" s="269"/>
      <c r="AD1709" s="269"/>
      <c r="AE1709" s="269"/>
    </row>
    <row r="1710" spans="1:31" ht="26.25">
      <c r="A1710" s="269"/>
      <c r="B1710" s="269"/>
      <c r="C1710" s="269"/>
      <c r="D1710" s="269"/>
      <c r="E1710" s="269"/>
      <c r="F1710" s="269"/>
      <c r="G1710" s="269"/>
      <c r="H1710" s="269"/>
      <c r="I1710" s="269"/>
      <c r="J1710" s="334"/>
      <c r="K1710" s="334"/>
      <c r="L1710" s="334"/>
      <c r="M1710" s="328"/>
      <c r="N1710" s="328"/>
      <c r="O1710" s="386"/>
      <c r="P1710" s="356"/>
      <c r="Q1710" s="380"/>
      <c r="S1710" s="336"/>
      <c r="T1710" s="62" ph="1"/>
      <c r="V1710" s="232"/>
      <c r="W1710" s="269"/>
      <c r="X1710" s="201"/>
      <c r="Y1710" s="269"/>
      <c r="Z1710" s="269"/>
      <c r="AA1710" s="269"/>
      <c r="AB1710" s="269"/>
      <c r="AC1710" s="269"/>
      <c r="AD1710" s="269"/>
      <c r="AE1710" s="269"/>
    </row>
    <row r="1711" spans="1:31" ht="26.25">
      <c r="A1711" s="269"/>
      <c r="B1711" s="269"/>
      <c r="C1711" s="269"/>
      <c r="D1711" s="269"/>
      <c r="E1711" s="269"/>
      <c r="F1711" s="269"/>
      <c r="G1711" s="269"/>
      <c r="H1711" s="269"/>
      <c r="I1711" s="269"/>
      <c r="J1711" s="334"/>
      <c r="K1711" s="334"/>
      <c r="L1711" s="334"/>
      <c r="M1711" s="328"/>
      <c r="N1711" s="328"/>
      <c r="O1711" s="386"/>
      <c r="P1711" s="356"/>
      <c r="Q1711" s="380"/>
      <c r="S1711" s="336"/>
      <c r="T1711" s="62" ph="1"/>
      <c r="V1711" s="232"/>
      <c r="W1711" s="269"/>
      <c r="X1711" s="201"/>
      <c r="Y1711" s="269"/>
      <c r="Z1711" s="269"/>
      <c r="AA1711" s="269"/>
      <c r="AB1711" s="269"/>
      <c r="AC1711" s="269"/>
      <c r="AD1711" s="269"/>
      <c r="AE1711" s="269"/>
    </row>
    <row r="1712" spans="1:31" ht="26.25">
      <c r="A1712" s="269"/>
      <c r="B1712" s="269"/>
      <c r="C1712" s="269"/>
      <c r="D1712" s="269"/>
      <c r="E1712" s="269"/>
      <c r="F1712" s="269"/>
      <c r="G1712" s="269"/>
      <c r="H1712" s="269"/>
      <c r="I1712" s="269"/>
      <c r="J1712" s="334"/>
      <c r="K1712" s="334"/>
      <c r="L1712" s="334"/>
      <c r="M1712" s="328"/>
      <c r="N1712" s="328"/>
      <c r="O1712" s="386"/>
      <c r="P1712" s="356"/>
      <c r="Q1712" s="380"/>
      <c r="S1712" s="336"/>
      <c r="T1712" s="62" ph="1"/>
      <c r="V1712" s="232"/>
      <c r="W1712" s="269"/>
      <c r="X1712" s="201"/>
      <c r="Y1712" s="269"/>
      <c r="Z1712" s="269"/>
      <c r="AA1712" s="269"/>
      <c r="AB1712" s="269"/>
      <c r="AC1712" s="269"/>
      <c r="AD1712" s="269"/>
      <c r="AE1712" s="269"/>
    </row>
    <row r="1713" spans="1:31" ht="26.25">
      <c r="A1713" s="269"/>
      <c r="B1713" s="269"/>
      <c r="C1713" s="269"/>
      <c r="D1713" s="269"/>
      <c r="E1713" s="269"/>
      <c r="F1713" s="269"/>
      <c r="G1713" s="269"/>
      <c r="H1713" s="269"/>
      <c r="I1713" s="269"/>
      <c r="J1713" s="334"/>
      <c r="K1713" s="334"/>
      <c r="L1713" s="334"/>
      <c r="M1713" s="328"/>
      <c r="N1713" s="328"/>
      <c r="O1713" s="386"/>
      <c r="P1713" s="356"/>
      <c r="Q1713" s="380"/>
      <c r="S1713" s="336"/>
      <c r="T1713" s="62" ph="1"/>
      <c r="V1713" s="232"/>
      <c r="W1713" s="269"/>
      <c r="X1713" s="201"/>
      <c r="Y1713" s="269"/>
      <c r="Z1713" s="269"/>
      <c r="AA1713" s="269"/>
      <c r="AB1713" s="269"/>
      <c r="AC1713" s="269"/>
      <c r="AD1713" s="269"/>
      <c r="AE1713" s="269"/>
    </row>
    <row r="1714" spans="1:31" ht="26.25">
      <c r="A1714" s="269"/>
      <c r="B1714" s="269"/>
      <c r="C1714" s="269"/>
      <c r="D1714" s="269"/>
      <c r="E1714" s="269"/>
      <c r="F1714" s="269"/>
      <c r="G1714" s="269"/>
      <c r="H1714" s="269"/>
      <c r="I1714" s="269"/>
      <c r="J1714" s="334"/>
      <c r="K1714" s="334"/>
      <c r="L1714" s="334"/>
      <c r="M1714" s="328"/>
      <c r="N1714" s="328"/>
      <c r="O1714" s="386"/>
      <c r="P1714" s="356"/>
      <c r="Q1714" s="380"/>
      <c r="S1714" s="336"/>
      <c r="T1714" s="62" ph="1"/>
      <c r="V1714" s="232"/>
      <c r="W1714" s="269"/>
      <c r="X1714" s="201"/>
      <c r="Y1714" s="269"/>
      <c r="Z1714" s="269"/>
      <c r="AA1714" s="269"/>
      <c r="AB1714" s="269"/>
      <c r="AC1714" s="269"/>
      <c r="AD1714" s="269"/>
      <c r="AE1714" s="269"/>
    </row>
    <row r="1715" spans="1:31" ht="26.25">
      <c r="A1715" s="269"/>
      <c r="B1715" s="269"/>
      <c r="C1715" s="269"/>
      <c r="D1715" s="269"/>
      <c r="E1715" s="269"/>
      <c r="F1715" s="269"/>
      <c r="G1715" s="269"/>
      <c r="H1715" s="269"/>
      <c r="I1715" s="269"/>
      <c r="J1715" s="334"/>
      <c r="K1715" s="334"/>
      <c r="L1715" s="334"/>
      <c r="M1715" s="328"/>
      <c r="N1715" s="328"/>
      <c r="O1715" s="386"/>
      <c r="P1715" s="356"/>
      <c r="Q1715" s="380"/>
      <c r="S1715" s="336"/>
      <c r="T1715" s="62" ph="1"/>
      <c r="V1715" s="232"/>
      <c r="W1715" s="269"/>
      <c r="X1715" s="201"/>
      <c r="Y1715" s="269"/>
      <c r="Z1715" s="269"/>
      <c r="AA1715" s="269"/>
      <c r="AB1715" s="269"/>
      <c r="AC1715" s="269"/>
      <c r="AD1715" s="269"/>
      <c r="AE1715" s="269"/>
    </row>
    <row r="1716" spans="1:31" ht="26.25">
      <c r="A1716" s="269"/>
      <c r="B1716" s="269"/>
      <c r="C1716" s="269"/>
      <c r="D1716" s="269"/>
      <c r="E1716" s="269"/>
      <c r="F1716" s="269"/>
      <c r="G1716" s="269"/>
      <c r="H1716" s="269"/>
      <c r="I1716" s="269"/>
      <c r="J1716" s="334"/>
      <c r="K1716" s="334"/>
      <c r="L1716" s="334"/>
      <c r="M1716" s="328"/>
      <c r="N1716" s="328"/>
      <c r="O1716" s="386"/>
      <c r="P1716" s="356"/>
      <c r="Q1716" s="380"/>
      <c r="S1716" s="336"/>
      <c r="T1716" s="62" ph="1"/>
      <c r="V1716" s="232"/>
      <c r="W1716" s="269"/>
      <c r="X1716" s="201"/>
      <c r="Y1716" s="269"/>
      <c r="Z1716" s="269"/>
      <c r="AA1716" s="269"/>
      <c r="AB1716" s="269"/>
      <c r="AC1716" s="269"/>
      <c r="AD1716" s="269"/>
      <c r="AE1716" s="269"/>
    </row>
    <row r="1717" spans="1:31" ht="26.25">
      <c r="A1717" s="269"/>
      <c r="B1717" s="269"/>
      <c r="C1717" s="269"/>
      <c r="D1717" s="269"/>
      <c r="E1717" s="269"/>
      <c r="F1717" s="269"/>
      <c r="G1717" s="269"/>
      <c r="H1717" s="269"/>
      <c r="I1717" s="269"/>
      <c r="J1717" s="334"/>
      <c r="K1717" s="334"/>
      <c r="L1717" s="334"/>
      <c r="M1717" s="328"/>
      <c r="N1717" s="328"/>
      <c r="O1717" s="386"/>
      <c r="P1717" s="356"/>
      <c r="Q1717" s="380"/>
      <c r="S1717" s="336"/>
      <c r="T1717" s="62" ph="1"/>
      <c r="V1717" s="232"/>
      <c r="W1717" s="269"/>
      <c r="X1717" s="201"/>
      <c r="Y1717" s="269"/>
      <c r="Z1717" s="269"/>
      <c r="AA1717" s="269"/>
      <c r="AB1717" s="269"/>
      <c r="AC1717" s="269"/>
      <c r="AD1717" s="269"/>
      <c r="AE1717" s="269"/>
    </row>
    <row r="1718" spans="1:31" ht="26.25">
      <c r="A1718" s="269"/>
      <c r="B1718" s="269"/>
      <c r="C1718" s="269"/>
      <c r="D1718" s="269"/>
      <c r="E1718" s="269"/>
      <c r="F1718" s="269"/>
      <c r="G1718" s="269"/>
      <c r="H1718" s="269"/>
      <c r="I1718" s="269"/>
      <c r="J1718" s="334"/>
      <c r="K1718" s="334"/>
      <c r="L1718" s="334"/>
      <c r="M1718" s="328"/>
      <c r="N1718" s="328"/>
      <c r="O1718" s="386"/>
      <c r="P1718" s="356"/>
      <c r="Q1718" s="380"/>
      <c r="S1718" s="336"/>
      <c r="T1718" s="62" ph="1"/>
      <c r="V1718" s="232"/>
      <c r="W1718" s="269"/>
      <c r="X1718" s="201"/>
      <c r="Y1718" s="269"/>
      <c r="Z1718" s="269"/>
      <c r="AA1718" s="269"/>
      <c r="AB1718" s="269"/>
      <c r="AC1718" s="269"/>
      <c r="AD1718" s="269"/>
      <c r="AE1718" s="269"/>
    </row>
    <row r="1719" spans="1:31" ht="26.25">
      <c r="A1719" s="269"/>
      <c r="B1719" s="269"/>
      <c r="C1719" s="269"/>
      <c r="D1719" s="269"/>
      <c r="E1719" s="269"/>
      <c r="F1719" s="269"/>
      <c r="G1719" s="269"/>
      <c r="H1719" s="269"/>
      <c r="I1719" s="269"/>
      <c r="J1719" s="334"/>
      <c r="K1719" s="334"/>
      <c r="L1719" s="334"/>
      <c r="M1719" s="328"/>
      <c r="N1719" s="328"/>
      <c r="O1719" s="386"/>
      <c r="P1719" s="356"/>
      <c r="Q1719" s="380"/>
      <c r="S1719" s="336"/>
      <c r="T1719" s="62" ph="1"/>
      <c r="V1719" s="232"/>
      <c r="W1719" s="269"/>
      <c r="X1719" s="201"/>
      <c r="Y1719" s="269"/>
      <c r="Z1719" s="269"/>
      <c r="AA1719" s="269"/>
      <c r="AB1719" s="269"/>
      <c r="AC1719" s="269"/>
      <c r="AD1719" s="269"/>
      <c r="AE1719" s="269"/>
    </row>
    <row r="1720" spans="1:31" ht="26.25">
      <c r="A1720" s="269"/>
      <c r="B1720" s="269"/>
      <c r="C1720" s="269"/>
      <c r="D1720" s="269"/>
      <c r="E1720" s="269"/>
      <c r="F1720" s="269"/>
      <c r="G1720" s="269"/>
      <c r="H1720" s="269"/>
      <c r="I1720" s="269"/>
      <c r="J1720" s="334"/>
      <c r="K1720" s="334"/>
      <c r="L1720" s="334"/>
      <c r="M1720" s="328"/>
      <c r="N1720" s="328"/>
      <c r="O1720" s="386"/>
      <c r="P1720" s="356"/>
      <c r="Q1720" s="380"/>
      <c r="S1720" s="336"/>
      <c r="T1720" s="62" ph="1"/>
      <c r="V1720" s="232"/>
      <c r="W1720" s="269"/>
      <c r="X1720" s="201"/>
      <c r="Y1720" s="269"/>
      <c r="Z1720" s="269"/>
      <c r="AA1720" s="269"/>
      <c r="AB1720" s="269"/>
      <c r="AC1720" s="269"/>
      <c r="AD1720" s="269"/>
      <c r="AE1720" s="269"/>
    </row>
    <row r="1721" spans="1:31" ht="26.25">
      <c r="A1721" s="269"/>
      <c r="B1721" s="269"/>
      <c r="C1721" s="269"/>
      <c r="D1721" s="269"/>
      <c r="E1721" s="269"/>
      <c r="F1721" s="269"/>
      <c r="G1721" s="269"/>
      <c r="H1721" s="269"/>
      <c r="I1721" s="269"/>
      <c r="J1721" s="334"/>
      <c r="K1721" s="334"/>
      <c r="L1721" s="334"/>
      <c r="M1721" s="328"/>
      <c r="N1721" s="328"/>
      <c r="O1721" s="386"/>
      <c r="P1721" s="356"/>
      <c r="Q1721" s="380"/>
      <c r="S1721" s="336"/>
      <c r="T1721" s="62" ph="1"/>
      <c r="V1721" s="232"/>
      <c r="W1721" s="269"/>
      <c r="X1721" s="201"/>
      <c r="Y1721" s="269"/>
      <c r="Z1721" s="269"/>
      <c r="AA1721" s="269"/>
      <c r="AB1721" s="269"/>
      <c r="AC1721" s="269"/>
      <c r="AD1721" s="269"/>
      <c r="AE1721" s="269"/>
    </row>
    <row r="1722" spans="1:31" ht="26.25">
      <c r="A1722" s="269"/>
      <c r="B1722" s="269"/>
      <c r="C1722" s="269"/>
      <c r="D1722" s="269"/>
      <c r="E1722" s="269"/>
      <c r="F1722" s="269"/>
      <c r="G1722" s="269"/>
      <c r="H1722" s="269"/>
      <c r="I1722" s="269"/>
      <c r="J1722" s="334"/>
      <c r="K1722" s="334"/>
      <c r="L1722" s="334"/>
      <c r="M1722" s="328"/>
      <c r="N1722" s="328"/>
      <c r="O1722" s="386"/>
      <c r="P1722" s="356"/>
      <c r="Q1722" s="380"/>
      <c r="S1722" s="336"/>
      <c r="T1722" s="62" ph="1"/>
      <c r="V1722" s="232"/>
      <c r="W1722" s="269"/>
      <c r="X1722" s="201"/>
      <c r="Y1722" s="269"/>
      <c r="Z1722" s="269"/>
      <c r="AA1722" s="269"/>
      <c r="AB1722" s="269"/>
      <c r="AC1722" s="269"/>
      <c r="AD1722" s="269"/>
      <c r="AE1722" s="269"/>
    </row>
    <row r="1723" spans="1:31" ht="26.25">
      <c r="A1723" s="269"/>
      <c r="B1723" s="269"/>
      <c r="C1723" s="269"/>
      <c r="D1723" s="269"/>
      <c r="E1723" s="269"/>
      <c r="F1723" s="269"/>
      <c r="G1723" s="269"/>
      <c r="H1723" s="269"/>
      <c r="I1723" s="269"/>
      <c r="J1723" s="334"/>
      <c r="K1723" s="334"/>
      <c r="L1723" s="334"/>
      <c r="M1723" s="328"/>
      <c r="N1723" s="328"/>
      <c r="O1723" s="386"/>
      <c r="P1723" s="356"/>
      <c r="Q1723" s="380"/>
      <c r="S1723" s="336"/>
      <c r="T1723" s="62" ph="1"/>
      <c r="V1723" s="232"/>
      <c r="W1723" s="269"/>
      <c r="X1723" s="201"/>
      <c r="Y1723" s="269"/>
      <c r="Z1723" s="269"/>
      <c r="AA1723" s="269"/>
      <c r="AB1723" s="269"/>
      <c r="AC1723" s="269"/>
      <c r="AD1723" s="269"/>
      <c r="AE1723" s="269"/>
    </row>
    <row r="1724" spans="1:31" ht="26.25">
      <c r="A1724" s="269"/>
      <c r="B1724" s="269"/>
      <c r="C1724" s="269"/>
      <c r="D1724" s="269"/>
      <c r="E1724" s="269"/>
      <c r="F1724" s="269"/>
      <c r="G1724" s="269"/>
      <c r="H1724" s="269"/>
      <c r="I1724" s="269"/>
      <c r="J1724" s="334"/>
      <c r="K1724" s="334"/>
      <c r="L1724" s="334"/>
      <c r="M1724" s="328"/>
      <c r="N1724" s="328"/>
      <c r="O1724" s="386"/>
      <c r="P1724" s="356"/>
      <c r="Q1724" s="380"/>
      <c r="S1724" s="336"/>
      <c r="T1724" s="62" ph="1"/>
      <c r="V1724" s="232"/>
      <c r="W1724" s="269"/>
      <c r="X1724" s="201"/>
      <c r="Y1724" s="269"/>
      <c r="Z1724" s="269"/>
      <c r="AA1724" s="269"/>
      <c r="AB1724" s="269"/>
      <c r="AC1724" s="269"/>
      <c r="AD1724" s="269"/>
      <c r="AE1724" s="269"/>
    </row>
    <row r="1725" spans="1:31" ht="26.25">
      <c r="A1725" s="269"/>
      <c r="B1725" s="269"/>
      <c r="C1725" s="269"/>
      <c r="D1725" s="269"/>
      <c r="E1725" s="269"/>
      <c r="F1725" s="269"/>
      <c r="G1725" s="269"/>
      <c r="H1725" s="269"/>
      <c r="I1725" s="269"/>
      <c r="J1725" s="334"/>
      <c r="K1725" s="334"/>
      <c r="L1725" s="334"/>
      <c r="M1725" s="328"/>
      <c r="N1725" s="328"/>
      <c r="O1725" s="386"/>
      <c r="P1725" s="356"/>
      <c r="Q1725" s="380"/>
      <c r="S1725" s="336"/>
      <c r="T1725" s="62" ph="1"/>
      <c r="V1725" s="232"/>
      <c r="W1725" s="269"/>
      <c r="X1725" s="201"/>
      <c r="Y1725" s="269"/>
      <c r="Z1725" s="269"/>
      <c r="AA1725" s="269"/>
      <c r="AB1725" s="269"/>
      <c r="AC1725" s="269"/>
      <c r="AD1725" s="269"/>
      <c r="AE1725" s="269"/>
    </row>
    <row r="1726" spans="1:31" ht="26.25">
      <c r="A1726" s="269"/>
      <c r="B1726" s="269"/>
      <c r="C1726" s="269"/>
      <c r="D1726" s="269"/>
      <c r="E1726" s="269"/>
      <c r="F1726" s="269"/>
      <c r="G1726" s="269"/>
      <c r="H1726" s="269"/>
      <c r="I1726" s="269"/>
      <c r="J1726" s="334"/>
      <c r="K1726" s="334"/>
      <c r="L1726" s="334"/>
      <c r="M1726" s="328"/>
      <c r="N1726" s="328"/>
      <c r="O1726" s="386"/>
      <c r="P1726" s="356"/>
      <c r="Q1726" s="380"/>
      <c r="S1726" s="336"/>
      <c r="T1726" s="62" ph="1"/>
      <c r="V1726" s="232"/>
      <c r="W1726" s="269"/>
      <c r="X1726" s="201"/>
      <c r="Y1726" s="269"/>
      <c r="Z1726" s="269"/>
      <c r="AA1726" s="269"/>
      <c r="AB1726" s="269"/>
      <c r="AC1726" s="269"/>
      <c r="AD1726" s="269"/>
      <c r="AE1726" s="269"/>
    </row>
    <row r="1727" spans="1:31" ht="26.25">
      <c r="A1727" s="269"/>
      <c r="B1727" s="269"/>
      <c r="C1727" s="269"/>
      <c r="D1727" s="269"/>
      <c r="E1727" s="269"/>
      <c r="F1727" s="269"/>
      <c r="G1727" s="269"/>
      <c r="H1727" s="269"/>
      <c r="I1727" s="269"/>
      <c r="J1727" s="334"/>
      <c r="K1727" s="334"/>
      <c r="L1727" s="334"/>
      <c r="M1727" s="328"/>
      <c r="N1727" s="328"/>
      <c r="O1727" s="386"/>
      <c r="P1727" s="356"/>
      <c r="Q1727" s="380"/>
      <c r="S1727" s="336"/>
      <c r="T1727" s="62" ph="1"/>
      <c r="V1727" s="232"/>
      <c r="W1727" s="269"/>
      <c r="X1727" s="201"/>
      <c r="Y1727" s="269"/>
      <c r="Z1727" s="269"/>
      <c r="AA1727" s="269"/>
      <c r="AB1727" s="269"/>
      <c r="AC1727" s="269"/>
      <c r="AD1727" s="269"/>
      <c r="AE1727" s="269"/>
    </row>
    <row r="1728" spans="1:31" ht="26.25">
      <c r="A1728" s="269"/>
      <c r="B1728" s="269"/>
      <c r="C1728" s="269"/>
      <c r="D1728" s="269"/>
      <c r="E1728" s="269"/>
      <c r="F1728" s="269"/>
      <c r="G1728" s="269"/>
      <c r="H1728" s="269"/>
      <c r="I1728" s="269"/>
      <c r="J1728" s="334"/>
      <c r="K1728" s="334"/>
      <c r="L1728" s="334"/>
      <c r="M1728" s="328"/>
      <c r="N1728" s="328"/>
      <c r="O1728" s="386"/>
      <c r="P1728" s="356"/>
      <c r="Q1728" s="380"/>
      <c r="S1728" s="336"/>
      <c r="T1728" s="62" ph="1"/>
      <c r="V1728" s="232"/>
      <c r="W1728" s="269"/>
      <c r="X1728" s="201"/>
      <c r="Y1728" s="269"/>
      <c r="Z1728" s="269"/>
      <c r="AA1728" s="269"/>
      <c r="AB1728" s="269"/>
      <c r="AC1728" s="269"/>
      <c r="AD1728" s="269"/>
      <c r="AE1728" s="269"/>
    </row>
    <row r="1729" spans="1:31" ht="26.25">
      <c r="A1729" s="269"/>
      <c r="B1729" s="269"/>
      <c r="C1729" s="269"/>
      <c r="D1729" s="269"/>
      <c r="E1729" s="269"/>
      <c r="F1729" s="269"/>
      <c r="G1729" s="269"/>
      <c r="H1729" s="269"/>
      <c r="I1729" s="269"/>
      <c r="J1729" s="334"/>
      <c r="K1729" s="334"/>
      <c r="L1729" s="334"/>
      <c r="M1729" s="328"/>
      <c r="N1729" s="328"/>
      <c r="O1729" s="386"/>
      <c r="P1729" s="356"/>
      <c r="Q1729" s="380"/>
      <c r="S1729" s="336"/>
      <c r="T1729" s="62" ph="1"/>
      <c r="V1729" s="232"/>
      <c r="W1729" s="269"/>
      <c r="X1729" s="201"/>
      <c r="Y1729" s="269"/>
      <c r="Z1729" s="269"/>
      <c r="AA1729" s="269"/>
      <c r="AB1729" s="269"/>
      <c r="AC1729" s="269"/>
      <c r="AD1729" s="269"/>
      <c r="AE1729" s="269"/>
    </row>
    <row r="1730" spans="1:31" ht="26.25">
      <c r="A1730" s="269"/>
      <c r="B1730" s="269"/>
      <c r="C1730" s="269"/>
      <c r="D1730" s="269"/>
      <c r="E1730" s="269"/>
      <c r="F1730" s="269"/>
      <c r="G1730" s="269"/>
      <c r="H1730" s="269"/>
      <c r="I1730" s="269"/>
      <c r="J1730" s="334"/>
      <c r="K1730" s="334"/>
      <c r="L1730" s="334"/>
      <c r="M1730" s="328"/>
      <c r="N1730" s="328"/>
      <c r="O1730" s="386"/>
      <c r="P1730" s="356"/>
      <c r="Q1730" s="380"/>
      <c r="S1730" s="336"/>
      <c r="T1730" s="62" ph="1"/>
      <c r="V1730" s="232"/>
      <c r="W1730" s="269"/>
      <c r="X1730" s="201"/>
      <c r="Y1730" s="269"/>
      <c r="Z1730" s="269"/>
      <c r="AA1730" s="269"/>
      <c r="AB1730" s="269"/>
      <c r="AC1730" s="269"/>
      <c r="AD1730" s="269"/>
      <c r="AE1730" s="269"/>
    </row>
    <row r="1731" spans="1:31" ht="26.25">
      <c r="A1731" s="269"/>
      <c r="B1731" s="269"/>
      <c r="C1731" s="269"/>
      <c r="D1731" s="269"/>
      <c r="E1731" s="269"/>
      <c r="F1731" s="269"/>
      <c r="G1731" s="269"/>
      <c r="H1731" s="269"/>
      <c r="I1731" s="269"/>
      <c r="J1731" s="334"/>
      <c r="K1731" s="334"/>
      <c r="L1731" s="334"/>
      <c r="M1731" s="328"/>
      <c r="N1731" s="328"/>
      <c r="O1731" s="386"/>
      <c r="P1731" s="356"/>
      <c r="Q1731" s="380"/>
      <c r="S1731" s="336"/>
      <c r="T1731" s="62" ph="1"/>
      <c r="V1731" s="232"/>
      <c r="W1731" s="269"/>
      <c r="X1731" s="201"/>
      <c r="Y1731" s="269"/>
      <c r="Z1731" s="269"/>
      <c r="AA1731" s="269"/>
      <c r="AB1731" s="269"/>
      <c r="AC1731" s="269"/>
      <c r="AD1731" s="269"/>
      <c r="AE1731" s="269"/>
    </row>
    <row r="1732" spans="1:31" ht="26.25">
      <c r="A1732" s="269"/>
      <c r="B1732" s="269"/>
      <c r="C1732" s="269"/>
      <c r="D1732" s="269"/>
      <c r="E1732" s="269"/>
      <c r="F1732" s="269"/>
      <c r="G1732" s="269"/>
      <c r="H1732" s="269"/>
      <c r="I1732" s="269"/>
      <c r="J1732" s="334"/>
      <c r="K1732" s="334"/>
      <c r="L1732" s="334"/>
      <c r="M1732" s="328"/>
      <c r="N1732" s="328"/>
      <c r="O1732" s="386"/>
      <c r="P1732" s="356"/>
      <c r="Q1732" s="380"/>
      <c r="S1732" s="336"/>
      <c r="T1732" s="62" ph="1"/>
      <c r="V1732" s="232"/>
      <c r="W1732" s="269"/>
      <c r="X1732" s="201"/>
      <c r="Y1732" s="269"/>
      <c r="Z1732" s="269"/>
      <c r="AA1732" s="269"/>
      <c r="AB1732" s="269"/>
      <c r="AC1732" s="269"/>
      <c r="AD1732" s="269"/>
      <c r="AE1732" s="269"/>
    </row>
    <row r="1733" spans="1:31" ht="26.25">
      <c r="A1733" s="269"/>
      <c r="B1733" s="269"/>
      <c r="C1733" s="269"/>
      <c r="D1733" s="269"/>
      <c r="E1733" s="269"/>
      <c r="F1733" s="269"/>
      <c r="G1733" s="269"/>
      <c r="H1733" s="269"/>
      <c r="I1733" s="269"/>
      <c r="J1733" s="334"/>
      <c r="K1733" s="334"/>
      <c r="L1733" s="334"/>
      <c r="M1733" s="328"/>
      <c r="N1733" s="328"/>
      <c r="O1733" s="386"/>
      <c r="P1733" s="356"/>
      <c r="Q1733" s="380"/>
      <c r="S1733" s="336"/>
      <c r="T1733" s="62" ph="1"/>
      <c r="V1733" s="232"/>
      <c r="W1733" s="269"/>
      <c r="X1733" s="201"/>
      <c r="Y1733" s="269"/>
      <c r="Z1733" s="269"/>
      <c r="AA1733" s="269"/>
      <c r="AB1733" s="269"/>
      <c r="AC1733" s="269"/>
      <c r="AD1733" s="269"/>
      <c r="AE1733" s="269"/>
    </row>
    <row r="1734" spans="1:31" ht="26.25">
      <c r="A1734" s="269"/>
      <c r="B1734" s="269"/>
      <c r="C1734" s="269"/>
      <c r="D1734" s="269"/>
      <c r="E1734" s="269"/>
      <c r="F1734" s="269"/>
      <c r="G1734" s="269"/>
      <c r="H1734" s="269"/>
      <c r="I1734" s="269"/>
      <c r="J1734" s="334"/>
      <c r="K1734" s="334"/>
      <c r="L1734" s="334"/>
      <c r="M1734" s="328"/>
      <c r="N1734" s="328"/>
      <c r="O1734" s="386"/>
      <c r="P1734" s="356"/>
      <c r="Q1734" s="380"/>
      <c r="S1734" s="336"/>
      <c r="T1734" s="62" ph="1"/>
      <c r="V1734" s="232"/>
      <c r="W1734" s="269"/>
      <c r="X1734" s="201"/>
      <c r="Y1734" s="269"/>
      <c r="Z1734" s="269"/>
      <c r="AA1734" s="269"/>
      <c r="AB1734" s="269"/>
      <c r="AC1734" s="269"/>
      <c r="AD1734" s="269"/>
      <c r="AE1734" s="269"/>
    </row>
    <row r="1735" spans="1:31" ht="26.25">
      <c r="A1735" s="269"/>
      <c r="B1735" s="269"/>
      <c r="C1735" s="269"/>
      <c r="D1735" s="269"/>
      <c r="E1735" s="269"/>
      <c r="F1735" s="269"/>
      <c r="G1735" s="269"/>
      <c r="H1735" s="269"/>
      <c r="I1735" s="269"/>
      <c r="J1735" s="334"/>
      <c r="K1735" s="334"/>
      <c r="L1735" s="334"/>
      <c r="M1735" s="328"/>
      <c r="N1735" s="328"/>
      <c r="O1735" s="386"/>
      <c r="P1735" s="356"/>
      <c r="Q1735" s="380"/>
      <c r="S1735" s="336"/>
      <c r="T1735" s="62" ph="1"/>
      <c r="V1735" s="232"/>
      <c r="W1735" s="269"/>
      <c r="X1735" s="201"/>
      <c r="Y1735" s="269"/>
      <c r="Z1735" s="269"/>
      <c r="AA1735" s="269"/>
      <c r="AB1735" s="269"/>
      <c r="AC1735" s="269"/>
      <c r="AD1735" s="269"/>
      <c r="AE1735" s="269"/>
    </row>
    <row r="1736" spans="1:31" ht="26.25">
      <c r="A1736" s="269"/>
      <c r="B1736" s="269"/>
      <c r="C1736" s="269"/>
      <c r="D1736" s="269"/>
      <c r="E1736" s="269"/>
      <c r="F1736" s="269"/>
      <c r="G1736" s="269"/>
      <c r="H1736" s="269"/>
      <c r="I1736" s="269"/>
      <c r="J1736" s="334"/>
      <c r="K1736" s="334"/>
      <c r="L1736" s="334"/>
      <c r="M1736" s="328"/>
      <c r="N1736" s="328"/>
      <c r="O1736" s="386"/>
      <c r="P1736" s="356"/>
      <c r="Q1736" s="380"/>
      <c r="S1736" s="336"/>
      <c r="T1736" s="62" ph="1"/>
      <c r="V1736" s="232"/>
      <c r="W1736" s="269"/>
      <c r="X1736" s="201"/>
      <c r="Y1736" s="269"/>
      <c r="Z1736" s="269"/>
      <c r="AA1736" s="269"/>
      <c r="AB1736" s="269"/>
      <c r="AC1736" s="269"/>
      <c r="AD1736" s="269"/>
      <c r="AE1736" s="269"/>
    </row>
    <row r="1737" spans="1:31" ht="26.25">
      <c r="A1737" s="269"/>
      <c r="B1737" s="269"/>
      <c r="C1737" s="269"/>
      <c r="D1737" s="269"/>
      <c r="E1737" s="269"/>
      <c r="F1737" s="269"/>
      <c r="G1737" s="269"/>
      <c r="H1737" s="269"/>
      <c r="I1737" s="269"/>
      <c r="J1737" s="334"/>
      <c r="K1737" s="334"/>
      <c r="L1737" s="334"/>
      <c r="M1737" s="328"/>
      <c r="N1737" s="328"/>
      <c r="O1737" s="386"/>
      <c r="P1737" s="356"/>
      <c r="Q1737" s="380"/>
      <c r="S1737" s="336"/>
      <c r="T1737" s="62" ph="1"/>
      <c r="V1737" s="232"/>
      <c r="W1737" s="269"/>
      <c r="X1737" s="201"/>
      <c r="Y1737" s="269"/>
      <c r="Z1737" s="269"/>
      <c r="AA1737" s="269"/>
      <c r="AB1737" s="269"/>
      <c r="AC1737" s="269"/>
      <c r="AD1737" s="269"/>
      <c r="AE1737" s="269"/>
    </row>
    <row r="1738" spans="1:31" ht="26.25">
      <c r="A1738" s="269"/>
      <c r="B1738" s="269"/>
      <c r="C1738" s="269"/>
      <c r="D1738" s="269"/>
      <c r="E1738" s="269"/>
      <c r="F1738" s="269"/>
      <c r="G1738" s="269"/>
      <c r="H1738" s="269"/>
      <c r="I1738" s="269"/>
      <c r="J1738" s="334"/>
      <c r="K1738" s="334"/>
      <c r="L1738" s="334"/>
      <c r="M1738" s="328"/>
      <c r="N1738" s="328"/>
      <c r="O1738" s="386"/>
      <c r="P1738" s="356"/>
      <c r="Q1738" s="380"/>
      <c r="S1738" s="336"/>
      <c r="T1738" s="62" ph="1"/>
      <c r="V1738" s="232"/>
      <c r="W1738" s="269"/>
      <c r="X1738" s="201"/>
      <c r="Y1738" s="269"/>
      <c r="Z1738" s="269"/>
      <c r="AA1738" s="269"/>
      <c r="AB1738" s="269"/>
      <c r="AC1738" s="269"/>
      <c r="AD1738" s="269"/>
      <c r="AE1738" s="269"/>
    </row>
    <row r="1739" spans="1:31" ht="26.25">
      <c r="A1739" s="269"/>
      <c r="B1739" s="269"/>
      <c r="C1739" s="269"/>
      <c r="D1739" s="269"/>
      <c r="E1739" s="269"/>
      <c r="F1739" s="269"/>
      <c r="G1739" s="269"/>
      <c r="H1739" s="269"/>
      <c r="I1739" s="269"/>
      <c r="J1739" s="334"/>
      <c r="K1739" s="334"/>
      <c r="L1739" s="334"/>
      <c r="M1739" s="328"/>
      <c r="N1739" s="328"/>
      <c r="O1739" s="386"/>
      <c r="P1739" s="356"/>
      <c r="Q1739" s="380"/>
      <c r="S1739" s="336"/>
      <c r="T1739" s="62" ph="1"/>
      <c r="V1739" s="232"/>
      <c r="W1739" s="269"/>
      <c r="X1739" s="201"/>
      <c r="Y1739" s="269"/>
      <c r="Z1739" s="269"/>
      <c r="AA1739" s="269"/>
      <c r="AB1739" s="269"/>
      <c r="AC1739" s="269"/>
      <c r="AD1739" s="269"/>
      <c r="AE1739" s="269"/>
    </row>
    <row r="1740" spans="1:31" ht="26.25">
      <c r="A1740" s="269"/>
      <c r="B1740" s="269"/>
      <c r="C1740" s="269"/>
      <c r="D1740" s="269"/>
      <c r="E1740" s="269"/>
      <c r="F1740" s="269"/>
      <c r="G1740" s="269"/>
      <c r="H1740" s="269"/>
      <c r="I1740" s="269"/>
      <c r="J1740" s="334"/>
      <c r="K1740" s="334"/>
      <c r="L1740" s="334"/>
      <c r="M1740" s="328"/>
      <c r="N1740" s="328"/>
      <c r="O1740" s="386"/>
      <c r="P1740" s="356"/>
      <c r="Q1740" s="380"/>
      <c r="S1740" s="336"/>
      <c r="T1740" s="62" ph="1"/>
      <c r="V1740" s="232"/>
      <c r="W1740" s="269"/>
      <c r="X1740" s="201"/>
      <c r="Y1740" s="269"/>
      <c r="Z1740" s="269"/>
      <c r="AA1740" s="269"/>
      <c r="AB1740" s="269"/>
      <c r="AC1740" s="269"/>
      <c r="AD1740" s="269"/>
      <c r="AE1740" s="269"/>
    </row>
    <row r="1741" spans="1:31" ht="26.25">
      <c r="A1741" s="269"/>
      <c r="B1741" s="269"/>
      <c r="C1741" s="269"/>
      <c r="D1741" s="269"/>
      <c r="E1741" s="269"/>
      <c r="F1741" s="269"/>
      <c r="G1741" s="269"/>
      <c r="H1741" s="269"/>
      <c r="I1741" s="269"/>
      <c r="J1741" s="334"/>
      <c r="K1741" s="334"/>
      <c r="L1741" s="334"/>
      <c r="M1741" s="328"/>
      <c r="N1741" s="328"/>
      <c r="O1741" s="386"/>
      <c r="P1741" s="356"/>
      <c r="Q1741" s="380"/>
      <c r="S1741" s="336"/>
      <c r="T1741" s="62" ph="1"/>
      <c r="V1741" s="232"/>
      <c r="W1741" s="269"/>
      <c r="X1741" s="201"/>
      <c r="Y1741" s="269"/>
      <c r="Z1741" s="269"/>
      <c r="AA1741" s="269"/>
      <c r="AB1741" s="269"/>
      <c r="AC1741" s="269"/>
      <c r="AD1741" s="269"/>
      <c r="AE1741" s="269"/>
    </row>
    <row r="1742" spans="1:31" ht="26.25">
      <c r="A1742" s="269"/>
      <c r="B1742" s="269"/>
      <c r="C1742" s="269"/>
      <c r="D1742" s="269"/>
      <c r="E1742" s="269"/>
      <c r="F1742" s="269"/>
      <c r="G1742" s="269"/>
      <c r="H1742" s="269"/>
      <c r="I1742" s="269"/>
      <c r="J1742" s="334"/>
      <c r="K1742" s="334"/>
      <c r="L1742" s="334"/>
      <c r="M1742" s="328"/>
      <c r="N1742" s="328"/>
      <c r="O1742" s="386"/>
      <c r="P1742" s="356"/>
      <c r="Q1742" s="380"/>
      <c r="S1742" s="336"/>
      <c r="T1742" s="62" ph="1"/>
      <c r="V1742" s="232"/>
      <c r="W1742" s="269"/>
      <c r="X1742" s="201"/>
      <c r="Y1742" s="269"/>
      <c r="Z1742" s="269"/>
      <c r="AA1742" s="269"/>
      <c r="AB1742" s="269"/>
      <c r="AC1742" s="269"/>
      <c r="AD1742" s="269"/>
      <c r="AE1742" s="269"/>
    </row>
    <row r="1743" spans="1:31" ht="26.25">
      <c r="A1743" s="269"/>
      <c r="B1743" s="269"/>
      <c r="C1743" s="269"/>
      <c r="D1743" s="269"/>
      <c r="E1743" s="269"/>
      <c r="F1743" s="269"/>
      <c r="G1743" s="269"/>
      <c r="H1743" s="269"/>
      <c r="I1743" s="269"/>
      <c r="J1743" s="334"/>
      <c r="K1743" s="334"/>
      <c r="L1743" s="334"/>
      <c r="M1743" s="328"/>
      <c r="N1743" s="328"/>
      <c r="O1743" s="386"/>
      <c r="P1743" s="356"/>
      <c r="Q1743" s="380"/>
      <c r="S1743" s="336"/>
      <c r="T1743" s="62" ph="1"/>
      <c r="V1743" s="232"/>
      <c r="W1743" s="269"/>
      <c r="X1743" s="201"/>
      <c r="Y1743" s="269"/>
      <c r="Z1743" s="269"/>
      <c r="AA1743" s="269"/>
      <c r="AB1743" s="269"/>
      <c r="AC1743" s="269"/>
      <c r="AD1743" s="269"/>
      <c r="AE1743" s="269"/>
    </row>
    <row r="1744" spans="1:31" ht="26.25">
      <c r="A1744" s="269"/>
      <c r="B1744" s="269"/>
      <c r="C1744" s="269"/>
      <c r="D1744" s="269"/>
      <c r="E1744" s="269"/>
      <c r="F1744" s="269"/>
      <c r="G1744" s="269"/>
      <c r="H1744" s="269"/>
      <c r="I1744" s="269"/>
      <c r="J1744" s="334"/>
      <c r="K1744" s="334"/>
      <c r="L1744" s="334"/>
      <c r="M1744" s="328"/>
      <c r="N1744" s="328"/>
      <c r="O1744" s="386"/>
      <c r="P1744" s="356"/>
      <c r="Q1744" s="380"/>
      <c r="S1744" s="336"/>
      <c r="T1744" s="62" ph="1"/>
      <c r="V1744" s="232"/>
      <c r="W1744" s="269"/>
      <c r="X1744" s="201"/>
      <c r="Y1744" s="269"/>
      <c r="Z1744" s="269"/>
      <c r="AA1744" s="269"/>
      <c r="AB1744" s="269"/>
      <c r="AC1744" s="269"/>
      <c r="AD1744" s="269"/>
      <c r="AE1744" s="269"/>
    </row>
    <row r="1745" spans="1:31" ht="26.25">
      <c r="A1745" s="269"/>
      <c r="B1745" s="269"/>
      <c r="C1745" s="269"/>
      <c r="D1745" s="269"/>
      <c r="E1745" s="269"/>
      <c r="F1745" s="269"/>
      <c r="G1745" s="269"/>
      <c r="H1745" s="269"/>
      <c r="I1745" s="269"/>
      <c r="J1745" s="334"/>
      <c r="K1745" s="334"/>
      <c r="L1745" s="334"/>
      <c r="M1745" s="328"/>
      <c r="N1745" s="328"/>
      <c r="O1745" s="386"/>
      <c r="P1745" s="356"/>
      <c r="Q1745" s="380"/>
      <c r="S1745" s="336"/>
      <c r="T1745" s="62" ph="1"/>
      <c r="V1745" s="232"/>
      <c r="W1745" s="269"/>
      <c r="X1745" s="201"/>
      <c r="Y1745" s="269"/>
      <c r="Z1745" s="269"/>
      <c r="AA1745" s="269"/>
      <c r="AB1745" s="269"/>
      <c r="AC1745" s="269"/>
      <c r="AD1745" s="269"/>
      <c r="AE1745" s="269"/>
    </row>
    <row r="1746" spans="1:31" ht="26.25">
      <c r="A1746" s="269"/>
      <c r="B1746" s="269"/>
      <c r="C1746" s="269"/>
      <c r="D1746" s="269"/>
      <c r="E1746" s="269"/>
      <c r="F1746" s="269"/>
      <c r="G1746" s="269"/>
      <c r="H1746" s="269"/>
      <c r="I1746" s="269"/>
      <c r="J1746" s="334"/>
      <c r="K1746" s="334"/>
      <c r="L1746" s="334"/>
      <c r="M1746" s="328"/>
      <c r="N1746" s="328"/>
      <c r="O1746" s="386"/>
      <c r="P1746" s="356"/>
      <c r="Q1746" s="380"/>
      <c r="S1746" s="336"/>
      <c r="T1746" s="62" ph="1"/>
      <c r="V1746" s="232"/>
      <c r="W1746" s="269"/>
      <c r="X1746" s="201"/>
      <c r="Y1746" s="269"/>
      <c r="Z1746" s="269"/>
      <c r="AA1746" s="269"/>
      <c r="AB1746" s="269"/>
      <c r="AC1746" s="269"/>
      <c r="AD1746" s="269"/>
      <c r="AE1746" s="269"/>
    </row>
    <row r="1747" spans="1:31" ht="26.25">
      <c r="A1747" s="269"/>
      <c r="B1747" s="269"/>
      <c r="C1747" s="269"/>
      <c r="D1747" s="269"/>
      <c r="E1747" s="269"/>
      <c r="F1747" s="269"/>
      <c r="G1747" s="269"/>
      <c r="H1747" s="269"/>
      <c r="I1747" s="269"/>
      <c r="J1747" s="334"/>
      <c r="K1747" s="334"/>
      <c r="L1747" s="334"/>
      <c r="M1747" s="328"/>
      <c r="N1747" s="328"/>
      <c r="O1747" s="386"/>
      <c r="P1747" s="356"/>
      <c r="Q1747" s="380"/>
      <c r="S1747" s="336"/>
      <c r="T1747" s="62" ph="1"/>
      <c r="V1747" s="232"/>
      <c r="W1747" s="269"/>
      <c r="X1747" s="201"/>
      <c r="Y1747" s="269"/>
      <c r="Z1747" s="269"/>
      <c r="AA1747" s="269"/>
      <c r="AB1747" s="269"/>
      <c r="AC1747" s="269"/>
      <c r="AD1747" s="269"/>
      <c r="AE1747" s="269"/>
    </row>
    <row r="1748" spans="1:31" ht="26.25">
      <c r="A1748" s="269"/>
      <c r="B1748" s="269"/>
      <c r="C1748" s="269"/>
      <c r="D1748" s="269"/>
      <c r="E1748" s="269"/>
      <c r="F1748" s="269"/>
      <c r="G1748" s="269"/>
      <c r="H1748" s="269"/>
      <c r="I1748" s="269"/>
      <c r="J1748" s="334"/>
      <c r="K1748" s="334"/>
      <c r="L1748" s="334"/>
      <c r="M1748" s="328"/>
      <c r="N1748" s="328"/>
      <c r="O1748" s="386"/>
      <c r="P1748" s="356"/>
      <c r="Q1748" s="380"/>
      <c r="S1748" s="336"/>
      <c r="T1748" s="62" ph="1"/>
      <c r="V1748" s="232"/>
      <c r="W1748" s="269"/>
      <c r="X1748" s="201"/>
      <c r="Y1748" s="269"/>
      <c r="Z1748" s="269"/>
      <c r="AA1748" s="269"/>
      <c r="AB1748" s="269"/>
      <c r="AC1748" s="269"/>
      <c r="AD1748" s="269"/>
      <c r="AE1748" s="269"/>
    </row>
    <row r="1749" spans="1:31" ht="26.25">
      <c r="A1749" s="269"/>
      <c r="B1749" s="269"/>
      <c r="C1749" s="269"/>
      <c r="D1749" s="269"/>
      <c r="E1749" s="269"/>
      <c r="F1749" s="269"/>
      <c r="G1749" s="269"/>
      <c r="H1749" s="269"/>
      <c r="I1749" s="269"/>
      <c r="J1749" s="334"/>
      <c r="K1749" s="334"/>
      <c r="L1749" s="334"/>
      <c r="M1749" s="328"/>
      <c r="N1749" s="328"/>
      <c r="O1749" s="386"/>
      <c r="P1749" s="356"/>
      <c r="Q1749" s="380"/>
      <c r="S1749" s="336"/>
      <c r="T1749" s="62" ph="1"/>
      <c r="V1749" s="232"/>
      <c r="W1749" s="269"/>
      <c r="X1749" s="201"/>
      <c r="Y1749" s="269"/>
      <c r="Z1749" s="269"/>
      <c r="AA1749" s="269"/>
      <c r="AB1749" s="269"/>
      <c r="AC1749" s="269"/>
      <c r="AD1749" s="269"/>
      <c r="AE1749" s="269"/>
    </row>
    <row r="1750" spans="1:31" ht="26.25">
      <c r="A1750" s="269"/>
      <c r="B1750" s="269"/>
      <c r="C1750" s="269"/>
      <c r="D1750" s="269"/>
      <c r="E1750" s="269"/>
      <c r="F1750" s="269"/>
      <c r="G1750" s="269"/>
      <c r="H1750" s="269"/>
      <c r="I1750" s="269"/>
      <c r="J1750" s="334"/>
      <c r="K1750" s="334"/>
      <c r="L1750" s="334"/>
      <c r="M1750" s="328"/>
      <c r="N1750" s="328"/>
      <c r="O1750" s="386"/>
      <c r="P1750" s="356"/>
      <c r="Q1750" s="380"/>
      <c r="S1750" s="336"/>
      <c r="T1750" s="62" ph="1"/>
      <c r="V1750" s="232"/>
      <c r="W1750" s="269"/>
      <c r="X1750" s="201"/>
      <c r="Y1750" s="269"/>
      <c r="Z1750" s="269"/>
      <c r="AA1750" s="269"/>
      <c r="AB1750" s="269"/>
      <c r="AC1750" s="269"/>
      <c r="AD1750" s="269"/>
      <c r="AE1750" s="269"/>
    </row>
    <row r="1751" spans="1:31" ht="26.25">
      <c r="A1751" s="269"/>
      <c r="B1751" s="269"/>
      <c r="C1751" s="269"/>
      <c r="D1751" s="269"/>
      <c r="E1751" s="269"/>
      <c r="F1751" s="269"/>
      <c r="G1751" s="269"/>
      <c r="H1751" s="269"/>
      <c r="I1751" s="269"/>
      <c r="J1751" s="334"/>
      <c r="K1751" s="334"/>
      <c r="L1751" s="334"/>
      <c r="M1751" s="328"/>
      <c r="N1751" s="328"/>
      <c r="O1751" s="386"/>
      <c r="P1751" s="356"/>
      <c r="Q1751" s="380"/>
      <c r="S1751" s="336"/>
      <c r="T1751" s="62" ph="1"/>
      <c r="V1751" s="232"/>
      <c r="W1751" s="269"/>
      <c r="X1751" s="201"/>
      <c r="Y1751" s="269"/>
      <c r="Z1751" s="269"/>
      <c r="AA1751" s="269"/>
      <c r="AB1751" s="269"/>
      <c r="AC1751" s="269"/>
      <c r="AD1751" s="269"/>
      <c r="AE1751" s="269"/>
    </row>
    <row r="1752" spans="1:31" ht="26.25">
      <c r="A1752" s="269"/>
      <c r="B1752" s="269"/>
      <c r="C1752" s="269"/>
      <c r="D1752" s="269"/>
      <c r="E1752" s="269"/>
      <c r="F1752" s="269"/>
      <c r="G1752" s="269"/>
      <c r="H1752" s="269"/>
      <c r="I1752" s="269"/>
      <c r="J1752" s="334"/>
      <c r="K1752" s="334"/>
      <c r="L1752" s="334"/>
      <c r="M1752" s="328"/>
      <c r="N1752" s="328"/>
      <c r="O1752" s="386"/>
      <c r="P1752" s="356"/>
      <c r="Q1752" s="380"/>
      <c r="S1752" s="336"/>
      <c r="T1752" s="62" ph="1"/>
      <c r="V1752" s="232"/>
      <c r="W1752" s="269"/>
      <c r="X1752" s="201"/>
      <c r="Y1752" s="269"/>
      <c r="Z1752" s="269"/>
      <c r="AA1752" s="269"/>
      <c r="AB1752" s="269"/>
      <c r="AC1752" s="269"/>
      <c r="AD1752" s="269"/>
      <c r="AE1752" s="269"/>
    </row>
    <row r="1753" spans="1:31" ht="26.25">
      <c r="A1753" s="269"/>
      <c r="B1753" s="269"/>
      <c r="C1753" s="269"/>
      <c r="D1753" s="269"/>
      <c r="E1753" s="269"/>
      <c r="F1753" s="269"/>
      <c r="G1753" s="269"/>
      <c r="H1753" s="269"/>
      <c r="I1753" s="269"/>
      <c r="J1753" s="334"/>
      <c r="K1753" s="334"/>
      <c r="L1753" s="334"/>
      <c r="M1753" s="328"/>
      <c r="N1753" s="328"/>
      <c r="O1753" s="386"/>
      <c r="P1753" s="356"/>
      <c r="Q1753" s="380"/>
      <c r="S1753" s="336"/>
      <c r="T1753" s="62" ph="1"/>
      <c r="V1753" s="232"/>
      <c r="W1753" s="269"/>
      <c r="X1753" s="201"/>
      <c r="Y1753" s="269"/>
      <c r="Z1753" s="269"/>
      <c r="AA1753" s="269"/>
      <c r="AB1753" s="269"/>
      <c r="AC1753" s="269"/>
      <c r="AD1753" s="269"/>
      <c r="AE1753" s="269"/>
    </row>
    <row r="1754" spans="1:31" ht="26.25">
      <c r="A1754" s="269"/>
      <c r="B1754" s="269"/>
      <c r="C1754" s="269"/>
      <c r="D1754" s="269"/>
      <c r="E1754" s="269"/>
      <c r="F1754" s="269"/>
      <c r="G1754" s="269"/>
      <c r="H1754" s="269"/>
      <c r="I1754" s="269"/>
      <c r="J1754" s="334"/>
      <c r="K1754" s="334"/>
      <c r="L1754" s="334"/>
      <c r="M1754" s="328"/>
      <c r="N1754" s="328"/>
      <c r="O1754" s="386"/>
      <c r="P1754" s="356"/>
      <c r="Q1754" s="380"/>
      <c r="S1754" s="336"/>
      <c r="T1754" s="62" ph="1"/>
      <c r="V1754" s="232"/>
      <c r="W1754" s="269"/>
      <c r="X1754" s="201"/>
      <c r="Y1754" s="269"/>
      <c r="Z1754" s="269"/>
      <c r="AA1754" s="269"/>
      <c r="AB1754" s="269"/>
      <c r="AC1754" s="269"/>
      <c r="AD1754" s="269"/>
      <c r="AE1754" s="269"/>
    </row>
    <row r="1755" spans="1:31" ht="26.25">
      <c r="A1755" s="269"/>
      <c r="B1755" s="269"/>
      <c r="C1755" s="269"/>
      <c r="D1755" s="269"/>
      <c r="E1755" s="269"/>
      <c r="F1755" s="269"/>
      <c r="G1755" s="269"/>
      <c r="H1755" s="269"/>
      <c r="I1755" s="269"/>
      <c r="J1755" s="334"/>
      <c r="K1755" s="334"/>
      <c r="L1755" s="334"/>
      <c r="M1755" s="328"/>
      <c r="N1755" s="328"/>
      <c r="O1755" s="386"/>
      <c r="P1755" s="356"/>
      <c r="Q1755" s="380"/>
      <c r="S1755" s="336"/>
      <c r="T1755" s="62" ph="1"/>
      <c r="V1755" s="232"/>
      <c r="W1755" s="269"/>
      <c r="X1755" s="201"/>
      <c r="Y1755" s="269"/>
      <c r="Z1755" s="269"/>
      <c r="AA1755" s="269"/>
      <c r="AB1755" s="269"/>
      <c r="AC1755" s="269"/>
      <c r="AD1755" s="269"/>
      <c r="AE1755" s="269"/>
    </row>
    <row r="1756" spans="1:31" ht="26.25">
      <c r="A1756" s="269"/>
      <c r="B1756" s="269"/>
      <c r="C1756" s="269"/>
      <c r="D1756" s="269"/>
      <c r="E1756" s="269"/>
      <c r="F1756" s="269"/>
      <c r="G1756" s="269"/>
      <c r="H1756" s="269"/>
      <c r="I1756" s="269"/>
      <c r="J1756" s="334"/>
      <c r="K1756" s="334"/>
      <c r="L1756" s="334"/>
      <c r="M1756" s="328"/>
      <c r="N1756" s="328"/>
      <c r="O1756" s="386"/>
      <c r="P1756" s="356"/>
      <c r="Q1756" s="380"/>
      <c r="S1756" s="336"/>
      <c r="T1756" s="62" ph="1"/>
      <c r="V1756" s="232"/>
      <c r="W1756" s="269"/>
      <c r="X1756" s="201"/>
      <c r="Y1756" s="269"/>
      <c r="Z1756" s="269"/>
      <c r="AA1756" s="269"/>
      <c r="AB1756" s="269"/>
      <c r="AC1756" s="269"/>
      <c r="AD1756" s="269"/>
      <c r="AE1756" s="269"/>
    </row>
    <row r="1757" spans="1:31" ht="26.25">
      <c r="A1757" s="269"/>
      <c r="B1757" s="269"/>
      <c r="C1757" s="269"/>
      <c r="D1757" s="269"/>
      <c r="E1757" s="269"/>
      <c r="F1757" s="269"/>
      <c r="G1757" s="269"/>
      <c r="H1757" s="269"/>
      <c r="I1757" s="269"/>
      <c r="J1757" s="334"/>
      <c r="K1757" s="334"/>
      <c r="L1757" s="334"/>
      <c r="M1757" s="328"/>
      <c r="N1757" s="328"/>
      <c r="O1757" s="386"/>
      <c r="P1757" s="356"/>
      <c r="Q1757" s="380"/>
      <c r="S1757" s="336"/>
      <c r="T1757" s="62" ph="1"/>
      <c r="V1757" s="232"/>
      <c r="W1757" s="269"/>
      <c r="X1757" s="201"/>
      <c r="Y1757" s="269"/>
      <c r="Z1757" s="269"/>
      <c r="AA1757" s="269"/>
      <c r="AB1757" s="269"/>
      <c r="AC1757" s="269"/>
      <c r="AD1757" s="269"/>
      <c r="AE1757" s="269"/>
    </row>
    <row r="1758" spans="1:31" ht="26.25">
      <c r="A1758" s="269"/>
      <c r="B1758" s="269"/>
      <c r="C1758" s="269"/>
      <c r="D1758" s="269"/>
      <c r="E1758" s="269"/>
      <c r="F1758" s="269"/>
      <c r="G1758" s="269"/>
      <c r="H1758" s="269"/>
      <c r="I1758" s="269"/>
      <c r="J1758" s="334"/>
      <c r="K1758" s="334"/>
      <c r="L1758" s="334"/>
      <c r="M1758" s="328"/>
      <c r="N1758" s="328"/>
      <c r="O1758" s="386"/>
      <c r="P1758" s="356"/>
      <c r="Q1758" s="380"/>
      <c r="S1758" s="336"/>
      <c r="T1758" s="62" ph="1"/>
      <c r="V1758" s="232"/>
      <c r="W1758" s="269"/>
      <c r="X1758" s="201"/>
      <c r="Y1758" s="269"/>
      <c r="Z1758" s="269"/>
      <c r="AA1758" s="269"/>
      <c r="AB1758" s="269"/>
      <c r="AC1758" s="269"/>
      <c r="AD1758" s="269"/>
      <c r="AE1758" s="269"/>
    </row>
    <row r="1759" spans="1:31" ht="26.25">
      <c r="A1759" s="269"/>
      <c r="B1759" s="269"/>
      <c r="C1759" s="269"/>
      <c r="D1759" s="269"/>
      <c r="E1759" s="269"/>
      <c r="F1759" s="269"/>
      <c r="G1759" s="269"/>
      <c r="H1759" s="269"/>
      <c r="I1759" s="269"/>
      <c r="J1759" s="334"/>
      <c r="K1759" s="334"/>
      <c r="L1759" s="334"/>
      <c r="M1759" s="328"/>
      <c r="N1759" s="328"/>
      <c r="O1759" s="386"/>
      <c r="P1759" s="356"/>
      <c r="Q1759" s="380"/>
      <c r="S1759" s="336"/>
      <c r="T1759" s="62" ph="1"/>
      <c r="V1759" s="232"/>
      <c r="W1759" s="269"/>
      <c r="X1759" s="201"/>
      <c r="Y1759" s="269"/>
      <c r="Z1759" s="269"/>
      <c r="AA1759" s="269"/>
      <c r="AB1759" s="269"/>
      <c r="AC1759" s="269"/>
      <c r="AD1759" s="269"/>
      <c r="AE1759" s="269"/>
    </row>
    <row r="1760" spans="1:31" ht="26.25">
      <c r="A1760" s="269"/>
      <c r="B1760" s="269"/>
      <c r="C1760" s="269"/>
      <c r="D1760" s="269"/>
      <c r="E1760" s="269"/>
      <c r="F1760" s="269"/>
      <c r="G1760" s="269"/>
      <c r="H1760" s="269"/>
      <c r="I1760" s="269"/>
      <c r="J1760" s="334"/>
      <c r="K1760" s="334"/>
      <c r="L1760" s="334"/>
      <c r="M1760" s="328"/>
      <c r="N1760" s="328"/>
      <c r="O1760" s="386"/>
      <c r="P1760" s="356"/>
      <c r="Q1760" s="380"/>
      <c r="S1760" s="336"/>
      <c r="T1760" s="62" ph="1"/>
      <c r="V1760" s="232"/>
      <c r="W1760" s="269"/>
      <c r="X1760" s="201"/>
      <c r="Y1760" s="269"/>
      <c r="Z1760" s="269"/>
      <c r="AA1760" s="269"/>
      <c r="AB1760" s="269"/>
      <c r="AC1760" s="269"/>
      <c r="AD1760" s="269"/>
      <c r="AE1760" s="269"/>
    </row>
    <row r="1761" spans="1:31" ht="26.25">
      <c r="A1761" s="269"/>
      <c r="B1761" s="269"/>
      <c r="C1761" s="269"/>
      <c r="D1761" s="269"/>
      <c r="E1761" s="269"/>
      <c r="F1761" s="269"/>
      <c r="G1761" s="269"/>
      <c r="H1761" s="269"/>
      <c r="I1761" s="269"/>
      <c r="J1761" s="334"/>
      <c r="K1761" s="334"/>
      <c r="L1761" s="334"/>
      <c r="M1761" s="328"/>
      <c r="N1761" s="328"/>
      <c r="O1761" s="386"/>
      <c r="P1761" s="356"/>
      <c r="Q1761" s="380"/>
      <c r="S1761" s="336"/>
      <c r="T1761" s="62" ph="1"/>
      <c r="V1761" s="232"/>
      <c r="W1761" s="269"/>
      <c r="X1761" s="201"/>
      <c r="Y1761" s="269"/>
      <c r="Z1761" s="269"/>
      <c r="AA1761" s="269"/>
      <c r="AB1761" s="269"/>
      <c r="AC1761" s="269"/>
      <c r="AD1761" s="269"/>
      <c r="AE1761" s="269"/>
    </row>
    <row r="1762" spans="1:31" ht="26.25">
      <c r="A1762" s="269"/>
      <c r="B1762" s="269"/>
      <c r="C1762" s="269"/>
      <c r="D1762" s="269"/>
      <c r="E1762" s="269"/>
      <c r="F1762" s="269"/>
      <c r="G1762" s="269"/>
      <c r="H1762" s="269"/>
      <c r="I1762" s="269"/>
      <c r="J1762" s="334"/>
      <c r="K1762" s="334"/>
      <c r="L1762" s="334"/>
      <c r="M1762" s="328"/>
      <c r="N1762" s="328"/>
      <c r="O1762" s="386"/>
      <c r="P1762" s="356"/>
      <c r="Q1762" s="380"/>
      <c r="S1762" s="336"/>
      <c r="T1762" s="62" ph="1"/>
      <c r="V1762" s="232"/>
      <c r="W1762" s="269"/>
      <c r="X1762" s="201"/>
      <c r="Y1762" s="269"/>
      <c r="Z1762" s="269"/>
      <c r="AA1762" s="269"/>
      <c r="AB1762" s="269"/>
      <c r="AC1762" s="269"/>
      <c r="AD1762" s="269"/>
      <c r="AE1762" s="269"/>
    </row>
    <row r="1763" spans="1:31" ht="26.25">
      <c r="A1763" s="269"/>
      <c r="B1763" s="269"/>
      <c r="C1763" s="269"/>
      <c r="D1763" s="269"/>
      <c r="E1763" s="269"/>
      <c r="F1763" s="269"/>
      <c r="G1763" s="269"/>
      <c r="H1763" s="269"/>
      <c r="I1763" s="269"/>
      <c r="J1763" s="334"/>
      <c r="K1763" s="334"/>
      <c r="L1763" s="334"/>
      <c r="M1763" s="328"/>
      <c r="N1763" s="328"/>
      <c r="O1763" s="386"/>
      <c r="P1763" s="356"/>
      <c r="Q1763" s="380"/>
      <c r="S1763" s="336"/>
      <c r="T1763" s="62" ph="1"/>
      <c r="V1763" s="232"/>
      <c r="W1763" s="269"/>
      <c r="X1763" s="201"/>
      <c r="Y1763" s="269"/>
      <c r="Z1763" s="269"/>
      <c r="AA1763" s="269"/>
      <c r="AB1763" s="269"/>
      <c r="AC1763" s="269"/>
      <c r="AD1763" s="269"/>
      <c r="AE1763" s="269"/>
    </row>
    <row r="1764" spans="1:31" ht="26.25">
      <c r="A1764" s="269"/>
      <c r="B1764" s="269"/>
      <c r="C1764" s="269"/>
      <c r="D1764" s="269"/>
      <c r="E1764" s="269"/>
      <c r="F1764" s="269"/>
      <c r="G1764" s="269"/>
      <c r="H1764" s="269"/>
      <c r="I1764" s="269"/>
      <c r="J1764" s="334"/>
      <c r="K1764" s="334"/>
      <c r="L1764" s="334"/>
      <c r="M1764" s="328"/>
      <c r="N1764" s="328"/>
      <c r="O1764" s="386"/>
      <c r="P1764" s="356"/>
      <c r="Q1764" s="380"/>
      <c r="S1764" s="336"/>
      <c r="T1764" s="62" ph="1"/>
      <c r="V1764" s="232"/>
      <c r="W1764" s="269"/>
      <c r="X1764" s="201"/>
      <c r="Y1764" s="269"/>
      <c r="Z1764" s="269"/>
      <c r="AA1764" s="269"/>
      <c r="AB1764" s="269"/>
      <c r="AC1764" s="269"/>
      <c r="AD1764" s="269"/>
      <c r="AE1764" s="269"/>
    </row>
    <row r="1765" spans="1:31" ht="26.25">
      <c r="A1765" s="269"/>
      <c r="B1765" s="269"/>
      <c r="C1765" s="269"/>
      <c r="D1765" s="269"/>
      <c r="E1765" s="269"/>
      <c r="F1765" s="269"/>
      <c r="G1765" s="269"/>
      <c r="H1765" s="269"/>
      <c r="I1765" s="269"/>
      <c r="J1765" s="334"/>
      <c r="K1765" s="334"/>
      <c r="L1765" s="334"/>
      <c r="M1765" s="328"/>
      <c r="N1765" s="328"/>
      <c r="O1765" s="386"/>
      <c r="P1765" s="356"/>
      <c r="Q1765" s="380"/>
      <c r="S1765" s="336"/>
      <c r="T1765" s="62" ph="1"/>
      <c r="V1765" s="232"/>
      <c r="W1765" s="269"/>
      <c r="X1765" s="201"/>
      <c r="Y1765" s="269"/>
      <c r="Z1765" s="269"/>
      <c r="AA1765" s="269"/>
      <c r="AB1765" s="269"/>
      <c r="AC1765" s="269"/>
      <c r="AD1765" s="269"/>
      <c r="AE1765" s="269"/>
    </row>
    <row r="1766" spans="1:31" ht="26.25">
      <c r="A1766" s="269"/>
      <c r="B1766" s="269"/>
      <c r="C1766" s="269"/>
      <c r="D1766" s="269"/>
      <c r="E1766" s="269"/>
      <c r="F1766" s="269"/>
      <c r="G1766" s="269"/>
      <c r="H1766" s="269"/>
      <c r="I1766" s="269"/>
      <c r="J1766" s="334"/>
      <c r="K1766" s="334"/>
      <c r="L1766" s="334"/>
      <c r="M1766" s="328"/>
      <c r="N1766" s="328"/>
      <c r="O1766" s="386"/>
      <c r="P1766" s="356"/>
      <c r="Q1766" s="380"/>
      <c r="S1766" s="336"/>
      <c r="T1766" s="62" ph="1"/>
      <c r="V1766" s="232"/>
      <c r="W1766" s="269"/>
      <c r="X1766" s="201"/>
      <c r="Y1766" s="269"/>
      <c r="Z1766" s="269"/>
      <c r="AA1766" s="269"/>
      <c r="AB1766" s="269"/>
      <c r="AC1766" s="269"/>
      <c r="AD1766" s="269"/>
      <c r="AE1766" s="269"/>
    </row>
    <row r="1767" spans="1:31" ht="26.25">
      <c r="A1767" s="269"/>
      <c r="B1767" s="269"/>
      <c r="C1767" s="269"/>
      <c r="D1767" s="269"/>
      <c r="E1767" s="269"/>
      <c r="F1767" s="269"/>
      <c r="G1767" s="269"/>
      <c r="H1767" s="269"/>
      <c r="I1767" s="269"/>
      <c r="J1767" s="334"/>
      <c r="K1767" s="334"/>
      <c r="L1767" s="334"/>
      <c r="M1767" s="328"/>
      <c r="N1767" s="328"/>
      <c r="O1767" s="386"/>
      <c r="P1767" s="356"/>
      <c r="Q1767" s="380"/>
      <c r="S1767" s="336"/>
      <c r="T1767" s="62" ph="1"/>
      <c r="V1767" s="232"/>
      <c r="W1767" s="269"/>
      <c r="X1767" s="201"/>
      <c r="Y1767" s="269"/>
      <c r="Z1767" s="269"/>
      <c r="AA1767" s="269"/>
      <c r="AB1767" s="269"/>
      <c r="AC1767" s="269"/>
      <c r="AD1767" s="269"/>
      <c r="AE1767" s="269"/>
    </row>
    <row r="1768" spans="1:31" ht="26.25">
      <c r="A1768" s="269"/>
      <c r="B1768" s="269"/>
      <c r="C1768" s="269"/>
      <c r="D1768" s="269"/>
      <c r="E1768" s="269"/>
      <c r="F1768" s="269"/>
      <c r="G1768" s="269"/>
      <c r="H1768" s="269"/>
      <c r="I1768" s="269"/>
      <c r="J1768" s="334"/>
      <c r="K1768" s="334"/>
      <c r="L1768" s="334"/>
      <c r="M1768" s="328"/>
      <c r="N1768" s="328"/>
      <c r="O1768" s="386"/>
      <c r="P1768" s="356"/>
      <c r="Q1768" s="380"/>
      <c r="S1768" s="336"/>
      <c r="T1768" s="62" ph="1"/>
      <c r="V1768" s="232"/>
      <c r="W1768" s="269"/>
      <c r="X1768" s="201"/>
      <c r="Y1768" s="269"/>
      <c r="Z1768" s="269"/>
      <c r="AA1768" s="269"/>
      <c r="AB1768" s="269"/>
      <c r="AC1768" s="269"/>
      <c r="AD1768" s="269"/>
      <c r="AE1768" s="269"/>
    </row>
    <row r="1769" spans="1:31" ht="26.25">
      <c r="A1769" s="269"/>
      <c r="B1769" s="269"/>
      <c r="C1769" s="269"/>
      <c r="D1769" s="269"/>
      <c r="E1769" s="269"/>
      <c r="F1769" s="269"/>
      <c r="G1769" s="269"/>
      <c r="H1769" s="269"/>
      <c r="I1769" s="269"/>
      <c r="J1769" s="334"/>
      <c r="K1769" s="334"/>
      <c r="L1769" s="334"/>
      <c r="M1769" s="328"/>
      <c r="N1769" s="328"/>
      <c r="O1769" s="386"/>
      <c r="P1769" s="356"/>
      <c r="Q1769" s="380"/>
      <c r="S1769" s="336"/>
      <c r="T1769" s="62" ph="1"/>
      <c r="V1769" s="232"/>
      <c r="W1769" s="269"/>
      <c r="X1769" s="201"/>
      <c r="Y1769" s="269"/>
      <c r="Z1769" s="269"/>
      <c r="AA1769" s="269"/>
      <c r="AB1769" s="269"/>
      <c r="AC1769" s="269"/>
      <c r="AD1769" s="269"/>
      <c r="AE1769" s="269"/>
    </row>
    <row r="1770" spans="1:31" ht="26.25">
      <c r="A1770" s="269"/>
      <c r="B1770" s="269"/>
      <c r="C1770" s="269"/>
      <c r="D1770" s="269"/>
      <c r="E1770" s="269"/>
      <c r="F1770" s="269"/>
      <c r="G1770" s="269"/>
      <c r="H1770" s="269"/>
      <c r="I1770" s="269"/>
      <c r="J1770" s="334"/>
      <c r="K1770" s="334"/>
      <c r="L1770" s="334"/>
      <c r="M1770" s="328"/>
      <c r="N1770" s="328"/>
      <c r="O1770" s="386"/>
      <c r="P1770" s="356"/>
      <c r="Q1770" s="380"/>
      <c r="S1770" s="336"/>
      <c r="T1770" s="62" ph="1"/>
      <c r="V1770" s="232"/>
      <c r="W1770" s="269"/>
      <c r="X1770" s="201"/>
      <c r="Y1770" s="269"/>
      <c r="Z1770" s="269"/>
      <c r="AA1770" s="269"/>
      <c r="AB1770" s="269"/>
      <c r="AC1770" s="269"/>
      <c r="AD1770" s="269"/>
      <c r="AE1770" s="269"/>
    </row>
    <row r="1771" spans="1:31" ht="26.25">
      <c r="A1771" s="269"/>
      <c r="B1771" s="269"/>
      <c r="C1771" s="269"/>
      <c r="D1771" s="269"/>
      <c r="E1771" s="269"/>
      <c r="F1771" s="269"/>
      <c r="G1771" s="269"/>
      <c r="H1771" s="269"/>
      <c r="I1771" s="269"/>
      <c r="J1771" s="334"/>
      <c r="K1771" s="334"/>
      <c r="L1771" s="334"/>
      <c r="M1771" s="328"/>
      <c r="N1771" s="328"/>
      <c r="O1771" s="386"/>
      <c r="P1771" s="356"/>
      <c r="Q1771" s="380"/>
      <c r="S1771" s="336"/>
      <c r="T1771" s="62" ph="1"/>
      <c r="V1771" s="232"/>
      <c r="W1771" s="269"/>
      <c r="X1771" s="201"/>
      <c r="Y1771" s="269"/>
      <c r="Z1771" s="269"/>
      <c r="AA1771" s="269"/>
      <c r="AB1771" s="269"/>
      <c r="AC1771" s="269"/>
      <c r="AD1771" s="269"/>
      <c r="AE1771" s="269"/>
    </row>
    <row r="1772" spans="1:31" ht="26.25">
      <c r="A1772" s="269"/>
      <c r="B1772" s="269"/>
      <c r="C1772" s="269"/>
      <c r="D1772" s="269"/>
      <c r="E1772" s="269"/>
      <c r="F1772" s="269"/>
      <c r="G1772" s="269"/>
      <c r="H1772" s="269"/>
      <c r="I1772" s="269"/>
      <c r="J1772" s="334"/>
      <c r="K1772" s="334"/>
      <c r="L1772" s="334"/>
      <c r="M1772" s="328"/>
      <c r="N1772" s="328"/>
      <c r="O1772" s="386"/>
      <c r="P1772" s="356"/>
      <c r="Q1772" s="380"/>
      <c r="S1772" s="336"/>
      <c r="T1772" s="62" ph="1"/>
      <c r="V1772" s="232"/>
      <c r="W1772" s="269"/>
      <c r="X1772" s="201"/>
      <c r="Y1772" s="269"/>
      <c r="Z1772" s="269"/>
      <c r="AA1772" s="269"/>
      <c r="AB1772" s="269"/>
      <c r="AC1772" s="269"/>
      <c r="AD1772" s="269"/>
      <c r="AE1772" s="269"/>
    </row>
    <row r="1773" spans="1:31" ht="26.25">
      <c r="A1773" s="269"/>
      <c r="B1773" s="269"/>
      <c r="C1773" s="269"/>
      <c r="D1773" s="269"/>
      <c r="E1773" s="269"/>
      <c r="F1773" s="269"/>
      <c r="G1773" s="269"/>
      <c r="H1773" s="269"/>
      <c r="I1773" s="269"/>
      <c r="J1773" s="334"/>
      <c r="K1773" s="334"/>
      <c r="L1773" s="334"/>
      <c r="M1773" s="328"/>
      <c r="N1773" s="328"/>
      <c r="O1773" s="386"/>
      <c r="P1773" s="356"/>
      <c r="Q1773" s="380"/>
      <c r="S1773" s="336"/>
      <c r="T1773" s="62" ph="1"/>
      <c r="V1773" s="232"/>
      <c r="W1773" s="269"/>
      <c r="X1773" s="201"/>
      <c r="Y1773" s="269"/>
      <c r="Z1773" s="269"/>
      <c r="AA1773" s="269"/>
      <c r="AB1773" s="269"/>
      <c r="AC1773" s="269"/>
      <c r="AD1773" s="269"/>
      <c r="AE1773" s="269"/>
    </row>
    <row r="1774" spans="1:31" ht="26.25">
      <c r="A1774" s="269"/>
      <c r="B1774" s="269"/>
      <c r="C1774" s="269"/>
      <c r="D1774" s="269"/>
      <c r="E1774" s="269"/>
      <c r="F1774" s="269"/>
      <c r="G1774" s="269"/>
      <c r="H1774" s="269"/>
      <c r="I1774" s="269"/>
      <c r="J1774" s="334"/>
      <c r="K1774" s="334"/>
      <c r="L1774" s="334"/>
      <c r="M1774" s="328"/>
      <c r="N1774" s="328"/>
      <c r="O1774" s="386"/>
      <c r="P1774" s="356"/>
      <c r="Q1774" s="380"/>
      <c r="S1774" s="336"/>
      <c r="T1774" s="62" ph="1"/>
      <c r="V1774" s="232"/>
      <c r="W1774" s="269"/>
      <c r="X1774" s="201"/>
      <c r="Y1774" s="269"/>
      <c r="Z1774" s="269"/>
      <c r="AA1774" s="269"/>
      <c r="AB1774" s="269"/>
      <c r="AC1774" s="269"/>
      <c r="AD1774" s="269"/>
      <c r="AE1774" s="269"/>
    </row>
    <row r="1775" spans="1:31" ht="26.25">
      <c r="A1775" s="269"/>
      <c r="B1775" s="269"/>
      <c r="C1775" s="269"/>
      <c r="D1775" s="269"/>
      <c r="E1775" s="269"/>
      <c r="F1775" s="269"/>
      <c r="G1775" s="269"/>
      <c r="H1775" s="269"/>
      <c r="I1775" s="269"/>
      <c r="J1775" s="334"/>
      <c r="K1775" s="334"/>
      <c r="L1775" s="334"/>
      <c r="M1775" s="328"/>
      <c r="N1775" s="328"/>
      <c r="O1775" s="386"/>
      <c r="P1775" s="356"/>
      <c r="Q1775" s="380"/>
      <c r="S1775" s="336"/>
      <c r="T1775" s="62" ph="1"/>
      <c r="V1775" s="232"/>
      <c r="W1775" s="269"/>
      <c r="X1775" s="201"/>
      <c r="Y1775" s="269"/>
      <c r="Z1775" s="269"/>
      <c r="AA1775" s="269"/>
      <c r="AB1775" s="269"/>
      <c r="AC1775" s="269"/>
      <c r="AD1775" s="269"/>
      <c r="AE1775" s="269"/>
    </row>
    <row r="1776" spans="1:31" ht="26.25">
      <c r="A1776" s="269"/>
      <c r="B1776" s="269"/>
      <c r="C1776" s="269"/>
      <c r="D1776" s="269"/>
      <c r="E1776" s="269"/>
      <c r="F1776" s="269"/>
      <c r="G1776" s="269"/>
      <c r="H1776" s="269"/>
      <c r="I1776" s="269"/>
      <c r="J1776" s="334"/>
      <c r="K1776" s="334"/>
      <c r="L1776" s="334"/>
      <c r="M1776" s="328"/>
      <c r="N1776" s="328"/>
      <c r="O1776" s="386"/>
      <c r="P1776" s="356"/>
      <c r="Q1776" s="380"/>
      <c r="S1776" s="336"/>
      <c r="T1776" s="62" ph="1"/>
      <c r="V1776" s="232"/>
      <c r="W1776" s="269"/>
      <c r="X1776" s="201"/>
      <c r="Y1776" s="269"/>
      <c r="Z1776" s="269"/>
      <c r="AA1776" s="269"/>
      <c r="AB1776" s="269"/>
      <c r="AC1776" s="269"/>
      <c r="AD1776" s="269"/>
      <c r="AE1776" s="269"/>
    </row>
    <row r="1777" spans="1:31" ht="26.25">
      <c r="A1777" s="269"/>
      <c r="B1777" s="269"/>
      <c r="C1777" s="269"/>
      <c r="D1777" s="269"/>
      <c r="E1777" s="269"/>
      <c r="F1777" s="269"/>
      <c r="G1777" s="269"/>
      <c r="H1777" s="269"/>
      <c r="I1777" s="269"/>
      <c r="J1777" s="334"/>
      <c r="K1777" s="334"/>
      <c r="L1777" s="334"/>
      <c r="M1777" s="328"/>
      <c r="N1777" s="328"/>
      <c r="O1777" s="386"/>
      <c r="P1777" s="356"/>
      <c r="Q1777" s="380"/>
      <c r="S1777" s="336"/>
      <c r="T1777" s="62" ph="1"/>
      <c r="V1777" s="232"/>
      <c r="W1777" s="269"/>
      <c r="X1777" s="201"/>
      <c r="Y1777" s="269"/>
      <c r="Z1777" s="269"/>
      <c r="AA1777" s="269"/>
      <c r="AB1777" s="269"/>
      <c r="AC1777" s="269"/>
      <c r="AD1777" s="269"/>
      <c r="AE1777" s="269"/>
    </row>
    <row r="1778" spans="1:31" ht="26.25">
      <c r="A1778" s="269"/>
      <c r="B1778" s="269"/>
      <c r="C1778" s="269"/>
      <c r="D1778" s="269"/>
      <c r="E1778" s="269"/>
      <c r="F1778" s="269"/>
      <c r="G1778" s="269"/>
      <c r="H1778" s="269"/>
      <c r="I1778" s="269"/>
      <c r="J1778" s="334"/>
      <c r="K1778" s="334"/>
      <c r="L1778" s="334"/>
      <c r="M1778" s="328"/>
      <c r="N1778" s="328"/>
      <c r="O1778" s="386"/>
      <c r="P1778" s="356"/>
      <c r="Q1778" s="380"/>
      <c r="S1778" s="336"/>
      <c r="T1778" s="62" ph="1"/>
      <c r="V1778" s="232"/>
      <c r="W1778" s="269"/>
      <c r="X1778" s="201"/>
      <c r="Y1778" s="269"/>
      <c r="Z1778" s="269"/>
      <c r="AA1778" s="269"/>
      <c r="AB1778" s="269"/>
      <c r="AC1778" s="269"/>
      <c r="AD1778" s="269"/>
      <c r="AE1778" s="269"/>
    </row>
    <row r="1779" spans="1:31" ht="26.25">
      <c r="A1779" s="269"/>
      <c r="B1779" s="269"/>
      <c r="C1779" s="269"/>
      <c r="D1779" s="269"/>
      <c r="E1779" s="269"/>
      <c r="F1779" s="269"/>
      <c r="G1779" s="269"/>
      <c r="H1779" s="269"/>
      <c r="I1779" s="269"/>
      <c r="J1779" s="334"/>
      <c r="K1779" s="334"/>
      <c r="L1779" s="334"/>
      <c r="M1779" s="328"/>
      <c r="N1779" s="328"/>
      <c r="O1779" s="386"/>
      <c r="P1779" s="356"/>
      <c r="Q1779" s="380"/>
      <c r="S1779" s="336"/>
      <c r="T1779" s="62" ph="1"/>
      <c r="V1779" s="232"/>
      <c r="W1779" s="269"/>
      <c r="X1779" s="201"/>
      <c r="Y1779" s="269"/>
      <c r="Z1779" s="269"/>
      <c r="AA1779" s="269"/>
      <c r="AB1779" s="269"/>
      <c r="AC1779" s="269"/>
      <c r="AD1779" s="269"/>
      <c r="AE1779" s="269"/>
    </row>
    <row r="1780" spans="1:31" ht="26.25">
      <c r="A1780" s="269"/>
      <c r="B1780" s="269"/>
      <c r="C1780" s="269"/>
      <c r="D1780" s="269"/>
      <c r="E1780" s="269"/>
      <c r="F1780" s="269"/>
      <c r="G1780" s="269"/>
      <c r="H1780" s="269"/>
      <c r="I1780" s="269"/>
      <c r="J1780" s="334"/>
      <c r="K1780" s="334"/>
      <c r="L1780" s="334"/>
      <c r="M1780" s="328"/>
      <c r="N1780" s="328"/>
      <c r="O1780" s="386"/>
      <c r="P1780" s="356"/>
      <c r="Q1780" s="380"/>
      <c r="S1780" s="336"/>
      <c r="T1780" s="62" ph="1"/>
      <c r="V1780" s="232"/>
      <c r="W1780" s="269"/>
      <c r="X1780" s="201"/>
      <c r="Y1780" s="269"/>
      <c r="Z1780" s="269"/>
      <c r="AA1780" s="269"/>
      <c r="AB1780" s="269"/>
      <c r="AC1780" s="269"/>
      <c r="AD1780" s="269"/>
      <c r="AE1780" s="269"/>
    </row>
    <row r="1781" spans="1:31" ht="26.25">
      <c r="A1781" s="269"/>
      <c r="B1781" s="269"/>
      <c r="C1781" s="269"/>
      <c r="D1781" s="269"/>
      <c r="E1781" s="269"/>
      <c r="F1781" s="269"/>
      <c r="G1781" s="269"/>
      <c r="H1781" s="269"/>
      <c r="I1781" s="269"/>
      <c r="J1781" s="334"/>
      <c r="K1781" s="334"/>
      <c r="L1781" s="334"/>
      <c r="M1781" s="328"/>
      <c r="N1781" s="328"/>
      <c r="O1781" s="386"/>
      <c r="P1781" s="356"/>
      <c r="Q1781" s="380"/>
      <c r="S1781" s="336"/>
      <c r="T1781" s="62" ph="1"/>
      <c r="V1781" s="232"/>
      <c r="W1781" s="269"/>
      <c r="X1781" s="201"/>
      <c r="Y1781" s="269"/>
      <c r="Z1781" s="269"/>
      <c r="AA1781" s="269"/>
      <c r="AB1781" s="269"/>
      <c r="AC1781" s="269"/>
      <c r="AD1781" s="269"/>
      <c r="AE1781" s="269"/>
    </row>
    <row r="1782" spans="1:31" ht="26.25">
      <c r="A1782" s="269"/>
      <c r="B1782" s="269"/>
      <c r="C1782" s="269"/>
      <c r="D1782" s="269"/>
      <c r="E1782" s="269"/>
      <c r="F1782" s="269"/>
      <c r="G1782" s="269"/>
      <c r="H1782" s="269"/>
      <c r="I1782" s="269"/>
      <c r="J1782" s="334"/>
      <c r="K1782" s="334"/>
      <c r="L1782" s="334"/>
      <c r="M1782" s="328"/>
      <c r="N1782" s="328"/>
      <c r="O1782" s="386"/>
      <c r="P1782" s="356"/>
      <c r="Q1782" s="380"/>
      <c r="S1782" s="336"/>
      <c r="T1782" s="62" ph="1"/>
      <c r="V1782" s="232"/>
      <c r="W1782" s="269"/>
      <c r="X1782" s="201"/>
      <c r="Y1782" s="269"/>
      <c r="Z1782" s="269"/>
      <c r="AA1782" s="269"/>
      <c r="AB1782" s="269"/>
      <c r="AC1782" s="269"/>
      <c r="AD1782" s="269"/>
      <c r="AE1782" s="269"/>
    </row>
    <row r="1783" spans="1:31" ht="26.25">
      <c r="A1783" s="269"/>
      <c r="B1783" s="269"/>
      <c r="C1783" s="269"/>
      <c r="D1783" s="269"/>
      <c r="E1783" s="269"/>
      <c r="F1783" s="269"/>
      <c r="G1783" s="269"/>
      <c r="H1783" s="269"/>
      <c r="I1783" s="269"/>
      <c r="J1783" s="334"/>
      <c r="K1783" s="334"/>
      <c r="L1783" s="334"/>
      <c r="M1783" s="328"/>
      <c r="N1783" s="328"/>
      <c r="O1783" s="386"/>
      <c r="P1783" s="356"/>
      <c r="Q1783" s="380"/>
      <c r="S1783" s="336"/>
      <c r="T1783" s="62" ph="1"/>
      <c r="V1783" s="232"/>
      <c r="W1783" s="269"/>
      <c r="X1783" s="201"/>
      <c r="Y1783" s="269"/>
      <c r="Z1783" s="269"/>
      <c r="AA1783" s="269"/>
      <c r="AB1783" s="269"/>
      <c r="AC1783" s="269"/>
      <c r="AD1783" s="269"/>
      <c r="AE1783" s="269"/>
    </row>
    <row r="1784" spans="1:31" ht="26.25">
      <c r="A1784" s="269"/>
      <c r="B1784" s="269"/>
      <c r="C1784" s="269"/>
      <c r="D1784" s="269"/>
      <c r="E1784" s="269"/>
      <c r="F1784" s="269"/>
      <c r="G1784" s="269"/>
      <c r="H1784" s="269"/>
      <c r="I1784" s="269"/>
      <c r="J1784" s="334"/>
      <c r="K1784" s="334"/>
      <c r="L1784" s="334"/>
      <c r="M1784" s="328"/>
      <c r="N1784" s="328"/>
      <c r="O1784" s="386"/>
      <c r="P1784" s="356"/>
      <c r="Q1784" s="380"/>
      <c r="S1784" s="336"/>
      <c r="T1784" s="62" ph="1"/>
      <c r="V1784" s="232"/>
      <c r="W1784" s="269"/>
      <c r="X1784" s="201"/>
      <c r="Y1784" s="269"/>
      <c r="Z1784" s="269"/>
      <c r="AA1784" s="269"/>
      <c r="AB1784" s="269"/>
      <c r="AC1784" s="269"/>
      <c r="AD1784" s="269"/>
      <c r="AE1784" s="269"/>
    </row>
    <row r="1785" spans="1:31" ht="26.25">
      <c r="A1785" s="269"/>
      <c r="B1785" s="269"/>
      <c r="C1785" s="269"/>
      <c r="D1785" s="269"/>
      <c r="E1785" s="269"/>
      <c r="F1785" s="269"/>
      <c r="G1785" s="269"/>
      <c r="H1785" s="269"/>
      <c r="I1785" s="269"/>
      <c r="J1785" s="334"/>
      <c r="K1785" s="334"/>
      <c r="L1785" s="334"/>
      <c r="M1785" s="328"/>
      <c r="N1785" s="328"/>
      <c r="O1785" s="386"/>
      <c r="P1785" s="356"/>
      <c r="Q1785" s="380"/>
      <c r="S1785" s="336"/>
      <c r="T1785" s="62" ph="1"/>
      <c r="V1785" s="232"/>
      <c r="W1785" s="269"/>
      <c r="X1785" s="201"/>
      <c r="Y1785" s="269"/>
      <c r="Z1785" s="269"/>
      <c r="AA1785" s="269"/>
      <c r="AB1785" s="269"/>
      <c r="AC1785" s="269"/>
      <c r="AD1785" s="269"/>
      <c r="AE1785" s="269"/>
    </row>
    <row r="1786" spans="1:31" ht="26.25">
      <c r="A1786" s="269"/>
      <c r="B1786" s="269"/>
      <c r="C1786" s="269"/>
      <c r="D1786" s="269"/>
      <c r="E1786" s="269"/>
      <c r="F1786" s="269"/>
      <c r="G1786" s="269"/>
      <c r="H1786" s="269"/>
      <c r="I1786" s="269"/>
      <c r="J1786" s="334"/>
      <c r="K1786" s="334"/>
      <c r="L1786" s="334"/>
      <c r="M1786" s="328"/>
      <c r="N1786" s="328"/>
      <c r="O1786" s="386"/>
      <c r="P1786" s="356"/>
      <c r="Q1786" s="380"/>
      <c r="S1786" s="336"/>
      <c r="T1786" s="62" ph="1"/>
      <c r="V1786" s="232"/>
      <c r="W1786" s="269"/>
      <c r="X1786" s="201"/>
      <c r="Y1786" s="269"/>
      <c r="Z1786" s="269"/>
      <c r="AA1786" s="269"/>
      <c r="AB1786" s="269"/>
      <c r="AC1786" s="269"/>
      <c r="AD1786" s="269"/>
      <c r="AE1786" s="269"/>
    </row>
    <row r="1787" spans="1:31" ht="26.25">
      <c r="A1787" s="269"/>
      <c r="B1787" s="269"/>
      <c r="C1787" s="269"/>
      <c r="D1787" s="269"/>
      <c r="E1787" s="269"/>
      <c r="F1787" s="269"/>
      <c r="G1787" s="269"/>
      <c r="H1787" s="269"/>
      <c r="I1787" s="269"/>
      <c r="J1787" s="334"/>
      <c r="K1787" s="334"/>
      <c r="L1787" s="334"/>
      <c r="M1787" s="328"/>
      <c r="N1787" s="328"/>
      <c r="O1787" s="386"/>
      <c r="P1787" s="356"/>
      <c r="Q1787" s="380"/>
      <c r="S1787" s="336"/>
      <c r="T1787" s="62" ph="1"/>
      <c r="V1787" s="232"/>
      <c r="W1787" s="269"/>
      <c r="X1787" s="201"/>
      <c r="Y1787" s="269"/>
      <c r="Z1787" s="269"/>
      <c r="AA1787" s="269"/>
      <c r="AB1787" s="269"/>
      <c r="AC1787" s="269"/>
      <c r="AD1787" s="269"/>
      <c r="AE1787" s="269"/>
    </row>
    <row r="1788" spans="1:31" ht="26.25">
      <c r="A1788" s="269"/>
      <c r="B1788" s="269"/>
      <c r="C1788" s="269"/>
      <c r="D1788" s="269"/>
      <c r="E1788" s="269"/>
      <c r="F1788" s="269"/>
      <c r="G1788" s="269"/>
      <c r="H1788" s="269"/>
      <c r="I1788" s="269"/>
      <c r="J1788" s="334"/>
      <c r="K1788" s="334"/>
      <c r="L1788" s="334"/>
      <c r="M1788" s="328"/>
      <c r="N1788" s="328"/>
      <c r="O1788" s="386"/>
      <c r="P1788" s="356"/>
      <c r="Q1788" s="380"/>
      <c r="S1788" s="336"/>
      <c r="T1788" s="62" ph="1"/>
      <c r="V1788" s="232"/>
      <c r="W1788" s="269"/>
      <c r="X1788" s="201"/>
      <c r="Y1788" s="269"/>
      <c r="Z1788" s="269"/>
      <c r="AA1788" s="269"/>
      <c r="AB1788" s="269"/>
      <c r="AC1788" s="269"/>
      <c r="AD1788" s="269"/>
      <c r="AE1788" s="269"/>
    </row>
    <row r="1789" spans="1:31" ht="26.25">
      <c r="A1789" s="269"/>
      <c r="B1789" s="269"/>
      <c r="C1789" s="269"/>
      <c r="D1789" s="269"/>
      <c r="E1789" s="269"/>
      <c r="F1789" s="269"/>
      <c r="G1789" s="269"/>
      <c r="H1789" s="269"/>
      <c r="I1789" s="269"/>
      <c r="J1789" s="334"/>
      <c r="K1789" s="334"/>
      <c r="L1789" s="334"/>
      <c r="M1789" s="328"/>
      <c r="N1789" s="328"/>
      <c r="O1789" s="386"/>
      <c r="P1789" s="356"/>
      <c r="Q1789" s="380"/>
      <c r="S1789" s="336"/>
      <c r="T1789" s="62" ph="1"/>
      <c r="V1789" s="232"/>
      <c r="W1789" s="269"/>
      <c r="X1789" s="201"/>
      <c r="Y1789" s="269"/>
      <c r="Z1789" s="269"/>
      <c r="AA1789" s="269"/>
      <c r="AB1789" s="269"/>
      <c r="AC1789" s="269"/>
      <c r="AD1789" s="269"/>
      <c r="AE1789" s="269"/>
    </row>
    <row r="1790" spans="1:31" ht="26.25">
      <c r="A1790" s="269"/>
      <c r="B1790" s="269"/>
      <c r="C1790" s="269"/>
      <c r="D1790" s="269"/>
      <c r="E1790" s="269"/>
      <c r="F1790" s="269"/>
      <c r="G1790" s="269"/>
      <c r="H1790" s="269"/>
      <c r="I1790" s="269"/>
      <c r="J1790" s="334"/>
      <c r="K1790" s="334"/>
      <c r="L1790" s="334"/>
      <c r="M1790" s="328"/>
      <c r="N1790" s="328"/>
      <c r="O1790" s="386"/>
      <c r="P1790" s="356"/>
      <c r="Q1790" s="380"/>
      <c r="S1790" s="336"/>
      <c r="T1790" s="62" ph="1"/>
      <c r="V1790" s="232"/>
      <c r="W1790" s="269"/>
      <c r="X1790" s="201"/>
      <c r="Y1790" s="269"/>
      <c r="Z1790" s="269"/>
      <c r="AA1790" s="269"/>
      <c r="AB1790" s="269"/>
      <c r="AC1790" s="269"/>
      <c r="AD1790" s="269"/>
      <c r="AE1790" s="269"/>
    </row>
    <row r="1791" spans="1:31" ht="26.25">
      <c r="A1791" s="269"/>
      <c r="B1791" s="269"/>
      <c r="C1791" s="269"/>
      <c r="D1791" s="269"/>
      <c r="E1791" s="269"/>
      <c r="F1791" s="269"/>
      <c r="G1791" s="269"/>
      <c r="H1791" s="269"/>
      <c r="I1791" s="269"/>
      <c r="J1791" s="334"/>
      <c r="K1791" s="334"/>
      <c r="L1791" s="334"/>
      <c r="M1791" s="328"/>
      <c r="N1791" s="328"/>
      <c r="O1791" s="386"/>
      <c r="P1791" s="356"/>
      <c r="Q1791" s="380"/>
      <c r="S1791" s="336"/>
      <c r="T1791" s="62" ph="1"/>
      <c r="V1791" s="232"/>
      <c r="W1791" s="269"/>
      <c r="X1791" s="201"/>
      <c r="Y1791" s="269"/>
      <c r="Z1791" s="269"/>
      <c r="AA1791" s="269"/>
      <c r="AB1791" s="269"/>
      <c r="AC1791" s="269"/>
      <c r="AD1791" s="269"/>
      <c r="AE1791" s="269"/>
    </row>
    <row r="1792" spans="1:31" ht="26.25">
      <c r="A1792" s="269"/>
      <c r="B1792" s="269"/>
      <c r="C1792" s="269"/>
      <c r="D1792" s="269"/>
      <c r="E1792" s="269"/>
      <c r="F1792" s="269"/>
      <c r="G1792" s="269"/>
      <c r="H1792" s="269"/>
      <c r="I1792" s="269"/>
      <c r="J1792" s="334"/>
      <c r="K1792" s="334"/>
      <c r="L1792" s="334"/>
      <c r="M1792" s="328"/>
      <c r="N1792" s="328"/>
      <c r="O1792" s="386"/>
      <c r="P1792" s="356"/>
      <c r="Q1792" s="380"/>
      <c r="S1792" s="336"/>
      <c r="T1792" s="62" ph="1"/>
      <c r="V1792" s="232"/>
      <c r="W1792" s="269"/>
      <c r="X1792" s="201"/>
      <c r="Y1792" s="269"/>
      <c r="Z1792" s="269"/>
      <c r="AA1792" s="269"/>
      <c r="AB1792" s="269"/>
      <c r="AC1792" s="269"/>
      <c r="AD1792" s="269"/>
      <c r="AE1792" s="269"/>
    </row>
    <row r="1793" spans="1:31" ht="26.25">
      <c r="A1793" s="269"/>
      <c r="B1793" s="269"/>
      <c r="C1793" s="269"/>
      <c r="D1793" s="269"/>
      <c r="E1793" s="269"/>
      <c r="F1793" s="269"/>
      <c r="G1793" s="269"/>
      <c r="H1793" s="269"/>
      <c r="I1793" s="269"/>
      <c r="J1793" s="334"/>
      <c r="K1793" s="334"/>
      <c r="L1793" s="334"/>
      <c r="M1793" s="328"/>
      <c r="N1793" s="328"/>
      <c r="O1793" s="386"/>
      <c r="P1793" s="356"/>
      <c r="Q1793" s="380"/>
      <c r="S1793" s="336"/>
      <c r="T1793" s="62" ph="1"/>
      <c r="V1793" s="232"/>
      <c r="W1793" s="269"/>
      <c r="X1793" s="201"/>
      <c r="Y1793" s="269"/>
      <c r="Z1793" s="269"/>
      <c r="AA1793" s="269"/>
      <c r="AB1793" s="269"/>
      <c r="AC1793" s="269"/>
      <c r="AD1793" s="269"/>
      <c r="AE1793" s="269"/>
    </row>
    <row r="1794" spans="1:31" ht="26.25">
      <c r="A1794" s="269"/>
      <c r="B1794" s="269"/>
      <c r="C1794" s="269"/>
      <c r="D1794" s="269"/>
      <c r="E1794" s="269"/>
      <c r="F1794" s="269"/>
      <c r="G1794" s="269"/>
      <c r="H1794" s="269"/>
      <c r="I1794" s="269"/>
      <c r="J1794" s="334"/>
      <c r="K1794" s="334"/>
      <c r="L1794" s="334"/>
      <c r="M1794" s="328"/>
      <c r="N1794" s="328"/>
      <c r="O1794" s="386"/>
      <c r="P1794" s="356"/>
      <c r="Q1794" s="380"/>
      <c r="S1794" s="336"/>
      <c r="T1794" s="62" ph="1"/>
      <c r="V1794" s="232"/>
      <c r="W1794" s="269"/>
      <c r="X1794" s="201"/>
      <c r="Y1794" s="269"/>
      <c r="Z1794" s="269"/>
      <c r="AA1794" s="269"/>
      <c r="AB1794" s="269"/>
      <c r="AC1794" s="269"/>
      <c r="AD1794" s="269"/>
      <c r="AE1794" s="269"/>
    </row>
    <row r="1795" spans="1:31" ht="26.25">
      <c r="A1795" s="269"/>
      <c r="B1795" s="269"/>
      <c r="C1795" s="269"/>
      <c r="D1795" s="269"/>
      <c r="E1795" s="269"/>
      <c r="F1795" s="269"/>
      <c r="G1795" s="269"/>
      <c r="H1795" s="269"/>
      <c r="I1795" s="269"/>
      <c r="J1795" s="334"/>
      <c r="K1795" s="334"/>
      <c r="L1795" s="334"/>
      <c r="M1795" s="328"/>
      <c r="N1795" s="328"/>
      <c r="O1795" s="386"/>
      <c r="P1795" s="356"/>
      <c r="Q1795" s="380"/>
      <c r="S1795" s="336"/>
      <c r="T1795" s="62" ph="1"/>
      <c r="V1795" s="232"/>
      <c r="W1795" s="269"/>
      <c r="X1795" s="201"/>
      <c r="Y1795" s="269"/>
      <c r="Z1795" s="269"/>
      <c r="AA1795" s="269"/>
      <c r="AB1795" s="269"/>
      <c r="AC1795" s="269"/>
      <c r="AD1795" s="269"/>
      <c r="AE1795" s="269"/>
    </row>
    <row r="1796" spans="1:31" ht="26.25">
      <c r="A1796" s="269"/>
      <c r="B1796" s="269"/>
      <c r="C1796" s="269"/>
      <c r="D1796" s="269"/>
      <c r="E1796" s="269"/>
      <c r="F1796" s="269"/>
      <c r="G1796" s="269"/>
      <c r="H1796" s="269"/>
      <c r="I1796" s="269"/>
      <c r="J1796" s="334"/>
      <c r="K1796" s="334"/>
      <c r="L1796" s="334"/>
      <c r="M1796" s="328"/>
      <c r="N1796" s="328"/>
      <c r="O1796" s="386"/>
      <c r="P1796" s="356"/>
      <c r="Q1796" s="380"/>
      <c r="S1796" s="336"/>
      <c r="T1796" s="62" ph="1"/>
      <c r="V1796" s="232"/>
      <c r="W1796" s="269"/>
      <c r="X1796" s="201"/>
      <c r="Y1796" s="269"/>
      <c r="Z1796" s="269"/>
      <c r="AA1796" s="269"/>
      <c r="AB1796" s="269"/>
      <c r="AC1796" s="269"/>
      <c r="AD1796" s="269"/>
      <c r="AE1796" s="269"/>
    </row>
    <row r="1797" spans="1:31" ht="26.25">
      <c r="A1797" s="269"/>
      <c r="B1797" s="269"/>
      <c r="C1797" s="269"/>
      <c r="D1797" s="269"/>
      <c r="E1797" s="269"/>
      <c r="F1797" s="269"/>
      <c r="G1797" s="269"/>
      <c r="H1797" s="269"/>
      <c r="I1797" s="269"/>
      <c r="J1797" s="334"/>
      <c r="K1797" s="334"/>
      <c r="L1797" s="334"/>
      <c r="M1797" s="328"/>
      <c r="N1797" s="328"/>
      <c r="O1797" s="386"/>
      <c r="P1797" s="356"/>
      <c r="Q1797" s="380"/>
      <c r="S1797" s="336"/>
      <c r="T1797" s="62" ph="1"/>
      <c r="V1797" s="232"/>
      <c r="W1797" s="269"/>
      <c r="X1797" s="201"/>
      <c r="Y1797" s="269"/>
      <c r="Z1797" s="269"/>
      <c r="AA1797" s="269"/>
      <c r="AB1797" s="269"/>
      <c r="AC1797" s="269"/>
      <c r="AD1797" s="269"/>
      <c r="AE1797" s="269"/>
    </row>
    <row r="1798" spans="1:31" ht="26.25">
      <c r="A1798" s="269"/>
      <c r="B1798" s="269"/>
      <c r="C1798" s="269"/>
      <c r="D1798" s="269"/>
      <c r="E1798" s="269"/>
      <c r="F1798" s="269"/>
      <c r="G1798" s="269"/>
      <c r="H1798" s="269"/>
      <c r="I1798" s="269"/>
      <c r="J1798" s="334"/>
      <c r="K1798" s="334"/>
      <c r="L1798" s="334"/>
      <c r="M1798" s="328"/>
      <c r="N1798" s="328"/>
      <c r="O1798" s="386"/>
      <c r="P1798" s="356"/>
      <c r="Q1798" s="380"/>
      <c r="S1798" s="336"/>
      <c r="T1798" s="62" ph="1"/>
      <c r="V1798" s="232"/>
      <c r="W1798" s="269"/>
      <c r="X1798" s="201"/>
      <c r="Y1798" s="269"/>
      <c r="Z1798" s="269"/>
      <c r="AA1798" s="269"/>
      <c r="AB1798" s="269"/>
      <c r="AC1798" s="269"/>
      <c r="AD1798" s="269"/>
      <c r="AE1798" s="269"/>
    </row>
    <row r="1799" spans="1:31" ht="26.25">
      <c r="A1799" s="269"/>
      <c r="B1799" s="269"/>
      <c r="C1799" s="269"/>
      <c r="D1799" s="269"/>
      <c r="E1799" s="269"/>
      <c r="F1799" s="269"/>
      <c r="G1799" s="269"/>
      <c r="H1799" s="269"/>
      <c r="I1799" s="269"/>
      <c r="J1799" s="334"/>
      <c r="K1799" s="334"/>
      <c r="L1799" s="334"/>
      <c r="M1799" s="328"/>
      <c r="N1799" s="328"/>
      <c r="O1799" s="386"/>
      <c r="P1799" s="356"/>
      <c r="Q1799" s="380"/>
      <c r="S1799" s="336"/>
      <c r="T1799" s="62" ph="1"/>
      <c r="V1799" s="232"/>
      <c r="W1799" s="269"/>
      <c r="X1799" s="201"/>
      <c r="Y1799" s="269"/>
      <c r="Z1799" s="269"/>
      <c r="AA1799" s="269"/>
      <c r="AB1799" s="269"/>
      <c r="AC1799" s="269"/>
      <c r="AD1799" s="269"/>
      <c r="AE1799" s="269"/>
    </row>
    <row r="1800" spans="1:31" ht="26.25">
      <c r="A1800" s="269"/>
      <c r="B1800" s="269"/>
      <c r="C1800" s="269"/>
      <c r="D1800" s="269"/>
      <c r="E1800" s="269"/>
      <c r="F1800" s="269"/>
      <c r="G1800" s="269"/>
      <c r="H1800" s="269"/>
      <c r="I1800" s="269"/>
      <c r="J1800" s="334"/>
      <c r="K1800" s="334"/>
      <c r="L1800" s="334"/>
      <c r="M1800" s="328"/>
      <c r="N1800" s="328"/>
      <c r="O1800" s="386"/>
      <c r="P1800" s="356"/>
      <c r="Q1800" s="380"/>
      <c r="S1800" s="336"/>
      <c r="T1800" s="62" ph="1"/>
      <c r="V1800" s="232"/>
      <c r="W1800" s="269"/>
      <c r="X1800" s="201"/>
      <c r="Y1800" s="269"/>
      <c r="Z1800" s="269"/>
      <c r="AA1800" s="269"/>
      <c r="AB1800" s="269"/>
      <c r="AC1800" s="269"/>
      <c r="AD1800" s="269"/>
      <c r="AE1800" s="269"/>
    </row>
    <row r="1801" spans="1:31" ht="26.25">
      <c r="A1801" s="269"/>
      <c r="B1801" s="269"/>
      <c r="C1801" s="269"/>
      <c r="D1801" s="269"/>
      <c r="E1801" s="269"/>
      <c r="F1801" s="269"/>
      <c r="G1801" s="269"/>
      <c r="H1801" s="269"/>
      <c r="I1801" s="269"/>
      <c r="J1801" s="334"/>
      <c r="K1801" s="334"/>
      <c r="L1801" s="334"/>
      <c r="M1801" s="328"/>
      <c r="N1801" s="328"/>
      <c r="O1801" s="386"/>
      <c r="P1801" s="356"/>
      <c r="Q1801" s="380"/>
      <c r="S1801" s="336"/>
      <c r="T1801" s="62" ph="1"/>
      <c r="V1801" s="232"/>
      <c r="W1801" s="269"/>
      <c r="X1801" s="201"/>
      <c r="Y1801" s="269"/>
      <c r="Z1801" s="269"/>
      <c r="AA1801" s="269"/>
      <c r="AB1801" s="269"/>
      <c r="AC1801" s="269"/>
      <c r="AD1801" s="269"/>
      <c r="AE1801" s="269"/>
    </row>
    <row r="1802" spans="1:31" ht="26.25">
      <c r="A1802" s="269"/>
      <c r="B1802" s="269"/>
      <c r="C1802" s="269"/>
      <c r="D1802" s="269"/>
      <c r="E1802" s="269"/>
      <c r="F1802" s="269"/>
      <c r="G1802" s="269"/>
      <c r="H1802" s="269"/>
      <c r="I1802" s="269"/>
      <c r="J1802" s="334"/>
      <c r="K1802" s="334"/>
      <c r="L1802" s="334"/>
      <c r="M1802" s="328"/>
      <c r="N1802" s="328"/>
      <c r="O1802" s="386"/>
      <c r="P1802" s="356"/>
      <c r="Q1802" s="380"/>
      <c r="S1802" s="336"/>
      <c r="T1802" s="62" ph="1"/>
      <c r="V1802" s="232"/>
      <c r="W1802" s="269"/>
      <c r="X1802" s="201"/>
      <c r="Y1802" s="269"/>
      <c r="Z1802" s="269"/>
      <c r="AA1802" s="269"/>
      <c r="AB1802" s="269"/>
      <c r="AC1802" s="269"/>
      <c r="AD1802" s="269"/>
      <c r="AE1802" s="269"/>
    </row>
    <row r="1803" spans="1:31" ht="26.25">
      <c r="A1803" s="269"/>
      <c r="B1803" s="269"/>
      <c r="C1803" s="269"/>
      <c r="D1803" s="269"/>
      <c r="E1803" s="269"/>
      <c r="F1803" s="269"/>
      <c r="G1803" s="269"/>
      <c r="H1803" s="269"/>
      <c r="I1803" s="269"/>
      <c r="J1803" s="334"/>
      <c r="K1803" s="334"/>
      <c r="L1803" s="334"/>
      <c r="M1803" s="328"/>
      <c r="N1803" s="328"/>
      <c r="O1803" s="386"/>
      <c r="P1803" s="356"/>
      <c r="Q1803" s="380"/>
      <c r="S1803" s="336"/>
      <c r="T1803" s="62" ph="1"/>
      <c r="V1803" s="232"/>
      <c r="W1803" s="269"/>
      <c r="X1803" s="201"/>
      <c r="Y1803" s="269"/>
      <c r="Z1803" s="269"/>
      <c r="AA1803" s="269"/>
      <c r="AB1803" s="269"/>
      <c r="AC1803" s="269"/>
      <c r="AD1803" s="269"/>
      <c r="AE1803" s="269"/>
    </row>
    <row r="1804" spans="1:31" ht="26.25">
      <c r="A1804" s="269"/>
      <c r="B1804" s="269"/>
      <c r="C1804" s="269"/>
      <c r="D1804" s="269"/>
      <c r="E1804" s="269"/>
      <c r="F1804" s="269"/>
      <c r="G1804" s="269"/>
      <c r="H1804" s="269"/>
      <c r="I1804" s="269"/>
      <c r="J1804" s="334"/>
      <c r="K1804" s="334"/>
      <c r="L1804" s="334"/>
      <c r="M1804" s="328"/>
      <c r="N1804" s="328"/>
      <c r="O1804" s="386"/>
      <c r="P1804" s="356"/>
      <c r="Q1804" s="380"/>
      <c r="S1804" s="336"/>
      <c r="T1804" s="62" ph="1"/>
      <c r="V1804" s="232"/>
      <c r="W1804" s="269"/>
      <c r="X1804" s="201"/>
      <c r="Y1804" s="269"/>
      <c r="Z1804" s="269"/>
      <c r="AA1804" s="269"/>
      <c r="AB1804" s="269"/>
      <c r="AC1804" s="269"/>
      <c r="AD1804" s="269"/>
      <c r="AE1804" s="269"/>
    </row>
    <row r="1805" spans="1:31" ht="26.25">
      <c r="A1805" s="269"/>
      <c r="B1805" s="269"/>
      <c r="C1805" s="269"/>
      <c r="D1805" s="269"/>
      <c r="E1805" s="269"/>
      <c r="F1805" s="269"/>
      <c r="G1805" s="269"/>
      <c r="H1805" s="269"/>
      <c r="I1805" s="269"/>
      <c r="J1805" s="334"/>
      <c r="K1805" s="334"/>
      <c r="L1805" s="334"/>
      <c r="M1805" s="328"/>
      <c r="N1805" s="328"/>
      <c r="O1805" s="386"/>
      <c r="P1805" s="356"/>
      <c r="Q1805" s="380"/>
      <c r="S1805" s="336"/>
      <c r="T1805" s="62" ph="1"/>
      <c r="V1805" s="232"/>
      <c r="W1805" s="269"/>
      <c r="X1805" s="201"/>
      <c r="Y1805" s="269"/>
      <c r="Z1805" s="269"/>
      <c r="AA1805" s="269"/>
      <c r="AB1805" s="269"/>
      <c r="AC1805" s="269"/>
      <c r="AD1805" s="269"/>
      <c r="AE1805" s="269"/>
    </row>
    <row r="1806" spans="1:31" ht="26.25">
      <c r="A1806" s="269"/>
      <c r="B1806" s="269"/>
      <c r="C1806" s="269"/>
      <c r="D1806" s="269"/>
      <c r="E1806" s="269"/>
      <c r="F1806" s="269"/>
      <c r="G1806" s="269"/>
      <c r="H1806" s="269"/>
      <c r="I1806" s="269"/>
      <c r="J1806" s="334"/>
      <c r="K1806" s="334"/>
      <c r="L1806" s="334"/>
      <c r="M1806" s="328"/>
      <c r="N1806" s="328"/>
      <c r="O1806" s="386"/>
      <c r="P1806" s="356"/>
      <c r="Q1806" s="380"/>
      <c r="S1806" s="336"/>
      <c r="T1806" s="62" ph="1"/>
      <c r="V1806" s="232"/>
      <c r="W1806" s="269"/>
      <c r="X1806" s="201"/>
      <c r="Y1806" s="269"/>
      <c r="Z1806" s="269"/>
      <c r="AA1806" s="269"/>
      <c r="AB1806" s="269"/>
      <c r="AC1806" s="269"/>
      <c r="AD1806" s="269"/>
      <c r="AE1806" s="269"/>
    </row>
    <row r="1807" spans="1:31" ht="26.25">
      <c r="A1807" s="269"/>
      <c r="B1807" s="269"/>
      <c r="C1807" s="269"/>
      <c r="D1807" s="269"/>
      <c r="E1807" s="269"/>
      <c r="F1807" s="269"/>
      <c r="G1807" s="269"/>
      <c r="H1807" s="269"/>
      <c r="I1807" s="269"/>
      <c r="J1807" s="334"/>
      <c r="K1807" s="334"/>
      <c r="L1807" s="334"/>
      <c r="M1807" s="328"/>
      <c r="N1807" s="328"/>
      <c r="O1807" s="386"/>
      <c r="P1807" s="356"/>
      <c r="Q1807" s="380"/>
      <c r="S1807" s="336"/>
      <c r="T1807" s="62" ph="1"/>
      <c r="V1807" s="232"/>
      <c r="W1807" s="269"/>
      <c r="X1807" s="201"/>
      <c r="Y1807" s="269"/>
      <c r="Z1807" s="269"/>
      <c r="AA1807" s="269"/>
      <c r="AB1807" s="269"/>
      <c r="AC1807" s="269"/>
      <c r="AD1807" s="269"/>
      <c r="AE1807" s="269"/>
    </row>
    <row r="1808" spans="1:31" ht="26.25">
      <c r="A1808" s="269"/>
      <c r="B1808" s="269"/>
      <c r="C1808" s="269"/>
      <c r="D1808" s="269"/>
      <c r="E1808" s="269"/>
      <c r="F1808" s="269"/>
      <c r="G1808" s="269"/>
      <c r="H1808" s="269"/>
      <c r="I1808" s="269"/>
      <c r="J1808" s="334"/>
      <c r="K1808" s="334"/>
      <c r="L1808" s="334"/>
      <c r="M1808" s="328"/>
      <c r="N1808" s="328"/>
      <c r="O1808" s="386"/>
      <c r="P1808" s="356"/>
      <c r="Q1808" s="380"/>
      <c r="S1808" s="336"/>
      <c r="T1808" s="62" ph="1"/>
      <c r="V1808" s="232"/>
      <c r="W1808" s="269"/>
      <c r="X1808" s="201"/>
      <c r="Y1808" s="269"/>
      <c r="Z1808" s="269"/>
      <c r="AA1808" s="269"/>
      <c r="AB1808" s="269"/>
      <c r="AC1808" s="269"/>
      <c r="AD1808" s="269"/>
      <c r="AE1808" s="269"/>
    </row>
    <row r="1809" spans="1:31" ht="26.25">
      <c r="A1809" s="269"/>
      <c r="B1809" s="269"/>
      <c r="C1809" s="269"/>
      <c r="D1809" s="269"/>
      <c r="E1809" s="269"/>
      <c r="F1809" s="269"/>
      <c r="G1809" s="269"/>
      <c r="H1809" s="269"/>
      <c r="I1809" s="269"/>
      <c r="J1809" s="334"/>
      <c r="K1809" s="334"/>
      <c r="L1809" s="334"/>
      <c r="M1809" s="328"/>
      <c r="N1809" s="328"/>
      <c r="O1809" s="386"/>
      <c r="P1809" s="356"/>
      <c r="Q1809" s="380"/>
      <c r="S1809" s="336"/>
      <c r="T1809" s="62" ph="1"/>
      <c r="V1809" s="232"/>
      <c r="W1809" s="269"/>
      <c r="X1809" s="201"/>
      <c r="Y1809" s="269"/>
      <c r="Z1809" s="269"/>
      <c r="AA1809" s="269"/>
      <c r="AB1809" s="269"/>
      <c r="AC1809" s="269"/>
      <c r="AD1809" s="269"/>
      <c r="AE1809" s="269"/>
    </row>
    <row r="1810" spans="1:31" ht="26.25">
      <c r="A1810" s="269"/>
      <c r="B1810" s="269"/>
      <c r="C1810" s="269"/>
      <c r="D1810" s="269"/>
      <c r="E1810" s="269"/>
      <c r="F1810" s="269"/>
      <c r="G1810" s="269"/>
      <c r="H1810" s="269"/>
      <c r="I1810" s="269"/>
      <c r="J1810" s="334"/>
      <c r="K1810" s="334"/>
      <c r="L1810" s="334"/>
      <c r="M1810" s="328"/>
      <c r="N1810" s="328"/>
      <c r="O1810" s="386"/>
      <c r="P1810" s="356"/>
      <c r="Q1810" s="380"/>
      <c r="S1810" s="336"/>
      <c r="T1810" s="62" ph="1"/>
      <c r="V1810" s="232"/>
      <c r="W1810" s="269"/>
      <c r="X1810" s="201"/>
      <c r="Y1810" s="269"/>
      <c r="Z1810" s="269"/>
      <c r="AA1810" s="269"/>
      <c r="AB1810" s="269"/>
      <c r="AC1810" s="269"/>
      <c r="AD1810" s="269"/>
      <c r="AE1810" s="269"/>
    </row>
    <row r="1811" spans="1:31" ht="26.25">
      <c r="A1811" s="269"/>
      <c r="B1811" s="269"/>
      <c r="C1811" s="269"/>
      <c r="D1811" s="269"/>
      <c r="E1811" s="269"/>
      <c r="F1811" s="269"/>
      <c r="G1811" s="269"/>
      <c r="H1811" s="269"/>
      <c r="I1811" s="269"/>
      <c r="J1811" s="334"/>
      <c r="K1811" s="334"/>
      <c r="L1811" s="334"/>
      <c r="M1811" s="328"/>
      <c r="N1811" s="328"/>
      <c r="O1811" s="386"/>
      <c r="P1811" s="356"/>
      <c r="Q1811" s="380"/>
      <c r="S1811" s="336"/>
      <c r="T1811" s="62" ph="1"/>
      <c r="V1811" s="232"/>
      <c r="W1811" s="269"/>
      <c r="X1811" s="201"/>
      <c r="Y1811" s="269"/>
      <c r="Z1811" s="269"/>
      <c r="AA1811" s="269"/>
      <c r="AB1811" s="269"/>
      <c r="AC1811" s="269"/>
      <c r="AD1811" s="269"/>
      <c r="AE1811" s="269"/>
    </row>
    <row r="1812" spans="1:31" ht="26.25">
      <c r="A1812" s="269"/>
      <c r="B1812" s="269"/>
      <c r="C1812" s="269"/>
      <c r="D1812" s="269"/>
      <c r="E1812" s="269"/>
      <c r="F1812" s="269"/>
      <c r="G1812" s="269"/>
      <c r="H1812" s="269"/>
      <c r="I1812" s="269"/>
      <c r="J1812" s="334"/>
      <c r="K1812" s="334"/>
      <c r="L1812" s="334"/>
      <c r="M1812" s="328"/>
      <c r="N1812" s="328"/>
      <c r="O1812" s="386"/>
      <c r="P1812" s="356"/>
      <c r="Q1812" s="380"/>
      <c r="S1812" s="336"/>
      <c r="T1812" s="62" ph="1"/>
      <c r="V1812" s="232"/>
      <c r="W1812" s="269"/>
      <c r="X1812" s="201"/>
      <c r="Y1812" s="269"/>
      <c r="Z1812" s="269"/>
      <c r="AA1812" s="269"/>
      <c r="AB1812" s="269"/>
      <c r="AC1812" s="269"/>
      <c r="AD1812" s="269"/>
      <c r="AE1812" s="269"/>
    </row>
    <row r="1813" spans="1:31" ht="26.25">
      <c r="A1813" s="269"/>
      <c r="B1813" s="269"/>
      <c r="C1813" s="269"/>
      <c r="D1813" s="269"/>
      <c r="E1813" s="269"/>
      <c r="F1813" s="269"/>
      <c r="G1813" s="269"/>
      <c r="H1813" s="269"/>
      <c r="I1813" s="269"/>
      <c r="J1813" s="334"/>
      <c r="K1813" s="334"/>
      <c r="L1813" s="334"/>
      <c r="M1813" s="328"/>
      <c r="N1813" s="328"/>
      <c r="O1813" s="386"/>
      <c r="P1813" s="356"/>
      <c r="Q1813" s="380"/>
      <c r="S1813" s="336"/>
      <c r="T1813" s="62" ph="1"/>
      <c r="V1813" s="232"/>
      <c r="W1813" s="269"/>
      <c r="X1813" s="201"/>
      <c r="Y1813" s="269"/>
      <c r="Z1813" s="269"/>
      <c r="AA1813" s="269"/>
      <c r="AB1813" s="269"/>
      <c r="AC1813" s="269"/>
      <c r="AD1813" s="269"/>
      <c r="AE1813" s="269"/>
    </row>
    <row r="1814" spans="1:31" ht="26.25">
      <c r="A1814" s="269"/>
      <c r="B1814" s="269"/>
      <c r="C1814" s="269"/>
      <c r="D1814" s="269"/>
      <c r="E1814" s="269"/>
      <c r="F1814" s="269"/>
      <c r="G1814" s="269"/>
      <c r="H1814" s="269"/>
      <c r="I1814" s="269"/>
      <c r="J1814" s="334"/>
      <c r="K1814" s="334"/>
      <c r="L1814" s="334"/>
      <c r="M1814" s="328"/>
      <c r="N1814" s="328"/>
      <c r="O1814" s="386"/>
      <c r="P1814" s="356"/>
      <c r="Q1814" s="380"/>
      <c r="S1814" s="336"/>
      <c r="T1814" s="62" ph="1"/>
      <c r="V1814" s="232"/>
      <c r="W1814" s="269"/>
      <c r="X1814" s="201"/>
      <c r="Y1814" s="269"/>
      <c r="Z1814" s="269"/>
      <c r="AA1814" s="269"/>
      <c r="AB1814" s="269"/>
      <c r="AC1814" s="269"/>
      <c r="AD1814" s="269"/>
      <c r="AE1814" s="269"/>
    </row>
    <row r="1815" spans="1:31" ht="26.25">
      <c r="A1815" s="269"/>
      <c r="B1815" s="269"/>
      <c r="C1815" s="269"/>
      <c r="D1815" s="269"/>
      <c r="E1815" s="269"/>
      <c r="F1815" s="269"/>
      <c r="G1815" s="269"/>
      <c r="H1815" s="269"/>
      <c r="I1815" s="269"/>
      <c r="J1815" s="334"/>
      <c r="K1815" s="334"/>
      <c r="L1815" s="334"/>
      <c r="M1815" s="328"/>
      <c r="N1815" s="328"/>
      <c r="O1815" s="386"/>
      <c r="P1815" s="356"/>
      <c r="Q1815" s="380"/>
      <c r="S1815" s="336"/>
      <c r="T1815" s="62" ph="1"/>
      <c r="V1815" s="232"/>
      <c r="W1815" s="269"/>
      <c r="X1815" s="201"/>
      <c r="Y1815" s="269"/>
      <c r="Z1815" s="269"/>
      <c r="AA1815" s="269"/>
      <c r="AB1815" s="269"/>
      <c r="AC1815" s="269"/>
      <c r="AD1815" s="269"/>
      <c r="AE1815" s="269"/>
    </row>
    <row r="1816" spans="1:31" ht="26.25">
      <c r="A1816" s="269"/>
      <c r="B1816" s="269"/>
      <c r="C1816" s="269"/>
      <c r="D1816" s="269"/>
      <c r="E1816" s="269"/>
      <c r="F1816" s="269"/>
      <c r="G1816" s="269"/>
      <c r="H1816" s="269"/>
      <c r="I1816" s="269"/>
      <c r="J1816" s="334"/>
      <c r="K1816" s="334"/>
      <c r="L1816" s="334"/>
      <c r="M1816" s="328"/>
      <c r="N1816" s="328"/>
      <c r="O1816" s="386"/>
      <c r="P1816" s="356"/>
      <c r="Q1816" s="380"/>
      <c r="S1816" s="336"/>
      <c r="T1816" s="62" ph="1"/>
      <c r="V1816" s="232"/>
      <c r="W1816" s="269"/>
      <c r="X1816" s="201"/>
      <c r="Y1816" s="269"/>
      <c r="Z1816" s="269"/>
      <c r="AA1816" s="269"/>
      <c r="AB1816" s="269"/>
      <c r="AC1816" s="269"/>
      <c r="AD1816" s="269"/>
      <c r="AE1816" s="269"/>
    </row>
    <row r="1817" spans="1:31" ht="26.25">
      <c r="A1817" s="269"/>
      <c r="B1817" s="269"/>
      <c r="C1817" s="269"/>
      <c r="D1817" s="269"/>
      <c r="E1817" s="269"/>
      <c r="F1817" s="269"/>
      <c r="G1817" s="269"/>
      <c r="H1817" s="269"/>
      <c r="I1817" s="269"/>
      <c r="J1817" s="334"/>
      <c r="K1817" s="334"/>
      <c r="L1817" s="334"/>
      <c r="M1817" s="328"/>
      <c r="N1817" s="328"/>
      <c r="O1817" s="386"/>
      <c r="P1817" s="356"/>
      <c r="Q1817" s="380"/>
      <c r="S1817" s="336"/>
      <c r="T1817" s="62" ph="1"/>
      <c r="V1817" s="232"/>
      <c r="W1817" s="269"/>
      <c r="X1817" s="201"/>
      <c r="Y1817" s="269"/>
      <c r="Z1817" s="269"/>
      <c r="AA1817" s="269"/>
      <c r="AB1817" s="269"/>
      <c r="AC1817" s="269"/>
      <c r="AD1817" s="269"/>
      <c r="AE1817" s="269"/>
    </row>
    <row r="1818" spans="1:31" ht="26.25">
      <c r="A1818" s="269"/>
      <c r="B1818" s="269"/>
      <c r="C1818" s="269"/>
      <c r="D1818" s="269"/>
      <c r="E1818" s="269"/>
      <c r="F1818" s="269"/>
      <c r="G1818" s="269"/>
      <c r="H1818" s="269"/>
      <c r="I1818" s="269"/>
      <c r="J1818" s="334"/>
      <c r="K1818" s="334"/>
      <c r="L1818" s="334"/>
      <c r="M1818" s="328"/>
      <c r="N1818" s="328"/>
      <c r="O1818" s="386"/>
      <c r="P1818" s="356"/>
      <c r="Q1818" s="380"/>
      <c r="S1818" s="336"/>
      <c r="T1818" s="62" ph="1"/>
      <c r="V1818" s="232"/>
      <c r="W1818" s="269"/>
      <c r="X1818" s="201"/>
      <c r="Y1818" s="269"/>
      <c r="Z1818" s="269"/>
      <c r="AA1818" s="269"/>
      <c r="AB1818" s="269"/>
      <c r="AC1818" s="269"/>
      <c r="AD1818" s="269"/>
      <c r="AE1818" s="269"/>
    </row>
    <row r="1819" spans="1:31" ht="26.25">
      <c r="A1819" s="269"/>
      <c r="B1819" s="269"/>
      <c r="C1819" s="269"/>
      <c r="D1819" s="269"/>
      <c r="E1819" s="269"/>
      <c r="F1819" s="269"/>
      <c r="G1819" s="269"/>
      <c r="H1819" s="269"/>
      <c r="I1819" s="269"/>
      <c r="J1819" s="334"/>
      <c r="K1819" s="334"/>
      <c r="L1819" s="334"/>
      <c r="M1819" s="328"/>
      <c r="N1819" s="328"/>
      <c r="O1819" s="386"/>
      <c r="P1819" s="356"/>
      <c r="Q1819" s="380"/>
      <c r="S1819" s="336"/>
      <c r="T1819" s="62" ph="1"/>
      <c r="V1819" s="232"/>
      <c r="W1819" s="269"/>
      <c r="X1819" s="201"/>
      <c r="Y1819" s="269"/>
      <c r="Z1819" s="269"/>
      <c r="AA1819" s="269"/>
      <c r="AB1819" s="269"/>
      <c r="AC1819" s="269"/>
      <c r="AD1819" s="269"/>
      <c r="AE1819" s="269"/>
    </row>
    <row r="1820" spans="1:31" ht="26.25">
      <c r="A1820" s="269"/>
      <c r="B1820" s="269"/>
      <c r="C1820" s="269"/>
      <c r="D1820" s="269"/>
      <c r="E1820" s="269"/>
      <c r="F1820" s="269"/>
      <c r="G1820" s="269"/>
      <c r="H1820" s="269"/>
      <c r="I1820" s="269"/>
      <c r="J1820" s="334"/>
      <c r="K1820" s="334"/>
      <c r="L1820" s="334"/>
      <c r="M1820" s="328"/>
      <c r="N1820" s="328"/>
      <c r="O1820" s="386"/>
      <c r="P1820" s="356"/>
      <c r="Q1820" s="380"/>
      <c r="S1820" s="336"/>
      <c r="T1820" s="62" ph="1"/>
      <c r="V1820" s="232"/>
      <c r="W1820" s="269"/>
      <c r="X1820" s="201"/>
      <c r="Y1820" s="269"/>
      <c r="Z1820" s="269"/>
      <c r="AA1820" s="269"/>
      <c r="AB1820" s="269"/>
      <c r="AC1820" s="269"/>
      <c r="AD1820" s="269"/>
      <c r="AE1820" s="269"/>
    </row>
    <row r="1821" spans="1:31" ht="26.25">
      <c r="A1821" s="269"/>
      <c r="B1821" s="269"/>
      <c r="C1821" s="269"/>
      <c r="D1821" s="269"/>
      <c r="E1821" s="269"/>
      <c r="F1821" s="269"/>
      <c r="G1821" s="269"/>
      <c r="H1821" s="269"/>
      <c r="I1821" s="269"/>
      <c r="J1821" s="334"/>
      <c r="K1821" s="334"/>
      <c r="L1821" s="334"/>
      <c r="M1821" s="328"/>
      <c r="N1821" s="328"/>
      <c r="O1821" s="386"/>
      <c r="P1821" s="356"/>
      <c r="Q1821" s="380"/>
      <c r="S1821" s="336"/>
      <c r="T1821" s="62" ph="1"/>
      <c r="V1821" s="232"/>
      <c r="W1821" s="269"/>
      <c r="X1821" s="201"/>
      <c r="Y1821" s="269"/>
      <c r="Z1821" s="269"/>
      <c r="AA1821" s="269"/>
      <c r="AB1821" s="269"/>
      <c r="AC1821" s="269"/>
      <c r="AD1821" s="269"/>
      <c r="AE1821" s="269"/>
    </row>
    <row r="1822" spans="1:31" ht="26.25">
      <c r="A1822" s="269"/>
      <c r="B1822" s="269"/>
      <c r="C1822" s="269"/>
      <c r="D1822" s="269"/>
      <c r="E1822" s="269"/>
      <c r="F1822" s="269"/>
      <c r="G1822" s="269"/>
      <c r="H1822" s="269"/>
      <c r="I1822" s="269"/>
      <c r="J1822" s="334"/>
      <c r="K1822" s="334"/>
      <c r="L1822" s="334"/>
      <c r="M1822" s="328"/>
      <c r="N1822" s="328"/>
      <c r="O1822" s="386"/>
      <c r="P1822" s="356"/>
      <c r="Q1822" s="380"/>
      <c r="S1822" s="336"/>
      <c r="T1822" s="62" ph="1"/>
      <c r="V1822" s="232"/>
      <c r="W1822" s="269"/>
      <c r="X1822" s="201"/>
      <c r="Y1822" s="269"/>
      <c r="Z1822" s="269"/>
      <c r="AA1822" s="269"/>
      <c r="AB1822" s="269"/>
      <c r="AC1822" s="269"/>
      <c r="AD1822" s="269"/>
      <c r="AE1822" s="269"/>
    </row>
    <row r="1823" spans="1:31" ht="26.25">
      <c r="A1823" s="269"/>
      <c r="B1823" s="269"/>
      <c r="C1823" s="269"/>
      <c r="D1823" s="269"/>
      <c r="E1823" s="269"/>
      <c r="F1823" s="269"/>
      <c r="G1823" s="269"/>
      <c r="H1823" s="269"/>
      <c r="I1823" s="269"/>
      <c r="J1823" s="334"/>
      <c r="K1823" s="334"/>
      <c r="L1823" s="334"/>
      <c r="M1823" s="328"/>
      <c r="N1823" s="328"/>
      <c r="O1823" s="386"/>
      <c r="P1823" s="356"/>
      <c r="Q1823" s="380"/>
      <c r="S1823" s="336"/>
      <c r="T1823" s="62" ph="1"/>
      <c r="V1823" s="232"/>
      <c r="W1823" s="269"/>
      <c r="X1823" s="201"/>
      <c r="Y1823" s="269"/>
      <c r="Z1823" s="269"/>
      <c r="AA1823" s="269"/>
      <c r="AB1823" s="269"/>
      <c r="AC1823" s="269"/>
      <c r="AD1823" s="269"/>
      <c r="AE1823" s="269"/>
    </row>
    <row r="1824" spans="1:31" ht="26.25">
      <c r="A1824" s="269"/>
      <c r="B1824" s="269"/>
      <c r="C1824" s="269"/>
      <c r="D1824" s="269"/>
      <c r="E1824" s="269"/>
      <c r="F1824" s="269"/>
      <c r="G1824" s="269"/>
      <c r="H1824" s="269"/>
      <c r="I1824" s="269"/>
      <c r="J1824" s="334"/>
      <c r="K1824" s="334"/>
      <c r="L1824" s="334"/>
      <c r="M1824" s="328"/>
      <c r="N1824" s="328"/>
      <c r="O1824" s="386"/>
      <c r="P1824" s="356"/>
      <c r="Q1824" s="380"/>
      <c r="S1824" s="336"/>
      <c r="T1824" s="62" ph="1"/>
      <c r="V1824" s="232"/>
      <c r="W1824" s="269"/>
      <c r="X1824" s="201"/>
      <c r="Y1824" s="269"/>
      <c r="Z1824" s="269"/>
      <c r="AA1824" s="269"/>
      <c r="AB1824" s="269"/>
      <c r="AC1824" s="269"/>
      <c r="AD1824" s="269"/>
      <c r="AE1824" s="269"/>
    </row>
    <row r="1825" spans="1:31" ht="26.25">
      <c r="A1825" s="269"/>
      <c r="B1825" s="269"/>
      <c r="C1825" s="269"/>
      <c r="D1825" s="269"/>
      <c r="E1825" s="269"/>
      <c r="F1825" s="269"/>
      <c r="G1825" s="269"/>
      <c r="H1825" s="269"/>
      <c r="I1825" s="269"/>
      <c r="J1825" s="334"/>
      <c r="K1825" s="334"/>
      <c r="L1825" s="334"/>
      <c r="M1825" s="328"/>
      <c r="N1825" s="328"/>
      <c r="O1825" s="386"/>
      <c r="P1825" s="356"/>
      <c r="Q1825" s="380"/>
      <c r="S1825" s="336"/>
      <c r="T1825" s="62" ph="1"/>
      <c r="V1825" s="232"/>
      <c r="W1825" s="269"/>
      <c r="X1825" s="201"/>
      <c r="Y1825" s="269"/>
      <c r="Z1825" s="269"/>
      <c r="AA1825" s="269"/>
      <c r="AB1825" s="269"/>
      <c r="AC1825" s="269"/>
      <c r="AD1825" s="269"/>
      <c r="AE1825" s="269"/>
    </row>
    <row r="1826" spans="1:31" ht="26.25">
      <c r="A1826" s="269"/>
      <c r="B1826" s="269"/>
      <c r="C1826" s="269"/>
      <c r="D1826" s="269"/>
      <c r="E1826" s="269"/>
      <c r="F1826" s="269"/>
      <c r="G1826" s="269"/>
      <c r="H1826" s="269"/>
      <c r="I1826" s="269"/>
      <c r="J1826" s="334"/>
      <c r="K1826" s="334"/>
      <c r="L1826" s="334"/>
      <c r="M1826" s="328"/>
      <c r="N1826" s="328"/>
      <c r="O1826" s="386"/>
      <c r="P1826" s="356"/>
      <c r="Q1826" s="380"/>
      <c r="S1826" s="336"/>
      <c r="T1826" s="62" ph="1"/>
      <c r="V1826" s="232"/>
      <c r="W1826" s="269"/>
      <c r="X1826" s="201"/>
      <c r="Y1826" s="269"/>
      <c r="Z1826" s="269"/>
      <c r="AA1826" s="269"/>
      <c r="AB1826" s="269"/>
      <c r="AC1826" s="269"/>
      <c r="AD1826" s="269"/>
      <c r="AE1826" s="269"/>
    </row>
    <row r="1827" spans="1:31" ht="26.25">
      <c r="A1827" s="269"/>
      <c r="B1827" s="269"/>
      <c r="C1827" s="269"/>
      <c r="D1827" s="269"/>
      <c r="E1827" s="269"/>
      <c r="F1827" s="269"/>
      <c r="G1827" s="269"/>
      <c r="H1827" s="269"/>
      <c r="I1827" s="269"/>
      <c r="J1827" s="334"/>
      <c r="K1827" s="334"/>
      <c r="L1827" s="334"/>
      <c r="M1827" s="328"/>
      <c r="N1827" s="328"/>
      <c r="O1827" s="386"/>
      <c r="P1827" s="356"/>
      <c r="Q1827" s="380"/>
      <c r="S1827" s="336"/>
      <c r="T1827" s="62" ph="1"/>
      <c r="V1827" s="232"/>
      <c r="W1827" s="269"/>
      <c r="X1827" s="201"/>
      <c r="Y1827" s="269"/>
      <c r="Z1827" s="269"/>
      <c r="AA1827" s="269"/>
      <c r="AB1827" s="269"/>
      <c r="AC1827" s="269"/>
      <c r="AD1827" s="269"/>
      <c r="AE1827" s="269"/>
    </row>
    <row r="1828" spans="1:31" ht="26.25">
      <c r="A1828" s="269"/>
      <c r="B1828" s="269"/>
      <c r="C1828" s="269"/>
      <c r="D1828" s="269"/>
      <c r="E1828" s="269"/>
      <c r="F1828" s="269"/>
      <c r="G1828" s="269"/>
      <c r="H1828" s="269"/>
      <c r="I1828" s="269"/>
      <c r="J1828" s="334"/>
      <c r="K1828" s="334"/>
      <c r="L1828" s="334"/>
      <c r="M1828" s="328"/>
      <c r="N1828" s="328"/>
      <c r="O1828" s="386"/>
      <c r="P1828" s="356"/>
      <c r="Q1828" s="380"/>
      <c r="S1828" s="336"/>
      <c r="T1828" s="62" ph="1"/>
      <c r="V1828" s="232"/>
      <c r="W1828" s="269"/>
      <c r="X1828" s="201"/>
      <c r="Y1828" s="269"/>
      <c r="Z1828" s="269"/>
      <c r="AA1828" s="269"/>
      <c r="AB1828" s="269"/>
      <c r="AC1828" s="269"/>
      <c r="AD1828" s="269"/>
      <c r="AE1828" s="269"/>
    </row>
    <row r="1829" spans="1:31" ht="26.25">
      <c r="A1829" s="269"/>
      <c r="B1829" s="269"/>
      <c r="C1829" s="269"/>
      <c r="D1829" s="269"/>
      <c r="E1829" s="269"/>
      <c r="F1829" s="269"/>
      <c r="G1829" s="269"/>
      <c r="H1829" s="269"/>
      <c r="I1829" s="269"/>
      <c r="J1829" s="334"/>
      <c r="K1829" s="334"/>
      <c r="L1829" s="334"/>
      <c r="M1829" s="328"/>
      <c r="N1829" s="328"/>
      <c r="O1829" s="386"/>
      <c r="P1829" s="356"/>
      <c r="Q1829" s="380"/>
      <c r="S1829" s="336"/>
      <c r="T1829" s="62" ph="1"/>
      <c r="V1829" s="232"/>
      <c r="W1829" s="269"/>
      <c r="X1829" s="201"/>
      <c r="Y1829" s="269"/>
      <c r="Z1829" s="269"/>
      <c r="AA1829" s="269"/>
      <c r="AB1829" s="269"/>
      <c r="AC1829" s="269"/>
      <c r="AD1829" s="269"/>
      <c r="AE1829" s="269"/>
    </row>
    <row r="1830" spans="1:31" ht="26.25">
      <c r="A1830" s="269"/>
      <c r="B1830" s="269"/>
      <c r="C1830" s="269"/>
      <c r="D1830" s="269"/>
      <c r="E1830" s="269"/>
      <c r="F1830" s="269"/>
      <c r="G1830" s="269"/>
      <c r="H1830" s="269"/>
      <c r="I1830" s="269"/>
      <c r="J1830" s="334"/>
      <c r="K1830" s="334"/>
      <c r="L1830" s="334"/>
      <c r="M1830" s="328"/>
      <c r="N1830" s="328"/>
      <c r="O1830" s="386"/>
      <c r="P1830" s="356"/>
      <c r="Q1830" s="380"/>
      <c r="S1830" s="336"/>
      <c r="T1830" s="62" ph="1"/>
      <c r="V1830" s="232"/>
      <c r="W1830" s="269"/>
      <c r="X1830" s="201"/>
      <c r="Y1830" s="269"/>
      <c r="Z1830" s="269"/>
      <c r="AA1830" s="269"/>
      <c r="AB1830" s="269"/>
      <c r="AC1830" s="269"/>
      <c r="AD1830" s="269"/>
      <c r="AE1830" s="269"/>
    </row>
    <row r="1831" spans="1:31" ht="26.25">
      <c r="A1831" s="269"/>
      <c r="B1831" s="269"/>
      <c r="C1831" s="269"/>
      <c r="D1831" s="269"/>
      <c r="E1831" s="269"/>
      <c r="F1831" s="269"/>
      <c r="G1831" s="269"/>
      <c r="H1831" s="269"/>
      <c r="I1831" s="269"/>
      <c r="J1831" s="334"/>
      <c r="K1831" s="334"/>
      <c r="L1831" s="334"/>
      <c r="M1831" s="328"/>
      <c r="N1831" s="328"/>
      <c r="O1831" s="386"/>
      <c r="P1831" s="356"/>
      <c r="Q1831" s="380"/>
      <c r="S1831" s="336"/>
      <c r="T1831" s="62" ph="1"/>
      <c r="V1831" s="232"/>
      <c r="W1831" s="269"/>
      <c r="X1831" s="201"/>
      <c r="Y1831" s="269"/>
      <c r="Z1831" s="269"/>
      <c r="AA1831" s="269"/>
      <c r="AB1831" s="269"/>
      <c r="AC1831" s="269"/>
      <c r="AD1831" s="269"/>
      <c r="AE1831" s="269"/>
    </row>
    <row r="1832" spans="1:31" ht="26.25">
      <c r="A1832" s="269"/>
      <c r="B1832" s="269"/>
      <c r="C1832" s="269"/>
      <c r="D1832" s="269"/>
      <c r="E1832" s="269"/>
      <c r="F1832" s="269"/>
      <c r="G1832" s="269"/>
      <c r="H1832" s="269"/>
      <c r="I1832" s="269"/>
      <c r="J1832" s="334"/>
      <c r="K1832" s="334"/>
      <c r="L1832" s="334"/>
      <c r="M1832" s="328"/>
      <c r="N1832" s="328"/>
      <c r="O1832" s="386"/>
      <c r="P1832" s="356"/>
      <c r="Q1832" s="380"/>
      <c r="S1832" s="336"/>
      <c r="T1832" s="62" ph="1"/>
      <c r="V1832" s="232"/>
      <c r="W1832" s="269"/>
      <c r="X1832" s="201"/>
      <c r="Y1832" s="269"/>
      <c r="Z1832" s="269"/>
      <c r="AA1832" s="269"/>
      <c r="AB1832" s="269"/>
      <c r="AC1832" s="269"/>
      <c r="AD1832" s="269"/>
      <c r="AE1832" s="269"/>
    </row>
    <row r="1833" spans="1:31" ht="26.25">
      <c r="A1833" s="269"/>
      <c r="B1833" s="269"/>
      <c r="C1833" s="269"/>
      <c r="D1833" s="269"/>
      <c r="E1833" s="269"/>
      <c r="F1833" s="269"/>
      <c r="G1833" s="269"/>
      <c r="H1833" s="269"/>
      <c r="I1833" s="269"/>
      <c r="J1833" s="334"/>
      <c r="K1833" s="334"/>
      <c r="L1833" s="334"/>
      <c r="M1833" s="328"/>
      <c r="N1833" s="328"/>
      <c r="O1833" s="386"/>
      <c r="P1833" s="356"/>
      <c r="Q1833" s="380"/>
      <c r="S1833" s="336"/>
      <c r="T1833" s="62" ph="1"/>
      <c r="V1833" s="232"/>
      <c r="W1833" s="269"/>
      <c r="X1833" s="201"/>
      <c r="Y1833" s="269"/>
      <c r="Z1833" s="269"/>
      <c r="AA1833" s="269"/>
      <c r="AB1833" s="269"/>
      <c r="AC1833" s="269"/>
      <c r="AD1833" s="269"/>
      <c r="AE1833" s="269"/>
    </row>
    <row r="1834" spans="1:31" ht="26.25">
      <c r="A1834" s="269"/>
      <c r="B1834" s="269"/>
      <c r="C1834" s="269"/>
      <c r="D1834" s="269"/>
      <c r="E1834" s="269"/>
      <c r="F1834" s="269"/>
      <c r="G1834" s="269"/>
      <c r="H1834" s="269"/>
      <c r="I1834" s="269"/>
      <c r="J1834" s="334"/>
      <c r="K1834" s="334"/>
      <c r="L1834" s="334"/>
      <c r="M1834" s="328"/>
      <c r="N1834" s="328"/>
      <c r="O1834" s="386"/>
      <c r="P1834" s="356"/>
      <c r="Q1834" s="380"/>
      <c r="S1834" s="336"/>
      <c r="T1834" s="62" ph="1"/>
      <c r="V1834" s="232"/>
      <c r="W1834" s="269"/>
      <c r="X1834" s="201"/>
      <c r="Y1834" s="269"/>
      <c r="Z1834" s="269"/>
      <c r="AA1834" s="269"/>
      <c r="AB1834" s="269"/>
      <c r="AC1834" s="269"/>
      <c r="AD1834" s="269"/>
      <c r="AE1834" s="269"/>
    </row>
    <row r="1835" spans="1:31" ht="26.25">
      <c r="A1835" s="269"/>
      <c r="B1835" s="269"/>
      <c r="C1835" s="269"/>
      <c r="D1835" s="269"/>
      <c r="E1835" s="269"/>
      <c r="F1835" s="269"/>
      <c r="G1835" s="269"/>
      <c r="H1835" s="269"/>
      <c r="I1835" s="269"/>
      <c r="J1835" s="334"/>
      <c r="K1835" s="334"/>
      <c r="L1835" s="334"/>
      <c r="M1835" s="328"/>
      <c r="N1835" s="328"/>
      <c r="O1835" s="386"/>
      <c r="P1835" s="356"/>
      <c r="Q1835" s="380"/>
      <c r="S1835" s="336"/>
      <c r="T1835" s="62" ph="1"/>
      <c r="V1835" s="232"/>
      <c r="W1835" s="269"/>
      <c r="X1835" s="201"/>
      <c r="Y1835" s="269"/>
      <c r="Z1835" s="269"/>
      <c r="AA1835" s="269"/>
      <c r="AB1835" s="269"/>
      <c r="AC1835" s="269"/>
      <c r="AD1835" s="269"/>
      <c r="AE1835" s="269"/>
    </row>
    <row r="1836" spans="1:31" ht="26.25">
      <c r="A1836" s="269"/>
      <c r="B1836" s="269"/>
      <c r="C1836" s="269"/>
      <c r="D1836" s="269"/>
      <c r="E1836" s="269"/>
      <c r="F1836" s="269"/>
      <c r="G1836" s="269"/>
      <c r="H1836" s="269"/>
      <c r="I1836" s="269"/>
      <c r="J1836" s="334"/>
      <c r="K1836" s="334"/>
      <c r="L1836" s="334"/>
      <c r="M1836" s="328"/>
      <c r="N1836" s="328"/>
      <c r="O1836" s="386"/>
      <c r="P1836" s="356"/>
      <c r="Q1836" s="380"/>
      <c r="S1836" s="336"/>
      <c r="T1836" s="62" ph="1"/>
      <c r="V1836" s="232"/>
      <c r="W1836" s="269"/>
      <c r="X1836" s="201"/>
      <c r="Y1836" s="269"/>
      <c r="Z1836" s="269"/>
      <c r="AA1836" s="269"/>
      <c r="AB1836" s="269"/>
      <c r="AC1836" s="269"/>
      <c r="AD1836" s="269"/>
      <c r="AE1836" s="269"/>
    </row>
    <row r="1837" spans="1:31" ht="26.25">
      <c r="A1837" s="269"/>
      <c r="B1837" s="269"/>
      <c r="C1837" s="269"/>
      <c r="D1837" s="269"/>
      <c r="E1837" s="269"/>
      <c r="F1837" s="269"/>
      <c r="G1837" s="269"/>
      <c r="H1837" s="269"/>
      <c r="I1837" s="269"/>
      <c r="J1837" s="334"/>
      <c r="K1837" s="334"/>
      <c r="L1837" s="334"/>
      <c r="M1837" s="328"/>
      <c r="N1837" s="328"/>
      <c r="O1837" s="386"/>
      <c r="P1837" s="356"/>
      <c r="Q1837" s="380"/>
      <c r="S1837" s="336"/>
      <c r="T1837" s="62" ph="1"/>
      <c r="V1837" s="232"/>
      <c r="W1837" s="269"/>
      <c r="X1837" s="201"/>
      <c r="Y1837" s="269"/>
      <c r="Z1837" s="269"/>
      <c r="AA1837" s="269"/>
      <c r="AB1837" s="269"/>
      <c r="AC1837" s="269"/>
      <c r="AD1837" s="269"/>
      <c r="AE1837" s="269"/>
    </row>
    <row r="1838" spans="1:31" ht="26.25">
      <c r="A1838" s="269"/>
      <c r="B1838" s="269"/>
      <c r="C1838" s="269"/>
      <c r="D1838" s="269"/>
      <c r="E1838" s="269"/>
      <c r="F1838" s="269"/>
      <c r="G1838" s="269"/>
      <c r="H1838" s="269"/>
      <c r="I1838" s="269"/>
      <c r="J1838" s="334"/>
      <c r="K1838" s="334"/>
      <c r="L1838" s="334"/>
      <c r="M1838" s="328"/>
      <c r="N1838" s="328"/>
      <c r="O1838" s="386"/>
      <c r="P1838" s="356"/>
      <c r="Q1838" s="380"/>
      <c r="S1838" s="336"/>
      <c r="T1838" s="62" ph="1"/>
      <c r="V1838" s="232"/>
      <c r="W1838" s="269"/>
      <c r="X1838" s="201"/>
      <c r="Y1838" s="269"/>
      <c r="Z1838" s="269"/>
      <c r="AA1838" s="269"/>
      <c r="AB1838" s="269"/>
      <c r="AC1838" s="269"/>
      <c r="AD1838" s="269"/>
      <c r="AE1838" s="269"/>
    </row>
    <row r="1839" spans="1:31" ht="26.25">
      <c r="A1839" s="269"/>
      <c r="B1839" s="269"/>
      <c r="C1839" s="269"/>
      <c r="D1839" s="269"/>
      <c r="E1839" s="269"/>
      <c r="F1839" s="269"/>
      <c r="G1839" s="269"/>
      <c r="H1839" s="269"/>
      <c r="I1839" s="269"/>
      <c r="J1839" s="334"/>
      <c r="K1839" s="334"/>
      <c r="L1839" s="334"/>
      <c r="M1839" s="328"/>
      <c r="N1839" s="328"/>
      <c r="O1839" s="386"/>
      <c r="P1839" s="356"/>
      <c r="Q1839" s="380"/>
      <c r="S1839" s="336"/>
      <c r="T1839" s="62" ph="1"/>
      <c r="V1839" s="232"/>
      <c r="W1839" s="269"/>
      <c r="X1839" s="201"/>
      <c r="Y1839" s="269"/>
      <c r="Z1839" s="269"/>
      <c r="AA1839" s="269"/>
      <c r="AB1839" s="269"/>
      <c r="AC1839" s="269"/>
      <c r="AD1839" s="269"/>
      <c r="AE1839" s="269"/>
    </row>
    <row r="1840" spans="1:31" ht="26.25">
      <c r="A1840" s="269"/>
      <c r="B1840" s="269"/>
      <c r="C1840" s="269"/>
      <c r="D1840" s="269"/>
      <c r="E1840" s="269"/>
      <c r="F1840" s="269"/>
      <c r="G1840" s="269"/>
      <c r="H1840" s="269"/>
      <c r="I1840" s="269"/>
      <c r="J1840" s="334"/>
      <c r="K1840" s="334"/>
      <c r="L1840" s="334"/>
      <c r="M1840" s="328"/>
      <c r="N1840" s="328"/>
      <c r="O1840" s="386"/>
      <c r="P1840" s="356"/>
      <c r="Q1840" s="380"/>
      <c r="S1840" s="336"/>
      <c r="T1840" s="62" ph="1"/>
      <c r="V1840" s="232"/>
      <c r="W1840" s="269"/>
      <c r="X1840" s="201"/>
      <c r="Y1840" s="269"/>
      <c r="Z1840" s="269"/>
      <c r="AA1840" s="269"/>
      <c r="AB1840" s="269"/>
      <c r="AC1840" s="269"/>
      <c r="AD1840" s="269"/>
      <c r="AE1840" s="269"/>
    </row>
    <row r="1841" spans="1:31" ht="26.25">
      <c r="A1841" s="269"/>
      <c r="B1841" s="269"/>
      <c r="C1841" s="269"/>
      <c r="D1841" s="269"/>
      <c r="E1841" s="269"/>
      <c r="F1841" s="269"/>
      <c r="G1841" s="269"/>
      <c r="H1841" s="269"/>
      <c r="I1841" s="269"/>
      <c r="J1841" s="334"/>
      <c r="K1841" s="334"/>
      <c r="L1841" s="334"/>
      <c r="M1841" s="328"/>
      <c r="N1841" s="328"/>
      <c r="O1841" s="386"/>
      <c r="P1841" s="356"/>
      <c r="Q1841" s="380"/>
      <c r="S1841" s="336"/>
      <c r="T1841" s="62" ph="1"/>
      <c r="V1841" s="232"/>
      <c r="W1841" s="269"/>
      <c r="X1841" s="201"/>
      <c r="Y1841" s="269"/>
      <c r="Z1841" s="269"/>
      <c r="AA1841" s="269"/>
      <c r="AB1841" s="269"/>
      <c r="AC1841" s="269"/>
      <c r="AD1841" s="269"/>
      <c r="AE1841" s="269"/>
    </row>
    <row r="1842" spans="1:31" ht="26.25">
      <c r="A1842" s="269"/>
      <c r="B1842" s="269"/>
      <c r="C1842" s="269"/>
      <c r="D1842" s="269"/>
      <c r="E1842" s="269"/>
      <c r="F1842" s="269"/>
      <c r="G1842" s="269"/>
      <c r="H1842" s="269"/>
      <c r="I1842" s="269"/>
      <c r="J1842" s="334"/>
      <c r="K1842" s="334"/>
      <c r="L1842" s="334"/>
      <c r="M1842" s="328"/>
      <c r="N1842" s="328"/>
      <c r="O1842" s="386"/>
      <c r="P1842" s="356"/>
      <c r="Q1842" s="380"/>
      <c r="S1842" s="336"/>
      <c r="T1842" s="62" ph="1"/>
      <c r="V1842" s="232"/>
      <c r="W1842" s="269"/>
      <c r="X1842" s="201"/>
      <c r="Y1842" s="269"/>
      <c r="Z1842" s="269"/>
      <c r="AA1842" s="269"/>
      <c r="AB1842" s="269"/>
      <c r="AC1842" s="269"/>
      <c r="AD1842" s="269"/>
      <c r="AE1842" s="269"/>
    </row>
    <row r="1843" spans="1:31" ht="26.25">
      <c r="A1843" s="269"/>
      <c r="B1843" s="269"/>
      <c r="C1843" s="269"/>
      <c r="D1843" s="269"/>
      <c r="E1843" s="269"/>
      <c r="F1843" s="269"/>
      <c r="G1843" s="269"/>
      <c r="H1843" s="269"/>
      <c r="I1843" s="269"/>
      <c r="J1843" s="334"/>
      <c r="K1843" s="334"/>
      <c r="L1843" s="334"/>
      <c r="M1843" s="328"/>
      <c r="N1843" s="328"/>
      <c r="O1843" s="386"/>
      <c r="P1843" s="356"/>
      <c r="Q1843" s="380"/>
      <c r="S1843" s="336"/>
      <c r="T1843" s="62" ph="1"/>
      <c r="V1843" s="232"/>
      <c r="W1843" s="269"/>
      <c r="X1843" s="201"/>
      <c r="Y1843" s="269"/>
      <c r="Z1843" s="269"/>
      <c r="AA1843" s="269"/>
      <c r="AB1843" s="269"/>
      <c r="AC1843" s="269"/>
      <c r="AD1843" s="269"/>
      <c r="AE1843" s="269"/>
    </row>
    <row r="1844" spans="1:31" ht="26.25">
      <c r="A1844" s="269"/>
      <c r="B1844" s="269"/>
      <c r="C1844" s="269"/>
      <c r="D1844" s="269"/>
      <c r="E1844" s="269"/>
      <c r="F1844" s="269"/>
      <c r="G1844" s="269"/>
      <c r="H1844" s="269"/>
      <c r="I1844" s="269"/>
      <c r="J1844" s="334"/>
      <c r="K1844" s="334"/>
      <c r="L1844" s="334"/>
      <c r="M1844" s="328"/>
      <c r="N1844" s="328"/>
      <c r="O1844" s="386"/>
      <c r="P1844" s="356"/>
      <c r="Q1844" s="380"/>
      <c r="S1844" s="336"/>
      <c r="T1844" s="62" ph="1"/>
      <c r="V1844" s="232"/>
      <c r="W1844" s="269"/>
      <c r="X1844" s="201"/>
      <c r="Y1844" s="269"/>
      <c r="Z1844" s="269"/>
      <c r="AA1844" s="269"/>
      <c r="AB1844" s="269"/>
      <c r="AC1844" s="269"/>
      <c r="AD1844" s="269"/>
      <c r="AE1844" s="269"/>
    </row>
    <row r="1845" spans="1:31" ht="26.25">
      <c r="A1845" s="269"/>
      <c r="B1845" s="269"/>
      <c r="C1845" s="269"/>
      <c r="D1845" s="269"/>
      <c r="E1845" s="269"/>
      <c r="F1845" s="269"/>
      <c r="G1845" s="269"/>
      <c r="H1845" s="269"/>
      <c r="I1845" s="269"/>
      <c r="J1845" s="334"/>
      <c r="K1845" s="334"/>
      <c r="L1845" s="334"/>
      <c r="M1845" s="328"/>
      <c r="N1845" s="328"/>
      <c r="O1845" s="386"/>
      <c r="P1845" s="356"/>
      <c r="Q1845" s="380"/>
      <c r="S1845" s="336"/>
      <c r="T1845" s="62" ph="1"/>
      <c r="V1845" s="232"/>
      <c r="W1845" s="269"/>
      <c r="X1845" s="201"/>
      <c r="Y1845" s="269"/>
      <c r="Z1845" s="269"/>
      <c r="AA1845" s="269"/>
      <c r="AB1845" s="269"/>
      <c r="AC1845" s="269"/>
      <c r="AD1845" s="269"/>
      <c r="AE1845" s="269"/>
    </row>
    <row r="1846" spans="1:31" ht="26.25">
      <c r="A1846" s="269"/>
      <c r="B1846" s="269"/>
      <c r="C1846" s="269"/>
      <c r="D1846" s="269"/>
      <c r="E1846" s="269"/>
      <c r="F1846" s="269"/>
      <c r="G1846" s="269"/>
      <c r="H1846" s="269"/>
      <c r="I1846" s="269"/>
      <c r="J1846" s="334"/>
      <c r="K1846" s="334"/>
      <c r="L1846" s="334"/>
      <c r="M1846" s="328"/>
      <c r="N1846" s="328"/>
      <c r="O1846" s="386"/>
      <c r="P1846" s="356"/>
      <c r="Q1846" s="380"/>
      <c r="S1846" s="336"/>
      <c r="T1846" s="62" ph="1"/>
      <c r="V1846" s="232"/>
      <c r="W1846" s="269"/>
      <c r="X1846" s="201"/>
      <c r="Y1846" s="269"/>
      <c r="Z1846" s="269"/>
      <c r="AA1846" s="269"/>
      <c r="AB1846" s="269"/>
      <c r="AC1846" s="269"/>
      <c r="AD1846" s="269"/>
      <c r="AE1846" s="269"/>
    </row>
    <row r="1847" spans="1:31" ht="26.25">
      <c r="A1847" s="269"/>
      <c r="B1847" s="269"/>
      <c r="C1847" s="269"/>
      <c r="D1847" s="269"/>
      <c r="E1847" s="269"/>
      <c r="F1847" s="269"/>
      <c r="G1847" s="269"/>
      <c r="H1847" s="269"/>
      <c r="I1847" s="269"/>
      <c r="J1847" s="334"/>
      <c r="K1847" s="334"/>
      <c r="L1847" s="334"/>
      <c r="M1847" s="328"/>
      <c r="N1847" s="328"/>
      <c r="O1847" s="386"/>
      <c r="P1847" s="356"/>
      <c r="Q1847" s="380"/>
      <c r="S1847" s="336"/>
      <c r="T1847" s="62" ph="1"/>
      <c r="V1847" s="232"/>
      <c r="W1847" s="269"/>
      <c r="X1847" s="201"/>
      <c r="Y1847" s="269"/>
      <c r="Z1847" s="269"/>
      <c r="AA1847" s="269"/>
      <c r="AB1847" s="269"/>
      <c r="AC1847" s="269"/>
      <c r="AD1847" s="269"/>
      <c r="AE1847" s="269"/>
    </row>
    <row r="1848" spans="1:31" ht="26.25">
      <c r="A1848" s="269"/>
      <c r="B1848" s="269"/>
      <c r="C1848" s="269"/>
      <c r="D1848" s="269"/>
      <c r="E1848" s="269"/>
      <c r="F1848" s="269"/>
      <c r="G1848" s="269"/>
      <c r="H1848" s="269"/>
      <c r="I1848" s="269"/>
      <c r="J1848" s="334"/>
      <c r="K1848" s="334"/>
      <c r="L1848" s="334"/>
      <c r="M1848" s="328"/>
      <c r="N1848" s="328"/>
      <c r="O1848" s="386"/>
      <c r="P1848" s="356"/>
      <c r="Q1848" s="380"/>
      <c r="S1848" s="336"/>
      <c r="T1848" s="62" ph="1"/>
      <c r="V1848" s="232"/>
      <c r="W1848" s="269"/>
      <c r="X1848" s="201"/>
      <c r="Y1848" s="269"/>
      <c r="Z1848" s="269"/>
      <c r="AA1848" s="269"/>
      <c r="AB1848" s="269"/>
      <c r="AC1848" s="269"/>
      <c r="AD1848" s="269"/>
      <c r="AE1848" s="269"/>
    </row>
    <row r="1849" spans="1:31" ht="26.25">
      <c r="A1849" s="269"/>
      <c r="B1849" s="269"/>
      <c r="C1849" s="269"/>
      <c r="D1849" s="269"/>
      <c r="E1849" s="269"/>
      <c r="F1849" s="269"/>
      <c r="G1849" s="269"/>
      <c r="H1849" s="269"/>
      <c r="I1849" s="269"/>
      <c r="J1849" s="334"/>
      <c r="K1849" s="334"/>
      <c r="L1849" s="334"/>
      <c r="M1849" s="328"/>
      <c r="N1849" s="328"/>
      <c r="O1849" s="386"/>
      <c r="P1849" s="356"/>
      <c r="Q1849" s="380"/>
      <c r="S1849" s="336"/>
      <c r="T1849" s="62" ph="1"/>
      <c r="V1849" s="232"/>
      <c r="W1849" s="269"/>
      <c r="X1849" s="201"/>
      <c r="Y1849" s="269"/>
      <c r="Z1849" s="269"/>
      <c r="AA1849" s="269"/>
      <c r="AB1849" s="269"/>
      <c r="AC1849" s="269"/>
      <c r="AD1849" s="269"/>
      <c r="AE1849" s="269"/>
    </row>
    <row r="1850" spans="1:31" ht="26.25">
      <c r="A1850" s="269"/>
      <c r="B1850" s="269"/>
      <c r="C1850" s="269"/>
      <c r="D1850" s="269"/>
      <c r="E1850" s="269"/>
      <c r="F1850" s="269"/>
      <c r="G1850" s="269"/>
      <c r="H1850" s="269"/>
      <c r="I1850" s="269"/>
      <c r="J1850" s="334"/>
      <c r="K1850" s="334"/>
      <c r="L1850" s="334"/>
      <c r="M1850" s="328"/>
      <c r="N1850" s="328"/>
      <c r="O1850" s="386"/>
      <c r="P1850" s="356"/>
      <c r="Q1850" s="380"/>
      <c r="S1850" s="336"/>
      <c r="T1850" s="62" ph="1"/>
      <c r="V1850" s="232"/>
      <c r="W1850" s="269"/>
      <c r="X1850" s="201"/>
      <c r="Y1850" s="269"/>
      <c r="Z1850" s="269"/>
      <c r="AA1850" s="269"/>
      <c r="AB1850" s="269"/>
      <c r="AC1850" s="269"/>
      <c r="AD1850" s="269"/>
      <c r="AE1850" s="269"/>
    </row>
    <row r="1851" spans="1:31" ht="26.25">
      <c r="A1851" s="269"/>
      <c r="B1851" s="269"/>
      <c r="C1851" s="269"/>
      <c r="D1851" s="269"/>
      <c r="E1851" s="269"/>
      <c r="F1851" s="269"/>
      <c r="G1851" s="269"/>
      <c r="H1851" s="269"/>
      <c r="I1851" s="269"/>
      <c r="J1851" s="334"/>
      <c r="K1851" s="334"/>
      <c r="L1851" s="334"/>
      <c r="M1851" s="328"/>
      <c r="N1851" s="328"/>
      <c r="O1851" s="386"/>
      <c r="P1851" s="356"/>
      <c r="Q1851" s="380"/>
      <c r="S1851" s="336"/>
      <c r="T1851" s="62" ph="1"/>
      <c r="V1851" s="232"/>
      <c r="W1851" s="269"/>
      <c r="X1851" s="201"/>
      <c r="Y1851" s="269"/>
      <c r="Z1851" s="269"/>
      <c r="AA1851" s="269"/>
      <c r="AB1851" s="269"/>
      <c r="AC1851" s="269"/>
      <c r="AD1851" s="269"/>
      <c r="AE1851" s="269"/>
    </row>
    <row r="1852" spans="1:31" ht="26.25">
      <c r="A1852" s="269"/>
      <c r="B1852" s="269"/>
      <c r="C1852" s="269"/>
      <c r="D1852" s="269"/>
      <c r="E1852" s="269"/>
      <c r="F1852" s="269"/>
      <c r="G1852" s="269"/>
      <c r="H1852" s="269"/>
      <c r="I1852" s="269"/>
      <c r="J1852" s="334"/>
      <c r="K1852" s="334"/>
      <c r="L1852" s="334"/>
      <c r="M1852" s="328"/>
      <c r="N1852" s="328"/>
      <c r="O1852" s="386"/>
      <c r="P1852" s="356"/>
      <c r="Q1852" s="380"/>
      <c r="S1852" s="336"/>
      <c r="T1852" s="62" ph="1"/>
      <c r="V1852" s="232"/>
      <c r="W1852" s="269"/>
      <c r="X1852" s="201"/>
      <c r="Y1852" s="269"/>
      <c r="Z1852" s="269"/>
      <c r="AA1852" s="269"/>
      <c r="AB1852" s="269"/>
      <c r="AC1852" s="269"/>
      <c r="AD1852" s="269"/>
      <c r="AE1852" s="269"/>
    </row>
    <row r="1853" spans="1:31" ht="26.25">
      <c r="A1853" s="269"/>
      <c r="B1853" s="269"/>
      <c r="C1853" s="269"/>
      <c r="D1853" s="269"/>
      <c r="E1853" s="269"/>
      <c r="F1853" s="269"/>
      <c r="G1853" s="269"/>
      <c r="H1853" s="269"/>
      <c r="I1853" s="269"/>
      <c r="J1853" s="334"/>
      <c r="K1853" s="334"/>
      <c r="L1853" s="334"/>
      <c r="M1853" s="328"/>
      <c r="N1853" s="328"/>
      <c r="O1853" s="386"/>
      <c r="P1853" s="356"/>
      <c r="Q1853" s="380"/>
      <c r="S1853" s="336"/>
      <c r="T1853" s="62" ph="1"/>
      <c r="V1853" s="232"/>
      <c r="W1853" s="269"/>
      <c r="X1853" s="201"/>
      <c r="Y1853" s="269"/>
      <c r="Z1853" s="269"/>
      <c r="AA1853" s="269"/>
      <c r="AB1853" s="269"/>
      <c r="AC1853" s="269"/>
      <c r="AD1853" s="269"/>
      <c r="AE1853" s="269"/>
    </row>
    <row r="1854" spans="1:31" ht="26.25">
      <c r="A1854" s="269"/>
      <c r="B1854" s="269"/>
      <c r="C1854" s="269"/>
      <c r="D1854" s="269"/>
      <c r="E1854" s="269"/>
      <c r="F1854" s="269"/>
      <c r="G1854" s="269"/>
      <c r="H1854" s="269"/>
      <c r="I1854" s="269"/>
      <c r="J1854" s="334"/>
      <c r="K1854" s="334"/>
      <c r="L1854" s="334"/>
      <c r="M1854" s="328"/>
      <c r="N1854" s="328"/>
      <c r="O1854" s="386"/>
      <c r="P1854" s="356"/>
      <c r="Q1854" s="380"/>
      <c r="S1854" s="336"/>
      <c r="T1854" s="62" ph="1"/>
      <c r="V1854" s="232"/>
      <c r="W1854" s="269"/>
      <c r="X1854" s="201"/>
      <c r="Y1854" s="269"/>
      <c r="Z1854" s="269"/>
      <c r="AA1854" s="269"/>
      <c r="AB1854" s="269"/>
      <c r="AC1854" s="269"/>
      <c r="AD1854" s="269"/>
      <c r="AE1854" s="269"/>
    </row>
    <row r="1855" spans="1:31" ht="26.25">
      <c r="A1855" s="269"/>
      <c r="B1855" s="269"/>
      <c r="C1855" s="269"/>
      <c r="D1855" s="269"/>
      <c r="E1855" s="269"/>
      <c r="F1855" s="269"/>
      <c r="G1855" s="269"/>
      <c r="H1855" s="269"/>
      <c r="I1855" s="269"/>
      <c r="J1855" s="334"/>
      <c r="K1855" s="334"/>
      <c r="L1855" s="334"/>
      <c r="M1855" s="328"/>
      <c r="N1855" s="328"/>
      <c r="O1855" s="386"/>
      <c r="P1855" s="356"/>
      <c r="Q1855" s="380"/>
      <c r="S1855" s="336"/>
      <c r="T1855" s="62" ph="1"/>
      <c r="V1855" s="232"/>
      <c r="W1855" s="269"/>
      <c r="X1855" s="201"/>
      <c r="Y1855" s="269"/>
      <c r="Z1855" s="269"/>
      <c r="AA1855" s="269"/>
      <c r="AB1855" s="269"/>
      <c r="AC1855" s="269"/>
      <c r="AD1855" s="269"/>
      <c r="AE1855" s="269"/>
    </row>
    <row r="1856" spans="1:31" ht="26.25">
      <c r="A1856" s="269"/>
      <c r="B1856" s="269"/>
      <c r="C1856" s="269"/>
      <c r="D1856" s="269"/>
      <c r="E1856" s="269"/>
      <c r="F1856" s="269"/>
      <c r="G1856" s="269"/>
      <c r="H1856" s="269"/>
      <c r="I1856" s="269"/>
      <c r="J1856" s="334"/>
      <c r="K1856" s="334"/>
      <c r="L1856" s="334"/>
      <c r="M1856" s="328"/>
      <c r="N1856" s="328"/>
      <c r="O1856" s="386"/>
      <c r="P1856" s="356"/>
      <c r="Q1856" s="380"/>
      <c r="S1856" s="336"/>
      <c r="T1856" s="62" ph="1"/>
      <c r="V1856" s="232"/>
      <c r="W1856" s="269"/>
      <c r="X1856" s="201"/>
      <c r="Y1856" s="269"/>
      <c r="Z1856" s="269"/>
      <c r="AA1856" s="269"/>
      <c r="AB1856" s="269"/>
      <c r="AC1856" s="269"/>
      <c r="AD1856" s="269"/>
      <c r="AE1856" s="269"/>
    </row>
    <row r="1857" spans="1:31" ht="26.25">
      <c r="A1857" s="269"/>
      <c r="B1857" s="269"/>
      <c r="C1857" s="269"/>
      <c r="D1857" s="269"/>
      <c r="E1857" s="269"/>
      <c r="F1857" s="269"/>
      <c r="G1857" s="269"/>
      <c r="H1857" s="269"/>
      <c r="I1857" s="269"/>
      <c r="J1857" s="334"/>
      <c r="K1857" s="334"/>
      <c r="L1857" s="334"/>
      <c r="M1857" s="328"/>
      <c r="N1857" s="328"/>
      <c r="O1857" s="386"/>
      <c r="P1857" s="356"/>
      <c r="Q1857" s="380"/>
      <c r="S1857" s="336"/>
      <c r="T1857" s="62" ph="1"/>
      <c r="V1857" s="232"/>
      <c r="W1857" s="269"/>
      <c r="X1857" s="201"/>
      <c r="Y1857" s="269"/>
      <c r="Z1857" s="269"/>
      <c r="AA1857" s="269"/>
      <c r="AB1857" s="269"/>
      <c r="AC1857" s="269"/>
      <c r="AD1857" s="269"/>
      <c r="AE1857" s="269"/>
    </row>
    <row r="1858" spans="1:31" ht="26.25">
      <c r="A1858" s="269"/>
      <c r="B1858" s="269"/>
      <c r="C1858" s="269"/>
      <c r="D1858" s="269"/>
      <c r="E1858" s="269"/>
      <c r="F1858" s="269"/>
      <c r="G1858" s="269"/>
      <c r="H1858" s="269"/>
      <c r="I1858" s="269"/>
      <c r="J1858" s="334"/>
      <c r="K1858" s="334"/>
      <c r="L1858" s="334"/>
      <c r="M1858" s="328"/>
      <c r="N1858" s="328"/>
      <c r="O1858" s="386"/>
      <c r="P1858" s="356"/>
      <c r="Q1858" s="380"/>
      <c r="S1858" s="336"/>
      <c r="T1858" s="62" ph="1"/>
      <c r="V1858" s="232"/>
      <c r="W1858" s="269"/>
      <c r="X1858" s="201"/>
      <c r="Y1858" s="269"/>
      <c r="Z1858" s="269"/>
      <c r="AA1858" s="269"/>
      <c r="AB1858" s="269"/>
      <c r="AC1858" s="269"/>
      <c r="AD1858" s="269"/>
      <c r="AE1858" s="269"/>
    </row>
    <row r="1859" spans="1:31" ht="26.25">
      <c r="A1859" s="269"/>
      <c r="B1859" s="269"/>
      <c r="C1859" s="269"/>
      <c r="D1859" s="269"/>
      <c r="E1859" s="269"/>
      <c r="F1859" s="269"/>
      <c r="G1859" s="269"/>
      <c r="H1859" s="269"/>
      <c r="I1859" s="269"/>
      <c r="J1859" s="334"/>
      <c r="K1859" s="334"/>
      <c r="L1859" s="334"/>
      <c r="M1859" s="328"/>
      <c r="N1859" s="328"/>
      <c r="O1859" s="386"/>
      <c r="P1859" s="356"/>
      <c r="Q1859" s="380"/>
      <c r="S1859" s="336"/>
      <c r="T1859" s="62" ph="1"/>
      <c r="V1859" s="232"/>
      <c r="W1859" s="269"/>
      <c r="X1859" s="201"/>
      <c r="Y1859" s="269"/>
      <c r="Z1859" s="269"/>
      <c r="AA1859" s="269"/>
      <c r="AB1859" s="269"/>
      <c r="AC1859" s="269"/>
      <c r="AD1859" s="269"/>
      <c r="AE1859" s="269"/>
    </row>
    <row r="1860" spans="1:31" ht="26.25">
      <c r="A1860" s="269"/>
      <c r="B1860" s="269"/>
      <c r="C1860" s="269"/>
      <c r="D1860" s="269"/>
      <c r="E1860" s="269"/>
      <c r="F1860" s="269"/>
      <c r="G1860" s="269"/>
      <c r="H1860" s="269"/>
      <c r="I1860" s="269"/>
      <c r="J1860" s="334"/>
      <c r="K1860" s="334"/>
      <c r="L1860" s="334"/>
      <c r="M1860" s="328"/>
      <c r="N1860" s="328"/>
      <c r="O1860" s="386"/>
      <c r="P1860" s="356"/>
      <c r="Q1860" s="380"/>
      <c r="S1860" s="336"/>
      <c r="T1860" s="62" ph="1"/>
      <c r="V1860" s="232"/>
      <c r="W1860" s="269"/>
      <c r="X1860" s="201"/>
      <c r="Y1860" s="269"/>
      <c r="Z1860" s="269"/>
      <c r="AA1860" s="269"/>
      <c r="AB1860" s="269"/>
      <c r="AC1860" s="269"/>
      <c r="AD1860" s="269"/>
      <c r="AE1860" s="269"/>
    </row>
    <row r="1861" spans="1:31" ht="26.25">
      <c r="A1861" s="269"/>
      <c r="B1861" s="269"/>
      <c r="C1861" s="269"/>
      <c r="D1861" s="269"/>
      <c r="E1861" s="269"/>
      <c r="F1861" s="269"/>
      <c r="G1861" s="269"/>
      <c r="H1861" s="269"/>
      <c r="I1861" s="269"/>
      <c r="J1861" s="334"/>
      <c r="K1861" s="334"/>
      <c r="L1861" s="334"/>
      <c r="M1861" s="328"/>
      <c r="N1861" s="328"/>
      <c r="O1861" s="386"/>
      <c r="P1861" s="356"/>
      <c r="Q1861" s="380"/>
      <c r="S1861" s="336"/>
      <c r="T1861" s="62" ph="1"/>
      <c r="V1861" s="232"/>
      <c r="W1861" s="269"/>
      <c r="X1861" s="201"/>
      <c r="Y1861" s="269"/>
      <c r="Z1861" s="269"/>
      <c r="AA1861" s="269"/>
      <c r="AB1861" s="269"/>
      <c r="AC1861" s="269"/>
      <c r="AD1861" s="269"/>
      <c r="AE1861" s="269"/>
    </row>
    <row r="1862" spans="1:31" ht="26.25">
      <c r="A1862" s="269"/>
      <c r="B1862" s="269"/>
      <c r="C1862" s="269"/>
      <c r="D1862" s="269"/>
      <c r="E1862" s="269"/>
      <c r="F1862" s="269"/>
      <c r="G1862" s="269"/>
      <c r="H1862" s="269"/>
      <c r="I1862" s="269"/>
      <c r="J1862" s="334"/>
      <c r="K1862" s="334"/>
      <c r="L1862" s="334"/>
      <c r="M1862" s="328"/>
      <c r="N1862" s="328"/>
      <c r="O1862" s="386"/>
      <c r="P1862" s="356"/>
      <c r="Q1862" s="380"/>
      <c r="S1862" s="336"/>
      <c r="T1862" s="62" ph="1"/>
      <c r="V1862" s="232"/>
      <c r="W1862" s="269"/>
      <c r="X1862" s="201"/>
      <c r="Y1862" s="269"/>
      <c r="Z1862" s="269"/>
      <c r="AA1862" s="269"/>
      <c r="AB1862" s="269"/>
      <c r="AC1862" s="269"/>
      <c r="AD1862" s="269"/>
      <c r="AE1862" s="269"/>
    </row>
    <row r="1863" spans="1:31" ht="26.25">
      <c r="A1863" s="269"/>
      <c r="B1863" s="269"/>
      <c r="C1863" s="269"/>
      <c r="D1863" s="269"/>
      <c r="E1863" s="269"/>
      <c r="F1863" s="269"/>
      <c r="G1863" s="269"/>
      <c r="H1863" s="269"/>
      <c r="I1863" s="269"/>
      <c r="J1863" s="334"/>
      <c r="K1863" s="334"/>
      <c r="L1863" s="334"/>
      <c r="M1863" s="328"/>
      <c r="N1863" s="328"/>
      <c r="O1863" s="386"/>
      <c r="P1863" s="356"/>
      <c r="Q1863" s="380"/>
      <c r="S1863" s="336"/>
      <c r="T1863" s="62" ph="1"/>
      <c r="V1863" s="232"/>
      <c r="W1863" s="269"/>
      <c r="X1863" s="201"/>
      <c r="Y1863" s="269"/>
      <c r="Z1863" s="269"/>
      <c r="AA1863" s="269"/>
      <c r="AB1863" s="269"/>
      <c r="AC1863" s="269"/>
      <c r="AD1863" s="269"/>
      <c r="AE1863" s="269"/>
    </row>
    <row r="1864" spans="1:31" ht="26.25">
      <c r="A1864" s="269"/>
      <c r="B1864" s="269"/>
      <c r="C1864" s="269"/>
      <c r="D1864" s="269"/>
      <c r="E1864" s="269"/>
      <c r="F1864" s="269"/>
      <c r="G1864" s="269"/>
      <c r="H1864" s="269"/>
      <c r="I1864" s="269"/>
      <c r="J1864" s="334"/>
      <c r="K1864" s="334"/>
      <c r="L1864" s="334"/>
      <c r="M1864" s="328"/>
      <c r="N1864" s="328"/>
      <c r="O1864" s="386"/>
      <c r="P1864" s="356"/>
      <c r="Q1864" s="380"/>
      <c r="S1864" s="336"/>
      <c r="T1864" s="62" ph="1"/>
      <c r="V1864" s="232"/>
      <c r="W1864" s="269"/>
      <c r="X1864" s="201"/>
      <c r="Y1864" s="269"/>
      <c r="Z1864" s="269"/>
      <c r="AA1864" s="269"/>
      <c r="AB1864" s="269"/>
      <c r="AC1864" s="269"/>
      <c r="AD1864" s="269"/>
      <c r="AE1864" s="269"/>
    </row>
    <row r="1865" spans="1:31" ht="26.25">
      <c r="A1865" s="269"/>
      <c r="B1865" s="269"/>
      <c r="C1865" s="269"/>
      <c r="D1865" s="269"/>
      <c r="E1865" s="269"/>
      <c r="F1865" s="269"/>
      <c r="G1865" s="269"/>
      <c r="H1865" s="269"/>
      <c r="I1865" s="269"/>
      <c r="J1865" s="334"/>
      <c r="K1865" s="334"/>
      <c r="L1865" s="334"/>
      <c r="M1865" s="328"/>
      <c r="N1865" s="328"/>
      <c r="O1865" s="386"/>
      <c r="P1865" s="356"/>
      <c r="Q1865" s="380"/>
      <c r="S1865" s="336"/>
      <c r="T1865" s="62" ph="1"/>
      <c r="V1865" s="232"/>
      <c r="W1865" s="269"/>
      <c r="X1865" s="201"/>
      <c r="Y1865" s="269"/>
      <c r="Z1865" s="269"/>
      <c r="AA1865" s="269"/>
      <c r="AB1865" s="269"/>
      <c r="AC1865" s="269"/>
      <c r="AD1865" s="269"/>
      <c r="AE1865" s="269"/>
    </row>
    <row r="1866" spans="1:31" ht="26.25">
      <c r="A1866" s="269"/>
      <c r="B1866" s="269"/>
      <c r="C1866" s="269"/>
      <c r="D1866" s="269"/>
      <c r="E1866" s="269"/>
      <c r="F1866" s="269"/>
      <c r="G1866" s="269"/>
      <c r="H1866" s="269"/>
      <c r="I1866" s="269"/>
      <c r="J1866" s="334"/>
      <c r="K1866" s="334"/>
      <c r="L1866" s="334"/>
      <c r="M1866" s="328"/>
      <c r="N1866" s="328"/>
      <c r="O1866" s="386"/>
      <c r="P1866" s="356"/>
      <c r="Q1866" s="380"/>
      <c r="S1866" s="336"/>
      <c r="T1866" s="62" ph="1"/>
      <c r="V1866" s="232"/>
      <c r="W1866" s="269"/>
      <c r="X1866" s="201"/>
      <c r="Y1866" s="269"/>
      <c r="Z1866" s="269"/>
      <c r="AA1866" s="269"/>
      <c r="AB1866" s="269"/>
      <c r="AC1866" s="269"/>
      <c r="AD1866" s="269"/>
      <c r="AE1866" s="269"/>
    </row>
    <row r="1867" spans="1:31" ht="26.25">
      <c r="A1867" s="269"/>
      <c r="B1867" s="269"/>
      <c r="C1867" s="269"/>
      <c r="D1867" s="269"/>
      <c r="E1867" s="269"/>
      <c r="F1867" s="269"/>
      <c r="G1867" s="269"/>
      <c r="H1867" s="269"/>
      <c r="I1867" s="269"/>
      <c r="J1867" s="334"/>
      <c r="K1867" s="334"/>
      <c r="L1867" s="334"/>
      <c r="M1867" s="328"/>
      <c r="N1867" s="328"/>
      <c r="O1867" s="386"/>
      <c r="P1867" s="356"/>
      <c r="Q1867" s="380"/>
      <c r="S1867" s="336"/>
      <c r="T1867" s="62" ph="1"/>
      <c r="V1867" s="232"/>
      <c r="W1867" s="269"/>
      <c r="X1867" s="201"/>
      <c r="Y1867" s="269"/>
      <c r="Z1867" s="269"/>
      <c r="AA1867" s="269"/>
      <c r="AB1867" s="269"/>
      <c r="AC1867" s="269"/>
      <c r="AD1867" s="269"/>
      <c r="AE1867" s="269"/>
    </row>
    <row r="1868" spans="1:31" ht="26.25">
      <c r="A1868" s="269"/>
      <c r="B1868" s="269"/>
      <c r="C1868" s="269"/>
      <c r="D1868" s="269"/>
      <c r="E1868" s="269"/>
      <c r="F1868" s="269"/>
      <c r="G1868" s="269"/>
      <c r="H1868" s="269"/>
      <c r="I1868" s="269"/>
      <c r="J1868" s="334"/>
      <c r="K1868" s="334"/>
      <c r="L1868" s="334"/>
      <c r="M1868" s="328"/>
      <c r="N1868" s="328"/>
      <c r="O1868" s="386"/>
      <c r="P1868" s="356"/>
      <c r="Q1868" s="380"/>
      <c r="S1868" s="336"/>
      <c r="T1868" s="62" ph="1"/>
      <c r="V1868" s="232"/>
      <c r="W1868" s="269"/>
      <c r="X1868" s="201"/>
      <c r="Y1868" s="269"/>
      <c r="Z1868" s="269"/>
      <c r="AA1868" s="269"/>
      <c r="AB1868" s="269"/>
      <c r="AC1868" s="269"/>
      <c r="AD1868" s="269"/>
      <c r="AE1868" s="269"/>
    </row>
    <row r="1869" spans="1:31" ht="26.25">
      <c r="A1869" s="269"/>
      <c r="B1869" s="269"/>
      <c r="C1869" s="269"/>
      <c r="D1869" s="269"/>
      <c r="E1869" s="269"/>
      <c r="F1869" s="269"/>
      <c r="G1869" s="269"/>
      <c r="H1869" s="269"/>
      <c r="I1869" s="269"/>
      <c r="J1869" s="334"/>
      <c r="K1869" s="334"/>
      <c r="L1869" s="334"/>
      <c r="M1869" s="328"/>
      <c r="N1869" s="328"/>
      <c r="O1869" s="386"/>
      <c r="P1869" s="356"/>
      <c r="Q1869" s="380"/>
      <c r="S1869" s="336"/>
      <c r="T1869" s="62" ph="1"/>
      <c r="V1869" s="232"/>
      <c r="W1869" s="269"/>
      <c r="X1869" s="201"/>
      <c r="Y1869" s="269"/>
      <c r="Z1869" s="269"/>
      <c r="AA1869" s="269"/>
      <c r="AB1869" s="269"/>
      <c r="AC1869" s="269"/>
      <c r="AD1869" s="269"/>
      <c r="AE1869" s="269"/>
    </row>
    <row r="1870" spans="1:31" ht="26.25">
      <c r="A1870" s="269"/>
      <c r="B1870" s="269"/>
      <c r="C1870" s="269"/>
      <c r="D1870" s="269"/>
      <c r="E1870" s="269"/>
      <c r="F1870" s="269"/>
      <c r="G1870" s="269"/>
      <c r="H1870" s="269"/>
      <c r="I1870" s="269"/>
      <c r="J1870" s="334"/>
      <c r="K1870" s="334"/>
      <c r="L1870" s="334"/>
      <c r="M1870" s="328"/>
      <c r="N1870" s="328"/>
      <c r="O1870" s="386"/>
      <c r="P1870" s="356"/>
      <c r="Q1870" s="380"/>
      <c r="S1870" s="336"/>
      <c r="T1870" s="62" ph="1"/>
      <c r="V1870" s="232"/>
      <c r="W1870" s="269"/>
      <c r="X1870" s="201"/>
      <c r="Y1870" s="269"/>
      <c r="Z1870" s="269"/>
      <c r="AA1870" s="269"/>
      <c r="AB1870" s="269"/>
      <c r="AC1870" s="269"/>
      <c r="AD1870" s="269"/>
      <c r="AE1870" s="269"/>
    </row>
    <row r="1871" spans="1:31" ht="26.25">
      <c r="A1871" s="269"/>
      <c r="B1871" s="269"/>
      <c r="C1871" s="269"/>
      <c r="D1871" s="269"/>
      <c r="E1871" s="269"/>
      <c r="F1871" s="269"/>
      <c r="G1871" s="269"/>
      <c r="H1871" s="269"/>
      <c r="I1871" s="269"/>
      <c r="J1871" s="334"/>
      <c r="K1871" s="334"/>
      <c r="L1871" s="334"/>
      <c r="M1871" s="328"/>
      <c r="N1871" s="328"/>
      <c r="O1871" s="386"/>
      <c r="P1871" s="356"/>
      <c r="Q1871" s="380"/>
      <c r="S1871" s="336"/>
      <c r="T1871" s="62" ph="1"/>
      <c r="V1871" s="232"/>
      <c r="W1871" s="269"/>
      <c r="X1871" s="201"/>
      <c r="Y1871" s="269"/>
      <c r="Z1871" s="269"/>
      <c r="AA1871" s="269"/>
      <c r="AB1871" s="269"/>
      <c r="AC1871" s="269"/>
      <c r="AD1871" s="269"/>
      <c r="AE1871" s="269"/>
    </row>
    <row r="1872" spans="1:31" ht="26.25">
      <c r="A1872" s="269"/>
      <c r="B1872" s="269"/>
      <c r="C1872" s="269"/>
      <c r="D1872" s="269"/>
      <c r="E1872" s="269"/>
      <c r="F1872" s="269"/>
      <c r="G1872" s="269"/>
      <c r="H1872" s="269"/>
      <c r="I1872" s="269"/>
      <c r="J1872" s="334"/>
      <c r="K1872" s="334"/>
      <c r="L1872" s="334"/>
      <c r="M1872" s="328"/>
      <c r="N1872" s="328"/>
      <c r="O1872" s="386"/>
      <c r="P1872" s="356"/>
      <c r="Q1872" s="380"/>
      <c r="S1872" s="336"/>
      <c r="T1872" s="62" ph="1"/>
      <c r="V1872" s="232"/>
      <c r="W1872" s="269"/>
      <c r="X1872" s="201"/>
      <c r="Y1872" s="269"/>
      <c r="Z1872" s="269"/>
      <c r="AA1872" s="269"/>
      <c r="AB1872" s="269"/>
      <c r="AC1872" s="269"/>
      <c r="AD1872" s="269"/>
      <c r="AE1872" s="269"/>
    </row>
    <row r="1873" spans="1:31" ht="26.25">
      <c r="A1873" s="269"/>
      <c r="B1873" s="269"/>
      <c r="C1873" s="269"/>
      <c r="D1873" s="269"/>
      <c r="E1873" s="269"/>
      <c r="F1873" s="269"/>
      <c r="G1873" s="269"/>
      <c r="H1873" s="269"/>
      <c r="I1873" s="269"/>
      <c r="J1873" s="334"/>
      <c r="K1873" s="334"/>
      <c r="L1873" s="334"/>
      <c r="M1873" s="328"/>
      <c r="N1873" s="328"/>
      <c r="O1873" s="386"/>
      <c r="P1873" s="356"/>
      <c r="Q1873" s="380"/>
      <c r="S1873" s="336"/>
      <c r="T1873" s="62" ph="1"/>
      <c r="V1873" s="232"/>
      <c r="W1873" s="269"/>
      <c r="X1873" s="201"/>
      <c r="Y1873" s="269"/>
      <c r="Z1873" s="269"/>
      <c r="AA1873" s="269"/>
      <c r="AB1873" s="269"/>
      <c r="AC1873" s="269"/>
      <c r="AD1873" s="269"/>
      <c r="AE1873" s="269"/>
    </row>
    <row r="1874" spans="1:31" ht="26.25">
      <c r="A1874" s="269"/>
      <c r="B1874" s="269"/>
      <c r="C1874" s="269"/>
      <c r="D1874" s="269"/>
      <c r="E1874" s="269"/>
      <c r="F1874" s="269"/>
      <c r="G1874" s="269"/>
      <c r="H1874" s="269"/>
      <c r="I1874" s="269"/>
      <c r="J1874" s="334"/>
      <c r="K1874" s="334"/>
      <c r="L1874" s="334"/>
      <c r="M1874" s="328"/>
      <c r="N1874" s="328"/>
      <c r="O1874" s="386"/>
      <c r="P1874" s="356"/>
      <c r="Q1874" s="380"/>
      <c r="S1874" s="336"/>
      <c r="T1874" s="62" ph="1"/>
      <c r="V1874" s="232"/>
      <c r="W1874" s="269"/>
      <c r="X1874" s="201"/>
      <c r="Y1874" s="269"/>
      <c r="Z1874" s="269"/>
      <c r="AA1874" s="269"/>
      <c r="AB1874" s="269"/>
      <c r="AC1874" s="269"/>
      <c r="AD1874" s="269"/>
      <c r="AE1874" s="269"/>
    </row>
    <row r="1875" spans="1:31" ht="26.25">
      <c r="A1875" s="269"/>
      <c r="B1875" s="269"/>
      <c r="C1875" s="269"/>
      <c r="D1875" s="269"/>
      <c r="E1875" s="269"/>
      <c r="F1875" s="269"/>
      <c r="G1875" s="269"/>
      <c r="H1875" s="269"/>
      <c r="I1875" s="269"/>
      <c r="J1875" s="334"/>
      <c r="K1875" s="334"/>
      <c r="L1875" s="334"/>
      <c r="M1875" s="328"/>
      <c r="N1875" s="328"/>
      <c r="O1875" s="386"/>
      <c r="P1875" s="356"/>
      <c r="Q1875" s="380"/>
      <c r="S1875" s="336"/>
      <c r="T1875" s="62" ph="1"/>
      <c r="V1875" s="232"/>
      <c r="W1875" s="269"/>
      <c r="X1875" s="201"/>
      <c r="Y1875" s="269"/>
      <c r="Z1875" s="269"/>
      <c r="AA1875" s="269"/>
      <c r="AB1875" s="269"/>
      <c r="AC1875" s="269"/>
      <c r="AD1875" s="269"/>
      <c r="AE1875" s="269"/>
    </row>
    <row r="1876" spans="1:31" ht="26.25">
      <c r="A1876" s="269"/>
      <c r="B1876" s="269"/>
      <c r="C1876" s="269"/>
      <c r="D1876" s="269"/>
      <c r="E1876" s="269"/>
      <c r="F1876" s="269"/>
      <c r="G1876" s="269"/>
      <c r="H1876" s="269"/>
      <c r="I1876" s="269"/>
      <c r="J1876" s="334"/>
      <c r="K1876" s="334"/>
      <c r="L1876" s="334"/>
      <c r="M1876" s="328"/>
      <c r="N1876" s="328"/>
      <c r="O1876" s="386"/>
      <c r="P1876" s="356"/>
      <c r="Q1876" s="380"/>
      <c r="S1876" s="336"/>
      <c r="T1876" s="62" ph="1"/>
      <c r="V1876" s="232"/>
      <c r="W1876" s="269"/>
      <c r="X1876" s="201"/>
      <c r="Y1876" s="269"/>
      <c r="Z1876" s="269"/>
      <c r="AA1876" s="269"/>
      <c r="AB1876" s="269"/>
      <c r="AC1876" s="269"/>
      <c r="AD1876" s="269"/>
      <c r="AE1876" s="269"/>
    </row>
    <row r="1877" spans="1:31" ht="26.25">
      <c r="A1877" s="269"/>
      <c r="B1877" s="269"/>
      <c r="C1877" s="269"/>
      <c r="D1877" s="269"/>
      <c r="E1877" s="269"/>
      <c r="F1877" s="269"/>
      <c r="G1877" s="269"/>
      <c r="H1877" s="269"/>
      <c r="I1877" s="269"/>
      <c r="J1877" s="334"/>
      <c r="K1877" s="334"/>
      <c r="L1877" s="334"/>
      <c r="M1877" s="328"/>
      <c r="N1877" s="328"/>
      <c r="O1877" s="386"/>
      <c r="P1877" s="356"/>
      <c r="Q1877" s="380"/>
      <c r="S1877" s="336"/>
      <c r="T1877" s="62" ph="1"/>
      <c r="V1877" s="232"/>
      <c r="W1877" s="269"/>
      <c r="X1877" s="201"/>
      <c r="Y1877" s="269"/>
      <c r="Z1877" s="269"/>
      <c r="AA1877" s="269"/>
      <c r="AB1877" s="269"/>
      <c r="AC1877" s="269"/>
      <c r="AD1877" s="269"/>
      <c r="AE1877" s="269"/>
    </row>
    <row r="1878" spans="1:31" ht="26.25">
      <c r="A1878" s="269"/>
      <c r="B1878" s="269"/>
      <c r="C1878" s="269"/>
      <c r="D1878" s="269"/>
      <c r="E1878" s="269"/>
      <c r="F1878" s="269"/>
      <c r="G1878" s="269"/>
      <c r="H1878" s="269"/>
      <c r="I1878" s="269"/>
      <c r="J1878" s="334"/>
      <c r="K1878" s="334"/>
      <c r="L1878" s="334"/>
      <c r="M1878" s="328"/>
      <c r="N1878" s="328"/>
      <c r="O1878" s="386"/>
      <c r="P1878" s="356"/>
      <c r="Q1878" s="380"/>
      <c r="S1878" s="336"/>
      <c r="T1878" s="62" ph="1"/>
      <c r="V1878" s="232"/>
      <c r="W1878" s="269"/>
      <c r="X1878" s="201"/>
      <c r="Y1878" s="269"/>
      <c r="Z1878" s="269"/>
      <c r="AA1878" s="269"/>
      <c r="AB1878" s="269"/>
      <c r="AC1878" s="269"/>
      <c r="AD1878" s="269"/>
      <c r="AE1878" s="269"/>
    </row>
    <row r="1879" spans="1:31" ht="26.25">
      <c r="A1879" s="269"/>
      <c r="B1879" s="269"/>
      <c r="C1879" s="269"/>
      <c r="D1879" s="269"/>
      <c r="E1879" s="269"/>
      <c r="F1879" s="269"/>
      <c r="G1879" s="269"/>
      <c r="H1879" s="269"/>
      <c r="I1879" s="269"/>
      <c r="J1879" s="334"/>
      <c r="K1879" s="334"/>
      <c r="L1879" s="334"/>
      <c r="M1879" s="328"/>
      <c r="N1879" s="328"/>
      <c r="O1879" s="386"/>
      <c r="P1879" s="356"/>
      <c r="Q1879" s="380"/>
      <c r="S1879" s="336"/>
      <c r="T1879" s="62" ph="1"/>
      <c r="V1879" s="232"/>
      <c r="W1879" s="269"/>
      <c r="X1879" s="201"/>
      <c r="Y1879" s="269"/>
      <c r="Z1879" s="269"/>
      <c r="AA1879" s="269"/>
      <c r="AB1879" s="269"/>
      <c r="AC1879" s="269"/>
      <c r="AD1879" s="269"/>
      <c r="AE1879" s="269"/>
    </row>
    <row r="1880" spans="1:31" ht="26.25">
      <c r="A1880" s="269"/>
      <c r="B1880" s="269"/>
      <c r="C1880" s="269"/>
      <c r="D1880" s="269"/>
      <c r="E1880" s="269"/>
      <c r="F1880" s="269"/>
      <c r="G1880" s="269"/>
      <c r="H1880" s="269"/>
      <c r="I1880" s="269"/>
      <c r="J1880" s="334"/>
      <c r="K1880" s="334"/>
      <c r="L1880" s="334"/>
      <c r="M1880" s="328"/>
      <c r="N1880" s="328"/>
      <c r="O1880" s="386"/>
      <c r="P1880" s="356"/>
      <c r="Q1880" s="380"/>
      <c r="S1880" s="336"/>
      <c r="T1880" s="62" ph="1"/>
      <c r="V1880" s="232"/>
      <c r="W1880" s="269"/>
      <c r="X1880" s="201"/>
      <c r="Y1880" s="269"/>
      <c r="Z1880" s="269"/>
      <c r="AA1880" s="269"/>
      <c r="AB1880" s="269"/>
      <c r="AC1880" s="269"/>
      <c r="AD1880" s="269"/>
      <c r="AE1880" s="269"/>
    </row>
    <row r="1881" spans="1:31" ht="26.25">
      <c r="A1881" s="269"/>
      <c r="B1881" s="269"/>
      <c r="C1881" s="269"/>
      <c r="D1881" s="269"/>
      <c r="E1881" s="269"/>
      <c r="F1881" s="269"/>
      <c r="G1881" s="269"/>
      <c r="H1881" s="269"/>
      <c r="I1881" s="269"/>
      <c r="J1881" s="334"/>
      <c r="K1881" s="334"/>
      <c r="L1881" s="334"/>
      <c r="M1881" s="328"/>
      <c r="N1881" s="328"/>
      <c r="O1881" s="386"/>
      <c r="P1881" s="356"/>
      <c r="Q1881" s="380"/>
      <c r="S1881" s="336"/>
      <c r="T1881" s="62" ph="1"/>
      <c r="V1881" s="232"/>
      <c r="W1881" s="269"/>
      <c r="X1881" s="201"/>
      <c r="Y1881" s="269"/>
      <c r="Z1881" s="269"/>
      <c r="AA1881" s="269"/>
      <c r="AB1881" s="269"/>
      <c r="AC1881" s="269"/>
      <c r="AD1881" s="269"/>
      <c r="AE1881" s="269"/>
    </row>
    <row r="1882" spans="1:31" ht="26.25">
      <c r="A1882" s="269"/>
      <c r="B1882" s="269"/>
      <c r="C1882" s="269"/>
      <c r="D1882" s="269"/>
      <c r="E1882" s="269"/>
      <c r="F1882" s="269"/>
      <c r="G1882" s="269"/>
      <c r="H1882" s="269"/>
      <c r="I1882" s="269"/>
      <c r="J1882" s="334"/>
      <c r="K1882" s="334"/>
      <c r="L1882" s="334"/>
      <c r="M1882" s="328"/>
      <c r="N1882" s="328"/>
      <c r="O1882" s="386"/>
      <c r="P1882" s="356"/>
      <c r="Q1882" s="380"/>
      <c r="S1882" s="336"/>
      <c r="T1882" s="62" ph="1"/>
      <c r="V1882" s="232"/>
      <c r="W1882" s="269"/>
      <c r="X1882" s="201"/>
      <c r="Y1882" s="269"/>
      <c r="Z1882" s="269"/>
      <c r="AA1882" s="269"/>
      <c r="AB1882" s="269"/>
      <c r="AC1882" s="269"/>
      <c r="AD1882" s="269"/>
      <c r="AE1882" s="269"/>
    </row>
    <row r="1883" spans="1:31" ht="26.25">
      <c r="A1883" s="269"/>
      <c r="B1883" s="269"/>
      <c r="C1883" s="269"/>
      <c r="D1883" s="269"/>
      <c r="E1883" s="269"/>
      <c r="F1883" s="269"/>
      <c r="G1883" s="269"/>
      <c r="H1883" s="269"/>
      <c r="I1883" s="269"/>
      <c r="J1883" s="334"/>
      <c r="K1883" s="334"/>
      <c r="L1883" s="334"/>
      <c r="M1883" s="328"/>
      <c r="N1883" s="328"/>
      <c r="O1883" s="386"/>
      <c r="P1883" s="356"/>
      <c r="Q1883" s="380"/>
      <c r="S1883" s="336"/>
      <c r="T1883" s="62" ph="1"/>
      <c r="V1883" s="232"/>
      <c r="W1883" s="269"/>
      <c r="X1883" s="201"/>
      <c r="Y1883" s="269"/>
      <c r="Z1883" s="269"/>
      <c r="AA1883" s="269"/>
      <c r="AB1883" s="269"/>
      <c r="AC1883" s="269"/>
      <c r="AD1883" s="269"/>
      <c r="AE1883" s="269"/>
    </row>
    <row r="1884" spans="1:31" ht="26.25">
      <c r="A1884" s="269"/>
      <c r="B1884" s="269"/>
      <c r="C1884" s="269"/>
      <c r="D1884" s="269"/>
      <c r="E1884" s="269"/>
      <c r="F1884" s="269"/>
      <c r="G1884" s="269"/>
      <c r="H1884" s="269"/>
      <c r="I1884" s="269"/>
      <c r="J1884" s="334"/>
      <c r="K1884" s="334"/>
      <c r="L1884" s="334"/>
      <c r="M1884" s="328"/>
      <c r="N1884" s="328"/>
      <c r="O1884" s="386"/>
      <c r="P1884" s="356"/>
      <c r="Q1884" s="380"/>
      <c r="S1884" s="336"/>
      <c r="T1884" s="62" ph="1"/>
      <c r="V1884" s="232"/>
      <c r="W1884" s="269"/>
      <c r="X1884" s="201"/>
      <c r="Y1884" s="269"/>
      <c r="Z1884" s="269"/>
      <c r="AA1884" s="269"/>
      <c r="AB1884" s="269"/>
      <c r="AC1884" s="269"/>
      <c r="AD1884" s="269"/>
      <c r="AE1884" s="269"/>
    </row>
    <row r="1885" spans="1:31" ht="26.25">
      <c r="A1885" s="269"/>
      <c r="B1885" s="269"/>
      <c r="C1885" s="269"/>
      <c r="D1885" s="269"/>
      <c r="E1885" s="269"/>
      <c r="F1885" s="269"/>
      <c r="G1885" s="269"/>
      <c r="H1885" s="269"/>
      <c r="I1885" s="269"/>
      <c r="J1885" s="334"/>
      <c r="K1885" s="334"/>
      <c r="L1885" s="334"/>
      <c r="M1885" s="328"/>
      <c r="N1885" s="328"/>
      <c r="O1885" s="386"/>
      <c r="P1885" s="356"/>
      <c r="Q1885" s="380"/>
      <c r="S1885" s="336"/>
      <c r="T1885" s="62" ph="1"/>
      <c r="V1885" s="232"/>
      <c r="W1885" s="269"/>
      <c r="X1885" s="201"/>
      <c r="Y1885" s="269"/>
      <c r="Z1885" s="269"/>
      <c r="AA1885" s="269"/>
      <c r="AB1885" s="269"/>
      <c r="AC1885" s="269"/>
      <c r="AD1885" s="269"/>
      <c r="AE1885" s="269"/>
    </row>
    <row r="1886" spans="1:31" ht="26.25">
      <c r="A1886" s="269"/>
      <c r="B1886" s="269"/>
      <c r="C1886" s="269"/>
      <c r="D1886" s="269"/>
      <c r="E1886" s="269"/>
      <c r="F1886" s="269"/>
      <c r="G1886" s="269"/>
      <c r="H1886" s="269"/>
      <c r="I1886" s="269"/>
      <c r="J1886" s="334"/>
      <c r="K1886" s="334"/>
      <c r="L1886" s="334"/>
      <c r="M1886" s="328"/>
      <c r="N1886" s="328"/>
      <c r="O1886" s="386"/>
      <c r="P1886" s="356"/>
      <c r="Q1886" s="380"/>
      <c r="S1886" s="336"/>
      <c r="T1886" s="62" ph="1"/>
      <c r="V1886" s="232"/>
      <c r="W1886" s="269"/>
      <c r="X1886" s="201"/>
      <c r="Y1886" s="269"/>
      <c r="Z1886" s="269"/>
      <c r="AA1886" s="269"/>
      <c r="AB1886" s="269"/>
      <c r="AC1886" s="269"/>
      <c r="AD1886" s="269"/>
      <c r="AE1886" s="269"/>
    </row>
    <row r="1887" spans="1:31" ht="26.25">
      <c r="A1887" s="269"/>
      <c r="B1887" s="269"/>
      <c r="C1887" s="269"/>
      <c r="D1887" s="269"/>
      <c r="E1887" s="269"/>
      <c r="F1887" s="269"/>
      <c r="G1887" s="269"/>
      <c r="H1887" s="269"/>
      <c r="I1887" s="269"/>
      <c r="J1887" s="334"/>
      <c r="K1887" s="334"/>
      <c r="L1887" s="334"/>
      <c r="M1887" s="328"/>
      <c r="N1887" s="328"/>
      <c r="O1887" s="386"/>
      <c r="P1887" s="356"/>
      <c r="Q1887" s="380"/>
      <c r="S1887" s="336"/>
      <c r="T1887" s="62" ph="1"/>
      <c r="V1887" s="232"/>
      <c r="W1887" s="269"/>
      <c r="X1887" s="201"/>
      <c r="Y1887" s="269"/>
      <c r="Z1887" s="269"/>
      <c r="AA1887" s="269"/>
      <c r="AB1887" s="269"/>
      <c r="AC1887" s="269"/>
      <c r="AD1887" s="269"/>
      <c r="AE1887" s="269"/>
    </row>
    <row r="1888" spans="1:31" ht="26.25">
      <c r="A1888" s="269"/>
      <c r="B1888" s="269"/>
      <c r="C1888" s="269"/>
      <c r="D1888" s="269"/>
      <c r="E1888" s="269"/>
      <c r="F1888" s="269"/>
      <c r="G1888" s="269"/>
      <c r="H1888" s="269"/>
      <c r="I1888" s="269"/>
      <c r="J1888" s="334"/>
      <c r="K1888" s="334"/>
      <c r="L1888" s="334"/>
      <c r="M1888" s="328"/>
      <c r="N1888" s="328"/>
      <c r="O1888" s="386"/>
      <c r="P1888" s="356"/>
      <c r="Q1888" s="380"/>
      <c r="S1888" s="336"/>
      <c r="T1888" s="62" ph="1"/>
      <c r="V1888" s="232"/>
      <c r="W1888" s="269"/>
      <c r="X1888" s="201"/>
      <c r="Y1888" s="269"/>
      <c r="Z1888" s="269"/>
      <c r="AA1888" s="269"/>
      <c r="AB1888" s="269"/>
      <c r="AC1888" s="269"/>
      <c r="AD1888" s="269"/>
      <c r="AE1888" s="269"/>
    </row>
    <row r="1889" spans="1:31" ht="26.25">
      <c r="A1889" s="269"/>
      <c r="B1889" s="269"/>
      <c r="C1889" s="269"/>
      <c r="D1889" s="269"/>
      <c r="E1889" s="269"/>
      <c r="F1889" s="269"/>
      <c r="G1889" s="269"/>
      <c r="H1889" s="269"/>
      <c r="I1889" s="269"/>
      <c r="J1889" s="334"/>
      <c r="K1889" s="334"/>
      <c r="L1889" s="334"/>
      <c r="M1889" s="328"/>
      <c r="N1889" s="328"/>
      <c r="O1889" s="386"/>
      <c r="P1889" s="356"/>
      <c r="Q1889" s="380"/>
      <c r="S1889" s="336"/>
      <c r="T1889" s="62" ph="1"/>
      <c r="V1889" s="232"/>
      <c r="W1889" s="269"/>
      <c r="X1889" s="201"/>
      <c r="Y1889" s="269"/>
      <c r="Z1889" s="269"/>
      <c r="AA1889" s="269"/>
      <c r="AB1889" s="269"/>
      <c r="AC1889" s="269"/>
      <c r="AD1889" s="269"/>
      <c r="AE1889" s="269"/>
    </row>
    <row r="1890" spans="1:31" ht="26.25">
      <c r="A1890" s="269"/>
      <c r="B1890" s="269"/>
      <c r="C1890" s="269"/>
      <c r="D1890" s="269"/>
      <c r="E1890" s="269"/>
      <c r="F1890" s="269"/>
      <c r="G1890" s="269"/>
      <c r="H1890" s="269"/>
      <c r="I1890" s="269"/>
      <c r="J1890" s="334"/>
      <c r="K1890" s="334"/>
      <c r="L1890" s="334"/>
      <c r="M1890" s="328"/>
      <c r="N1890" s="328"/>
      <c r="O1890" s="386"/>
      <c r="P1890" s="356"/>
      <c r="Q1890" s="380"/>
      <c r="S1890" s="336"/>
      <c r="T1890" s="62" ph="1"/>
      <c r="V1890" s="232"/>
      <c r="W1890" s="269"/>
      <c r="X1890" s="201"/>
      <c r="Y1890" s="269"/>
      <c r="Z1890" s="269"/>
      <c r="AA1890" s="269"/>
      <c r="AB1890" s="269"/>
      <c r="AC1890" s="269"/>
      <c r="AD1890" s="269"/>
      <c r="AE1890" s="269"/>
    </row>
    <row r="1891" spans="1:31" ht="26.25">
      <c r="A1891" s="269"/>
      <c r="B1891" s="269"/>
      <c r="C1891" s="269"/>
      <c r="D1891" s="269"/>
      <c r="E1891" s="269"/>
      <c r="F1891" s="269"/>
      <c r="G1891" s="269"/>
      <c r="H1891" s="269"/>
      <c r="I1891" s="269"/>
      <c r="J1891" s="334"/>
      <c r="K1891" s="334"/>
      <c r="L1891" s="334"/>
      <c r="M1891" s="328"/>
      <c r="N1891" s="328"/>
      <c r="O1891" s="386"/>
      <c r="P1891" s="356"/>
      <c r="Q1891" s="380"/>
      <c r="S1891" s="336"/>
      <c r="T1891" s="62" ph="1"/>
      <c r="V1891" s="232"/>
      <c r="W1891" s="269"/>
      <c r="X1891" s="201"/>
      <c r="Y1891" s="269"/>
      <c r="Z1891" s="269"/>
      <c r="AA1891" s="269"/>
      <c r="AB1891" s="269"/>
      <c r="AC1891" s="269"/>
      <c r="AD1891" s="269"/>
      <c r="AE1891" s="269"/>
    </row>
    <row r="1892" spans="1:31" ht="26.25">
      <c r="A1892" s="269"/>
      <c r="B1892" s="269"/>
      <c r="C1892" s="269"/>
      <c r="D1892" s="269"/>
      <c r="E1892" s="269"/>
      <c r="F1892" s="269"/>
      <c r="G1892" s="269"/>
      <c r="H1892" s="269"/>
      <c r="I1892" s="269"/>
      <c r="J1892" s="334"/>
      <c r="K1892" s="334"/>
      <c r="L1892" s="334"/>
      <c r="M1892" s="328"/>
      <c r="N1892" s="328"/>
      <c r="O1892" s="386"/>
      <c r="P1892" s="356"/>
      <c r="Q1892" s="380"/>
      <c r="S1892" s="336"/>
      <c r="T1892" s="62" ph="1"/>
      <c r="V1892" s="232"/>
      <c r="W1892" s="269"/>
      <c r="X1892" s="201"/>
      <c r="Y1892" s="269"/>
      <c r="Z1892" s="269"/>
      <c r="AA1892" s="269"/>
      <c r="AB1892" s="269"/>
      <c r="AC1892" s="269"/>
      <c r="AD1892" s="269"/>
      <c r="AE1892" s="269"/>
    </row>
    <row r="1893" spans="1:31" ht="26.25">
      <c r="A1893" s="269"/>
      <c r="B1893" s="269"/>
      <c r="C1893" s="269"/>
      <c r="D1893" s="269"/>
      <c r="E1893" s="269"/>
      <c r="F1893" s="269"/>
      <c r="G1893" s="269"/>
      <c r="H1893" s="269"/>
      <c r="I1893" s="269"/>
      <c r="J1893" s="334"/>
      <c r="K1893" s="334"/>
      <c r="L1893" s="334"/>
      <c r="M1893" s="328"/>
      <c r="N1893" s="328"/>
      <c r="O1893" s="386"/>
      <c r="P1893" s="356"/>
      <c r="Q1893" s="380"/>
      <c r="S1893" s="336"/>
      <c r="T1893" s="62" ph="1"/>
      <c r="V1893" s="232"/>
      <c r="W1893" s="269"/>
      <c r="X1893" s="201"/>
      <c r="Y1893" s="269"/>
      <c r="Z1893" s="269"/>
      <c r="AA1893" s="269"/>
      <c r="AB1893" s="269"/>
      <c r="AC1893" s="269"/>
      <c r="AD1893" s="269"/>
      <c r="AE1893" s="269"/>
    </row>
    <row r="1894" spans="1:31" ht="26.25">
      <c r="A1894" s="269"/>
      <c r="B1894" s="269"/>
      <c r="C1894" s="269"/>
      <c r="D1894" s="269"/>
      <c r="E1894" s="269"/>
      <c r="F1894" s="269"/>
      <c r="G1894" s="269"/>
      <c r="H1894" s="269"/>
      <c r="I1894" s="269"/>
      <c r="J1894" s="334"/>
      <c r="K1894" s="334"/>
      <c r="L1894" s="334"/>
      <c r="M1894" s="328"/>
      <c r="N1894" s="328"/>
      <c r="O1894" s="386"/>
      <c r="P1894" s="356"/>
      <c r="Q1894" s="380"/>
      <c r="S1894" s="336"/>
      <c r="T1894" s="62" ph="1"/>
      <c r="V1894" s="232"/>
      <c r="W1894" s="269"/>
      <c r="X1894" s="201"/>
      <c r="Y1894" s="269"/>
      <c r="Z1894" s="269"/>
      <c r="AA1894" s="269"/>
      <c r="AB1894" s="269"/>
      <c r="AC1894" s="269"/>
      <c r="AD1894" s="269"/>
      <c r="AE1894" s="269"/>
    </row>
    <row r="1895" spans="1:31" ht="26.25">
      <c r="A1895" s="269"/>
      <c r="B1895" s="269"/>
      <c r="C1895" s="269"/>
      <c r="D1895" s="269"/>
      <c r="E1895" s="269"/>
      <c r="F1895" s="269"/>
      <c r="G1895" s="269"/>
      <c r="H1895" s="269"/>
      <c r="I1895" s="269"/>
      <c r="J1895" s="334"/>
      <c r="K1895" s="334"/>
      <c r="L1895" s="334"/>
      <c r="M1895" s="328"/>
      <c r="N1895" s="328"/>
      <c r="O1895" s="386"/>
      <c r="P1895" s="356"/>
      <c r="Q1895" s="380"/>
      <c r="S1895" s="336"/>
      <c r="T1895" s="62" ph="1"/>
      <c r="V1895" s="232"/>
      <c r="W1895" s="269"/>
      <c r="X1895" s="201"/>
      <c r="Y1895" s="269"/>
      <c r="Z1895" s="269"/>
      <c r="AA1895" s="269"/>
      <c r="AB1895" s="269"/>
      <c r="AC1895" s="269"/>
      <c r="AD1895" s="269"/>
      <c r="AE1895" s="269"/>
    </row>
    <row r="1896" spans="1:31" ht="26.25">
      <c r="A1896" s="269"/>
      <c r="B1896" s="269"/>
      <c r="C1896" s="269"/>
      <c r="D1896" s="269"/>
      <c r="E1896" s="269"/>
      <c r="F1896" s="269"/>
      <c r="G1896" s="269"/>
      <c r="H1896" s="269"/>
      <c r="I1896" s="269"/>
      <c r="J1896" s="334"/>
      <c r="K1896" s="334"/>
      <c r="L1896" s="334"/>
      <c r="M1896" s="328"/>
      <c r="N1896" s="328"/>
      <c r="O1896" s="386"/>
      <c r="P1896" s="356"/>
      <c r="Q1896" s="380"/>
      <c r="S1896" s="336"/>
      <c r="T1896" s="62" ph="1"/>
      <c r="V1896" s="232"/>
      <c r="W1896" s="269"/>
      <c r="X1896" s="201"/>
      <c r="Y1896" s="269"/>
      <c r="Z1896" s="269"/>
      <c r="AA1896" s="269"/>
      <c r="AB1896" s="269"/>
      <c r="AC1896" s="269"/>
      <c r="AD1896" s="269"/>
      <c r="AE1896" s="269"/>
    </row>
    <row r="1897" spans="1:31" ht="26.25">
      <c r="A1897" s="269"/>
      <c r="B1897" s="269"/>
      <c r="C1897" s="269"/>
      <c r="D1897" s="269"/>
      <c r="E1897" s="269"/>
      <c r="F1897" s="269"/>
      <c r="G1897" s="269"/>
      <c r="H1897" s="269"/>
      <c r="I1897" s="269"/>
      <c r="J1897" s="334"/>
      <c r="K1897" s="334"/>
      <c r="L1897" s="334"/>
      <c r="M1897" s="328"/>
      <c r="N1897" s="328"/>
      <c r="O1897" s="386"/>
      <c r="P1897" s="356"/>
      <c r="Q1897" s="380"/>
      <c r="S1897" s="336"/>
      <c r="T1897" s="62" ph="1"/>
      <c r="V1897" s="232"/>
      <c r="W1897" s="269"/>
      <c r="X1897" s="201"/>
      <c r="Y1897" s="269"/>
      <c r="Z1897" s="269"/>
      <c r="AA1897" s="269"/>
      <c r="AB1897" s="269"/>
      <c r="AC1897" s="269"/>
      <c r="AD1897" s="269"/>
      <c r="AE1897" s="269"/>
    </row>
    <row r="1898" spans="1:31" ht="26.25">
      <c r="A1898" s="269"/>
      <c r="B1898" s="269"/>
      <c r="C1898" s="269"/>
      <c r="D1898" s="269"/>
      <c r="E1898" s="269"/>
      <c r="F1898" s="269"/>
      <c r="G1898" s="269"/>
      <c r="H1898" s="269"/>
      <c r="I1898" s="269"/>
      <c r="J1898" s="334"/>
      <c r="K1898" s="334"/>
      <c r="L1898" s="334"/>
      <c r="M1898" s="328"/>
      <c r="N1898" s="328"/>
      <c r="O1898" s="386"/>
      <c r="P1898" s="356"/>
      <c r="Q1898" s="380"/>
      <c r="S1898" s="336"/>
      <c r="T1898" s="62" ph="1"/>
      <c r="V1898" s="232"/>
      <c r="W1898" s="269"/>
      <c r="X1898" s="201"/>
      <c r="Y1898" s="269"/>
      <c r="Z1898" s="269"/>
      <c r="AA1898" s="269"/>
      <c r="AB1898" s="269"/>
      <c r="AC1898" s="269"/>
      <c r="AD1898" s="269"/>
      <c r="AE1898" s="269"/>
    </row>
    <row r="1899" spans="1:31" ht="26.25">
      <c r="A1899" s="269"/>
      <c r="B1899" s="269"/>
      <c r="C1899" s="269"/>
      <c r="D1899" s="269"/>
      <c r="E1899" s="269"/>
      <c r="F1899" s="269"/>
      <c r="G1899" s="269"/>
      <c r="H1899" s="269"/>
      <c r="I1899" s="269"/>
      <c r="J1899" s="334"/>
      <c r="K1899" s="334"/>
      <c r="L1899" s="334"/>
      <c r="M1899" s="328"/>
      <c r="N1899" s="328"/>
      <c r="O1899" s="386"/>
      <c r="P1899" s="356"/>
      <c r="Q1899" s="380"/>
      <c r="S1899" s="336"/>
      <c r="T1899" s="62" ph="1"/>
      <c r="V1899" s="232"/>
      <c r="W1899" s="269"/>
      <c r="X1899" s="201"/>
      <c r="Y1899" s="269"/>
      <c r="Z1899" s="269"/>
      <c r="AA1899" s="269"/>
      <c r="AB1899" s="269"/>
      <c r="AC1899" s="269"/>
      <c r="AD1899" s="269"/>
      <c r="AE1899" s="269"/>
    </row>
    <row r="1900" spans="1:31" ht="26.25">
      <c r="A1900" s="269"/>
      <c r="B1900" s="269"/>
      <c r="C1900" s="269"/>
      <c r="D1900" s="269"/>
      <c r="E1900" s="269"/>
      <c r="F1900" s="269"/>
      <c r="G1900" s="269"/>
      <c r="H1900" s="269"/>
      <c r="I1900" s="269"/>
      <c r="J1900" s="334"/>
      <c r="K1900" s="334"/>
      <c r="L1900" s="334"/>
      <c r="M1900" s="328"/>
      <c r="N1900" s="328"/>
      <c r="O1900" s="386"/>
      <c r="P1900" s="356"/>
      <c r="Q1900" s="380"/>
      <c r="S1900" s="336"/>
      <c r="T1900" s="62" ph="1"/>
      <c r="V1900" s="232"/>
      <c r="W1900" s="269"/>
      <c r="X1900" s="201"/>
      <c r="Y1900" s="269"/>
      <c r="Z1900" s="269"/>
      <c r="AA1900" s="269"/>
      <c r="AB1900" s="269"/>
      <c r="AC1900" s="269"/>
      <c r="AD1900" s="269"/>
      <c r="AE1900" s="269"/>
    </row>
    <row r="1901" spans="1:31" ht="26.25">
      <c r="A1901" s="269"/>
      <c r="B1901" s="269"/>
      <c r="C1901" s="269"/>
      <c r="D1901" s="269"/>
      <c r="E1901" s="269"/>
      <c r="F1901" s="269"/>
      <c r="G1901" s="269"/>
      <c r="H1901" s="269"/>
      <c r="I1901" s="269"/>
      <c r="J1901" s="334"/>
      <c r="K1901" s="334"/>
      <c r="L1901" s="334"/>
      <c r="M1901" s="328"/>
      <c r="N1901" s="328"/>
      <c r="O1901" s="386"/>
      <c r="P1901" s="356"/>
      <c r="Q1901" s="380"/>
      <c r="S1901" s="336"/>
      <c r="T1901" s="62" ph="1"/>
      <c r="V1901" s="232"/>
      <c r="W1901" s="269"/>
      <c r="X1901" s="201"/>
      <c r="Y1901" s="269"/>
      <c r="Z1901" s="269"/>
      <c r="AA1901" s="269"/>
      <c r="AB1901" s="269"/>
      <c r="AC1901" s="269"/>
      <c r="AD1901" s="269"/>
      <c r="AE1901" s="269"/>
    </row>
    <row r="1902" spans="1:31" ht="26.25">
      <c r="A1902" s="269"/>
      <c r="B1902" s="269"/>
      <c r="C1902" s="269"/>
      <c r="D1902" s="269"/>
      <c r="E1902" s="269"/>
      <c r="F1902" s="269"/>
      <c r="G1902" s="269"/>
      <c r="H1902" s="269"/>
      <c r="I1902" s="269"/>
      <c r="J1902" s="334"/>
      <c r="K1902" s="334"/>
      <c r="L1902" s="334"/>
      <c r="M1902" s="328"/>
      <c r="N1902" s="328"/>
      <c r="O1902" s="386"/>
      <c r="P1902" s="356"/>
      <c r="Q1902" s="380"/>
      <c r="S1902" s="336"/>
      <c r="T1902" s="62" ph="1"/>
      <c r="V1902" s="232"/>
      <c r="W1902" s="269"/>
      <c r="X1902" s="201"/>
      <c r="Y1902" s="269"/>
      <c r="Z1902" s="269"/>
      <c r="AA1902" s="269"/>
      <c r="AB1902" s="269"/>
      <c r="AC1902" s="269"/>
      <c r="AD1902" s="269"/>
      <c r="AE1902" s="269"/>
    </row>
    <row r="1903" spans="1:31" ht="26.25">
      <c r="A1903" s="269"/>
      <c r="B1903" s="269"/>
      <c r="C1903" s="269"/>
      <c r="D1903" s="269"/>
      <c r="E1903" s="269"/>
      <c r="F1903" s="269"/>
      <c r="G1903" s="269"/>
      <c r="H1903" s="269"/>
      <c r="I1903" s="269"/>
      <c r="J1903" s="334"/>
      <c r="K1903" s="334"/>
      <c r="L1903" s="334"/>
      <c r="M1903" s="328"/>
      <c r="N1903" s="328"/>
      <c r="O1903" s="386"/>
      <c r="P1903" s="356"/>
      <c r="Q1903" s="380"/>
      <c r="S1903" s="336"/>
      <c r="T1903" s="62" ph="1"/>
      <c r="V1903" s="232"/>
      <c r="W1903" s="269"/>
      <c r="X1903" s="201"/>
      <c r="Y1903" s="269"/>
      <c r="Z1903" s="269"/>
      <c r="AA1903" s="269"/>
      <c r="AB1903" s="269"/>
      <c r="AC1903" s="269"/>
      <c r="AD1903" s="269"/>
      <c r="AE1903" s="269"/>
    </row>
    <row r="1904" spans="1:31" ht="26.25">
      <c r="A1904" s="269"/>
      <c r="B1904" s="269"/>
      <c r="C1904" s="269"/>
      <c r="D1904" s="269"/>
      <c r="E1904" s="269"/>
      <c r="F1904" s="269"/>
      <c r="G1904" s="269"/>
      <c r="H1904" s="269"/>
      <c r="I1904" s="269"/>
      <c r="J1904" s="334"/>
      <c r="K1904" s="334"/>
      <c r="L1904" s="334"/>
      <c r="M1904" s="328"/>
      <c r="N1904" s="328"/>
      <c r="O1904" s="386"/>
      <c r="P1904" s="356"/>
      <c r="Q1904" s="380"/>
      <c r="S1904" s="336"/>
      <c r="T1904" s="62" ph="1"/>
      <c r="V1904" s="232"/>
      <c r="W1904" s="269"/>
      <c r="X1904" s="201"/>
      <c r="Y1904" s="269"/>
      <c r="Z1904" s="269"/>
      <c r="AA1904" s="269"/>
      <c r="AB1904" s="269"/>
      <c r="AC1904" s="269"/>
      <c r="AD1904" s="269"/>
      <c r="AE1904" s="269"/>
    </row>
    <row r="1905" spans="1:31" ht="26.25">
      <c r="A1905" s="269"/>
      <c r="B1905" s="269"/>
      <c r="C1905" s="269"/>
      <c r="D1905" s="269"/>
      <c r="E1905" s="269"/>
      <c r="F1905" s="269"/>
      <c r="G1905" s="269"/>
      <c r="H1905" s="269"/>
      <c r="I1905" s="269"/>
      <c r="J1905" s="334"/>
      <c r="K1905" s="334"/>
      <c r="L1905" s="334"/>
      <c r="M1905" s="328"/>
      <c r="N1905" s="328"/>
      <c r="O1905" s="386"/>
      <c r="P1905" s="356"/>
      <c r="Q1905" s="380"/>
      <c r="S1905" s="336"/>
      <c r="T1905" s="62" ph="1"/>
      <c r="V1905" s="232"/>
      <c r="W1905" s="269"/>
      <c r="X1905" s="201"/>
      <c r="Y1905" s="269"/>
      <c r="Z1905" s="269"/>
      <c r="AA1905" s="269"/>
      <c r="AB1905" s="269"/>
      <c r="AC1905" s="269"/>
      <c r="AD1905" s="269"/>
      <c r="AE1905" s="269"/>
    </row>
    <row r="1906" spans="1:31" ht="26.25">
      <c r="A1906" s="269"/>
      <c r="B1906" s="269"/>
      <c r="C1906" s="269"/>
      <c r="D1906" s="269"/>
      <c r="E1906" s="269"/>
      <c r="F1906" s="269"/>
      <c r="G1906" s="269"/>
      <c r="H1906" s="269"/>
      <c r="I1906" s="269"/>
      <c r="J1906" s="334"/>
      <c r="K1906" s="334"/>
      <c r="L1906" s="334"/>
      <c r="M1906" s="328"/>
      <c r="N1906" s="328"/>
      <c r="O1906" s="386"/>
      <c r="P1906" s="356"/>
      <c r="Q1906" s="380"/>
      <c r="S1906" s="336"/>
      <c r="T1906" s="62" ph="1"/>
      <c r="V1906" s="232"/>
      <c r="W1906" s="269"/>
      <c r="X1906" s="201"/>
      <c r="Y1906" s="269"/>
      <c r="Z1906" s="269"/>
      <c r="AA1906" s="269"/>
      <c r="AB1906" s="269"/>
      <c r="AC1906" s="269"/>
      <c r="AD1906" s="269"/>
      <c r="AE1906" s="269"/>
    </row>
    <row r="1907" spans="1:31" ht="26.25">
      <c r="A1907" s="269"/>
      <c r="B1907" s="269"/>
      <c r="C1907" s="269"/>
      <c r="D1907" s="269"/>
      <c r="E1907" s="269"/>
      <c r="F1907" s="269"/>
      <c r="G1907" s="269"/>
      <c r="H1907" s="269"/>
      <c r="I1907" s="269"/>
      <c r="J1907" s="334"/>
      <c r="K1907" s="334"/>
      <c r="L1907" s="334"/>
      <c r="M1907" s="328"/>
      <c r="N1907" s="328"/>
      <c r="O1907" s="386"/>
      <c r="P1907" s="356"/>
      <c r="Q1907" s="380"/>
      <c r="S1907" s="336"/>
      <c r="T1907" s="62" ph="1"/>
      <c r="V1907" s="232"/>
      <c r="W1907" s="269"/>
      <c r="X1907" s="201"/>
      <c r="Y1907" s="269"/>
      <c r="Z1907" s="269"/>
      <c r="AA1907" s="269"/>
      <c r="AB1907" s="269"/>
      <c r="AC1907" s="269"/>
      <c r="AD1907" s="269"/>
      <c r="AE1907" s="269"/>
    </row>
    <row r="1908" spans="1:31" ht="26.25">
      <c r="A1908" s="269"/>
      <c r="B1908" s="269"/>
      <c r="C1908" s="269"/>
      <c r="D1908" s="269"/>
      <c r="E1908" s="269"/>
      <c r="F1908" s="269"/>
      <c r="G1908" s="269"/>
      <c r="H1908" s="269"/>
      <c r="I1908" s="269"/>
      <c r="J1908" s="334"/>
      <c r="K1908" s="334"/>
      <c r="L1908" s="334"/>
      <c r="M1908" s="328"/>
      <c r="N1908" s="328"/>
      <c r="O1908" s="386"/>
      <c r="P1908" s="356"/>
      <c r="Q1908" s="380"/>
      <c r="S1908" s="336"/>
      <c r="T1908" s="62" ph="1"/>
      <c r="V1908" s="232"/>
      <c r="W1908" s="269"/>
      <c r="X1908" s="201"/>
      <c r="Y1908" s="269"/>
      <c r="Z1908" s="269"/>
      <c r="AA1908" s="269"/>
      <c r="AB1908" s="269"/>
      <c r="AC1908" s="269"/>
      <c r="AD1908" s="269"/>
      <c r="AE1908" s="269"/>
    </row>
    <row r="1909" spans="1:31" ht="26.25">
      <c r="A1909" s="269"/>
      <c r="B1909" s="269"/>
      <c r="C1909" s="269"/>
      <c r="D1909" s="269"/>
      <c r="E1909" s="269"/>
      <c r="F1909" s="269"/>
      <c r="G1909" s="269"/>
      <c r="H1909" s="269"/>
      <c r="I1909" s="269"/>
      <c r="J1909" s="334"/>
      <c r="K1909" s="334"/>
      <c r="L1909" s="334"/>
      <c r="M1909" s="328"/>
      <c r="N1909" s="328"/>
      <c r="O1909" s="386"/>
      <c r="P1909" s="356"/>
      <c r="Q1909" s="380"/>
      <c r="S1909" s="336"/>
      <c r="T1909" s="62" ph="1"/>
      <c r="V1909" s="232"/>
      <c r="W1909" s="269"/>
      <c r="X1909" s="201"/>
      <c r="Y1909" s="269"/>
      <c r="Z1909" s="269"/>
      <c r="AA1909" s="269"/>
      <c r="AB1909" s="269"/>
      <c r="AC1909" s="269"/>
      <c r="AD1909" s="269"/>
      <c r="AE1909" s="269"/>
    </row>
    <row r="1910" spans="1:31" ht="26.25">
      <c r="A1910" s="269"/>
      <c r="B1910" s="269"/>
      <c r="C1910" s="269"/>
      <c r="D1910" s="269"/>
      <c r="E1910" s="269"/>
      <c r="F1910" s="269"/>
      <c r="G1910" s="269"/>
      <c r="H1910" s="269"/>
      <c r="I1910" s="269"/>
      <c r="J1910" s="334"/>
      <c r="K1910" s="334"/>
      <c r="L1910" s="334"/>
      <c r="M1910" s="328"/>
      <c r="N1910" s="328"/>
      <c r="O1910" s="386"/>
      <c r="P1910" s="356"/>
      <c r="Q1910" s="380"/>
      <c r="S1910" s="336"/>
      <c r="T1910" s="62" ph="1"/>
      <c r="V1910" s="232"/>
      <c r="W1910" s="269"/>
      <c r="X1910" s="201"/>
      <c r="Y1910" s="269"/>
      <c r="Z1910" s="269"/>
      <c r="AA1910" s="269"/>
      <c r="AB1910" s="269"/>
      <c r="AC1910" s="269"/>
      <c r="AD1910" s="269"/>
      <c r="AE1910" s="269"/>
    </row>
    <row r="1911" spans="1:31" ht="26.25">
      <c r="A1911" s="269"/>
      <c r="B1911" s="269"/>
      <c r="C1911" s="269"/>
      <c r="D1911" s="269"/>
      <c r="E1911" s="269"/>
      <c r="F1911" s="269"/>
      <c r="G1911" s="269"/>
      <c r="H1911" s="269"/>
      <c r="I1911" s="269"/>
      <c r="J1911" s="334"/>
      <c r="K1911" s="334"/>
      <c r="L1911" s="334"/>
      <c r="M1911" s="328"/>
      <c r="N1911" s="328"/>
      <c r="O1911" s="386"/>
      <c r="P1911" s="356"/>
      <c r="Q1911" s="380"/>
      <c r="S1911" s="336"/>
      <c r="T1911" s="62" ph="1"/>
      <c r="V1911" s="232"/>
      <c r="W1911" s="269"/>
      <c r="X1911" s="201"/>
      <c r="Y1911" s="269"/>
      <c r="Z1911" s="269"/>
      <c r="AA1911" s="269"/>
      <c r="AB1911" s="269"/>
      <c r="AC1911" s="269"/>
      <c r="AD1911" s="269"/>
      <c r="AE1911" s="269"/>
    </row>
    <row r="1912" spans="1:31" ht="26.25">
      <c r="A1912" s="269"/>
      <c r="B1912" s="269"/>
      <c r="C1912" s="269"/>
      <c r="D1912" s="269"/>
      <c r="E1912" s="269"/>
      <c r="F1912" s="269"/>
      <c r="G1912" s="269"/>
      <c r="H1912" s="269"/>
      <c r="I1912" s="269"/>
      <c r="J1912" s="334"/>
      <c r="K1912" s="334"/>
      <c r="L1912" s="334"/>
      <c r="M1912" s="328"/>
      <c r="N1912" s="328"/>
      <c r="O1912" s="386"/>
      <c r="P1912" s="356"/>
      <c r="Q1912" s="380"/>
      <c r="S1912" s="336"/>
      <c r="T1912" s="62" ph="1"/>
      <c r="V1912" s="232"/>
      <c r="W1912" s="269"/>
      <c r="X1912" s="201"/>
      <c r="Y1912" s="269"/>
      <c r="Z1912" s="269"/>
      <c r="AA1912" s="269"/>
      <c r="AB1912" s="269"/>
      <c r="AC1912" s="269"/>
      <c r="AD1912" s="269"/>
      <c r="AE1912" s="269"/>
    </row>
    <row r="1913" spans="1:31" ht="26.25">
      <c r="A1913" s="269"/>
      <c r="B1913" s="269"/>
      <c r="C1913" s="269"/>
      <c r="D1913" s="269"/>
      <c r="E1913" s="269"/>
      <c r="F1913" s="269"/>
      <c r="G1913" s="269"/>
      <c r="H1913" s="269"/>
      <c r="I1913" s="269"/>
      <c r="J1913" s="334"/>
      <c r="K1913" s="334"/>
      <c r="L1913" s="334"/>
      <c r="M1913" s="328"/>
      <c r="N1913" s="328"/>
      <c r="O1913" s="386"/>
      <c r="P1913" s="356"/>
      <c r="Q1913" s="380"/>
      <c r="S1913" s="336"/>
      <c r="T1913" s="62" ph="1"/>
      <c r="V1913" s="232"/>
      <c r="W1913" s="269"/>
      <c r="X1913" s="201"/>
      <c r="Y1913" s="269"/>
      <c r="Z1913" s="269"/>
      <c r="AA1913" s="269"/>
      <c r="AB1913" s="269"/>
      <c r="AC1913" s="269"/>
      <c r="AD1913" s="269"/>
      <c r="AE1913" s="269"/>
    </row>
    <row r="1914" spans="1:31" ht="26.25">
      <c r="A1914" s="269"/>
      <c r="B1914" s="269"/>
      <c r="C1914" s="269"/>
      <c r="D1914" s="269"/>
      <c r="E1914" s="269"/>
      <c r="F1914" s="269"/>
      <c r="G1914" s="269"/>
      <c r="H1914" s="269"/>
      <c r="I1914" s="269"/>
      <c r="J1914" s="334"/>
      <c r="K1914" s="334"/>
      <c r="L1914" s="334"/>
      <c r="M1914" s="328"/>
      <c r="N1914" s="328"/>
      <c r="O1914" s="386"/>
      <c r="P1914" s="356"/>
      <c r="Q1914" s="380"/>
      <c r="S1914" s="336"/>
      <c r="T1914" s="62" ph="1"/>
      <c r="V1914" s="232"/>
      <c r="W1914" s="269"/>
      <c r="X1914" s="201"/>
      <c r="Y1914" s="269"/>
      <c r="Z1914" s="269"/>
      <c r="AA1914" s="269"/>
      <c r="AB1914" s="269"/>
      <c r="AC1914" s="269"/>
      <c r="AD1914" s="269"/>
      <c r="AE1914" s="269"/>
    </row>
    <row r="1915" spans="1:31" ht="26.25">
      <c r="A1915" s="269"/>
      <c r="B1915" s="269"/>
      <c r="C1915" s="269"/>
      <c r="D1915" s="269"/>
      <c r="E1915" s="269"/>
      <c r="F1915" s="269"/>
      <c r="G1915" s="269"/>
      <c r="H1915" s="269"/>
      <c r="I1915" s="269"/>
      <c r="J1915" s="334"/>
      <c r="K1915" s="334"/>
      <c r="L1915" s="334"/>
      <c r="M1915" s="328"/>
      <c r="N1915" s="328"/>
      <c r="O1915" s="386"/>
      <c r="P1915" s="356"/>
      <c r="Q1915" s="380"/>
      <c r="S1915" s="336"/>
      <c r="T1915" s="62" ph="1"/>
      <c r="V1915" s="232"/>
      <c r="W1915" s="269"/>
      <c r="X1915" s="201"/>
      <c r="Y1915" s="269"/>
      <c r="Z1915" s="269"/>
      <c r="AA1915" s="269"/>
      <c r="AB1915" s="269"/>
      <c r="AC1915" s="269"/>
      <c r="AD1915" s="269"/>
      <c r="AE1915" s="269"/>
    </row>
    <row r="1916" spans="1:31" ht="26.25">
      <c r="A1916" s="269"/>
      <c r="B1916" s="269"/>
      <c r="C1916" s="269"/>
      <c r="D1916" s="269"/>
      <c r="E1916" s="269"/>
      <c r="F1916" s="269"/>
      <c r="G1916" s="269"/>
      <c r="H1916" s="269"/>
      <c r="I1916" s="269"/>
      <c r="J1916" s="334"/>
      <c r="K1916" s="334"/>
      <c r="L1916" s="334"/>
      <c r="M1916" s="328"/>
      <c r="N1916" s="328"/>
      <c r="O1916" s="386"/>
      <c r="P1916" s="356"/>
      <c r="Q1916" s="380"/>
      <c r="S1916" s="336"/>
      <c r="T1916" s="62" ph="1"/>
      <c r="V1916" s="232"/>
      <c r="W1916" s="269"/>
      <c r="X1916" s="201"/>
      <c r="Y1916" s="269"/>
      <c r="Z1916" s="269"/>
      <c r="AA1916" s="269"/>
      <c r="AB1916" s="269"/>
      <c r="AC1916" s="269"/>
      <c r="AD1916" s="269"/>
      <c r="AE1916" s="269"/>
    </row>
    <row r="1917" spans="1:31" ht="26.25">
      <c r="A1917" s="269"/>
      <c r="B1917" s="269"/>
      <c r="C1917" s="269"/>
      <c r="D1917" s="269"/>
      <c r="E1917" s="269"/>
      <c r="F1917" s="269"/>
      <c r="G1917" s="269"/>
      <c r="H1917" s="269"/>
      <c r="I1917" s="269"/>
      <c r="J1917" s="334"/>
      <c r="K1917" s="334"/>
      <c r="L1917" s="334"/>
      <c r="M1917" s="328"/>
      <c r="N1917" s="328"/>
      <c r="O1917" s="386"/>
      <c r="P1917" s="356"/>
      <c r="Q1917" s="380"/>
      <c r="S1917" s="336"/>
      <c r="T1917" s="62" ph="1"/>
      <c r="V1917" s="232"/>
      <c r="W1917" s="269"/>
      <c r="X1917" s="201"/>
      <c r="Y1917" s="269"/>
      <c r="Z1917" s="269"/>
      <c r="AA1917" s="269"/>
      <c r="AB1917" s="269"/>
      <c r="AC1917" s="269"/>
      <c r="AD1917" s="269"/>
      <c r="AE1917" s="269"/>
    </row>
    <row r="1918" spans="1:31" ht="26.25">
      <c r="A1918" s="269"/>
      <c r="B1918" s="269"/>
      <c r="C1918" s="269"/>
      <c r="D1918" s="269"/>
      <c r="E1918" s="269"/>
      <c r="F1918" s="269"/>
      <c r="G1918" s="269"/>
      <c r="H1918" s="269"/>
      <c r="I1918" s="269"/>
      <c r="J1918" s="334"/>
      <c r="K1918" s="334"/>
      <c r="L1918" s="334"/>
      <c r="M1918" s="328"/>
      <c r="N1918" s="328"/>
      <c r="O1918" s="386"/>
      <c r="P1918" s="356"/>
      <c r="Q1918" s="380"/>
      <c r="S1918" s="336"/>
      <c r="T1918" s="62" ph="1"/>
      <c r="V1918" s="232"/>
      <c r="W1918" s="269"/>
      <c r="X1918" s="201"/>
      <c r="Y1918" s="269"/>
      <c r="Z1918" s="269"/>
      <c r="AA1918" s="269"/>
      <c r="AB1918" s="269"/>
      <c r="AC1918" s="269"/>
      <c r="AD1918" s="269"/>
      <c r="AE1918" s="269"/>
    </row>
    <row r="1919" spans="1:31" ht="26.25">
      <c r="A1919" s="269"/>
      <c r="B1919" s="269"/>
      <c r="C1919" s="269"/>
      <c r="D1919" s="269"/>
      <c r="E1919" s="269"/>
      <c r="F1919" s="269"/>
      <c r="G1919" s="269"/>
      <c r="H1919" s="269"/>
      <c r="I1919" s="269"/>
      <c r="J1919" s="334"/>
      <c r="K1919" s="334"/>
      <c r="L1919" s="334"/>
      <c r="M1919" s="328"/>
      <c r="N1919" s="328"/>
      <c r="O1919" s="386"/>
      <c r="P1919" s="356"/>
      <c r="Q1919" s="380"/>
      <c r="S1919" s="336"/>
      <c r="T1919" s="62" ph="1"/>
      <c r="V1919" s="232"/>
      <c r="W1919" s="269"/>
      <c r="X1919" s="201"/>
      <c r="Y1919" s="269"/>
      <c r="Z1919" s="269"/>
      <c r="AA1919" s="269"/>
      <c r="AB1919" s="269"/>
      <c r="AC1919" s="269"/>
      <c r="AD1919" s="269"/>
      <c r="AE1919" s="269"/>
    </row>
    <row r="1920" spans="1:31" ht="26.25">
      <c r="A1920" s="269"/>
      <c r="B1920" s="269"/>
      <c r="C1920" s="269"/>
      <c r="D1920" s="269"/>
      <c r="E1920" s="269"/>
      <c r="F1920" s="269"/>
      <c r="G1920" s="269"/>
      <c r="H1920" s="269"/>
      <c r="I1920" s="269"/>
      <c r="J1920" s="334"/>
      <c r="K1920" s="334"/>
      <c r="L1920" s="334"/>
      <c r="M1920" s="328"/>
      <c r="N1920" s="328"/>
      <c r="O1920" s="386"/>
      <c r="P1920" s="356"/>
      <c r="Q1920" s="380"/>
      <c r="S1920" s="336"/>
      <c r="T1920" s="62" ph="1"/>
      <c r="V1920" s="232"/>
      <c r="W1920" s="269"/>
      <c r="X1920" s="201"/>
      <c r="Y1920" s="269"/>
      <c r="Z1920" s="269"/>
      <c r="AA1920" s="269"/>
      <c r="AB1920" s="269"/>
      <c r="AC1920" s="269"/>
      <c r="AD1920" s="269"/>
      <c r="AE1920" s="269"/>
    </row>
    <row r="1921" spans="1:31" ht="26.25">
      <c r="A1921" s="269"/>
      <c r="B1921" s="269"/>
      <c r="C1921" s="269"/>
      <c r="D1921" s="269"/>
      <c r="E1921" s="269"/>
      <c r="F1921" s="269"/>
      <c r="G1921" s="269"/>
      <c r="H1921" s="269"/>
      <c r="I1921" s="269"/>
      <c r="J1921" s="334"/>
      <c r="K1921" s="334"/>
      <c r="L1921" s="334"/>
      <c r="M1921" s="328"/>
      <c r="N1921" s="328"/>
      <c r="O1921" s="386"/>
      <c r="P1921" s="356"/>
      <c r="Q1921" s="380"/>
      <c r="S1921" s="336"/>
      <c r="T1921" s="62" ph="1"/>
      <c r="V1921" s="232"/>
      <c r="W1921" s="269"/>
      <c r="X1921" s="201"/>
      <c r="Y1921" s="269"/>
      <c r="Z1921" s="269"/>
      <c r="AA1921" s="269"/>
      <c r="AB1921" s="269"/>
      <c r="AC1921" s="269"/>
      <c r="AD1921" s="269"/>
      <c r="AE1921" s="269"/>
    </row>
    <row r="1922" spans="1:31" ht="26.25">
      <c r="A1922" s="269"/>
      <c r="B1922" s="269"/>
      <c r="C1922" s="269"/>
      <c r="D1922" s="269"/>
      <c r="E1922" s="269"/>
      <c r="F1922" s="269"/>
      <c r="G1922" s="269"/>
      <c r="H1922" s="269"/>
      <c r="I1922" s="269"/>
      <c r="J1922" s="334"/>
      <c r="K1922" s="334"/>
      <c r="L1922" s="334"/>
      <c r="M1922" s="328"/>
      <c r="N1922" s="328"/>
      <c r="O1922" s="386"/>
      <c r="P1922" s="356"/>
      <c r="Q1922" s="380"/>
      <c r="S1922" s="336"/>
      <c r="T1922" s="62" ph="1"/>
      <c r="V1922" s="232"/>
      <c r="W1922" s="269"/>
      <c r="X1922" s="201"/>
      <c r="Y1922" s="269"/>
      <c r="Z1922" s="269"/>
      <c r="AA1922" s="269"/>
      <c r="AB1922" s="269"/>
      <c r="AC1922" s="269"/>
      <c r="AD1922" s="269"/>
      <c r="AE1922" s="269"/>
    </row>
    <row r="1923" spans="1:31" ht="26.25">
      <c r="A1923" s="269"/>
      <c r="B1923" s="269"/>
      <c r="C1923" s="269"/>
      <c r="D1923" s="269"/>
      <c r="E1923" s="269"/>
      <c r="F1923" s="269"/>
      <c r="G1923" s="269"/>
      <c r="H1923" s="269"/>
      <c r="I1923" s="269"/>
      <c r="J1923" s="334"/>
      <c r="K1923" s="334"/>
      <c r="L1923" s="334"/>
      <c r="M1923" s="328"/>
      <c r="N1923" s="328"/>
      <c r="O1923" s="386"/>
      <c r="P1923" s="356"/>
      <c r="Q1923" s="380"/>
      <c r="S1923" s="336"/>
      <c r="T1923" s="62" ph="1"/>
      <c r="V1923" s="232"/>
      <c r="W1923" s="269"/>
      <c r="X1923" s="201"/>
      <c r="Y1923" s="269"/>
      <c r="Z1923" s="269"/>
      <c r="AA1923" s="269"/>
      <c r="AB1923" s="269"/>
      <c r="AC1923" s="269"/>
      <c r="AD1923" s="269"/>
      <c r="AE1923" s="269"/>
    </row>
    <row r="1924" spans="1:31" ht="26.25">
      <c r="A1924" s="269"/>
      <c r="B1924" s="269"/>
      <c r="C1924" s="269"/>
      <c r="D1924" s="269"/>
      <c r="E1924" s="269"/>
      <c r="F1924" s="269"/>
      <c r="G1924" s="269"/>
      <c r="H1924" s="269"/>
      <c r="I1924" s="269"/>
      <c r="J1924" s="334"/>
      <c r="K1924" s="334"/>
      <c r="L1924" s="334"/>
      <c r="M1924" s="328"/>
      <c r="N1924" s="328"/>
      <c r="O1924" s="386"/>
      <c r="P1924" s="356"/>
      <c r="Q1924" s="380"/>
      <c r="S1924" s="336"/>
      <c r="T1924" s="62" ph="1"/>
      <c r="V1924" s="232"/>
      <c r="W1924" s="269"/>
      <c r="X1924" s="201"/>
      <c r="Y1924" s="269"/>
      <c r="Z1924" s="269"/>
      <c r="AA1924" s="269"/>
      <c r="AB1924" s="269"/>
      <c r="AC1924" s="269"/>
      <c r="AD1924" s="269"/>
      <c r="AE1924" s="269"/>
    </row>
    <row r="1925" spans="1:31" ht="26.25">
      <c r="A1925" s="269"/>
      <c r="B1925" s="269"/>
      <c r="C1925" s="269"/>
      <c r="D1925" s="269"/>
      <c r="E1925" s="269"/>
      <c r="F1925" s="269"/>
      <c r="G1925" s="269"/>
      <c r="H1925" s="269"/>
      <c r="I1925" s="269"/>
      <c r="J1925" s="334"/>
      <c r="K1925" s="334"/>
      <c r="L1925" s="334"/>
      <c r="M1925" s="328"/>
      <c r="N1925" s="328"/>
      <c r="O1925" s="386"/>
      <c r="P1925" s="356"/>
      <c r="Q1925" s="380"/>
      <c r="S1925" s="336"/>
      <c r="T1925" s="62" ph="1"/>
      <c r="V1925" s="232"/>
      <c r="W1925" s="269"/>
      <c r="X1925" s="201"/>
      <c r="Y1925" s="269"/>
      <c r="Z1925" s="269"/>
      <c r="AA1925" s="269"/>
      <c r="AB1925" s="269"/>
      <c r="AC1925" s="269"/>
      <c r="AD1925" s="269"/>
      <c r="AE1925" s="269"/>
    </row>
    <row r="1926" spans="1:31" ht="26.25">
      <c r="A1926" s="269"/>
      <c r="B1926" s="269"/>
      <c r="C1926" s="269"/>
      <c r="D1926" s="269"/>
      <c r="E1926" s="269"/>
      <c r="F1926" s="269"/>
      <c r="G1926" s="269"/>
      <c r="H1926" s="269"/>
      <c r="I1926" s="269"/>
      <c r="J1926" s="334"/>
      <c r="K1926" s="334"/>
      <c r="L1926" s="334"/>
      <c r="M1926" s="328"/>
      <c r="N1926" s="328"/>
      <c r="O1926" s="386"/>
      <c r="P1926" s="356"/>
      <c r="Q1926" s="380"/>
      <c r="S1926" s="336"/>
      <c r="T1926" s="62" ph="1"/>
      <c r="V1926" s="232"/>
      <c r="W1926" s="269"/>
      <c r="X1926" s="201"/>
      <c r="Y1926" s="269"/>
      <c r="Z1926" s="269"/>
      <c r="AA1926" s="269"/>
      <c r="AB1926" s="269"/>
      <c r="AC1926" s="269"/>
      <c r="AD1926" s="269"/>
      <c r="AE1926" s="269"/>
    </row>
    <row r="1927" spans="1:31" ht="26.25">
      <c r="A1927" s="269"/>
      <c r="B1927" s="269"/>
      <c r="C1927" s="269"/>
      <c r="D1927" s="269"/>
      <c r="E1927" s="269"/>
      <c r="F1927" s="269"/>
      <c r="G1927" s="269"/>
      <c r="H1927" s="269"/>
      <c r="I1927" s="269"/>
      <c r="J1927" s="334"/>
      <c r="K1927" s="334"/>
      <c r="L1927" s="334"/>
      <c r="M1927" s="328"/>
      <c r="N1927" s="328"/>
      <c r="O1927" s="386"/>
      <c r="P1927" s="356"/>
      <c r="Q1927" s="380"/>
      <c r="S1927" s="336"/>
      <c r="T1927" s="62" ph="1"/>
      <c r="V1927" s="232"/>
      <c r="W1927" s="269"/>
      <c r="X1927" s="201"/>
      <c r="Y1927" s="269"/>
      <c r="Z1927" s="269"/>
      <c r="AA1927" s="269"/>
      <c r="AB1927" s="269"/>
      <c r="AC1927" s="269"/>
      <c r="AD1927" s="269"/>
      <c r="AE1927" s="269"/>
    </row>
    <row r="1928" spans="1:31" ht="26.25">
      <c r="A1928" s="269"/>
      <c r="B1928" s="269"/>
      <c r="C1928" s="269"/>
      <c r="D1928" s="269"/>
      <c r="E1928" s="269"/>
      <c r="F1928" s="269"/>
      <c r="G1928" s="269"/>
      <c r="H1928" s="269"/>
      <c r="I1928" s="269"/>
      <c r="J1928" s="334"/>
      <c r="K1928" s="334"/>
      <c r="L1928" s="334"/>
      <c r="M1928" s="328"/>
      <c r="N1928" s="328"/>
      <c r="O1928" s="386"/>
      <c r="P1928" s="356"/>
      <c r="Q1928" s="380"/>
      <c r="S1928" s="336"/>
      <c r="T1928" s="62" ph="1"/>
      <c r="V1928" s="232"/>
      <c r="W1928" s="269"/>
      <c r="X1928" s="201"/>
      <c r="Y1928" s="269"/>
      <c r="Z1928" s="269"/>
      <c r="AA1928" s="269"/>
      <c r="AB1928" s="269"/>
      <c r="AC1928" s="269"/>
      <c r="AD1928" s="269"/>
      <c r="AE1928" s="269"/>
    </row>
    <row r="1929" spans="1:31" ht="26.25">
      <c r="A1929" s="269"/>
      <c r="B1929" s="269"/>
      <c r="C1929" s="269"/>
      <c r="D1929" s="269"/>
      <c r="E1929" s="269"/>
      <c r="F1929" s="269"/>
      <c r="G1929" s="269"/>
      <c r="H1929" s="269"/>
      <c r="I1929" s="269"/>
      <c r="J1929" s="334"/>
      <c r="K1929" s="334"/>
      <c r="L1929" s="334"/>
      <c r="M1929" s="328"/>
      <c r="N1929" s="328"/>
      <c r="O1929" s="386"/>
      <c r="P1929" s="356"/>
      <c r="Q1929" s="380"/>
      <c r="S1929" s="336"/>
      <c r="T1929" s="62" ph="1"/>
      <c r="V1929" s="232"/>
      <c r="W1929" s="269"/>
      <c r="X1929" s="201"/>
      <c r="Y1929" s="269"/>
      <c r="Z1929" s="269"/>
      <c r="AA1929" s="269"/>
      <c r="AB1929" s="269"/>
      <c r="AC1929" s="269"/>
      <c r="AD1929" s="269"/>
      <c r="AE1929" s="269"/>
    </row>
    <row r="1930" spans="1:31" ht="26.25">
      <c r="A1930" s="269"/>
      <c r="B1930" s="269"/>
      <c r="C1930" s="269"/>
      <c r="D1930" s="269"/>
      <c r="E1930" s="269"/>
      <c r="F1930" s="269"/>
      <c r="G1930" s="269"/>
      <c r="H1930" s="269"/>
      <c r="I1930" s="269"/>
      <c r="J1930" s="334"/>
      <c r="K1930" s="334"/>
      <c r="L1930" s="334"/>
      <c r="M1930" s="328"/>
      <c r="N1930" s="328"/>
      <c r="O1930" s="386"/>
      <c r="P1930" s="356"/>
      <c r="Q1930" s="380"/>
      <c r="S1930" s="336"/>
      <c r="T1930" s="62" ph="1"/>
      <c r="V1930" s="232"/>
      <c r="W1930" s="269"/>
      <c r="X1930" s="201"/>
      <c r="Y1930" s="269"/>
      <c r="Z1930" s="269"/>
      <c r="AA1930" s="269"/>
      <c r="AB1930" s="269"/>
      <c r="AC1930" s="269"/>
      <c r="AD1930" s="269"/>
      <c r="AE1930" s="269"/>
    </row>
    <row r="1931" spans="1:31" ht="26.25">
      <c r="A1931" s="269"/>
      <c r="B1931" s="269"/>
      <c r="C1931" s="269"/>
      <c r="D1931" s="269"/>
      <c r="E1931" s="269"/>
      <c r="F1931" s="269"/>
      <c r="G1931" s="269"/>
      <c r="H1931" s="269"/>
      <c r="I1931" s="269"/>
      <c r="J1931" s="334"/>
      <c r="K1931" s="334"/>
      <c r="L1931" s="334"/>
      <c r="M1931" s="328"/>
      <c r="N1931" s="328"/>
      <c r="O1931" s="386"/>
      <c r="P1931" s="356"/>
      <c r="Q1931" s="380"/>
      <c r="S1931" s="336"/>
      <c r="T1931" s="62" ph="1"/>
      <c r="V1931" s="232"/>
      <c r="W1931" s="269"/>
      <c r="X1931" s="201"/>
      <c r="Y1931" s="269"/>
      <c r="Z1931" s="269"/>
      <c r="AA1931" s="269"/>
      <c r="AB1931" s="269"/>
      <c r="AC1931" s="269"/>
      <c r="AD1931" s="269"/>
      <c r="AE1931" s="269"/>
    </row>
    <row r="1932" spans="1:31" ht="26.25">
      <c r="A1932" s="269"/>
      <c r="B1932" s="269"/>
      <c r="C1932" s="269"/>
      <c r="D1932" s="269"/>
      <c r="E1932" s="269"/>
      <c r="F1932" s="269"/>
      <c r="G1932" s="269"/>
      <c r="H1932" s="269"/>
      <c r="I1932" s="269"/>
      <c r="J1932" s="334"/>
      <c r="K1932" s="334"/>
      <c r="L1932" s="334"/>
      <c r="M1932" s="328"/>
      <c r="N1932" s="328"/>
      <c r="O1932" s="386"/>
      <c r="P1932" s="356"/>
      <c r="Q1932" s="380"/>
      <c r="S1932" s="336"/>
      <c r="T1932" s="62" ph="1"/>
      <c r="V1932" s="232"/>
      <c r="W1932" s="269"/>
      <c r="X1932" s="201"/>
      <c r="Y1932" s="269"/>
      <c r="Z1932" s="269"/>
      <c r="AA1932" s="269"/>
      <c r="AB1932" s="269"/>
      <c r="AC1932" s="269"/>
      <c r="AD1932" s="269"/>
      <c r="AE1932" s="269"/>
    </row>
    <row r="1933" spans="1:31" ht="26.25">
      <c r="A1933" s="269"/>
      <c r="B1933" s="269"/>
      <c r="C1933" s="269"/>
      <c r="D1933" s="269"/>
      <c r="E1933" s="269"/>
      <c r="F1933" s="269"/>
      <c r="G1933" s="269"/>
      <c r="H1933" s="269"/>
      <c r="I1933" s="269"/>
      <c r="J1933" s="334"/>
      <c r="K1933" s="334"/>
      <c r="L1933" s="334"/>
      <c r="M1933" s="328"/>
      <c r="N1933" s="328"/>
      <c r="O1933" s="386"/>
      <c r="P1933" s="356"/>
      <c r="Q1933" s="380"/>
      <c r="S1933" s="336"/>
      <c r="T1933" s="62" ph="1"/>
      <c r="V1933" s="232"/>
      <c r="W1933" s="269"/>
      <c r="X1933" s="201"/>
      <c r="Y1933" s="269"/>
      <c r="Z1933" s="269"/>
      <c r="AA1933" s="269"/>
      <c r="AB1933" s="269"/>
      <c r="AC1933" s="269"/>
      <c r="AD1933" s="269"/>
      <c r="AE1933" s="269"/>
    </row>
    <row r="1934" spans="1:31" ht="26.25">
      <c r="A1934" s="269"/>
      <c r="B1934" s="269"/>
      <c r="C1934" s="269"/>
      <c r="D1934" s="269"/>
      <c r="E1934" s="269"/>
      <c r="F1934" s="269"/>
      <c r="G1934" s="269"/>
      <c r="H1934" s="269"/>
      <c r="I1934" s="269"/>
      <c r="J1934" s="334"/>
      <c r="K1934" s="334"/>
      <c r="L1934" s="334"/>
      <c r="M1934" s="328"/>
      <c r="N1934" s="328"/>
      <c r="O1934" s="386"/>
      <c r="P1934" s="356"/>
      <c r="Q1934" s="380"/>
      <c r="S1934" s="336"/>
      <c r="T1934" s="62" ph="1"/>
      <c r="V1934" s="232"/>
      <c r="W1934" s="269"/>
      <c r="X1934" s="201"/>
      <c r="Y1934" s="269"/>
      <c r="Z1934" s="269"/>
      <c r="AA1934" s="269"/>
      <c r="AB1934" s="269"/>
      <c r="AC1934" s="269"/>
      <c r="AD1934" s="269"/>
      <c r="AE1934" s="269"/>
    </row>
    <row r="1935" spans="1:31" ht="26.25">
      <c r="A1935" s="269"/>
      <c r="B1935" s="269"/>
      <c r="C1935" s="269"/>
      <c r="D1935" s="269"/>
      <c r="E1935" s="269"/>
      <c r="F1935" s="269"/>
      <c r="G1935" s="269"/>
      <c r="H1935" s="269"/>
      <c r="I1935" s="269"/>
      <c r="J1935" s="334"/>
      <c r="K1935" s="334"/>
      <c r="L1935" s="334"/>
      <c r="M1935" s="328"/>
      <c r="N1935" s="328"/>
      <c r="O1935" s="386"/>
      <c r="P1935" s="356"/>
      <c r="Q1935" s="380"/>
      <c r="S1935" s="336"/>
      <c r="T1935" s="62" ph="1"/>
      <c r="V1935" s="232"/>
      <c r="W1935" s="269"/>
      <c r="X1935" s="201"/>
      <c r="Y1935" s="269"/>
      <c r="Z1935" s="269"/>
      <c r="AA1935" s="269"/>
      <c r="AB1935" s="269"/>
      <c r="AC1935" s="269"/>
      <c r="AD1935" s="269"/>
      <c r="AE1935" s="269"/>
    </row>
    <row r="1936" spans="1:31" ht="26.25">
      <c r="A1936" s="269"/>
      <c r="B1936" s="269"/>
      <c r="C1936" s="269"/>
      <c r="D1936" s="269"/>
      <c r="E1936" s="269"/>
      <c r="F1936" s="269"/>
      <c r="G1936" s="269"/>
      <c r="H1936" s="269"/>
      <c r="I1936" s="269"/>
      <c r="J1936" s="334"/>
      <c r="K1936" s="334"/>
      <c r="L1936" s="334"/>
      <c r="M1936" s="328"/>
      <c r="N1936" s="328"/>
      <c r="O1936" s="386"/>
      <c r="P1936" s="356"/>
      <c r="Q1936" s="380"/>
      <c r="S1936" s="336"/>
      <c r="T1936" s="62" ph="1"/>
      <c r="V1936" s="232"/>
      <c r="W1936" s="269"/>
      <c r="X1936" s="201"/>
      <c r="Y1936" s="269"/>
      <c r="Z1936" s="269"/>
      <c r="AA1936" s="269"/>
      <c r="AB1936" s="269"/>
      <c r="AC1936" s="269"/>
      <c r="AD1936" s="269"/>
      <c r="AE1936" s="269"/>
    </row>
    <row r="1937" spans="1:31" ht="26.25">
      <c r="A1937" s="269"/>
      <c r="B1937" s="269"/>
      <c r="C1937" s="269"/>
      <c r="D1937" s="269"/>
      <c r="E1937" s="269"/>
      <c r="F1937" s="269"/>
      <c r="G1937" s="269"/>
      <c r="H1937" s="269"/>
      <c r="I1937" s="269"/>
      <c r="J1937" s="334"/>
      <c r="K1937" s="334"/>
      <c r="L1937" s="334"/>
      <c r="M1937" s="328"/>
      <c r="N1937" s="328"/>
      <c r="O1937" s="386"/>
      <c r="P1937" s="356"/>
      <c r="Q1937" s="380"/>
      <c r="S1937" s="336"/>
      <c r="T1937" s="62" ph="1"/>
      <c r="V1937" s="232"/>
      <c r="W1937" s="269"/>
      <c r="X1937" s="201"/>
      <c r="Y1937" s="269"/>
      <c r="Z1937" s="269"/>
      <c r="AA1937" s="269"/>
      <c r="AB1937" s="269"/>
      <c r="AC1937" s="269"/>
      <c r="AD1937" s="269"/>
      <c r="AE1937" s="269"/>
    </row>
    <row r="1938" spans="1:31" ht="26.25">
      <c r="A1938" s="269"/>
      <c r="B1938" s="269"/>
      <c r="C1938" s="269"/>
      <c r="D1938" s="269"/>
      <c r="E1938" s="269"/>
      <c r="F1938" s="269"/>
      <c r="G1938" s="269"/>
      <c r="H1938" s="269"/>
      <c r="I1938" s="269"/>
      <c r="J1938" s="334"/>
      <c r="K1938" s="334"/>
      <c r="L1938" s="334"/>
      <c r="M1938" s="328"/>
      <c r="N1938" s="328"/>
      <c r="O1938" s="386"/>
      <c r="P1938" s="356"/>
      <c r="Q1938" s="380"/>
      <c r="S1938" s="336"/>
      <c r="T1938" s="62" ph="1"/>
      <c r="V1938" s="232"/>
      <c r="W1938" s="269"/>
      <c r="X1938" s="201"/>
      <c r="Y1938" s="269"/>
      <c r="Z1938" s="269"/>
      <c r="AA1938" s="269"/>
      <c r="AB1938" s="269"/>
      <c r="AC1938" s="269"/>
      <c r="AD1938" s="269"/>
      <c r="AE1938" s="269"/>
    </row>
    <row r="1939" spans="1:31" ht="26.25">
      <c r="A1939" s="269"/>
      <c r="B1939" s="269"/>
      <c r="C1939" s="269"/>
      <c r="D1939" s="269"/>
      <c r="E1939" s="269"/>
      <c r="F1939" s="269"/>
      <c r="G1939" s="269"/>
      <c r="H1939" s="269"/>
      <c r="I1939" s="269"/>
      <c r="J1939" s="334"/>
      <c r="K1939" s="334"/>
      <c r="L1939" s="334"/>
      <c r="M1939" s="328"/>
      <c r="N1939" s="328"/>
      <c r="O1939" s="386"/>
      <c r="P1939" s="356"/>
      <c r="Q1939" s="380"/>
      <c r="S1939" s="336"/>
      <c r="T1939" s="62" ph="1"/>
      <c r="V1939" s="232"/>
      <c r="W1939" s="269"/>
      <c r="X1939" s="201"/>
      <c r="Y1939" s="269"/>
      <c r="Z1939" s="269"/>
      <c r="AA1939" s="269"/>
      <c r="AB1939" s="269"/>
      <c r="AC1939" s="269"/>
      <c r="AD1939" s="269"/>
      <c r="AE1939" s="269"/>
    </row>
    <row r="1940" spans="1:31" ht="26.25">
      <c r="A1940" s="269"/>
      <c r="B1940" s="269"/>
      <c r="C1940" s="269"/>
      <c r="D1940" s="269"/>
      <c r="E1940" s="269"/>
      <c r="F1940" s="269"/>
      <c r="G1940" s="269"/>
      <c r="H1940" s="269"/>
      <c r="I1940" s="269"/>
      <c r="J1940" s="334"/>
      <c r="K1940" s="334"/>
      <c r="L1940" s="334"/>
      <c r="M1940" s="328"/>
      <c r="N1940" s="328"/>
      <c r="O1940" s="386"/>
      <c r="P1940" s="356"/>
      <c r="Q1940" s="380"/>
      <c r="S1940" s="336"/>
      <c r="T1940" s="62" ph="1"/>
      <c r="V1940" s="232"/>
      <c r="W1940" s="269"/>
      <c r="X1940" s="201"/>
      <c r="Y1940" s="269"/>
      <c r="Z1940" s="269"/>
      <c r="AA1940" s="269"/>
      <c r="AB1940" s="269"/>
      <c r="AC1940" s="269"/>
      <c r="AD1940" s="269"/>
      <c r="AE1940" s="269"/>
    </row>
    <row r="1941" spans="1:31" ht="26.25">
      <c r="A1941" s="269"/>
      <c r="B1941" s="269"/>
      <c r="C1941" s="269"/>
      <c r="D1941" s="269"/>
      <c r="E1941" s="269"/>
      <c r="F1941" s="269"/>
      <c r="G1941" s="269"/>
      <c r="H1941" s="269"/>
      <c r="I1941" s="269"/>
      <c r="J1941" s="334"/>
      <c r="K1941" s="334"/>
      <c r="L1941" s="334"/>
      <c r="M1941" s="328"/>
      <c r="N1941" s="328"/>
      <c r="O1941" s="386"/>
      <c r="P1941" s="356"/>
      <c r="Q1941" s="380"/>
      <c r="S1941" s="336"/>
      <c r="T1941" s="62" ph="1"/>
      <c r="V1941" s="232"/>
      <c r="W1941" s="269"/>
      <c r="X1941" s="201"/>
      <c r="Y1941" s="269"/>
      <c r="Z1941" s="269"/>
      <c r="AA1941" s="269"/>
      <c r="AB1941" s="269"/>
      <c r="AC1941" s="269"/>
      <c r="AD1941" s="269"/>
      <c r="AE1941" s="269"/>
    </row>
    <row r="1942" spans="1:31" ht="26.25">
      <c r="A1942" s="269"/>
      <c r="B1942" s="269"/>
      <c r="C1942" s="269"/>
      <c r="D1942" s="269"/>
      <c r="E1942" s="269"/>
      <c r="F1942" s="269"/>
      <c r="G1942" s="269"/>
      <c r="H1942" s="269"/>
      <c r="I1942" s="269"/>
      <c r="J1942" s="334"/>
      <c r="K1942" s="334"/>
      <c r="L1942" s="334"/>
      <c r="M1942" s="328"/>
      <c r="N1942" s="328"/>
      <c r="O1942" s="386"/>
      <c r="P1942" s="356"/>
      <c r="Q1942" s="380"/>
      <c r="S1942" s="336"/>
      <c r="T1942" s="62" ph="1"/>
      <c r="V1942" s="232"/>
      <c r="W1942" s="269"/>
      <c r="X1942" s="201"/>
      <c r="Y1942" s="269"/>
      <c r="Z1942" s="269"/>
      <c r="AA1942" s="269"/>
      <c r="AB1942" s="269"/>
      <c r="AC1942" s="269"/>
      <c r="AD1942" s="269"/>
      <c r="AE1942" s="269"/>
    </row>
    <row r="1943" spans="1:31" ht="26.25">
      <c r="A1943" s="269"/>
      <c r="B1943" s="269"/>
      <c r="C1943" s="269"/>
      <c r="D1943" s="269"/>
      <c r="E1943" s="269"/>
      <c r="F1943" s="269"/>
      <c r="G1943" s="269"/>
      <c r="H1943" s="269"/>
      <c r="I1943" s="269"/>
      <c r="J1943" s="334"/>
      <c r="K1943" s="334"/>
      <c r="L1943" s="334"/>
      <c r="M1943" s="328"/>
      <c r="N1943" s="328"/>
      <c r="O1943" s="386"/>
      <c r="P1943" s="356"/>
      <c r="Q1943" s="380"/>
      <c r="S1943" s="336"/>
      <c r="T1943" s="62" ph="1"/>
      <c r="V1943" s="232"/>
      <c r="W1943" s="269"/>
      <c r="X1943" s="201"/>
      <c r="Y1943" s="269"/>
      <c r="Z1943" s="269"/>
      <c r="AA1943" s="269"/>
      <c r="AB1943" s="269"/>
      <c r="AC1943" s="269"/>
      <c r="AD1943" s="269"/>
      <c r="AE1943" s="269"/>
    </row>
    <row r="1944" spans="1:31" ht="26.25">
      <c r="A1944" s="269"/>
      <c r="B1944" s="269"/>
      <c r="C1944" s="269"/>
      <c r="D1944" s="269"/>
      <c r="E1944" s="269"/>
      <c r="F1944" s="269"/>
      <c r="G1944" s="269"/>
      <c r="H1944" s="269"/>
      <c r="I1944" s="269"/>
      <c r="J1944" s="334"/>
      <c r="K1944" s="334"/>
      <c r="L1944" s="334"/>
      <c r="M1944" s="328"/>
      <c r="N1944" s="328"/>
      <c r="O1944" s="386"/>
      <c r="P1944" s="356"/>
      <c r="Q1944" s="380"/>
      <c r="S1944" s="336"/>
      <c r="T1944" s="62" ph="1"/>
      <c r="V1944" s="232"/>
      <c r="W1944" s="269"/>
      <c r="X1944" s="201"/>
      <c r="Y1944" s="269"/>
      <c r="Z1944" s="269"/>
      <c r="AA1944" s="269"/>
      <c r="AB1944" s="269"/>
      <c r="AC1944" s="269"/>
      <c r="AD1944" s="269"/>
      <c r="AE1944" s="269"/>
    </row>
    <row r="1945" spans="1:31" ht="26.25">
      <c r="A1945" s="269"/>
      <c r="B1945" s="269"/>
      <c r="C1945" s="269"/>
      <c r="D1945" s="269"/>
      <c r="E1945" s="269"/>
      <c r="F1945" s="269"/>
      <c r="G1945" s="269"/>
      <c r="H1945" s="269"/>
      <c r="I1945" s="269"/>
      <c r="J1945" s="334"/>
      <c r="K1945" s="334"/>
      <c r="L1945" s="334"/>
      <c r="M1945" s="328"/>
      <c r="N1945" s="328"/>
      <c r="O1945" s="386"/>
      <c r="P1945" s="356"/>
      <c r="Q1945" s="380"/>
      <c r="S1945" s="336"/>
      <c r="T1945" s="62" ph="1"/>
      <c r="V1945" s="232"/>
      <c r="W1945" s="269"/>
      <c r="X1945" s="201"/>
      <c r="Y1945" s="269"/>
      <c r="Z1945" s="269"/>
      <c r="AA1945" s="269"/>
      <c r="AB1945" s="269"/>
      <c r="AC1945" s="269"/>
      <c r="AD1945" s="269"/>
      <c r="AE1945" s="269"/>
    </row>
    <row r="1946" spans="1:31" ht="26.25">
      <c r="A1946" s="269"/>
      <c r="B1946" s="269"/>
      <c r="C1946" s="269"/>
      <c r="D1946" s="269"/>
      <c r="E1946" s="269"/>
      <c r="F1946" s="269"/>
      <c r="G1946" s="269"/>
      <c r="H1946" s="269"/>
      <c r="I1946" s="269"/>
      <c r="J1946" s="334"/>
      <c r="K1946" s="334"/>
      <c r="L1946" s="334"/>
      <c r="M1946" s="328"/>
      <c r="N1946" s="328"/>
      <c r="O1946" s="386"/>
      <c r="P1946" s="356"/>
      <c r="Q1946" s="380"/>
      <c r="S1946" s="336"/>
      <c r="T1946" s="62" ph="1"/>
      <c r="V1946" s="232"/>
      <c r="W1946" s="269"/>
      <c r="X1946" s="201"/>
      <c r="Y1946" s="269"/>
      <c r="Z1946" s="269"/>
      <c r="AA1946" s="269"/>
      <c r="AB1946" s="269"/>
      <c r="AC1946" s="269"/>
      <c r="AD1946" s="269"/>
      <c r="AE1946" s="269"/>
    </row>
    <row r="1947" spans="1:31" ht="26.25">
      <c r="A1947" s="269"/>
      <c r="B1947" s="269"/>
      <c r="C1947" s="269"/>
      <c r="D1947" s="269"/>
      <c r="E1947" s="269"/>
      <c r="F1947" s="269"/>
      <c r="G1947" s="269"/>
      <c r="H1947" s="269"/>
      <c r="I1947" s="269"/>
      <c r="J1947" s="334"/>
      <c r="K1947" s="334"/>
      <c r="L1947" s="334"/>
      <c r="M1947" s="328"/>
      <c r="N1947" s="328"/>
      <c r="O1947" s="386"/>
      <c r="P1947" s="356"/>
      <c r="Q1947" s="380"/>
      <c r="S1947" s="336"/>
      <c r="T1947" s="62" ph="1"/>
      <c r="V1947" s="232"/>
      <c r="W1947" s="269"/>
      <c r="X1947" s="201"/>
      <c r="Y1947" s="269"/>
      <c r="Z1947" s="269"/>
      <c r="AA1947" s="269"/>
      <c r="AB1947" s="269"/>
      <c r="AC1947" s="269"/>
      <c r="AD1947" s="269"/>
      <c r="AE1947" s="269"/>
    </row>
    <row r="1948" spans="1:31" ht="26.25">
      <c r="A1948" s="269"/>
      <c r="B1948" s="269"/>
      <c r="C1948" s="269"/>
      <c r="D1948" s="269"/>
      <c r="E1948" s="269"/>
      <c r="F1948" s="269"/>
      <c r="G1948" s="269"/>
      <c r="H1948" s="269"/>
      <c r="I1948" s="269"/>
      <c r="J1948" s="334"/>
      <c r="K1948" s="334"/>
      <c r="L1948" s="334"/>
      <c r="M1948" s="328"/>
      <c r="N1948" s="328"/>
      <c r="O1948" s="386"/>
      <c r="P1948" s="356"/>
      <c r="Q1948" s="380"/>
      <c r="S1948" s="336"/>
      <c r="T1948" s="62" ph="1"/>
      <c r="V1948" s="232"/>
      <c r="W1948" s="269"/>
      <c r="X1948" s="201"/>
      <c r="Y1948" s="269"/>
      <c r="Z1948" s="269"/>
      <c r="AA1948" s="269"/>
      <c r="AB1948" s="269"/>
      <c r="AC1948" s="269"/>
      <c r="AD1948" s="269"/>
      <c r="AE1948" s="269"/>
    </row>
    <row r="1949" spans="1:31" ht="26.25">
      <c r="A1949" s="269"/>
      <c r="B1949" s="269"/>
      <c r="C1949" s="269"/>
      <c r="D1949" s="269"/>
      <c r="E1949" s="269"/>
      <c r="F1949" s="269"/>
      <c r="G1949" s="269"/>
      <c r="H1949" s="269"/>
      <c r="I1949" s="269"/>
      <c r="J1949" s="334"/>
      <c r="K1949" s="334"/>
      <c r="L1949" s="334"/>
      <c r="M1949" s="328"/>
      <c r="N1949" s="328"/>
      <c r="O1949" s="386"/>
      <c r="P1949" s="356"/>
      <c r="Q1949" s="380"/>
      <c r="S1949" s="336"/>
      <c r="T1949" s="62" ph="1"/>
      <c r="V1949" s="232"/>
      <c r="W1949" s="269"/>
      <c r="X1949" s="201"/>
      <c r="Y1949" s="269"/>
      <c r="Z1949" s="269"/>
      <c r="AA1949" s="269"/>
      <c r="AB1949" s="269"/>
      <c r="AC1949" s="269"/>
      <c r="AD1949" s="269"/>
      <c r="AE1949" s="269"/>
    </row>
    <row r="1950" spans="1:31" ht="26.25">
      <c r="A1950" s="269"/>
      <c r="B1950" s="269"/>
      <c r="C1950" s="269"/>
      <c r="D1950" s="269"/>
      <c r="E1950" s="269"/>
      <c r="F1950" s="269"/>
      <c r="G1950" s="269"/>
      <c r="H1950" s="269"/>
      <c r="I1950" s="269"/>
      <c r="J1950" s="334"/>
      <c r="K1950" s="334"/>
      <c r="L1950" s="334"/>
      <c r="M1950" s="328"/>
      <c r="N1950" s="328"/>
      <c r="O1950" s="386"/>
      <c r="P1950" s="356"/>
      <c r="Q1950" s="380"/>
      <c r="S1950" s="336"/>
      <c r="T1950" s="62" ph="1"/>
      <c r="V1950" s="232"/>
      <c r="W1950" s="269"/>
      <c r="X1950" s="201"/>
      <c r="Y1950" s="269"/>
      <c r="Z1950" s="269"/>
      <c r="AA1950" s="269"/>
      <c r="AB1950" s="269"/>
      <c r="AC1950" s="269"/>
      <c r="AD1950" s="269"/>
      <c r="AE1950" s="269"/>
    </row>
    <row r="1951" spans="1:31" ht="26.25">
      <c r="A1951" s="269"/>
      <c r="B1951" s="269"/>
      <c r="C1951" s="269"/>
      <c r="D1951" s="269"/>
      <c r="E1951" s="269"/>
      <c r="F1951" s="269"/>
      <c r="G1951" s="269"/>
      <c r="H1951" s="269"/>
      <c r="I1951" s="269"/>
      <c r="J1951" s="334"/>
      <c r="K1951" s="334"/>
      <c r="L1951" s="334"/>
      <c r="M1951" s="328"/>
      <c r="N1951" s="328"/>
      <c r="O1951" s="386"/>
      <c r="P1951" s="356"/>
      <c r="Q1951" s="380"/>
      <c r="S1951" s="336"/>
      <c r="T1951" s="62" ph="1"/>
      <c r="V1951" s="232"/>
      <c r="W1951" s="269"/>
      <c r="X1951" s="201"/>
      <c r="Y1951" s="269"/>
      <c r="Z1951" s="269"/>
      <c r="AA1951" s="269"/>
      <c r="AB1951" s="269"/>
      <c r="AC1951" s="269"/>
      <c r="AD1951" s="269"/>
      <c r="AE1951" s="269"/>
    </row>
    <row r="1952" spans="1:31" ht="26.25">
      <c r="A1952" s="269"/>
      <c r="B1952" s="269"/>
      <c r="C1952" s="269"/>
      <c r="D1952" s="269"/>
      <c r="E1952" s="269"/>
      <c r="F1952" s="269"/>
      <c r="G1952" s="269"/>
      <c r="H1952" s="269"/>
      <c r="I1952" s="269"/>
      <c r="J1952" s="334"/>
      <c r="K1952" s="334"/>
      <c r="L1952" s="334"/>
      <c r="M1952" s="328"/>
      <c r="N1952" s="328"/>
      <c r="O1952" s="386"/>
      <c r="P1952" s="356"/>
      <c r="Q1952" s="380"/>
      <c r="S1952" s="336"/>
      <c r="T1952" s="62" ph="1"/>
      <c r="V1952" s="232"/>
      <c r="W1952" s="269"/>
      <c r="X1952" s="201"/>
      <c r="Y1952" s="269"/>
      <c r="Z1952" s="269"/>
      <c r="AA1952" s="269"/>
      <c r="AB1952" s="269"/>
      <c r="AC1952" s="269"/>
      <c r="AD1952" s="269"/>
      <c r="AE1952" s="269"/>
    </row>
    <row r="1953" spans="1:31" ht="26.25">
      <c r="A1953" s="269"/>
      <c r="B1953" s="269"/>
      <c r="C1953" s="269"/>
      <c r="D1953" s="269"/>
      <c r="E1953" s="269"/>
      <c r="F1953" s="269"/>
      <c r="G1953" s="269"/>
      <c r="H1953" s="269"/>
      <c r="I1953" s="269"/>
      <c r="J1953" s="334"/>
      <c r="K1953" s="334"/>
      <c r="L1953" s="334"/>
      <c r="M1953" s="328"/>
      <c r="N1953" s="328"/>
      <c r="O1953" s="386"/>
      <c r="P1953" s="356"/>
      <c r="Q1953" s="380"/>
      <c r="S1953" s="336"/>
      <c r="T1953" s="62" ph="1"/>
      <c r="V1953" s="232"/>
      <c r="W1953" s="269"/>
      <c r="X1953" s="201"/>
      <c r="Y1953" s="269"/>
      <c r="Z1953" s="269"/>
      <c r="AA1953" s="269"/>
      <c r="AB1953" s="269"/>
      <c r="AC1953" s="269"/>
      <c r="AD1953" s="269"/>
      <c r="AE1953" s="269"/>
    </row>
    <row r="1954" spans="1:31" ht="26.25">
      <c r="A1954" s="269"/>
      <c r="B1954" s="269"/>
      <c r="C1954" s="269"/>
      <c r="D1954" s="269"/>
      <c r="E1954" s="269"/>
      <c r="F1954" s="269"/>
      <c r="G1954" s="269"/>
      <c r="H1954" s="269"/>
      <c r="I1954" s="269"/>
      <c r="J1954" s="334"/>
      <c r="K1954" s="334"/>
      <c r="L1954" s="334"/>
      <c r="M1954" s="328"/>
      <c r="N1954" s="328"/>
      <c r="O1954" s="386"/>
      <c r="P1954" s="356"/>
      <c r="Q1954" s="380"/>
      <c r="S1954" s="336"/>
      <c r="T1954" s="62" ph="1"/>
      <c r="V1954" s="232"/>
      <c r="W1954" s="269"/>
      <c r="X1954" s="201"/>
      <c r="Y1954" s="269"/>
      <c r="Z1954" s="269"/>
      <c r="AA1954" s="269"/>
      <c r="AB1954" s="269"/>
      <c r="AC1954" s="269"/>
      <c r="AD1954" s="269"/>
      <c r="AE1954" s="269"/>
    </row>
    <row r="1955" spans="1:31" ht="26.25">
      <c r="A1955" s="269"/>
      <c r="B1955" s="269"/>
      <c r="C1955" s="269"/>
      <c r="D1955" s="269"/>
      <c r="E1955" s="269"/>
      <c r="F1955" s="269"/>
      <c r="G1955" s="269"/>
      <c r="H1955" s="269"/>
      <c r="I1955" s="269"/>
      <c r="J1955" s="334"/>
      <c r="K1955" s="334"/>
      <c r="L1955" s="334"/>
      <c r="M1955" s="328"/>
      <c r="N1955" s="328"/>
      <c r="O1955" s="386"/>
      <c r="P1955" s="356"/>
      <c r="Q1955" s="380"/>
      <c r="S1955" s="336"/>
      <c r="T1955" s="62" ph="1"/>
      <c r="V1955" s="232"/>
      <c r="W1955" s="269"/>
      <c r="X1955" s="201"/>
      <c r="Y1955" s="269"/>
      <c r="Z1955" s="269"/>
      <c r="AA1955" s="269"/>
      <c r="AB1955" s="269"/>
      <c r="AC1955" s="269"/>
      <c r="AD1955" s="269"/>
      <c r="AE1955" s="269"/>
    </row>
    <row r="1956" spans="1:31" ht="26.25">
      <c r="A1956" s="269"/>
      <c r="B1956" s="269"/>
      <c r="C1956" s="269"/>
      <c r="D1956" s="269"/>
      <c r="E1956" s="269"/>
      <c r="F1956" s="269"/>
      <c r="G1956" s="269"/>
      <c r="H1956" s="269"/>
      <c r="I1956" s="269"/>
      <c r="J1956" s="334"/>
      <c r="K1956" s="334"/>
      <c r="L1956" s="334"/>
      <c r="M1956" s="328"/>
      <c r="N1956" s="328"/>
      <c r="O1956" s="386"/>
      <c r="P1956" s="356"/>
      <c r="Q1956" s="380"/>
      <c r="S1956" s="336"/>
      <c r="T1956" s="62" ph="1"/>
      <c r="V1956" s="232"/>
      <c r="W1956" s="269"/>
      <c r="X1956" s="201"/>
      <c r="Y1956" s="269"/>
      <c r="Z1956" s="269"/>
      <c r="AA1956" s="269"/>
      <c r="AB1956" s="269"/>
      <c r="AC1956" s="269"/>
      <c r="AD1956" s="269"/>
      <c r="AE1956" s="269"/>
    </row>
    <row r="1957" spans="1:31" ht="26.25">
      <c r="A1957" s="269"/>
      <c r="B1957" s="269"/>
      <c r="C1957" s="269"/>
      <c r="D1957" s="269"/>
      <c r="E1957" s="269"/>
      <c r="F1957" s="269"/>
      <c r="G1957" s="269"/>
      <c r="H1957" s="269"/>
      <c r="I1957" s="269"/>
      <c r="J1957" s="334"/>
      <c r="K1957" s="334"/>
      <c r="L1957" s="334"/>
      <c r="M1957" s="328"/>
      <c r="N1957" s="328"/>
      <c r="S1957" s="336"/>
      <c r="T1957" s="62" ph="1"/>
      <c r="V1957" s="232"/>
      <c r="W1957" s="269"/>
      <c r="X1957" s="201"/>
      <c r="Y1957" s="269"/>
      <c r="Z1957" s="269"/>
      <c r="AA1957" s="269"/>
      <c r="AB1957" s="269"/>
      <c r="AC1957" s="269"/>
      <c r="AD1957" s="269"/>
      <c r="AE1957" s="269"/>
    </row>
    <row r="1958" spans="1:31" ht="26.25">
      <c r="A1958" s="269"/>
      <c r="B1958" s="269"/>
      <c r="C1958" s="269"/>
      <c r="D1958" s="269"/>
      <c r="E1958" s="269"/>
      <c r="F1958" s="269"/>
      <c r="G1958" s="269"/>
      <c r="H1958" s="269"/>
      <c r="I1958" s="269"/>
      <c r="J1958" s="334"/>
      <c r="K1958" s="334"/>
      <c r="L1958" s="334"/>
      <c r="M1958" s="328"/>
      <c r="N1958" s="328"/>
      <c r="S1958" s="336"/>
      <c r="T1958" s="62" ph="1"/>
      <c r="V1958" s="232"/>
      <c r="W1958" s="269"/>
      <c r="X1958" s="201"/>
      <c r="Y1958" s="269"/>
      <c r="Z1958" s="269"/>
      <c r="AA1958" s="269"/>
      <c r="AB1958" s="269"/>
      <c r="AC1958" s="269"/>
      <c r="AD1958" s="269"/>
      <c r="AE1958" s="269"/>
    </row>
    <row r="1959" spans="1:31" ht="26.25">
      <c r="A1959" s="269"/>
      <c r="B1959" s="269"/>
      <c r="C1959" s="269"/>
      <c r="D1959" s="269"/>
      <c r="E1959" s="269"/>
      <c r="F1959" s="269"/>
      <c r="G1959" s="269"/>
      <c r="H1959" s="269"/>
      <c r="I1959" s="269"/>
      <c r="J1959" s="334"/>
      <c r="K1959" s="334"/>
      <c r="L1959" s="334"/>
      <c r="M1959" s="328"/>
      <c r="N1959" s="328"/>
      <c r="S1959" s="336"/>
      <c r="T1959" s="62" ph="1"/>
      <c r="V1959" s="232"/>
      <c r="W1959" s="269"/>
      <c r="X1959" s="201"/>
      <c r="Y1959" s="269"/>
      <c r="Z1959" s="269"/>
      <c r="AA1959" s="269"/>
      <c r="AB1959" s="269"/>
      <c r="AC1959" s="269"/>
      <c r="AD1959" s="269"/>
      <c r="AE1959" s="269"/>
    </row>
    <row r="1960" spans="1:31" ht="26.25">
      <c r="A1960" s="269"/>
      <c r="B1960" s="269"/>
      <c r="C1960" s="269"/>
      <c r="D1960" s="269"/>
      <c r="E1960" s="269"/>
      <c r="F1960" s="269"/>
      <c r="G1960" s="269"/>
      <c r="H1960" s="269"/>
      <c r="I1960" s="269"/>
      <c r="J1960" s="334"/>
      <c r="K1960" s="334"/>
      <c r="L1960" s="334"/>
      <c r="M1960" s="328"/>
      <c r="N1960" s="328"/>
      <c r="S1960" s="336"/>
      <c r="T1960" s="62" ph="1"/>
      <c r="V1960" s="232"/>
      <c r="W1960" s="269"/>
      <c r="X1960" s="201"/>
      <c r="Y1960" s="269"/>
      <c r="Z1960" s="269"/>
      <c r="AA1960" s="269"/>
      <c r="AB1960" s="269"/>
      <c r="AC1960" s="269"/>
      <c r="AD1960" s="269"/>
      <c r="AE1960" s="269"/>
    </row>
    <row r="1961" spans="1:31" ht="26.25">
      <c r="A1961" s="269"/>
      <c r="B1961" s="269"/>
      <c r="C1961" s="269"/>
      <c r="D1961" s="269"/>
      <c r="E1961" s="269"/>
      <c r="F1961" s="269"/>
      <c r="G1961" s="269"/>
      <c r="H1961" s="269"/>
      <c r="I1961" s="269"/>
      <c r="J1961" s="334"/>
      <c r="K1961" s="334"/>
      <c r="L1961" s="334"/>
      <c r="M1961" s="328"/>
      <c r="N1961" s="328"/>
      <c r="S1961" s="336"/>
      <c r="T1961" s="62" ph="1"/>
      <c r="V1961" s="232"/>
      <c r="W1961" s="269"/>
      <c r="X1961" s="201"/>
      <c r="Y1961" s="269"/>
      <c r="Z1961" s="269"/>
      <c r="AA1961" s="269"/>
      <c r="AB1961" s="269"/>
      <c r="AC1961" s="269"/>
      <c r="AD1961" s="269"/>
      <c r="AE1961" s="269"/>
    </row>
    <row r="1962" spans="1:31" ht="26.25">
      <c r="A1962" s="269"/>
      <c r="B1962" s="269"/>
      <c r="C1962" s="269"/>
      <c r="D1962" s="269"/>
      <c r="E1962" s="269"/>
      <c r="F1962" s="269"/>
      <c r="G1962" s="269"/>
      <c r="H1962" s="269"/>
      <c r="I1962" s="269"/>
      <c r="J1962" s="334"/>
      <c r="K1962" s="334"/>
      <c r="L1962" s="334"/>
      <c r="M1962" s="328"/>
      <c r="N1962" s="328"/>
      <c r="S1962" s="336"/>
      <c r="T1962" s="62" ph="1"/>
      <c r="V1962" s="232"/>
      <c r="W1962" s="269"/>
      <c r="X1962" s="201"/>
      <c r="Y1962" s="269"/>
      <c r="Z1962" s="269"/>
      <c r="AA1962" s="269"/>
      <c r="AB1962" s="269"/>
      <c r="AC1962" s="269"/>
      <c r="AD1962" s="269"/>
      <c r="AE1962" s="269"/>
    </row>
    <row r="1963" spans="1:31" ht="26.25">
      <c r="A1963" s="269"/>
      <c r="B1963" s="269"/>
      <c r="C1963" s="269"/>
      <c r="D1963" s="269"/>
      <c r="E1963" s="269"/>
      <c r="F1963" s="269"/>
      <c r="G1963" s="269"/>
      <c r="H1963" s="269"/>
      <c r="I1963" s="269"/>
      <c r="J1963" s="334"/>
      <c r="K1963" s="334"/>
      <c r="L1963" s="334"/>
      <c r="M1963" s="328"/>
      <c r="N1963" s="328"/>
      <c r="S1963" s="336"/>
      <c r="T1963" s="62" ph="1"/>
      <c r="V1963" s="232"/>
      <c r="W1963" s="269"/>
      <c r="X1963" s="201"/>
      <c r="Y1963" s="269"/>
      <c r="Z1963" s="269"/>
      <c r="AA1963" s="269"/>
      <c r="AB1963" s="269"/>
      <c r="AC1963" s="269"/>
      <c r="AD1963" s="269"/>
      <c r="AE1963" s="269"/>
    </row>
    <row r="1964" spans="1:31" ht="26.25">
      <c r="A1964" s="269"/>
      <c r="B1964" s="269"/>
      <c r="C1964" s="269"/>
      <c r="D1964" s="269"/>
      <c r="E1964" s="269"/>
      <c r="F1964" s="269"/>
      <c r="G1964" s="269"/>
      <c r="H1964" s="269"/>
      <c r="I1964" s="269"/>
      <c r="J1964" s="334"/>
      <c r="K1964" s="334"/>
      <c r="L1964" s="334"/>
      <c r="M1964" s="328"/>
      <c r="N1964" s="328"/>
      <c r="S1964" s="336"/>
      <c r="T1964" s="62" ph="1"/>
      <c r="V1964" s="232"/>
      <c r="W1964" s="269"/>
      <c r="X1964" s="201"/>
      <c r="Y1964" s="269"/>
      <c r="Z1964" s="269"/>
      <c r="AA1964" s="269"/>
      <c r="AB1964" s="269"/>
      <c r="AC1964" s="269"/>
      <c r="AD1964" s="269"/>
      <c r="AE1964" s="269"/>
    </row>
    <row r="1965" spans="1:31" ht="26.25">
      <c r="A1965" s="269"/>
      <c r="B1965" s="269"/>
      <c r="C1965" s="269"/>
      <c r="D1965" s="269"/>
      <c r="E1965" s="269"/>
      <c r="F1965" s="269"/>
      <c r="G1965" s="269"/>
      <c r="H1965" s="269"/>
      <c r="I1965" s="269"/>
      <c r="J1965" s="334"/>
      <c r="K1965" s="334"/>
      <c r="L1965" s="334"/>
      <c r="M1965" s="328"/>
      <c r="N1965" s="328"/>
      <c r="S1965" s="336"/>
      <c r="T1965" s="62" ph="1"/>
      <c r="V1965" s="232"/>
      <c r="W1965" s="269"/>
      <c r="X1965" s="201"/>
      <c r="Y1965" s="269"/>
      <c r="Z1965" s="269"/>
      <c r="AA1965" s="269"/>
      <c r="AB1965" s="269"/>
      <c r="AC1965" s="269"/>
      <c r="AD1965" s="269"/>
      <c r="AE1965" s="269"/>
    </row>
    <row r="1966" spans="1:31" ht="26.25">
      <c r="A1966" s="269"/>
      <c r="B1966" s="269"/>
      <c r="C1966" s="269"/>
      <c r="D1966" s="269"/>
      <c r="E1966" s="269"/>
      <c r="F1966" s="269"/>
      <c r="G1966" s="269"/>
      <c r="H1966" s="269"/>
      <c r="I1966" s="269"/>
      <c r="J1966" s="334"/>
      <c r="K1966" s="334"/>
      <c r="L1966" s="334"/>
      <c r="M1966" s="328"/>
      <c r="N1966" s="328"/>
      <c r="S1966" s="336"/>
      <c r="T1966" s="62" ph="1"/>
      <c r="V1966" s="232"/>
      <c r="W1966" s="269"/>
      <c r="X1966" s="201"/>
      <c r="Y1966" s="269"/>
      <c r="Z1966" s="269"/>
      <c r="AA1966" s="269"/>
      <c r="AB1966" s="269"/>
      <c r="AC1966" s="269"/>
      <c r="AD1966" s="269"/>
      <c r="AE1966" s="269"/>
    </row>
    <row r="1967" spans="1:31" ht="26.25">
      <c r="A1967" s="269"/>
      <c r="B1967" s="269"/>
      <c r="C1967" s="269"/>
      <c r="D1967" s="269"/>
      <c r="E1967" s="269"/>
      <c r="F1967" s="269"/>
      <c r="G1967" s="269"/>
      <c r="H1967" s="269"/>
      <c r="I1967" s="269"/>
      <c r="J1967" s="334"/>
      <c r="K1967" s="334"/>
      <c r="L1967" s="334"/>
      <c r="M1967" s="328"/>
      <c r="N1967" s="328"/>
      <c r="S1967" s="336"/>
      <c r="T1967" s="62" ph="1"/>
      <c r="V1967" s="232"/>
      <c r="W1967" s="269"/>
      <c r="X1967" s="201"/>
      <c r="Y1967" s="269"/>
      <c r="Z1967" s="269"/>
      <c r="AA1967" s="269"/>
      <c r="AB1967" s="269"/>
      <c r="AC1967" s="269"/>
      <c r="AD1967" s="269"/>
      <c r="AE1967" s="269"/>
    </row>
    <row r="1968" spans="1:31" ht="26.25">
      <c r="A1968" s="269"/>
      <c r="B1968" s="269"/>
      <c r="C1968" s="269"/>
      <c r="D1968" s="269"/>
      <c r="E1968" s="269"/>
      <c r="F1968" s="269"/>
      <c r="G1968" s="269"/>
      <c r="H1968" s="269"/>
      <c r="I1968" s="269"/>
      <c r="J1968" s="334"/>
      <c r="K1968" s="334"/>
      <c r="L1968" s="334"/>
      <c r="M1968" s="328"/>
      <c r="N1968" s="328"/>
      <c r="S1968" s="336"/>
      <c r="T1968" s="62" ph="1"/>
      <c r="V1968" s="232"/>
      <c r="W1968" s="269"/>
      <c r="X1968" s="201"/>
      <c r="Y1968" s="269"/>
      <c r="Z1968" s="269"/>
      <c r="AA1968" s="269"/>
      <c r="AB1968" s="269"/>
      <c r="AC1968" s="269"/>
      <c r="AD1968" s="269"/>
      <c r="AE1968" s="269"/>
    </row>
    <row r="1969" spans="1:31" ht="26.25">
      <c r="A1969" s="269"/>
      <c r="B1969" s="269"/>
      <c r="C1969" s="269"/>
      <c r="D1969" s="269"/>
      <c r="E1969" s="269"/>
      <c r="F1969" s="269"/>
      <c r="G1969" s="269"/>
      <c r="H1969" s="269"/>
      <c r="I1969" s="269"/>
      <c r="J1969" s="334"/>
      <c r="K1969" s="334"/>
      <c r="L1969" s="334"/>
      <c r="M1969" s="328"/>
      <c r="N1969" s="328"/>
      <c r="S1969" s="336"/>
      <c r="T1969" s="62" ph="1"/>
      <c r="V1969" s="232"/>
      <c r="W1969" s="269"/>
      <c r="X1969" s="201"/>
      <c r="Y1969" s="269"/>
      <c r="Z1969" s="269"/>
      <c r="AA1969" s="269"/>
      <c r="AB1969" s="269"/>
      <c r="AC1969" s="269"/>
      <c r="AD1969" s="269"/>
      <c r="AE1969" s="269"/>
    </row>
    <row r="1970" spans="1:31" ht="26.25">
      <c r="A1970" s="269"/>
      <c r="B1970" s="269"/>
      <c r="C1970" s="269"/>
      <c r="D1970" s="269"/>
      <c r="E1970" s="269"/>
      <c r="F1970" s="269"/>
      <c r="G1970" s="269"/>
      <c r="H1970" s="269"/>
      <c r="I1970" s="269"/>
      <c r="J1970" s="334"/>
      <c r="K1970" s="334"/>
      <c r="L1970" s="334"/>
      <c r="M1970" s="328"/>
      <c r="N1970" s="328"/>
      <c r="S1970" s="336"/>
      <c r="T1970" s="62" ph="1"/>
      <c r="V1970" s="232"/>
      <c r="W1970" s="269"/>
      <c r="X1970" s="201"/>
      <c r="Y1970" s="269"/>
      <c r="Z1970" s="269"/>
      <c r="AA1970" s="269"/>
      <c r="AB1970" s="269"/>
      <c r="AC1970" s="269"/>
      <c r="AD1970" s="269"/>
      <c r="AE1970" s="269"/>
    </row>
    <row r="1971" spans="1:31" ht="26.25">
      <c r="A1971" s="269"/>
      <c r="B1971" s="269"/>
      <c r="C1971" s="269"/>
      <c r="D1971" s="269"/>
      <c r="E1971" s="269"/>
      <c r="F1971" s="269"/>
      <c r="G1971" s="269"/>
      <c r="H1971" s="269"/>
      <c r="I1971" s="269"/>
      <c r="J1971" s="334"/>
      <c r="K1971" s="334"/>
      <c r="L1971" s="334"/>
      <c r="M1971" s="328"/>
      <c r="N1971" s="328"/>
      <c r="S1971" s="336"/>
      <c r="T1971" s="62" ph="1"/>
      <c r="V1971" s="232"/>
      <c r="W1971" s="269"/>
      <c r="X1971" s="201"/>
      <c r="Y1971" s="269"/>
      <c r="Z1971" s="269"/>
      <c r="AA1971" s="269"/>
      <c r="AB1971" s="269"/>
      <c r="AC1971" s="269"/>
      <c r="AD1971" s="269"/>
      <c r="AE1971" s="269"/>
    </row>
    <row r="1972" spans="1:31" ht="26.25">
      <c r="A1972" s="269"/>
      <c r="B1972" s="269"/>
      <c r="C1972" s="269"/>
      <c r="D1972" s="269"/>
      <c r="E1972" s="269"/>
      <c r="F1972" s="269"/>
      <c r="G1972" s="269"/>
      <c r="H1972" s="269"/>
      <c r="I1972" s="269"/>
      <c r="J1972" s="334"/>
      <c r="K1972" s="334"/>
      <c r="L1972" s="334"/>
      <c r="M1972" s="328"/>
      <c r="N1972" s="328"/>
      <c r="S1972" s="336"/>
      <c r="T1972" s="62" ph="1"/>
      <c r="V1972" s="232"/>
      <c r="W1972" s="269"/>
      <c r="X1972" s="201"/>
      <c r="Y1972" s="269"/>
      <c r="Z1972" s="269"/>
      <c r="AA1972" s="269"/>
      <c r="AB1972" s="269"/>
      <c r="AC1972" s="269"/>
      <c r="AD1972" s="269"/>
      <c r="AE1972" s="269"/>
    </row>
    <row r="1973" spans="1:31" ht="26.25">
      <c r="A1973" s="269"/>
      <c r="B1973" s="269"/>
      <c r="C1973" s="269"/>
      <c r="D1973" s="269"/>
      <c r="E1973" s="269"/>
      <c r="F1973" s="269"/>
      <c r="G1973" s="269"/>
      <c r="H1973" s="269"/>
      <c r="I1973" s="269"/>
      <c r="J1973" s="334"/>
      <c r="K1973" s="334"/>
      <c r="L1973" s="334"/>
      <c r="M1973" s="328"/>
      <c r="N1973" s="328"/>
      <c r="S1973" s="336"/>
      <c r="T1973" s="62" ph="1"/>
      <c r="V1973" s="232"/>
      <c r="W1973" s="269"/>
      <c r="X1973" s="201"/>
      <c r="Y1973" s="269"/>
      <c r="Z1973" s="269"/>
      <c r="AA1973" s="269"/>
      <c r="AB1973" s="269"/>
      <c r="AC1973" s="269"/>
      <c r="AD1973" s="269"/>
      <c r="AE1973" s="269"/>
    </row>
    <row r="1974" spans="1:31" ht="26.25">
      <c r="A1974" s="269"/>
      <c r="B1974" s="269"/>
      <c r="C1974" s="269"/>
      <c r="D1974" s="269"/>
      <c r="E1974" s="269"/>
      <c r="F1974" s="269"/>
      <c r="G1974" s="269"/>
      <c r="H1974" s="269"/>
      <c r="I1974" s="269"/>
      <c r="J1974" s="334"/>
      <c r="K1974" s="334"/>
      <c r="L1974" s="334"/>
      <c r="M1974" s="328"/>
      <c r="N1974" s="328"/>
      <c r="S1974" s="336"/>
      <c r="T1974" s="62" ph="1"/>
      <c r="V1974" s="232"/>
      <c r="W1974" s="269"/>
      <c r="X1974" s="201"/>
      <c r="Y1974" s="269"/>
      <c r="Z1974" s="269"/>
      <c r="AA1974" s="269"/>
      <c r="AB1974" s="269"/>
      <c r="AC1974" s="269"/>
      <c r="AD1974" s="269"/>
      <c r="AE1974" s="269"/>
    </row>
    <row r="1975" spans="1:31" ht="26.25">
      <c r="A1975" s="269"/>
      <c r="B1975" s="269"/>
      <c r="C1975" s="269"/>
      <c r="D1975" s="269"/>
      <c r="E1975" s="269"/>
      <c r="F1975" s="269"/>
      <c r="G1975" s="269"/>
      <c r="H1975" s="269"/>
      <c r="I1975" s="269"/>
      <c r="J1975" s="334"/>
      <c r="K1975" s="334"/>
      <c r="L1975" s="334"/>
      <c r="M1975" s="328"/>
      <c r="N1975" s="328"/>
      <c r="S1975" s="336"/>
      <c r="T1975" s="62" ph="1"/>
      <c r="V1975" s="232"/>
      <c r="W1975" s="269"/>
      <c r="X1975" s="201"/>
      <c r="Y1975" s="269"/>
      <c r="Z1975" s="269"/>
      <c r="AA1975" s="269"/>
      <c r="AB1975" s="269"/>
      <c r="AC1975" s="269"/>
      <c r="AD1975" s="269"/>
      <c r="AE1975" s="269"/>
    </row>
    <row r="1976" spans="1:31" ht="26.25">
      <c r="A1976" s="269"/>
      <c r="B1976" s="269"/>
      <c r="C1976" s="269"/>
      <c r="D1976" s="269"/>
      <c r="E1976" s="269"/>
      <c r="F1976" s="269"/>
      <c r="G1976" s="269"/>
      <c r="H1976" s="269"/>
      <c r="I1976" s="269"/>
      <c r="J1976" s="334"/>
      <c r="K1976" s="334"/>
      <c r="L1976" s="334"/>
      <c r="M1976" s="328"/>
      <c r="N1976" s="328"/>
      <c r="S1976" s="336"/>
      <c r="T1976" s="62" ph="1"/>
      <c r="V1976" s="232"/>
      <c r="W1976" s="269"/>
      <c r="X1976" s="201"/>
      <c r="Y1976" s="269"/>
      <c r="Z1976" s="269"/>
      <c r="AA1976" s="269"/>
      <c r="AB1976" s="269"/>
      <c r="AC1976" s="269"/>
      <c r="AD1976" s="269"/>
      <c r="AE1976" s="269"/>
    </row>
    <row r="1977" spans="1:31" ht="26.25">
      <c r="A1977" s="269"/>
      <c r="B1977" s="269"/>
      <c r="C1977" s="269"/>
      <c r="D1977" s="269"/>
      <c r="E1977" s="269"/>
      <c r="F1977" s="269"/>
      <c r="G1977" s="269"/>
      <c r="H1977" s="269"/>
      <c r="I1977" s="269"/>
      <c r="J1977" s="334"/>
      <c r="K1977" s="334"/>
      <c r="L1977" s="334"/>
      <c r="M1977" s="328"/>
      <c r="N1977" s="328"/>
      <c r="S1977" s="336"/>
      <c r="T1977" s="62" ph="1"/>
      <c r="V1977" s="232"/>
      <c r="W1977" s="269"/>
      <c r="X1977" s="201"/>
      <c r="Y1977" s="269"/>
      <c r="Z1977" s="269"/>
      <c r="AA1977" s="269"/>
      <c r="AB1977" s="269"/>
      <c r="AC1977" s="269"/>
      <c r="AD1977" s="269"/>
      <c r="AE1977" s="269"/>
    </row>
    <row r="1978" spans="1:31" ht="26.25">
      <c r="A1978" s="269"/>
      <c r="B1978" s="269"/>
      <c r="C1978" s="269"/>
      <c r="D1978" s="269"/>
      <c r="E1978" s="269"/>
      <c r="F1978" s="269"/>
      <c r="G1978" s="269"/>
      <c r="H1978" s="269"/>
      <c r="I1978" s="269"/>
      <c r="J1978" s="334"/>
      <c r="K1978" s="334"/>
      <c r="L1978" s="334"/>
      <c r="M1978" s="328"/>
      <c r="N1978" s="328"/>
      <c r="S1978" s="336"/>
      <c r="T1978" s="62" ph="1"/>
      <c r="V1978" s="232"/>
      <c r="W1978" s="269"/>
      <c r="X1978" s="201"/>
      <c r="Y1978" s="269"/>
      <c r="Z1978" s="269"/>
      <c r="AA1978" s="269"/>
      <c r="AB1978" s="269"/>
      <c r="AC1978" s="269"/>
      <c r="AD1978" s="269"/>
      <c r="AE1978" s="269"/>
    </row>
    <row r="1979" spans="1:31" ht="26.25">
      <c r="A1979" s="269"/>
      <c r="B1979" s="269"/>
      <c r="C1979" s="269"/>
      <c r="D1979" s="269"/>
      <c r="E1979" s="269"/>
      <c r="F1979" s="269"/>
      <c r="G1979" s="269"/>
      <c r="H1979" s="269"/>
      <c r="I1979" s="269"/>
      <c r="J1979" s="334"/>
      <c r="K1979" s="334"/>
      <c r="L1979" s="334"/>
      <c r="M1979" s="328"/>
      <c r="N1979" s="328"/>
      <c r="S1979" s="336"/>
      <c r="T1979" s="62" ph="1"/>
      <c r="V1979" s="232"/>
      <c r="W1979" s="269"/>
      <c r="X1979" s="201"/>
      <c r="Y1979" s="269"/>
      <c r="Z1979" s="269"/>
      <c r="AA1979" s="269"/>
      <c r="AB1979" s="269"/>
      <c r="AC1979" s="269"/>
      <c r="AD1979" s="269"/>
      <c r="AE1979" s="269"/>
    </row>
    <row r="1980" spans="1:31" ht="26.25">
      <c r="A1980" s="269"/>
      <c r="B1980" s="269"/>
      <c r="C1980" s="269"/>
      <c r="D1980" s="269"/>
      <c r="E1980" s="269"/>
      <c r="F1980" s="269"/>
      <c r="G1980" s="269"/>
      <c r="H1980" s="269"/>
      <c r="I1980" s="269"/>
      <c r="J1980" s="334"/>
      <c r="K1980" s="334"/>
      <c r="L1980" s="334"/>
      <c r="M1980" s="328"/>
      <c r="N1980" s="328"/>
      <c r="S1980" s="336"/>
      <c r="T1980" s="62" ph="1"/>
      <c r="V1980" s="232"/>
      <c r="W1980" s="269"/>
      <c r="X1980" s="201"/>
      <c r="Y1980" s="269"/>
      <c r="Z1980" s="269"/>
      <c r="AA1980" s="269"/>
      <c r="AB1980" s="269"/>
      <c r="AC1980" s="269"/>
      <c r="AD1980" s="269"/>
      <c r="AE1980" s="269"/>
    </row>
    <row r="1981" spans="1:31" ht="26.25">
      <c r="A1981" s="269"/>
      <c r="B1981" s="269"/>
      <c r="C1981" s="269"/>
      <c r="D1981" s="269"/>
      <c r="E1981" s="269"/>
      <c r="F1981" s="269"/>
      <c r="G1981" s="269"/>
      <c r="H1981" s="269"/>
      <c r="I1981" s="269"/>
      <c r="J1981" s="334"/>
      <c r="K1981" s="334"/>
      <c r="L1981" s="334"/>
      <c r="M1981" s="328"/>
      <c r="N1981" s="328"/>
      <c r="S1981" s="336"/>
      <c r="T1981" s="62" ph="1"/>
      <c r="V1981" s="232"/>
      <c r="W1981" s="269"/>
      <c r="X1981" s="201"/>
      <c r="Y1981" s="269"/>
      <c r="Z1981" s="269"/>
      <c r="AA1981" s="269"/>
      <c r="AB1981" s="269"/>
      <c r="AC1981" s="269"/>
      <c r="AD1981" s="269"/>
      <c r="AE1981" s="269"/>
    </row>
    <row r="1982" spans="1:31" ht="26.25">
      <c r="A1982" s="269"/>
      <c r="B1982" s="269"/>
      <c r="C1982" s="269"/>
      <c r="D1982" s="269"/>
      <c r="E1982" s="269"/>
      <c r="F1982" s="269"/>
      <c r="G1982" s="269"/>
      <c r="H1982" s="269"/>
      <c r="I1982" s="269"/>
      <c r="J1982" s="334"/>
      <c r="K1982" s="334"/>
      <c r="L1982" s="334"/>
      <c r="M1982" s="328"/>
      <c r="N1982" s="328"/>
      <c r="S1982" s="336"/>
      <c r="T1982" s="62" ph="1"/>
      <c r="V1982" s="232"/>
      <c r="W1982" s="269"/>
      <c r="X1982" s="201"/>
      <c r="Y1982" s="269"/>
      <c r="Z1982" s="269"/>
      <c r="AA1982" s="269"/>
      <c r="AB1982" s="269"/>
      <c r="AC1982" s="269"/>
      <c r="AD1982" s="269"/>
      <c r="AE1982" s="269"/>
    </row>
    <row r="1983" spans="1:31" ht="26.25">
      <c r="A1983" s="269"/>
      <c r="B1983" s="269"/>
      <c r="C1983" s="269"/>
      <c r="D1983" s="269"/>
      <c r="E1983" s="269"/>
      <c r="F1983" s="269"/>
      <c r="G1983" s="269"/>
      <c r="H1983" s="269"/>
      <c r="I1983" s="269"/>
      <c r="J1983" s="334"/>
      <c r="K1983" s="334"/>
      <c r="L1983" s="334"/>
      <c r="M1983" s="328"/>
      <c r="N1983" s="328"/>
      <c r="S1983" s="336"/>
      <c r="T1983" s="62" ph="1"/>
      <c r="V1983" s="232"/>
      <c r="W1983" s="269"/>
      <c r="X1983" s="201"/>
      <c r="Y1983" s="269"/>
      <c r="Z1983" s="269"/>
      <c r="AA1983" s="269"/>
      <c r="AB1983" s="269"/>
      <c r="AC1983" s="269"/>
      <c r="AD1983" s="269"/>
      <c r="AE1983" s="269"/>
    </row>
    <row r="1984" spans="1:31" ht="26.25">
      <c r="A1984" s="269"/>
      <c r="B1984" s="269"/>
      <c r="C1984" s="269"/>
      <c r="D1984" s="269"/>
      <c r="E1984" s="269"/>
      <c r="F1984" s="269"/>
      <c r="G1984" s="269"/>
      <c r="H1984" s="269"/>
      <c r="I1984" s="269"/>
      <c r="J1984" s="334"/>
      <c r="K1984" s="334"/>
      <c r="L1984" s="334"/>
      <c r="M1984" s="328"/>
      <c r="N1984" s="328"/>
      <c r="S1984" s="336"/>
      <c r="T1984" s="62" ph="1"/>
      <c r="V1984" s="232"/>
      <c r="W1984" s="269"/>
      <c r="X1984" s="201"/>
      <c r="Y1984" s="269"/>
      <c r="Z1984" s="269"/>
      <c r="AA1984" s="269"/>
      <c r="AB1984" s="269"/>
      <c r="AC1984" s="269"/>
      <c r="AD1984" s="269"/>
      <c r="AE1984" s="269"/>
    </row>
    <row r="1985" spans="1:31" ht="26.25">
      <c r="A1985" s="269"/>
      <c r="B1985" s="269"/>
      <c r="C1985" s="269"/>
      <c r="D1985" s="269"/>
      <c r="E1985" s="269"/>
      <c r="F1985" s="269"/>
      <c r="G1985" s="269"/>
      <c r="H1985" s="269"/>
      <c r="I1985" s="269"/>
      <c r="J1985" s="334"/>
      <c r="K1985" s="334"/>
      <c r="L1985" s="334"/>
      <c r="M1985" s="328"/>
      <c r="N1985" s="328"/>
      <c r="S1985" s="336"/>
      <c r="T1985" s="62" ph="1"/>
      <c r="V1985" s="232"/>
      <c r="W1985" s="269"/>
      <c r="X1985" s="201"/>
      <c r="Y1985" s="269"/>
      <c r="Z1985" s="269"/>
      <c r="AA1985" s="269"/>
      <c r="AB1985" s="269"/>
      <c r="AC1985" s="269"/>
      <c r="AD1985" s="269"/>
      <c r="AE1985" s="269"/>
    </row>
    <row r="1986" spans="1:31" ht="26.25">
      <c r="A1986" s="269"/>
      <c r="B1986" s="269"/>
      <c r="C1986" s="269"/>
      <c r="D1986" s="269"/>
      <c r="E1986" s="269"/>
      <c r="F1986" s="269"/>
      <c r="G1986" s="269"/>
      <c r="H1986" s="269"/>
      <c r="I1986" s="269"/>
      <c r="J1986" s="334"/>
      <c r="K1986" s="334"/>
      <c r="L1986" s="334"/>
      <c r="M1986" s="328"/>
      <c r="N1986" s="328"/>
      <c r="S1986" s="336"/>
      <c r="T1986" s="62" ph="1"/>
      <c r="V1986" s="232"/>
      <c r="W1986" s="269"/>
      <c r="X1986" s="201"/>
      <c r="Y1986" s="269"/>
      <c r="Z1986" s="269"/>
      <c r="AA1986" s="269"/>
      <c r="AB1986" s="269"/>
      <c r="AC1986" s="269"/>
      <c r="AD1986" s="269"/>
      <c r="AE1986" s="269"/>
    </row>
    <row r="1987" spans="1:31" ht="26.25">
      <c r="A1987" s="269"/>
      <c r="B1987" s="269"/>
      <c r="C1987" s="269"/>
      <c r="D1987" s="269"/>
      <c r="E1987" s="269"/>
      <c r="F1987" s="269"/>
      <c r="G1987" s="269"/>
      <c r="H1987" s="269"/>
      <c r="I1987" s="269"/>
      <c r="J1987" s="334"/>
      <c r="K1987" s="334"/>
      <c r="L1987" s="334"/>
      <c r="M1987" s="328"/>
      <c r="N1987" s="328"/>
      <c r="S1987" s="336"/>
      <c r="T1987" s="62" ph="1"/>
      <c r="V1987" s="232"/>
      <c r="W1987" s="269"/>
      <c r="X1987" s="201"/>
      <c r="Y1987" s="269"/>
      <c r="Z1987" s="269"/>
      <c r="AA1987" s="269"/>
      <c r="AB1987" s="269"/>
      <c r="AC1987" s="269"/>
      <c r="AD1987" s="269"/>
      <c r="AE1987" s="269"/>
    </row>
    <row r="1988" spans="1:31" ht="26.25">
      <c r="A1988" s="269"/>
      <c r="B1988" s="269"/>
      <c r="C1988" s="269"/>
      <c r="D1988" s="269"/>
      <c r="E1988" s="269"/>
      <c r="F1988" s="269"/>
      <c r="G1988" s="269"/>
      <c r="H1988" s="269"/>
      <c r="I1988" s="269"/>
      <c r="J1988" s="334"/>
      <c r="K1988" s="334"/>
      <c r="L1988" s="334"/>
      <c r="M1988" s="328"/>
      <c r="N1988" s="328"/>
      <c r="S1988" s="336"/>
      <c r="T1988" s="62" ph="1"/>
      <c r="V1988" s="232"/>
      <c r="W1988" s="269"/>
      <c r="X1988" s="201"/>
      <c r="Y1988" s="269"/>
      <c r="Z1988" s="269"/>
      <c r="AA1988" s="269"/>
      <c r="AB1988" s="269"/>
      <c r="AC1988" s="269"/>
      <c r="AD1988" s="269"/>
      <c r="AE1988" s="269"/>
    </row>
    <row r="1989" spans="1:31" ht="26.25">
      <c r="A1989" s="269"/>
      <c r="B1989" s="269"/>
      <c r="C1989" s="269"/>
      <c r="D1989" s="269"/>
      <c r="E1989" s="269"/>
      <c r="F1989" s="269"/>
      <c r="G1989" s="269"/>
      <c r="H1989" s="269"/>
      <c r="I1989" s="269"/>
      <c r="J1989" s="334"/>
      <c r="K1989" s="334"/>
      <c r="L1989" s="334"/>
      <c r="M1989" s="328"/>
      <c r="N1989" s="328"/>
      <c r="S1989" s="336"/>
      <c r="T1989" s="62" ph="1"/>
      <c r="V1989" s="232"/>
      <c r="W1989" s="269"/>
      <c r="X1989" s="201"/>
      <c r="Y1989" s="269"/>
      <c r="Z1989" s="269"/>
      <c r="AA1989" s="269"/>
      <c r="AB1989" s="269"/>
      <c r="AC1989" s="269"/>
      <c r="AD1989" s="269"/>
      <c r="AE1989" s="269"/>
    </row>
    <row r="1990" spans="1:31" ht="26.25">
      <c r="A1990" s="269"/>
      <c r="B1990" s="269"/>
      <c r="C1990" s="269"/>
      <c r="D1990" s="269"/>
      <c r="E1990" s="269"/>
      <c r="F1990" s="269"/>
      <c r="G1990" s="269"/>
      <c r="H1990" s="269"/>
      <c r="I1990" s="269"/>
      <c r="J1990" s="334"/>
      <c r="K1990" s="334"/>
      <c r="L1990" s="334"/>
      <c r="M1990" s="328"/>
      <c r="N1990" s="328"/>
      <c r="S1990" s="336"/>
      <c r="T1990" s="62" ph="1"/>
      <c r="V1990" s="232"/>
      <c r="W1990" s="269"/>
      <c r="X1990" s="201"/>
      <c r="Y1990" s="269"/>
      <c r="Z1990" s="269"/>
      <c r="AA1990" s="269"/>
      <c r="AB1990" s="269"/>
      <c r="AC1990" s="269"/>
      <c r="AD1990" s="269"/>
      <c r="AE1990" s="269"/>
    </row>
    <row r="1991" spans="1:31" ht="26.25">
      <c r="A1991" s="269"/>
      <c r="B1991" s="269"/>
      <c r="C1991" s="269"/>
      <c r="D1991" s="269"/>
      <c r="E1991" s="269"/>
      <c r="F1991" s="269"/>
      <c r="G1991" s="269"/>
      <c r="H1991" s="269"/>
      <c r="I1991" s="269"/>
      <c r="J1991" s="334"/>
      <c r="K1991" s="334"/>
      <c r="L1991" s="334"/>
      <c r="M1991" s="328"/>
      <c r="N1991" s="328"/>
      <c r="S1991" s="336"/>
      <c r="T1991" s="62" ph="1"/>
      <c r="V1991" s="232"/>
      <c r="W1991" s="269"/>
      <c r="X1991" s="201"/>
      <c r="Y1991" s="269"/>
      <c r="Z1991" s="269"/>
      <c r="AA1991" s="269"/>
      <c r="AB1991" s="269"/>
      <c r="AC1991" s="269"/>
      <c r="AD1991" s="269"/>
      <c r="AE1991" s="269"/>
    </row>
    <row r="1992" spans="1:31" ht="26.25">
      <c r="A1992" s="269"/>
      <c r="B1992" s="269"/>
      <c r="C1992" s="269"/>
      <c r="D1992" s="269"/>
      <c r="E1992" s="269"/>
      <c r="F1992" s="269"/>
      <c r="G1992" s="269"/>
      <c r="H1992" s="269"/>
      <c r="I1992" s="269"/>
      <c r="J1992" s="334"/>
      <c r="K1992" s="334"/>
      <c r="L1992" s="334"/>
      <c r="M1992" s="328"/>
      <c r="N1992" s="328"/>
      <c r="S1992" s="336"/>
      <c r="T1992" s="62" ph="1"/>
      <c r="V1992" s="232"/>
      <c r="W1992" s="269"/>
      <c r="X1992" s="201"/>
      <c r="Y1992" s="269"/>
      <c r="Z1992" s="269"/>
      <c r="AA1992" s="269"/>
      <c r="AB1992" s="269"/>
      <c r="AC1992" s="269"/>
      <c r="AD1992" s="269"/>
      <c r="AE1992" s="269"/>
    </row>
    <row r="1993" spans="1:31" ht="26.25">
      <c r="A1993" s="269"/>
      <c r="B1993" s="269"/>
      <c r="C1993" s="269"/>
      <c r="D1993" s="269"/>
      <c r="E1993" s="269"/>
      <c r="F1993" s="269"/>
      <c r="G1993" s="269"/>
      <c r="H1993" s="269"/>
      <c r="I1993" s="269"/>
      <c r="J1993" s="334"/>
      <c r="K1993" s="334"/>
      <c r="L1993" s="334"/>
      <c r="M1993" s="328"/>
      <c r="N1993" s="328"/>
      <c r="S1993" s="336"/>
      <c r="T1993" s="62" ph="1"/>
      <c r="V1993" s="232"/>
      <c r="W1993" s="269"/>
      <c r="X1993" s="201"/>
      <c r="Y1993" s="269"/>
      <c r="Z1993" s="269"/>
      <c r="AA1993" s="269"/>
      <c r="AB1993" s="269"/>
      <c r="AC1993" s="269"/>
      <c r="AD1993" s="269"/>
      <c r="AE1993" s="269"/>
    </row>
    <row r="1994" spans="1:31" ht="26.25">
      <c r="A1994" s="269"/>
      <c r="B1994" s="269"/>
      <c r="C1994" s="269"/>
      <c r="D1994" s="269"/>
      <c r="E1994" s="269"/>
      <c r="F1994" s="269"/>
      <c r="G1994" s="269"/>
      <c r="H1994" s="269"/>
      <c r="I1994" s="269"/>
      <c r="J1994" s="334"/>
      <c r="K1994" s="334"/>
      <c r="L1994" s="334"/>
      <c r="M1994" s="328"/>
      <c r="N1994" s="328"/>
      <c r="S1994" s="336"/>
      <c r="T1994" s="62" ph="1"/>
      <c r="V1994" s="232"/>
      <c r="W1994" s="269"/>
      <c r="X1994" s="201"/>
      <c r="Y1994" s="269"/>
      <c r="Z1994" s="269"/>
      <c r="AA1994" s="269"/>
      <c r="AB1994" s="269"/>
      <c r="AC1994" s="269"/>
      <c r="AD1994" s="269"/>
      <c r="AE1994" s="269"/>
    </row>
    <row r="1995" spans="1:31" ht="26.25">
      <c r="A1995" s="269"/>
      <c r="B1995" s="269"/>
      <c r="C1995" s="269"/>
      <c r="D1995" s="269"/>
      <c r="E1995" s="269"/>
      <c r="F1995" s="269"/>
      <c r="G1995" s="269"/>
      <c r="H1995" s="269"/>
      <c r="I1995" s="269"/>
      <c r="J1995" s="334"/>
      <c r="K1995" s="334"/>
      <c r="L1995" s="334"/>
      <c r="M1995" s="328"/>
      <c r="N1995" s="328"/>
      <c r="S1995" s="336"/>
      <c r="T1995" s="62" ph="1"/>
      <c r="V1995" s="232"/>
      <c r="W1995" s="269"/>
      <c r="X1995" s="201"/>
      <c r="Y1995" s="269"/>
      <c r="Z1995" s="269"/>
      <c r="AA1995" s="269"/>
      <c r="AB1995" s="269"/>
      <c r="AC1995" s="269"/>
      <c r="AD1995" s="269"/>
      <c r="AE1995" s="269"/>
    </row>
    <row r="1996" spans="1:31" ht="26.25">
      <c r="A1996" s="269"/>
      <c r="B1996" s="269"/>
      <c r="C1996" s="269"/>
      <c r="D1996" s="269"/>
      <c r="E1996" s="269"/>
      <c r="F1996" s="269"/>
      <c r="G1996" s="269"/>
      <c r="H1996" s="269"/>
      <c r="I1996" s="269"/>
      <c r="J1996" s="334"/>
      <c r="K1996" s="334"/>
      <c r="L1996" s="334"/>
      <c r="M1996" s="328"/>
      <c r="N1996" s="328"/>
      <c r="S1996" s="336"/>
      <c r="T1996" s="62" ph="1"/>
      <c r="V1996" s="232"/>
      <c r="W1996" s="269"/>
      <c r="X1996" s="201"/>
      <c r="Y1996" s="269"/>
      <c r="Z1996" s="269"/>
      <c r="AA1996" s="269"/>
      <c r="AB1996" s="269"/>
      <c r="AC1996" s="269"/>
      <c r="AD1996" s="269"/>
      <c r="AE1996" s="269"/>
    </row>
    <row r="1997" spans="1:31" ht="26.25">
      <c r="A1997" s="269"/>
      <c r="B1997" s="269"/>
      <c r="C1997" s="269"/>
      <c r="D1997" s="269"/>
      <c r="E1997" s="269"/>
      <c r="F1997" s="269"/>
      <c r="G1997" s="269"/>
      <c r="H1997" s="269"/>
      <c r="I1997" s="269"/>
      <c r="J1997" s="334"/>
      <c r="K1997" s="334"/>
      <c r="L1997" s="334"/>
      <c r="M1997" s="328"/>
      <c r="N1997" s="328"/>
      <c r="S1997" s="336"/>
      <c r="T1997" s="62" ph="1"/>
      <c r="V1997" s="232"/>
      <c r="W1997" s="269"/>
      <c r="X1997" s="201"/>
      <c r="Y1997" s="269"/>
      <c r="Z1997" s="269"/>
      <c r="AA1997" s="269"/>
      <c r="AB1997" s="269"/>
      <c r="AC1997" s="269"/>
      <c r="AD1997" s="269"/>
      <c r="AE1997" s="269"/>
    </row>
    <row r="1998" spans="1:31" ht="26.25">
      <c r="A1998" s="269"/>
      <c r="B1998" s="269"/>
      <c r="C1998" s="269"/>
      <c r="D1998" s="269"/>
      <c r="E1998" s="269"/>
      <c r="F1998" s="269"/>
      <c r="G1998" s="269"/>
      <c r="H1998" s="269"/>
      <c r="I1998" s="269"/>
      <c r="J1998" s="334"/>
      <c r="K1998" s="334"/>
      <c r="L1998" s="334"/>
      <c r="M1998" s="328"/>
      <c r="N1998" s="328"/>
      <c r="S1998" s="336"/>
      <c r="T1998" s="62" ph="1"/>
      <c r="V1998" s="232"/>
      <c r="W1998" s="269"/>
      <c r="X1998" s="201"/>
      <c r="Y1998" s="269"/>
      <c r="Z1998" s="269"/>
      <c r="AA1998" s="269"/>
      <c r="AB1998" s="269"/>
      <c r="AC1998" s="269"/>
      <c r="AD1998" s="269"/>
      <c r="AE1998" s="269"/>
    </row>
    <row r="1999" spans="1:31" ht="26.25">
      <c r="A1999" s="269"/>
      <c r="B1999" s="269"/>
      <c r="C1999" s="269"/>
      <c r="D1999" s="269"/>
      <c r="E1999" s="269"/>
      <c r="F1999" s="269"/>
      <c r="G1999" s="269"/>
      <c r="H1999" s="269"/>
      <c r="I1999" s="269"/>
      <c r="J1999" s="334"/>
      <c r="K1999" s="334"/>
      <c r="L1999" s="334"/>
      <c r="M1999" s="328"/>
      <c r="N1999" s="328"/>
      <c r="S1999" s="336"/>
      <c r="T1999" s="62" ph="1"/>
      <c r="V1999" s="232"/>
      <c r="W1999" s="269"/>
      <c r="X1999" s="201"/>
      <c r="Y1999" s="269"/>
      <c r="Z1999" s="269"/>
      <c r="AA1999" s="269"/>
      <c r="AB1999" s="269"/>
      <c r="AC1999" s="269"/>
      <c r="AD1999" s="269"/>
      <c r="AE1999" s="269"/>
    </row>
    <row r="2000" spans="1:31" ht="26.25">
      <c r="A2000" s="269"/>
      <c r="B2000" s="269"/>
      <c r="C2000" s="269"/>
      <c r="D2000" s="269"/>
      <c r="E2000" s="269"/>
      <c r="F2000" s="269"/>
      <c r="G2000" s="269"/>
      <c r="H2000" s="269"/>
      <c r="I2000" s="269"/>
      <c r="J2000" s="334"/>
      <c r="K2000" s="334"/>
      <c r="L2000" s="334"/>
      <c r="M2000" s="328"/>
      <c r="N2000" s="328"/>
      <c r="S2000" s="336"/>
      <c r="T2000" s="62" ph="1"/>
      <c r="V2000" s="232"/>
      <c r="W2000" s="269"/>
      <c r="X2000" s="201"/>
      <c r="Y2000" s="269"/>
      <c r="Z2000" s="269"/>
      <c r="AA2000" s="269"/>
      <c r="AB2000" s="269"/>
      <c r="AC2000" s="269"/>
      <c r="AD2000" s="269"/>
      <c r="AE2000" s="269"/>
    </row>
    <row r="2001" spans="1:31" ht="26.25">
      <c r="A2001" s="269"/>
      <c r="B2001" s="269"/>
      <c r="C2001" s="269"/>
      <c r="D2001" s="269"/>
      <c r="E2001" s="269"/>
      <c r="F2001" s="269"/>
      <c r="G2001" s="269"/>
      <c r="H2001" s="269"/>
      <c r="I2001" s="269"/>
      <c r="J2001" s="334"/>
      <c r="K2001" s="334"/>
      <c r="L2001" s="334"/>
      <c r="M2001" s="328"/>
      <c r="N2001" s="328"/>
      <c r="S2001" s="336"/>
      <c r="T2001" s="62" ph="1"/>
      <c r="V2001" s="232"/>
      <c r="W2001" s="269"/>
      <c r="X2001" s="201"/>
      <c r="Y2001" s="269"/>
      <c r="Z2001" s="269"/>
      <c r="AA2001" s="269"/>
      <c r="AB2001" s="269"/>
      <c r="AC2001" s="269"/>
      <c r="AD2001" s="269"/>
      <c r="AE2001" s="269"/>
    </row>
    <row r="2002" spans="1:31" ht="26.25">
      <c r="A2002" s="269"/>
      <c r="B2002" s="269"/>
      <c r="C2002" s="269"/>
      <c r="D2002" s="269"/>
      <c r="E2002" s="269"/>
      <c r="F2002" s="269"/>
      <c r="G2002" s="269"/>
      <c r="H2002" s="269"/>
      <c r="I2002" s="269"/>
      <c r="J2002" s="334"/>
      <c r="K2002" s="334"/>
      <c r="L2002" s="334"/>
      <c r="M2002" s="328"/>
      <c r="N2002" s="328"/>
      <c r="S2002" s="336"/>
      <c r="T2002" s="62" ph="1"/>
      <c r="V2002" s="232"/>
      <c r="W2002" s="269"/>
      <c r="X2002" s="201"/>
      <c r="Y2002" s="269"/>
      <c r="Z2002" s="269"/>
      <c r="AA2002" s="269"/>
      <c r="AB2002" s="269"/>
      <c r="AC2002" s="269"/>
      <c r="AD2002" s="269"/>
      <c r="AE2002" s="269"/>
    </row>
    <row r="2003" spans="1:31" ht="26.25">
      <c r="A2003" s="269"/>
      <c r="B2003" s="269"/>
      <c r="C2003" s="269"/>
      <c r="D2003" s="269"/>
      <c r="E2003" s="269"/>
      <c r="F2003" s="269"/>
      <c r="G2003" s="269"/>
      <c r="H2003" s="269"/>
      <c r="I2003" s="269"/>
      <c r="J2003" s="334"/>
      <c r="K2003" s="334"/>
      <c r="L2003" s="334"/>
      <c r="M2003" s="328"/>
      <c r="N2003" s="328"/>
      <c r="S2003" s="336"/>
      <c r="T2003" s="62" ph="1"/>
      <c r="V2003" s="232"/>
      <c r="W2003" s="269"/>
      <c r="X2003" s="201"/>
      <c r="Y2003" s="269"/>
      <c r="Z2003" s="269"/>
      <c r="AA2003" s="269"/>
      <c r="AB2003" s="269"/>
      <c r="AC2003" s="269"/>
      <c r="AD2003" s="269"/>
      <c r="AE2003" s="269"/>
    </row>
    <row r="2004" spans="1:31" ht="26.25">
      <c r="A2004" s="269"/>
      <c r="B2004" s="269"/>
      <c r="C2004" s="269"/>
      <c r="D2004" s="269"/>
      <c r="E2004" s="269"/>
      <c r="F2004" s="269"/>
      <c r="G2004" s="269"/>
      <c r="H2004" s="269"/>
      <c r="I2004" s="269"/>
      <c r="J2004" s="334"/>
      <c r="K2004" s="334"/>
      <c r="L2004" s="334"/>
      <c r="M2004" s="328"/>
      <c r="N2004" s="328"/>
      <c r="S2004" s="336"/>
      <c r="T2004" s="62" ph="1"/>
      <c r="V2004" s="232"/>
      <c r="W2004" s="269"/>
      <c r="X2004" s="201"/>
      <c r="Y2004" s="269"/>
      <c r="Z2004" s="269"/>
      <c r="AA2004" s="269"/>
      <c r="AB2004" s="269"/>
      <c r="AC2004" s="269"/>
      <c r="AD2004" s="269"/>
      <c r="AE2004" s="269"/>
    </row>
    <row r="2005" spans="1:31" ht="26.25">
      <c r="A2005" s="269"/>
      <c r="B2005" s="269"/>
      <c r="C2005" s="269"/>
      <c r="D2005" s="269"/>
      <c r="E2005" s="269"/>
      <c r="F2005" s="269"/>
      <c r="G2005" s="269"/>
      <c r="H2005" s="269"/>
      <c r="I2005" s="269"/>
      <c r="J2005" s="334"/>
      <c r="K2005" s="334"/>
      <c r="L2005" s="334"/>
      <c r="M2005" s="328"/>
      <c r="N2005" s="328"/>
      <c r="S2005" s="336"/>
      <c r="T2005" s="62" ph="1"/>
      <c r="V2005" s="232"/>
      <c r="W2005" s="269"/>
      <c r="X2005" s="201"/>
      <c r="Y2005" s="269"/>
      <c r="Z2005" s="269"/>
      <c r="AA2005" s="269"/>
      <c r="AB2005" s="269"/>
      <c r="AC2005" s="269"/>
      <c r="AD2005" s="269"/>
      <c r="AE2005" s="269"/>
    </row>
    <row r="2006" spans="1:31" ht="26.25">
      <c r="A2006" s="269"/>
      <c r="B2006" s="269"/>
      <c r="C2006" s="269"/>
      <c r="D2006" s="269"/>
      <c r="E2006" s="269"/>
      <c r="F2006" s="269"/>
      <c r="G2006" s="269"/>
      <c r="H2006" s="269"/>
      <c r="I2006" s="269"/>
      <c r="J2006" s="334"/>
      <c r="K2006" s="334"/>
      <c r="L2006" s="334"/>
      <c r="M2006" s="328"/>
      <c r="N2006" s="328"/>
      <c r="S2006" s="336"/>
      <c r="T2006" s="62" ph="1"/>
      <c r="V2006" s="232"/>
      <c r="W2006" s="269"/>
      <c r="X2006" s="201"/>
      <c r="Y2006" s="269"/>
      <c r="Z2006" s="269"/>
      <c r="AA2006" s="269"/>
      <c r="AB2006" s="269"/>
      <c r="AC2006" s="269"/>
      <c r="AD2006" s="269"/>
      <c r="AE2006" s="269"/>
    </row>
    <row r="2007" spans="1:31" ht="26.25">
      <c r="A2007" s="269"/>
      <c r="B2007" s="269"/>
      <c r="C2007" s="269"/>
      <c r="D2007" s="269"/>
      <c r="E2007" s="269"/>
      <c r="F2007" s="269"/>
      <c r="G2007" s="269"/>
      <c r="H2007" s="269"/>
      <c r="I2007" s="269"/>
      <c r="J2007" s="334"/>
      <c r="K2007" s="334"/>
      <c r="L2007" s="334"/>
      <c r="M2007" s="328"/>
      <c r="N2007" s="328"/>
      <c r="S2007" s="336"/>
      <c r="T2007" s="62" ph="1"/>
      <c r="V2007" s="232"/>
      <c r="W2007" s="269"/>
      <c r="X2007" s="201"/>
      <c r="Y2007" s="269"/>
      <c r="Z2007" s="269"/>
      <c r="AA2007" s="269"/>
      <c r="AB2007" s="269"/>
      <c r="AC2007" s="269"/>
      <c r="AD2007" s="269"/>
      <c r="AE2007" s="269"/>
    </row>
    <row r="2008" spans="1:31" ht="26.25">
      <c r="A2008" s="269"/>
      <c r="B2008" s="269"/>
      <c r="C2008" s="269"/>
      <c r="D2008" s="269"/>
      <c r="E2008" s="269"/>
      <c r="F2008" s="269"/>
      <c r="G2008" s="269"/>
      <c r="H2008" s="269"/>
      <c r="I2008" s="269"/>
      <c r="J2008" s="334"/>
      <c r="K2008" s="334"/>
      <c r="L2008" s="334"/>
      <c r="M2008" s="328"/>
      <c r="N2008" s="328"/>
      <c r="S2008" s="336"/>
      <c r="T2008" s="62" ph="1"/>
      <c r="V2008" s="232"/>
      <c r="W2008" s="269"/>
      <c r="X2008" s="201"/>
      <c r="Y2008" s="269"/>
      <c r="Z2008" s="269"/>
      <c r="AA2008" s="269"/>
      <c r="AB2008" s="269"/>
      <c r="AC2008" s="269"/>
      <c r="AD2008" s="269"/>
      <c r="AE2008" s="269"/>
    </row>
    <row r="2009" spans="1:31" ht="26.25">
      <c r="A2009" s="269"/>
      <c r="B2009" s="269"/>
      <c r="C2009" s="269"/>
      <c r="D2009" s="269"/>
      <c r="E2009" s="269"/>
      <c r="F2009" s="269"/>
      <c r="G2009" s="269"/>
      <c r="H2009" s="269"/>
      <c r="I2009" s="269"/>
      <c r="J2009" s="334"/>
      <c r="K2009" s="334"/>
      <c r="L2009" s="334"/>
      <c r="M2009" s="328"/>
      <c r="N2009" s="328"/>
      <c r="S2009" s="336"/>
      <c r="T2009" s="62" ph="1"/>
      <c r="V2009" s="232"/>
      <c r="W2009" s="269"/>
      <c r="X2009" s="201"/>
      <c r="Y2009" s="269"/>
      <c r="Z2009" s="269"/>
      <c r="AA2009" s="269"/>
      <c r="AB2009" s="269"/>
      <c r="AC2009" s="269"/>
      <c r="AD2009" s="269"/>
      <c r="AE2009" s="269"/>
    </row>
    <row r="2010" spans="1:31" ht="26.25">
      <c r="A2010" s="269"/>
      <c r="B2010" s="269"/>
      <c r="C2010" s="269"/>
      <c r="D2010" s="269"/>
      <c r="E2010" s="269"/>
      <c r="F2010" s="269"/>
      <c r="G2010" s="269"/>
      <c r="H2010" s="269"/>
      <c r="I2010" s="269"/>
      <c r="J2010" s="334"/>
      <c r="K2010" s="334"/>
      <c r="L2010" s="334"/>
      <c r="M2010" s="328"/>
      <c r="N2010" s="328"/>
      <c r="S2010" s="336"/>
      <c r="T2010" s="62" ph="1"/>
      <c r="V2010" s="232"/>
      <c r="W2010" s="269"/>
      <c r="X2010" s="201"/>
      <c r="Y2010" s="269"/>
      <c r="Z2010" s="269"/>
      <c r="AA2010" s="269"/>
      <c r="AB2010" s="269"/>
      <c r="AC2010" s="269"/>
      <c r="AD2010" s="269"/>
      <c r="AE2010" s="269"/>
    </row>
    <row r="2011" spans="1:31" ht="26.25">
      <c r="A2011" s="269"/>
      <c r="B2011" s="269"/>
      <c r="C2011" s="269"/>
      <c r="D2011" s="269"/>
      <c r="E2011" s="269"/>
      <c r="F2011" s="269"/>
      <c r="G2011" s="269"/>
      <c r="H2011" s="269"/>
      <c r="I2011" s="269"/>
      <c r="J2011" s="334"/>
      <c r="K2011" s="334"/>
      <c r="L2011" s="334"/>
      <c r="M2011" s="328"/>
      <c r="N2011" s="328"/>
      <c r="S2011" s="336"/>
      <c r="T2011" s="62" ph="1"/>
      <c r="V2011" s="232"/>
      <c r="W2011" s="269"/>
      <c r="X2011" s="201"/>
      <c r="Y2011" s="269"/>
      <c r="Z2011" s="269"/>
      <c r="AA2011" s="269"/>
      <c r="AB2011" s="269"/>
      <c r="AC2011" s="269"/>
      <c r="AD2011" s="269"/>
      <c r="AE2011" s="269"/>
    </row>
    <row r="2012" spans="1:31" ht="26.25">
      <c r="A2012" s="269"/>
      <c r="B2012" s="269"/>
      <c r="C2012" s="269"/>
      <c r="D2012" s="269"/>
      <c r="E2012" s="269"/>
      <c r="F2012" s="269"/>
      <c r="G2012" s="269"/>
      <c r="H2012" s="269"/>
      <c r="I2012" s="269"/>
      <c r="J2012" s="334"/>
      <c r="K2012" s="334"/>
      <c r="L2012" s="334"/>
      <c r="M2012" s="328"/>
      <c r="N2012" s="328"/>
      <c r="S2012" s="336"/>
      <c r="T2012" s="62" ph="1"/>
      <c r="V2012" s="232"/>
      <c r="W2012" s="269"/>
      <c r="X2012" s="201"/>
      <c r="Y2012" s="269"/>
      <c r="Z2012" s="269"/>
      <c r="AA2012" s="269"/>
      <c r="AB2012" s="269"/>
      <c r="AC2012" s="269"/>
      <c r="AD2012" s="269"/>
      <c r="AE2012" s="269"/>
    </row>
    <row r="2013" spans="1:31" ht="26.25">
      <c r="A2013" s="269"/>
      <c r="B2013" s="269"/>
      <c r="C2013" s="269"/>
      <c r="D2013" s="269"/>
      <c r="E2013" s="269"/>
      <c r="F2013" s="269"/>
      <c r="G2013" s="269"/>
      <c r="H2013" s="269"/>
      <c r="I2013" s="269"/>
      <c r="J2013" s="334"/>
      <c r="K2013" s="334"/>
      <c r="L2013" s="334"/>
      <c r="M2013" s="328"/>
      <c r="N2013" s="328"/>
      <c r="S2013" s="336"/>
      <c r="T2013" s="62" ph="1"/>
      <c r="V2013" s="232"/>
      <c r="W2013" s="269"/>
      <c r="X2013" s="201"/>
      <c r="Y2013" s="269"/>
      <c r="Z2013" s="269"/>
      <c r="AA2013" s="269"/>
      <c r="AB2013" s="269"/>
      <c r="AC2013" s="269"/>
      <c r="AD2013" s="269"/>
      <c r="AE2013" s="269"/>
    </row>
    <row r="2014" spans="1:31" ht="26.25">
      <c r="A2014" s="269"/>
      <c r="B2014" s="269"/>
      <c r="C2014" s="269"/>
      <c r="D2014" s="269"/>
      <c r="E2014" s="269"/>
      <c r="F2014" s="269"/>
      <c r="G2014" s="269"/>
      <c r="H2014" s="269"/>
      <c r="I2014" s="269"/>
      <c r="J2014" s="334"/>
      <c r="K2014" s="334"/>
      <c r="L2014" s="334"/>
      <c r="M2014" s="328"/>
      <c r="N2014" s="328"/>
      <c r="S2014" s="336"/>
      <c r="T2014" s="62" ph="1"/>
      <c r="V2014" s="232"/>
      <c r="W2014" s="269"/>
      <c r="X2014" s="201"/>
      <c r="Y2014" s="269"/>
      <c r="Z2014" s="269"/>
      <c r="AA2014" s="269"/>
      <c r="AB2014" s="269"/>
      <c r="AC2014" s="269"/>
      <c r="AD2014" s="269"/>
      <c r="AE2014" s="269"/>
    </row>
    <row r="2015" spans="1:31" ht="26.25">
      <c r="A2015" s="269"/>
      <c r="B2015" s="269"/>
      <c r="C2015" s="269"/>
      <c r="D2015" s="269"/>
      <c r="E2015" s="269"/>
      <c r="F2015" s="269"/>
      <c r="G2015" s="269"/>
      <c r="H2015" s="269"/>
      <c r="I2015" s="269"/>
      <c r="J2015" s="334"/>
      <c r="K2015" s="334"/>
      <c r="L2015" s="334"/>
      <c r="M2015" s="328"/>
      <c r="N2015" s="328"/>
      <c r="S2015" s="336"/>
      <c r="T2015" s="62" ph="1"/>
      <c r="V2015" s="232"/>
      <c r="W2015" s="269"/>
      <c r="X2015" s="201"/>
      <c r="Y2015" s="269"/>
      <c r="Z2015" s="269"/>
      <c r="AA2015" s="269"/>
      <c r="AB2015" s="269"/>
      <c r="AC2015" s="269"/>
      <c r="AD2015" s="269"/>
      <c r="AE2015" s="269"/>
    </row>
    <row r="2016" spans="1:31" ht="26.25">
      <c r="A2016" s="269"/>
      <c r="B2016" s="269"/>
      <c r="C2016" s="269"/>
      <c r="D2016" s="269"/>
      <c r="E2016" s="269"/>
      <c r="F2016" s="269"/>
      <c r="G2016" s="269"/>
      <c r="H2016" s="269"/>
      <c r="I2016" s="269"/>
      <c r="J2016" s="334"/>
      <c r="K2016" s="334"/>
      <c r="L2016" s="334"/>
      <c r="M2016" s="328"/>
      <c r="N2016" s="328"/>
      <c r="S2016" s="336"/>
      <c r="T2016" s="62" ph="1"/>
      <c r="V2016" s="232"/>
      <c r="W2016" s="269"/>
      <c r="X2016" s="201"/>
      <c r="Y2016" s="269"/>
      <c r="Z2016" s="269"/>
      <c r="AA2016" s="269"/>
      <c r="AB2016" s="269"/>
      <c r="AC2016" s="269"/>
      <c r="AD2016" s="269"/>
      <c r="AE2016" s="269"/>
    </row>
    <row r="2017" spans="1:31" ht="26.25">
      <c r="A2017" s="269"/>
      <c r="B2017" s="269"/>
      <c r="C2017" s="269"/>
      <c r="D2017" s="269"/>
      <c r="E2017" s="269"/>
      <c r="F2017" s="269"/>
      <c r="G2017" s="269"/>
      <c r="H2017" s="269"/>
      <c r="I2017" s="269"/>
      <c r="J2017" s="334"/>
      <c r="K2017" s="334"/>
      <c r="L2017" s="334"/>
      <c r="M2017" s="328"/>
      <c r="N2017" s="328"/>
      <c r="S2017" s="336"/>
      <c r="T2017" s="62" ph="1"/>
      <c r="V2017" s="232"/>
      <c r="W2017" s="269"/>
      <c r="X2017" s="201"/>
      <c r="Y2017" s="269"/>
      <c r="Z2017" s="269"/>
      <c r="AA2017" s="269"/>
      <c r="AB2017" s="269"/>
      <c r="AC2017" s="269"/>
      <c r="AD2017" s="269"/>
      <c r="AE2017" s="269"/>
    </row>
    <row r="2018" spans="1:31" ht="26.25">
      <c r="A2018" s="269"/>
      <c r="B2018" s="269"/>
      <c r="C2018" s="269"/>
      <c r="D2018" s="269"/>
      <c r="E2018" s="269"/>
      <c r="F2018" s="269"/>
      <c r="G2018" s="269"/>
      <c r="H2018" s="269"/>
      <c r="I2018" s="269"/>
      <c r="J2018" s="334"/>
      <c r="K2018" s="334"/>
      <c r="L2018" s="334"/>
      <c r="M2018" s="328"/>
      <c r="N2018" s="328"/>
      <c r="S2018" s="336"/>
      <c r="T2018" s="62" ph="1"/>
      <c r="V2018" s="232"/>
      <c r="W2018" s="269"/>
      <c r="X2018" s="201"/>
      <c r="Y2018" s="269"/>
      <c r="Z2018" s="269"/>
      <c r="AA2018" s="269"/>
      <c r="AB2018" s="269"/>
      <c r="AC2018" s="269"/>
      <c r="AD2018" s="269"/>
      <c r="AE2018" s="269"/>
    </row>
    <row r="2019" spans="1:31" ht="26.25">
      <c r="A2019" s="269"/>
      <c r="B2019" s="269"/>
      <c r="C2019" s="269"/>
      <c r="D2019" s="269"/>
      <c r="E2019" s="269"/>
      <c r="F2019" s="269"/>
      <c r="G2019" s="269"/>
      <c r="H2019" s="269"/>
      <c r="I2019" s="269"/>
      <c r="J2019" s="334"/>
      <c r="K2019" s="334"/>
      <c r="L2019" s="334"/>
      <c r="M2019" s="328"/>
      <c r="N2019" s="328"/>
      <c r="S2019" s="336"/>
      <c r="T2019" s="62" ph="1"/>
      <c r="V2019" s="232"/>
      <c r="W2019" s="269"/>
      <c r="X2019" s="201"/>
      <c r="Y2019" s="269"/>
      <c r="Z2019" s="269"/>
      <c r="AA2019" s="269"/>
      <c r="AB2019" s="269"/>
      <c r="AC2019" s="269"/>
      <c r="AD2019" s="269"/>
      <c r="AE2019" s="269"/>
    </row>
    <row r="2020" spans="1:31" ht="26.25">
      <c r="A2020" s="269"/>
      <c r="B2020" s="269"/>
      <c r="C2020" s="269"/>
      <c r="D2020" s="269"/>
      <c r="E2020" s="269"/>
      <c r="F2020" s="269"/>
      <c r="G2020" s="269"/>
      <c r="H2020" s="269"/>
      <c r="I2020" s="269"/>
      <c r="J2020" s="334"/>
      <c r="K2020" s="334"/>
      <c r="L2020" s="334"/>
      <c r="M2020" s="328"/>
      <c r="N2020" s="328"/>
      <c r="S2020" s="336"/>
      <c r="T2020" s="62" ph="1"/>
      <c r="V2020" s="232"/>
      <c r="W2020" s="269"/>
      <c r="X2020" s="201"/>
      <c r="Y2020" s="269"/>
      <c r="Z2020" s="269"/>
      <c r="AA2020" s="269"/>
      <c r="AB2020" s="269"/>
      <c r="AC2020" s="269"/>
      <c r="AD2020" s="269"/>
      <c r="AE2020" s="269"/>
    </row>
    <row r="2021" spans="1:31" ht="26.25">
      <c r="A2021" s="269"/>
      <c r="B2021" s="269"/>
      <c r="C2021" s="269"/>
      <c r="D2021" s="269"/>
      <c r="E2021" s="269"/>
      <c r="F2021" s="269"/>
      <c r="G2021" s="269"/>
      <c r="H2021" s="269"/>
      <c r="I2021" s="269"/>
      <c r="J2021" s="334"/>
      <c r="K2021" s="334"/>
      <c r="L2021" s="334"/>
      <c r="M2021" s="328"/>
      <c r="N2021" s="328"/>
      <c r="S2021" s="336"/>
      <c r="T2021" s="62" ph="1"/>
      <c r="V2021" s="232"/>
      <c r="W2021" s="269"/>
      <c r="X2021" s="201"/>
      <c r="Y2021" s="269"/>
      <c r="Z2021" s="269"/>
      <c r="AA2021" s="269"/>
      <c r="AB2021" s="269"/>
      <c r="AC2021" s="269"/>
      <c r="AD2021" s="269"/>
      <c r="AE2021" s="269"/>
    </row>
    <row r="2022" spans="1:31" ht="26.25">
      <c r="A2022" s="269"/>
      <c r="B2022" s="269"/>
      <c r="C2022" s="269"/>
      <c r="D2022" s="269"/>
      <c r="E2022" s="269"/>
      <c r="F2022" s="269"/>
      <c r="G2022" s="269"/>
      <c r="H2022" s="269"/>
      <c r="I2022" s="269"/>
      <c r="J2022" s="334"/>
      <c r="K2022" s="334"/>
      <c r="L2022" s="334"/>
      <c r="M2022" s="328"/>
      <c r="N2022" s="328"/>
      <c r="S2022" s="336"/>
      <c r="T2022" s="62" ph="1"/>
      <c r="V2022" s="232"/>
      <c r="W2022" s="269"/>
      <c r="X2022" s="201"/>
      <c r="Y2022" s="269"/>
      <c r="Z2022" s="269"/>
      <c r="AA2022" s="269"/>
      <c r="AB2022" s="269"/>
      <c r="AC2022" s="269"/>
      <c r="AD2022" s="269"/>
      <c r="AE2022" s="269"/>
    </row>
    <row r="2023" spans="1:31" ht="26.25">
      <c r="A2023" s="269"/>
      <c r="B2023" s="269"/>
      <c r="C2023" s="269"/>
      <c r="D2023" s="269"/>
      <c r="E2023" s="269"/>
      <c r="F2023" s="269"/>
      <c r="G2023" s="269"/>
      <c r="H2023" s="269"/>
      <c r="I2023" s="269"/>
      <c r="J2023" s="334"/>
      <c r="K2023" s="334"/>
      <c r="L2023" s="334"/>
      <c r="M2023" s="328"/>
      <c r="N2023" s="328"/>
      <c r="S2023" s="336"/>
      <c r="T2023" s="62" ph="1"/>
      <c r="V2023" s="232"/>
      <c r="W2023" s="269"/>
      <c r="X2023" s="201"/>
      <c r="Y2023" s="269"/>
      <c r="Z2023" s="269"/>
      <c r="AA2023" s="269"/>
      <c r="AB2023" s="269"/>
      <c r="AC2023" s="269"/>
      <c r="AD2023" s="269"/>
      <c r="AE2023" s="269"/>
    </row>
    <row r="2024" spans="1:31" ht="26.25">
      <c r="A2024" s="269"/>
      <c r="B2024" s="269"/>
      <c r="C2024" s="269"/>
      <c r="D2024" s="269"/>
      <c r="E2024" s="269"/>
      <c r="F2024" s="269"/>
      <c r="G2024" s="269"/>
      <c r="H2024" s="269"/>
      <c r="I2024" s="269"/>
      <c r="J2024" s="334"/>
      <c r="K2024" s="334"/>
      <c r="L2024" s="334"/>
      <c r="M2024" s="328"/>
      <c r="N2024" s="328"/>
      <c r="S2024" s="336"/>
      <c r="T2024" s="62" ph="1"/>
      <c r="V2024" s="232"/>
      <c r="W2024" s="269"/>
      <c r="X2024" s="201"/>
      <c r="Y2024" s="269"/>
      <c r="Z2024" s="269"/>
      <c r="AA2024" s="269"/>
      <c r="AB2024" s="269"/>
      <c r="AC2024" s="269"/>
      <c r="AD2024" s="269"/>
      <c r="AE2024" s="269"/>
    </row>
    <row r="2025" spans="1:31" ht="26.25">
      <c r="A2025" s="269"/>
      <c r="B2025" s="269"/>
      <c r="C2025" s="269"/>
      <c r="D2025" s="269"/>
      <c r="E2025" s="269"/>
      <c r="F2025" s="269"/>
      <c r="G2025" s="269"/>
      <c r="H2025" s="269"/>
      <c r="I2025" s="269"/>
      <c r="J2025" s="334"/>
      <c r="K2025" s="334"/>
      <c r="L2025" s="334"/>
      <c r="M2025" s="328"/>
      <c r="N2025" s="328"/>
      <c r="S2025" s="336"/>
      <c r="T2025" s="62" ph="1"/>
      <c r="V2025" s="232"/>
      <c r="W2025" s="269"/>
      <c r="X2025" s="201"/>
      <c r="Y2025" s="269"/>
      <c r="Z2025" s="269"/>
      <c r="AA2025" s="269"/>
      <c r="AB2025" s="269"/>
      <c r="AC2025" s="269"/>
      <c r="AD2025" s="269"/>
      <c r="AE2025" s="269"/>
    </row>
    <row r="2026" spans="1:31" ht="26.25">
      <c r="A2026" s="269"/>
      <c r="B2026" s="269"/>
      <c r="C2026" s="269"/>
      <c r="D2026" s="269"/>
      <c r="E2026" s="269"/>
      <c r="F2026" s="269"/>
      <c r="G2026" s="269"/>
      <c r="H2026" s="269"/>
      <c r="I2026" s="269"/>
      <c r="J2026" s="334"/>
      <c r="K2026" s="334"/>
      <c r="L2026" s="334"/>
      <c r="M2026" s="328"/>
      <c r="N2026" s="328"/>
      <c r="S2026" s="336"/>
      <c r="T2026" s="62" ph="1"/>
      <c r="V2026" s="232"/>
      <c r="W2026" s="269"/>
      <c r="X2026" s="201"/>
      <c r="Y2026" s="269"/>
      <c r="Z2026" s="269"/>
      <c r="AA2026" s="269"/>
      <c r="AB2026" s="269"/>
      <c r="AC2026" s="269"/>
      <c r="AD2026" s="269"/>
      <c r="AE2026" s="269"/>
    </row>
    <row r="2027" spans="1:31" ht="26.25">
      <c r="A2027" s="269"/>
      <c r="B2027" s="269"/>
      <c r="C2027" s="269"/>
      <c r="D2027" s="269"/>
      <c r="E2027" s="269"/>
      <c r="F2027" s="269"/>
      <c r="G2027" s="269"/>
      <c r="H2027" s="269"/>
      <c r="I2027" s="269"/>
      <c r="J2027" s="334"/>
      <c r="K2027" s="334"/>
      <c r="L2027" s="334"/>
      <c r="M2027" s="328"/>
      <c r="N2027" s="328"/>
      <c r="S2027" s="336"/>
      <c r="T2027" s="62" ph="1"/>
      <c r="V2027" s="232"/>
      <c r="W2027" s="269"/>
      <c r="X2027" s="201"/>
      <c r="Y2027" s="269"/>
      <c r="Z2027" s="269"/>
      <c r="AA2027" s="269"/>
      <c r="AB2027" s="269"/>
      <c r="AC2027" s="269"/>
      <c r="AD2027" s="269"/>
      <c r="AE2027" s="269"/>
    </row>
    <row r="2028" spans="1:31" ht="26.25">
      <c r="A2028" s="269"/>
      <c r="B2028" s="269"/>
      <c r="C2028" s="269"/>
      <c r="D2028" s="269"/>
      <c r="E2028" s="269"/>
      <c r="F2028" s="269"/>
      <c r="G2028" s="269"/>
      <c r="H2028" s="269"/>
      <c r="I2028" s="269"/>
      <c r="J2028" s="334"/>
      <c r="K2028" s="334"/>
      <c r="L2028" s="334"/>
      <c r="M2028" s="328"/>
      <c r="N2028" s="328"/>
      <c r="S2028" s="336"/>
      <c r="T2028" s="62" ph="1"/>
      <c r="V2028" s="232"/>
      <c r="W2028" s="269"/>
      <c r="X2028" s="201"/>
      <c r="Y2028" s="269"/>
      <c r="Z2028" s="269"/>
      <c r="AA2028" s="269"/>
      <c r="AB2028" s="269"/>
      <c r="AC2028" s="269"/>
      <c r="AD2028" s="269"/>
      <c r="AE2028" s="269"/>
    </row>
    <row r="2029" spans="1:31" ht="26.25">
      <c r="A2029" s="269"/>
      <c r="B2029" s="269"/>
      <c r="C2029" s="269"/>
      <c r="D2029" s="269"/>
      <c r="E2029" s="269"/>
      <c r="F2029" s="269"/>
      <c r="G2029" s="269"/>
      <c r="H2029" s="269"/>
      <c r="I2029" s="269"/>
      <c r="J2029" s="334"/>
      <c r="K2029" s="334"/>
      <c r="L2029" s="334"/>
      <c r="M2029" s="328"/>
      <c r="N2029" s="328"/>
      <c r="S2029" s="336"/>
      <c r="T2029" s="62" ph="1"/>
      <c r="V2029" s="232"/>
      <c r="W2029" s="269"/>
      <c r="X2029" s="201"/>
      <c r="Y2029" s="269"/>
      <c r="Z2029" s="269"/>
      <c r="AA2029" s="269"/>
      <c r="AB2029" s="269"/>
      <c r="AC2029" s="269"/>
      <c r="AD2029" s="269"/>
      <c r="AE2029" s="269"/>
    </row>
    <row r="2030" spans="1:31" ht="26.25">
      <c r="A2030" s="269"/>
      <c r="B2030" s="269"/>
      <c r="C2030" s="269"/>
      <c r="D2030" s="269"/>
      <c r="E2030" s="269"/>
      <c r="F2030" s="269"/>
      <c r="G2030" s="269"/>
      <c r="H2030" s="269"/>
      <c r="I2030" s="269"/>
      <c r="J2030" s="334"/>
      <c r="K2030" s="334"/>
      <c r="L2030" s="334"/>
      <c r="M2030" s="328"/>
      <c r="N2030" s="328"/>
      <c r="S2030" s="336"/>
      <c r="T2030" s="62" ph="1"/>
      <c r="V2030" s="232"/>
      <c r="W2030" s="269"/>
      <c r="X2030" s="201"/>
      <c r="Y2030" s="269"/>
      <c r="Z2030" s="269"/>
      <c r="AA2030" s="269"/>
      <c r="AB2030" s="269"/>
      <c r="AC2030" s="269"/>
      <c r="AD2030" s="269"/>
      <c r="AE2030" s="269"/>
    </row>
    <row r="2031" spans="1:31" ht="26.25">
      <c r="A2031" s="269"/>
      <c r="B2031" s="269"/>
      <c r="C2031" s="269"/>
      <c r="D2031" s="269"/>
      <c r="E2031" s="269"/>
      <c r="F2031" s="269"/>
      <c r="G2031" s="269"/>
      <c r="H2031" s="269"/>
      <c r="I2031" s="269"/>
      <c r="J2031" s="334"/>
      <c r="K2031" s="334"/>
      <c r="L2031" s="334"/>
      <c r="M2031" s="328"/>
      <c r="N2031" s="328"/>
      <c r="S2031" s="336"/>
      <c r="T2031" s="62" ph="1"/>
      <c r="V2031" s="232"/>
      <c r="W2031" s="269"/>
      <c r="X2031" s="201"/>
      <c r="Y2031" s="269"/>
      <c r="Z2031" s="269"/>
      <c r="AA2031" s="269"/>
      <c r="AB2031" s="269"/>
      <c r="AC2031" s="269"/>
      <c r="AD2031" s="269"/>
      <c r="AE2031" s="269"/>
    </row>
    <row r="2032" spans="1:31" ht="26.25">
      <c r="A2032" s="269"/>
      <c r="B2032" s="269"/>
      <c r="C2032" s="269"/>
      <c r="D2032" s="269"/>
      <c r="E2032" s="269"/>
      <c r="F2032" s="269"/>
      <c r="G2032" s="269"/>
      <c r="H2032" s="269"/>
      <c r="I2032" s="269"/>
      <c r="J2032" s="334"/>
      <c r="K2032" s="334"/>
      <c r="L2032" s="334"/>
      <c r="M2032" s="328"/>
      <c r="N2032" s="328"/>
      <c r="S2032" s="336"/>
      <c r="T2032" s="62" ph="1"/>
      <c r="V2032" s="232"/>
      <c r="W2032" s="269"/>
      <c r="X2032" s="201"/>
      <c r="Y2032" s="269"/>
      <c r="Z2032" s="269"/>
      <c r="AA2032" s="269"/>
      <c r="AB2032" s="269"/>
      <c r="AC2032" s="269"/>
      <c r="AD2032" s="269"/>
      <c r="AE2032" s="269"/>
    </row>
    <row r="2033" spans="1:31" ht="26.25">
      <c r="A2033" s="269"/>
      <c r="B2033" s="269"/>
      <c r="C2033" s="269"/>
      <c r="D2033" s="269"/>
      <c r="E2033" s="269"/>
      <c r="F2033" s="269"/>
      <c r="G2033" s="269"/>
      <c r="H2033" s="269"/>
      <c r="I2033" s="269"/>
      <c r="J2033" s="334"/>
      <c r="K2033" s="334"/>
      <c r="L2033" s="334"/>
      <c r="M2033" s="328"/>
      <c r="N2033" s="328"/>
      <c r="S2033" s="336"/>
      <c r="T2033" s="62" ph="1"/>
      <c r="V2033" s="232"/>
      <c r="W2033" s="269"/>
      <c r="X2033" s="201"/>
      <c r="Y2033" s="269"/>
      <c r="Z2033" s="269"/>
      <c r="AA2033" s="269"/>
      <c r="AB2033" s="269"/>
      <c r="AC2033" s="269"/>
      <c r="AD2033" s="269"/>
      <c r="AE2033" s="269"/>
    </row>
    <row r="2034" spans="1:31" ht="26.25">
      <c r="A2034" s="269"/>
      <c r="B2034" s="269"/>
      <c r="C2034" s="269"/>
      <c r="D2034" s="269"/>
      <c r="E2034" s="269"/>
      <c r="F2034" s="269"/>
      <c r="G2034" s="269"/>
      <c r="H2034" s="269"/>
      <c r="I2034" s="269"/>
      <c r="J2034" s="334"/>
      <c r="K2034" s="334"/>
      <c r="L2034" s="334"/>
      <c r="M2034" s="328"/>
      <c r="N2034" s="328"/>
      <c r="S2034" s="336"/>
      <c r="T2034" s="62" ph="1"/>
      <c r="V2034" s="232"/>
      <c r="W2034" s="269"/>
      <c r="X2034" s="201"/>
      <c r="Y2034" s="269"/>
      <c r="Z2034" s="269"/>
      <c r="AA2034" s="269"/>
      <c r="AB2034" s="269"/>
      <c r="AC2034" s="269"/>
      <c r="AD2034" s="269"/>
      <c r="AE2034" s="269"/>
    </row>
    <row r="2035" spans="1:31" ht="26.25">
      <c r="A2035" s="269"/>
      <c r="B2035" s="269"/>
      <c r="C2035" s="269"/>
      <c r="D2035" s="269"/>
      <c r="E2035" s="269"/>
      <c r="F2035" s="269"/>
      <c r="G2035" s="269"/>
      <c r="H2035" s="269"/>
      <c r="I2035" s="269"/>
      <c r="J2035" s="334"/>
      <c r="K2035" s="334"/>
      <c r="L2035" s="334"/>
      <c r="M2035" s="328"/>
      <c r="N2035" s="328"/>
      <c r="S2035" s="336"/>
      <c r="T2035" s="62" ph="1"/>
      <c r="V2035" s="232"/>
      <c r="W2035" s="269"/>
      <c r="X2035" s="201"/>
      <c r="Y2035" s="269"/>
      <c r="Z2035" s="269"/>
      <c r="AA2035" s="269"/>
      <c r="AB2035" s="269"/>
      <c r="AC2035" s="269"/>
      <c r="AD2035" s="269"/>
      <c r="AE2035" s="269"/>
    </row>
    <row r="2036" spans="1:31" ht="26.25">
      <c r="A2036" s="269"/>
      <c r="B2036" s="269"/>
      <c r="C2036" s="269"/>
      <c r="D2036" s="269"/>
      <c r="E2036" s="269"/>
      <c r="F2036" s="269"/>
      <c r="G2036" s="269"/>
      <c r="H2036" s="269"/>
      <c r="I2036" s="269"/>
      <c r="J2036" s="334"/>
      <c r="K2036" s="334"/>
      <c r="L2036" s="334"/>
      <c r="M2036" s="328"/>
      <c r="N2036" s="328"/>
      <c r="S2036" s="336"/>
      <c r="T2036" s="62" ph="1"/>
      <c r="V2036" s="232"/>
      <c r="W2036" s="269"/>
      <c r="X2036" s="201"/>
      <c r="Y2036" s="269"/>
      <c r="Z2036" s="269"/>
      <c r="AA2036" s="269"/>
      <c r="AB2036" s="269"/>
      <c r="AC2036" s="269"/>
      <c r="AD2036" s="269"/>
      <c r="AE2036" s="269"/>
    </row>
    <row r="2037" spans="1:31" ht="26.25">
      <c r="A2037" s="269"/>
      <c r="B2037" s="269"/>
      <c r="C2037" s="269"/>
      <c r="D2037" s="269"/>
      <c r="E2037" s="269"/>
      <c r="F2037" s="269"/>
      <c r="G2037" s="269"/>
      <c r="H2037" s="269"/>
      <c r="I2037" s="269"/>
      <c r="J2037" s="334"/>
      <c r="K2037" s="334"/>
      <c r="L2037" s="334"/>
      <c r="M2037" s="328"/>
      <c r="N2037" s="328"/>
      <c r="S2037" s="336"/>
      <c r="T2037" s="62" ph="1"/>
      <c r="V2037" s="232"/>
      <c r="W2037" s="269"/>
      <c r="X2037" s="201"/>
      <c r="Y2037" s="269"/>
      <c r="Z2037" s="269"/>
      <c r="AA2037" s="269"/>
      <c r="AB2037" s="269"/>
      <c r="AC2037" s="269"/>
      <c r="AD2037" s="269"/>
      <c r="AE2037" s="269"/>
    </row>
    <row r="2038" spans="1:31" ht="26.25">
      <c r="A2038" s="269"/>
      <c r="B2038" s="269"/>
      <c r="C2038" s="269"/>
      <c r="D2038" s="269"/>
      <c r="E2038" s="269"/>
      <c r="F2038" s="269"/>
      <c r="G2038" s="269"/>
      <c r="H2038" s="269"/>
      <c r="I2038" s="269"/>
      <c r="J2038" s="334"/>
      <c r="K2038" s="334"/>
      <c r="L2038" s="334"/>
      <c r="M2038" s="328"/>
      <c r="N2038" s="328"/>
      <c r="S2038" s="336"/>
      <c r="T2038" s="62" ph="1"/>
      <c r="V2038" s="232"/>
      <c r="W2038" s="269"/>
      <c r="X2038" s="201"/>
      <c r="Y2038" s="269"/>
      <c r="Z2038" s="269"/>
      <c r="AA2038" s="269"/>
      <c r="AB2038" s="269"/>
      <c r="AC2038" s="269"/>
      <c r="AD2038" s="269"/>
      <c r="AE2038" s="269"/>
    </row>
    <row r="2039" spans="1:31" ht="26.25">
      <c r="A2039" s="269"/>
      <c r="B2039" s="269"/>
      <c r="C2039" s="269"/>
      <c r="D2039" s="269"/>
      <c r="E2039" s="269"/>
      <c r="F2039" s="269"/>
      <c r="G2039" s="269"/>
      <c r="H2039" s="269"/>
      <c r="I2039" s="269"/>
      <c r="J2039" s="334"/>
      <c r="K2039" s="334"/>
      <c r="L2039" s="334"/>
      <c r="M2039" s="328"/>
      <c r="N2039" s="328"/>
      <c r="S2039" s="336"/>
      <c r="T2039" s="62" ph="1"/>
      <c r="V2039" s="232"/>
      <c r="W2039" s="269"/>
      <c r="X2039" s="201"/>
      <c r="Y2039" s="269"/>
      <c r="Z2039" s="269"/>
      <c r="AA2039" s="269"/>
      <c r="AB2039" s="269"/>
      <c r="AC2039" s="269"/>
      <c r="AD2039" s="269"/>
      <c r="AE2039" s="269"/>
    </row>
    <row r="2040" spans="1:31" ht="26.25">
      <c r="A2040" s="269"/>
      <c r="B2040" s="269"/>
      <c r="C2040" s="269"/>
      <c r="D2040" s="269"/>
      <c r="E2040" s="269"/>
      <c r="F2040" s="269"/>
      <c r="G2040" s="269"/>
      <c r="H2040" s="269"/>
      <c r="I2040" s="269"/>
      <c r="J2040" s="334"/>
      <c r="K2040" s="334"/>
      <c r="L2040" s="334"/>
      <c r="M2040" s="328"/>
      <c r="N2040" s="328"/>
      <c r="S2040" s="336"/>
      <c r="T2040" s="62" ph="1"/>
      <c r="V2040" s="232"/>
      <c r="W2040" s="269"/>
      <c r="X2040" s="201"/>
      <c r="Y2040" s="269"/>
      <c r="Z2040" s="269"/>
      <c r="AA2040" s="269"/>
      <c r="AB2040" s="269"/>
      <c r="AC2040" s="269"/>
      <c r="AD2040" s="269"/>
      <c r="AE2040" s="269"/>
    </row>
    <row r="2041" spans="1:31" ht="26.25">
      <c r="A2041" s="269"/>
      <c r="B2041" s="269"/>
      <c r="C2041" s="269"/>
      <c r="D2041" s="269"/>
      <c r="E2041" s="269"/>
      <c r="F2041" s="269"/>
      <c r="G2041" s="269"/>
      <c r="H2041" s="269"/>
      <c r="I2041" s="269"/>
      <c r="J2041" s="334"/>
      <c r="K2041" s="334"/>
      <c r="L2041" s="334"/>
      <c r="M2041" s="328"/>
      <c r="N2041" s="328"/>
      <c r="S2041" s="336"/>
      <c r="T2041" s="62" ph="1"/>
      <c r="V2041" s="232"/>
      <c r="W2041" s="269"/>
      <c r="X2041" s="201"/>
      <c r="Y2041" s="269"/>
      <c r="Z2041" s="269"/>
      <c r="AA2041" s="269"/>
      <c r="AB2041" s="269"/>
      <c r="AC2041" s="269"/>
      <c r="AD2041" s="269"/>
      <c r="AE2041" s="269"/>
    </row>
    <row r="2042" spans="1:31" ht="26.25">
      <c r="A2042" s="269"/>
      <c r="B2042" s="269"/>
      <c r="C2042" s="269"/>
      <c r="D2042" s="269"/>
      <c r="E2042" s="269"/>
      <c r="F2042" s="269"/>
      <c r="G2042" s="269"/>
      <c r="H2042" s="269"/>
      <c r="I2042" s="269"/>
      <c r="J2042" s="334"/>
      <c r="K2042" s="334"/>
      <c r="L2042" s="334"/>
      <c r="M2042" s="328"/>
      <c r="N2042" s="328"/>
      <c r="S2042" s="336"/>
      <c r="T2042" s="62" ph="1"/>
      <c r="V2042" s="232"/>
      <c r="W2042" s="269"/>
      <c r="X2042" s="201"/>
      <c r="Y2042" s="269"/>
      <c r="Z2042" s="269"/>
      <c r="AA2042" s="269"/>
      <c r="AB2042" s="269"/>
      <c r="AC2042" s="269"/>
      <c r="AD2042" s="269"/>
      <c r="AE2042" s="269"/>
    </row>
    <row r="2043" spans="1:31" ht="26.25">
      <c r="A2043" s="269"/>
      <c r="B2043" s="269"/>
      <c r="C2043" s="269"/>
      <c r="D2043" s="269"/>
      <c r="E2043" s="269"/>
      <c r="F2043" s="269"/>
      <c r="G2043" s="269"/>
      <c r="H2043" s="269"/>
      <c r="I2043" s="269"/>
      <c r="J2043" s="334"/>
      <c r="K2043" s="334"/>
      <c r="L2043" s="334"/>
      <c r="M2043" s="328"/>
      <c r="N2043" s="328"/>
      <c r="S2043" s="336"/>
      <c r="T2043" s="62" ph="1"/>
      <c r="V2043" s="232"/>
      <c r="W2043" s="269"/>
      <c r="X2043" s="201"/>
      <c r="Y2043" s="269"/>
      <c r="Z2043" s="269"/>
      <c r="AA2043" s="269"/>
      <c r="AB2043" s="269"/>
      <c r="AC2043" s="269"/>
      <c r="AD2043" s="269"/>
      <c r="AE2043" s="269"/>
    </row>
    <row r="2044" spans="1:31" ht="26.25">
      <c r="A2044" s="269"/>
      <c r="B2044" s="269"/>
      <c r="C2044" s="269"/>
      <c r="D2044" s="269"/>
      <c r="E2044" s="269"/>
      <c r="F2044" s="269"/>
      <c r="G2044" s="269"/>
      <c r="H2044" s="269"/>
      <c r="I2044" s="269"/>
      <c r="J2044" s="334"/>
      <c r="K2044" s="334"/>
      <c r="L2044" s="334"/>
      <c r="M2044" s="328"/>
      <c r="N2044" s="328"/>
      <c r="S2044" s="336"/>
      <c r="T2044" s="62" ph="1"/>
      <c r="V2044" s="232"/>
      <c r="W2044" s="269"/>
      <c r="X2044" s="201"/>
      <c r="Y2044" s="269"/>
      <c r="Z2044" s="269"/>
      <c r="AA2044" s="269"/>
      <c r="AB2044" s="269"/>
      <c r="AC2044" s="269"/>
      <c r="AD2044" s="269"/>
      <c r="AE2044" s="269"/>
    </row>
    <row r="2045" spans="1:31" ht="26.25">
      <c r="A2045" s="269"/>
      <c r="B2045" s="269"/>
      <c r="C2045" s="269"/>
      <c r="D2045" s="269"/>
      <c r="E2045" s="269"/>
      <c r="F2045" s="269"/>
      <c r="G2045" s="269"/>
      <c r="H2045" s="269"/>
      <c r="I2045" s="269"/>
      <c r="J2045" s="334"/>
      <c r="K2045" s="334"/>
      <c r="L2045" s="334"/>
      <c r="M2045" s="328"/>
      <c r="N2045" s="328"/>
      <c r="S2045" s="336"/>
      <c r="T2045" s="62" ph="1"/>
      <c r="V2045" s="232"/>
      <c r="W2045" s="269"/>
      <c r="X2045" s="201"/>
      <c r="Y2045" s="269"/>
      <c r="Z2045" s="269"/>
      <c r="AA2045" s="269"/>
      <c r="AB2045" s="269"/>
      <c r="AC2045" s="269"/>
      <c r="AD2045" s="269"/>
      <c r="AE2045" s="269"/>
    </row>
    <row r="2046" spans="1:31" ht="26.25">
      <c r="A2046" s="269"/>
      <c r="B2046" s="269"/>
      <c r="C2046" s="269"/>
      <c r="D2046" s="269"/>
      <c r="E2046" s="269"/>
      <c r="F2046" s="269"/>
      <c r="G2046" s="269"/>
      <c r="H2046" s="269"/>
      <c r="I2046" s="269"/>
      <c r="J2046" s="334"/>
      <c r="K2046" s="334"/>
      <c r="L2046" s="334"/>
      <c r="M2046" s="328"/>
      <c r="N2046" s="328"/>
      <c r="S2046" s="336"/>
      <c r="T2046" s="62" ph="1"/>
      <c r="V2046" s="232"/>
      <c r="W2046" s="269"/>
      <c r="X2046" s="201"/>
      <c r="Y2046" s="269"/>
      <c r="Z2046" s="269"/>
      <c r="AA2046" s="269"/>
      <c r="AB2046" s="269"/>
      <c r="AC2046" s="269"/>
      <c r="AD2046" s="269"/>
      <c r="AE2046" s="269"/>
    </row>
    <row r="2047" spans="1:31" ht="26.25">
      <c r="A2047" s="269"/>
      <c r="B2047" s="269"/>
      <c r="C2047" s="269"/>
      <c r="D2047" s="269"/>
      <c r="E2047" s="269"/>
      <c r="F2047" s="269"/>
      <c r="G2047" s="269"/>
      <c r="H2047" s="269"/>
      <c r="I2047" s="269"/>
      <c r="J2047" s="334"/>
      <c r="K2047" s="334"/>
      <c r="L2047" s="334"/>
      <c r="M2047" s="328"/>
      <c r="N2047" s="328"/>
      <c r="S2047" s="336"/>
      <c r="T2047" s="62" ph="1"/>
      <c r="V2047" s="232"/>
      <c r="W2047" s="269"/>
      <c r="X2047" s="201"/>
      <c r="Y2047" s="269"/>
      <c r="Z2047" s="269"/>
      <c r="AA2047" s="269"/>
      <c r="AB2047" s="269"/>
      <c r="AC2047" s="269"/>
      <c r="AD2047" s="269"/>
      <c r="AE2047" s="269"/>
    </row>
    <row r="2048" spans="1:31" ht="26.25">
      <c r="A2048" s="269"/>
      <c r="B2048" s="269"/>
      <c r="C2048" s="269"/>
      <c r="D2048" s="269"/>
      <c r="E2048" s="269"/>
      <c r="F2048" s="269"/>
      <c r="G2048" s="269"/>
      <c r="H2048" s="269"/>
      <c r="I2048" s="269"/>
      <c r="J2048" s="334"/>
      <c r="K2048" s="334"/>
      <c r="L2048" s="334"/>
      <c r="M2048" s="328"/>
      <c r="N2048" s="328"/>
      <c r="S2048" s="336"/>
      <c r="T2048" s="62" ph="1"/>
      <c r="V2048" s="232"/>
      <c r="W2048" s="269"/>
      <c r="X2048" s="201"/>
      <c r="Y2048" s="269"/>
      <c r="Z2048" s="269"/>
      <c r="AA2048" s="269"/>
      <c r="AB2048" s="269"/>
      <c r="AC2048" s="269"/>
      <c r="AD2048" s="269"/>
      <c r="AE2048" s="269"/>
    </row>
    <row r="2049" spans="1:31" ht="26.25">
      <c r="A2049" s="269"/>
      <c r="B2049" s="269"/>
      <c r="C2049" s="269"/>
      <c r="D2049" s="269"/>
      <c r="E2049" s="269"/>
      <c r="F2049" s="269"/>
      <c r="G2049" s="269"/>
      <c r="H2049" s="269"/>
      <c r="I2049" s="269"/>
      <c r="J2049" s="334"/>
      <c r="K2049" s="334"/>
      <c r="L2049" s="334"/>
      <c r="M2049" s="328"/>
      <c r="N2049" s="328"/>
      <c r="S2049" s="336"/>
      <c r="T2049" s="62" ph="1"/>
      <c r="V2049" s="232"/>
      <c r="W2049" s="269"/>
      <c r="X2049" s="201"/>
      <c r="Y2049" s="269"/>
      <c r="Z2049" s="269"/>
      <c r="AA2049" s="269"/>
      <c r="AB2049" s="269"/>
      <c r="AC2049" s="269"/>
      <c r="AD2049" s="269"/>
      <c r="AE2049" s="269"/>
    </row>
    <row r="2050" spans="1:31" ht="26.25">
      <c r="A2050" s="269"/>
      <c r="B2050" s="269"/>
      <c r="C2050" s="269"/>
      <c r="D2050" s="269"/>
      <c r="E2050" s="269"/>
      <c r="F2050" s="269"/>
      <c r="G2050" s="269"/>
      <c r="H2050" s="269"/>
      <c r="I2050" s="269"/>
      <c r="J2050" s="334"/>
      <c r="K2050" s="334"/>
      <c r="L2050" s="334"/>
      <c r="M2050" s="328"/>
      <c r="N2050" s="328"/>
      <c r="S2050" s="336"/>
      <c r="T2050" s="62" ph="1"/>
      <c r="V2050" s="232"/>
      <c r="W2050" s="269"/>
      <c r="X2050" s="201"/>
      <c r="Y2050" s="269"/>
      <c r="Z2050" s="269"/>
      <c r="AA2050" s="269"/>
      <c r="AB2050" s="269"/>
      <c r="AC2050" s="269"/>
      <c r="AD2050" s="269"/>
      <c r="AE2050" s="269"/>
    </row>
    <row r="2051" spans="1:31" ht="26.25">
      <c r="A2051" s="269"/>
      <c r="B2051" s="269"/>
      <c r="C2051" s="269"/>
      <c r="D2051" s="269"/>
      <c r="E2051" s="269"/>
      <c r="F2051" s="269"/>
      <c r="G2051" s="269"/>
      <c r="H2051" s="269"/>
      <c r="I2051" s="269"/>
      <c r="J2051" s="334"/>
      <c r="K2051" s="334"/>
      <c r="L2051" s="334"/>
      <c r="M2051" s="328"/>
      <c r="N2051" s="328"/>
      <c r="S2051" s="336"/>
      <c r="T2051" s="62" ph="1"/>
      <c r="V2051" s="232"/>
      <c r="W2051" s="269"/>
      <c r="X2051" s="201"/>
      <c r="Y2051" s="269"/>
      <c r="Z2051" s="269"/>
      <c r="AA2051" s="269"/>
      <c r="AB2051" s="269"/>
      <c r="AC2051" s="269"/>
      <c r="AD2051" s="269"/>
      <c r="AE2051" s="269"/>
    </row>
    <row r="2052" spans="1:31" ht="26.25">
      <c r="A2052" s="269"/>
      <c r="B2052" s="269"/>
      <c r="C2052" s="269"/>
      <c r="D2052" s="269"/>
      <c r="E2052" s="269"/>
      <c r="F2052" s="269"/>
      <c r="G2052" s="269"/>
      <c r="H2052" s="269"/>
      <c r="I2052" s="269"/>
      <c r="J2052" s="334"/>
      <c r="K2052" s="334"/>
      <c r="L2052" s="334"/>
      <c r="M2052" s="328"/>
      <c r="N2052" s="328"/>
      <c r="S2052" s="336"/>
      <c r="T2052" s="62" ph="1"/>
      <c r="V2052" s="232"/>
      <c r="W2052" s="269"/>
      <c r="X2052" s="201"/>
      <c r="Y2052" s="269"/>
      <c r="Z2052" s="269"/>
      <c r="AA2052" s="269"/>
      <c r="AB2052" s="269"/>
      <c r="AC2052" s="269"/>
      <c r="AD2052" s="269"/>
      <c r="AE2052" s="269"/>
    </row>
    <row r="2053" spans="1:31" ht="26.25">
      <c r="A2053" s="269"/>
      <c r="B2053" s="269"/>
      <c r="C2053" s="269"/>
      <c r="D2053" s="269"/>
      <c r="E2053" s="269"/>
      <c r="F2053" s="269"/>
      <c r="G2053" s="269"/>
      <c r="H2053" s="269"/>
      <c r="I2053" s="269"/>
      <c r="J2053" s="334"/>
      <c r="K2053" s="334"/>
      <c r="L2053" s="334"/>
      <c r="M2053" s="328"/>
      <c r="N2053" s="328"/>
      <c r="S2053" s="336"/>
      <c r="T2053" s="62" ph="1"/>
      <c r="V2053" s="232"/>
      <c r="W2053" s="269"/>
      <c r="X2053" s="201"/>
      <c r="Y2053" s="269"/>
      <c r="Z2053" s="269"/>
      <c r="AA2053" s="269"/>
      <c r="AB2053" s="269"/>
      <c r="AC2053" s="269"/>
      <c r="AD2053" s="269"/>
      <c r="AE2053" s="269"/>
    </row>
    <row r="2054" spans="1:31" ht="26.25">
      <c r="A2054" s="269"/>
      <c r="B2054" s="269"/>
      <c r="C2054" s="269"/>
      <c r="D2054" s="269"/>
      <c r="E2054" s="269"/>
      <c r="F2054" s="269"/>
      <c r="G2054" s="269"/>
      <c r="H2054" s="269"/>
      <c r="I2054" s="269"/>
      <c r="J2054" s="334"/>
      <c r="K2054" s="334"/>
      <c r="L2054" s="334"/>
      <c r="M2054" s="328"/>
      <c r="N2054" s="328"/>
      <c r="S2054" s="336"/>
      <c r="T2054" s="62" ph="1"/>
      <c r="V2054" s="232"/>
      <c r="W2054" s="269"/>
      <c r="X2054" s="201"/>
      <c r="Y2054" s="269"/>
      <c r="Z2054" s="269"/>
      <c r="AA2054" s="269"/>
      <c r="AB2054" s="269"/>
      <c r="AC2054" s="269"/>
      <c r="AD2054" s="269"/>
      <c r="AE2054" s="269"/>
    </row>
    <row r="2055" spans="1:31" ht="26.25">
      <c r="A2055" s="269"/>
      <c r="B2055" s="269"/>
      <c r="C2055" s="269"/>
      <c r="D2055" s="269"/>
      <c r="E2055" s="269"/>
      <c r="F2055" s="269"/>
      <c r="G2055" s="269"/>
      <c r="H2055" s="269"/>
      <c r="I2055" s="269"/>
      <c r="J2055" s="334"/>
      <c r="K2055" s="334"/>
      <c r="L2055" s="334"/>
      <c r="M2055" s="328"/>
      <c r="N2055" s="328"/>
      <c r="S2055" s="336"/>
      <c r="T2055" s="62" ph="1"/>
      <c r="V2055" s="232"/>
      <c r="W2055" s="269"/>
      <c r="X2055" s="201"/>
      <c r="Y2055" s="269"/>
      <c r="Z2055" s="269"/>
      <c r="AA2055" s="269"/>
      <c r="AB2055" s="269"/>
      <c r="AC2055" s="269"/>
      <c r="AD2055" s="269"/>
      <c r="AE2055" s="269"/>
    </row>
    <row r="2056" spans="1:31" ht="26.25">
      <c r="A2056" s="269"/>
      <c r="B2056" s="269"/>
      <c r="C2056" s="269"/>
      <c r="D2056" s="269"/>
      <c r="E2056" s="269"/>
      <c r="F2056" s="269"/>
      <c r="G2056" s="269"/>
      <c r="H2056" s="269"/>
      <c r="I2056" s="269"/>
      <c r="J2056" s="334"/>
      <c r="K2056" s="334"/>
      <c r="L2056" s="334"/>
      <c r="M2056" s="328"/>
      <c r="N2056" s="328"/>
      <c r="S2056" s="336"/>
      <c r="T2056" s="62" ph="1"/>
      <c r="V2056" s="232"/>
      <c r="W2056" s="269"/>
      <c r="X2056" s="201"/>
      <c r="Y2056" s="269"/>
      <c r="Z2056" s="269"/>
      <c r="AA2056" s="269"/>
      <c r="AB2056" s="269"/>
      <c r="AC2056" s="269"/>
      <c r="AD2056" s="269"/>
      <c r="AE2056" s="269"/>
    </row>
    <row r="2057" spans="1:31" ht="26.25">
      <c r="A2057" s="269"/>
      <c r="B2057" s="269"/>
      <c r="C2057" s="269"/>
      <c r="D2057" s="269"/>
      <c r="E2057" s="269"/>
      <c r="F2057" s="269"/>
      <c r="G2057" s="269"/>
      <c r="H2057" s="269"/>
      <c r="I2057" s="269"/>
      <c r="J2057" s="334"/>
      <c r="K2057" s="334"/>
      <c r="L2057" s="334"/>
      <c r="M2057" s="328"/>
      <c r="N2057" s="328"/>
      <c r="S2057" s="336"/>
      <c r="T2057" s="62" ph="1"/>
      <c r="V2057" s="232"/>
      <c r="W2057" s="269"/>
      <c r="X2057" s="201"/>
      <c r="Y2057" s="269"/>
      <c r="Z2057" s="269"/>
      <c r="AA2057" s="269"/>
      <c r="AB2057" s="269"/>
      <c r="AC2057" s="269"/>
      <c r="AD2057" s="269"/>
      <c r="AE2057" s="269"/>
    </row>
    <row r="2058" spans="1:31" ht="26.25">
      <c r="A2058" s="269"/>
      <c r="B2058" s="269"/>
      <c r="C2058" s="269"/>
      <c r="D2058" s="269"/>
      <c r="E2058" s="269"/>
      <c r="F2058" s="269"/>
      <c r="G2058" s="269"/>
      <c r="H2058" s="269"/>
      <c r="I2058" s="269"/>
      <c r="J2058" s="334"/>
      <c r="K2058" s="334"/>
      <c r="L2058" s="334"/>
      <c r="M2058" s="328"/>
      <c r="N2058" s="328"/>
      <c r="S2058" s="336"/>
      <c r="T2058" s="62" ph="1"/>
      <c r="V2058" s="232"/>
      <c r="W2058" s="269"/>
      <c r="X2058" s="201"/>
      <c r="Y2058" s="269"/>
      <c r="Z2058" s="269"/>
      <c r="AA2058" s="269"/>
      <c r="AB2058" s="269"/>
      <c r="AC2058" s="269"/>
      <c r="AD2058" s="269"/>
      <c r="AE2058" s="269"/>
    </row>
    <row r="2059" spans="1:31" ht="26.25">
      <c r="A2059" s="269"/>
      <c r="B2059" s="269"/>
      <c r="C2059" s="269"/>
      <c r="D2059" s="269"/>
      <c r="E2059" s="269"/>
      <c r="F2059" s="269"/>
      <c r="G2059" s="269"/>
      <c r="H2059" s="269"/>
      <c r="I2059" s="269"/>
      <c r="J2059" s="334"/>
      <c r="K2059" s="334"/>
      <c r="L2059" s="334"/>
      <c r="M2059" s="328"/>
      <c r="N2059" s="328"/>
      <c r="S2059" s="336"/>
      <c r="T2059" s="62" ph="1"/>
      <c r="V2059" s="232"/>
      <c r="W2059" s="269"/>
      <c r="X2059" s="201"/>
      <c r="Y2059" s="269"/>
      <c r="Z2059" s="269"/>
      <c r="AA2059" s="269"/>
      <c r="AB2059" s="269"/>
      <c r="AC2059" s="269"/>
      <c r="AD2059" s="269"/>
      <c r="AE2059" s="269"/>
    </row>
    <row r="2060" spans="1:31" ht="26.25">
      <c r="A2060" s="269"/>
      <c r="B2060" s="269"/>
      <c r="C2060" s="269"/>
      <c r="D2060" s="269"/>
      <c r="E2060" s="269"/>
      <c r="F2060" s="269"/>
      <c r="G2060" s="269"/>
      <c r="H2060" s="269"/>
      <c r="I2060" s="269"/>
      <c r="J2060" s="334"/>
      <c r="K2060" s="334"/>
      <c r="L2060" s="334"/>
      <c r="M2060" s="328"/>
      <c r="N2060" s="328"/>
      <c r="S2060" s="336"/>
      <c r="T2060" s="62" ph="1"/>
      <c r="V2060" s="232"/>
      <c r="W2060" s="269"/>
      <c r="X2060" s="201"/>
      <c r="Y2060" s="269"/>
      <c r="Z2060" s="269"/>
      <c r="AA2060" s="269"/>
      <c r="AB2060" s="269"/>
      <c r="AC2060" s="269"/>
      <c r="AD2060" s="269"/>
      <c r="AE2060" s="269"/>
    </row>
    <row r="2061" spans="1:31" ht="26.25">
      <c r="A2061" s="269"/>
      <c r="B2061" s="269"/>
      <c r="C2061" s="269"/>
      <c r="D2061" s="269"/>
      <c r="E2061" s="269"/>
      <c r="F2061" s="269"/>
      <c r="G2061" s="269"/>
      <c r="H2061" s="269"/>
      <c r="I2061" s="269"/>
      <c r="J2061" s="334"/>
      <c r="K2061" s="334"/>
      <c r="L2061" s="334"/>
      <c r="M2061" s="328"/>
      <c r="N2061" s="328"/>
      <c r="S2061" s="336"/>
      <c r="T2061" s="62" ph="1"/>
      <c r="V2061" s="232"/>
      <c r="W2061" s="269"/>
      <c r="X2061" s="201"/>
      <c r="Y2061" s="269"/>
      <c r="Z2061" s="269"/>
      <c r="AA2061" s="269"/>
      <c r="AB2061" s="269"/>
      <c r="AC2061" s="269"/>
      <c r="AD2061" s="269"/>
      <c r="AE2061" s="269"/>
    </row>
    <row r="2062" spans="1:31" ht="26.25">
      <c r="A2062" s="269"/>
      <c r="B2062" s="269"/>
      <c r="C2062" s="269"/>
      <c r="D2062" s="269"/>
      <c r="E2062" s="269"/>
      <c r="F2062" s="269"/>
      <c r="G2062" s="269"/>
      <c r="H2062" s="269"/>
      <c r="I2062" s="269"/>
      <c r="J2062" s="334"/>
      <c r="K2062" s="334"/>
      <c r="L2062" s="334"/>
      <c r="M2062" s="328"/>
      <c r="N2062" s="328"/>
      <c r="S2062" s="336"/>
      <c r="T2062" s="62" ph="1"/>
      <c r="V2062" s="232"/>
      <c r="W2062" s="269"/>
      <c r="X2062" s="201"/>
      <c r="Y2062" s="269"/>
      <c r="Z2062" s="269"/>
      <c r="AA2062" s="269"/>
      <c r="AB2062" s="269"/>
      <c r="AC2062" s="269"/>
      <c r="AD2062" s="269"/>
      <c r="AE2062" s="269"/>
    </row>
    <row r="2063" spans="1:31" ht="26.25">
      <c r="A2063" s="269"/>
      <c r="B2063" s="269"/>
      <c r="C2063" s="269"/>
      <c r="D2063" s="269"/>
      <c r="E2063" s="269"/>
      <c r="F2063" s="269"/>
      <c r="G2063" s="269"/>
      <c r="H2063" s="269"/>
      <c r="I2063" s="269"/>
      <c r="J2063" s="334"/>
      <c r="K2063" s="334"/>
      <c r="L2063" s="334"/>
      <c r="M2063" s="328"/>
      <c r="N2063" s="328"/>
      <c r="S2063" s="336"/>
      <c r="T2063" s="62" ph="1"/>
      <c r="V2063" s="232"/>
      <c r="W2063" s="269"/>
      <c r="X2063" s="201"/>
      <c r="Y2063" s="269"/>
      <c r="Z2063" s="269"/>
      <c r="AA2063" s="269"/>
      <c r="AB2063" s="269"/>
      <c r="AC2063" s="269"/>
      <c r="AD2063" s="269"/>
      <c r="AE2063" s="269"/>
    </row>
    <row r="2064" spans="1:31" ht="26.25">
      <c r="A2064" s="269"/>
      <c r="B2064" s="269"/>
      <c r="C2064" s="269"/>
      <c r="D2064" s="269"/>
      <c r="E2064" s="269"/>
      <c r="F2064" s="269"/>
      <c r="G2064" s="269"/>
      <c r="H2064" s="269"/>
      <c r="I2064" s="269"/>
      <c r="J2064" s="334"/>
      <c r="K2064" s="334"/>
      <c r="L2064" s="334"/>
      <c r="M2064" s="328"/>
      <c r="N2064" s="328"/>
      <c r="S2064" s="336"/>
      <c r="T2064" s="62" ph="1"/>
      <c r="V2064" s="232"/>
      <c r="W2064" s="269"/>
      <c r="X2064" s="201"/>
      <c r="Y2064" s="269"/>
      <c r="Z2064" s="269"/>
      <c r="AA2064" s="269"/>
      <c r="AB2064" s="269"/>
      <c r="AC2064" s="269"/>
      <c r="AD2064" s="269"/>
      <c r="AE2064" s="269"/>
    </row>
    <row r="2065" spans="1:31" ht="26.25">
      <c r="A2065" s="269"/>
      <c r="B2065" s="269"/>
      <c r="C2065" s="269"/>
      <c r="D2065" s="269"/>
      <c r="E2065" s="269"/>
      <c r="F2065" s="269"/>
      <c r="G2065" s="269"/>
      <c r="H2065" s="269"/>
      <c r="I2065" s="269"/>
      <c r="J2065" s="334"/>
      <c r="K2065" s="334"/>
      <c r="L2065" s="334"/>
      <c r="M2065" s="328"/>
      <c r="N2065" s="328"/>
      <c r="S2065" s="336"/>
      <c r="T2065" s="62" ph="1"/>
      <c r="V2065" s="232"/>
      <c r="W2065" s="269"/>
      <c r="X2065" s="201"/>
      <c r="Y2065" s="269"/>
      <c r="Z2065" s="269"/>
      <c r="AA2065" s="269"/>
      <c r="AB2065" s="269"/>
      <c r="AC2065" s="269"/>
      <c r="AD2065" s="269"/>
      <c r="AE2065" s="269"/>
    </row>
    <row r="2066" spans="1:31" ht="26.25">
      <c r="A2066" s="269"/>
      <c r="B2066" s="269"/>
      <c r="C2066" s="269"/>
      <c r="D2066" s="269"/>
      <c r="E2066" s="269"/>
      <c r="F2066" s="269"/>
      <c r="G2066" s="269"/>
      <c r="H2066" s="269"/>
      <c r="I2066" s="269"/>
      <c r="J2066" s="334"/>
      <c r="K2066" s="334"/>
      <c r="L2066" s="334"/>
      <c r="M2066" s="328"/>
      <c r="N2066" s="328"/>
      <c r="S2066" s="336"/>
      <c r="T2066" s="62" ph="1"/>
      <c r="V2066" s="232"/>
      <c r="W2066" s="269"/>
      <c r="X2066" s="201"/>
      <c r="Y2066" s="269"/>
      <c r="Z2066" s="269"/>
      <c r="AA2066" s="269"/>
      <c r="AB2066" s="269"/>
      <c r="AC2066" s="269"/>
      <c r="AD2066" s="269"/>
      <c r="AE2066" s="269"/>
    </row>
    <row r="2067" spans="1:31" ht="26.25">
      <c r="A2067" s="269"/>
      <c r="B2067" s="269"/>
      <c r="C2067" s="269"/>
      <c r="D2067" s="269"/>
      <c r="E2067" s="269"/>
      <c r="F2067" s="269"/>
      <c r="G2067" s="269"/>
      <c r="H2067" s="269"/>
      <c r="I2067" s="269"/>
      <c r="J2067" s="334"/>
      <c r="K2067" s="334"/>
      <c r="L2067" s="334"/>
      <c r="M2067" s="328"/>
      <c r="N2067" s="328"/>
      <c r="S2067" s="336"/>
      <c r="T2067" s="62" ph="1"/>
      <c r="V2067" s="232"/>
      <c r="W2067" s="269"/>
      <c r="X2067" s="201"/>
      <c r="Y2067" s="269"/>
      <c r="Z2067" s="269"/>
      <c r="AA2067" s="269"/>
      <c r="AB2067" s="269"/>
      <c r="AC2067" s="269"/>
      <c r="AD2067" s="269"/>
      <c r="AE2067" s="269"/>
    </row>
    <row r="2068" spans="1:31" ht="26.25">
      <c r="A2068" s="269"/>
      <c r="B2068" s="269"/>
      <c r="C2068" s="269"/>
      <c r="D2068" s="269"/>
      <c r="E2068" s="269"/>
      <c r="F2068" s="269"/>
      <c r="G2068" s="269"/>
      <c r="H2068" s="269"/>
      <c r="I2068" s="269"/>
      <c r="J2068" s="334"/>
      <c r="K2068" s="334"/>
      <c r="L2068" s="334"/>
      <c r="M2068" s="328"/>
      <c r="N2068" s="328"/>
      <c r="S2068" s="336"/>
      <c r="T2068" s="62" ph="1"/>
      <c r="V2068" s="232"/>
      <c r="W2068" s="269"/>
      <c r="X2068" s="201"/>
      <c r="Y2068" s="269"/>
      <c r="Z2068" s="269"/>
      <c r="AA2068" s="269"/>
      <c r="AB2068" s="269"/>
      <c r="AC2068" s="269"/>
      <c r="AD2068" s="269"/>
      <c r="AE2068" s="269"/>
    </row>
    <row r="2069" spans="1:31" ht="26.25">
      <c r="A2069" s="269"/>
      <c r="B2069" s="269"/>
      <c r="C2069" s="269"/>
      <c r="D2069" s="269"/>
      <c r="E2069" s="269"/>
      <c r="F2069" s="269"/>
      <c r="G2069" s="269"/>
      <c r="H2069" s="269"/>
      <c r="I2069" s="269"/>
      <c r="J2069" s="334"/>
      <c r="K2069" s="334"/>
      <c r="L2069" s="334"/>
      <c r="M2069" s="328"/>
      <c r="N2069" s="328"/>
      <c r="S2069" s="336"/>
      <c r="T2069" s="62" ph="1"/>
      <c r="V2069" s="232"/>
      <c r="W2069" s="269"/>
      <c r="X2069" s="201"/>
      <c r="Y2069" s="269"/>
      <c r="Z2069" s="269"/>
      <c r="AA2069" s="269"/>
      <c r="AB2069" s="269"/>
      <c r="AC2069" s="269"/>
      <c r="AD2069" s="269"/>
      <c r="AE2069" s="269"/>
    </row>
    <row r="2070" spans="1:31" ht="26.25">
      <c r="A2070" s="269"/>
      <c r="B2070" s="269"/>
      <c r="C2070" s="269"/>
      <c r="D2070" s="269"/>
      <c r="E2070" s="269"/>
      <c r="F2070" s="269"/>
      <c r="G2070" s="269"/>
      <c r="H2070" s="269"/>
      <c r="I2070" s="269"/>
      <c r="J2070" s="334"/>
      <c r="K2070" s="334"/>
      <c r="L2070" s="334"/>
      <c r="M2070" s="328"/>
      <c r="N2070" s="328"/>
      <c r="S2070" s="336"/>
      <c r="T2070" s="62" ph="1"/>
      <c r="V2070" s="232"/>
      <c r="W2070" s="269"/>
      <c r="X2070" s="201"/>
      <c r="Y2070" s="269"/>
      <c r="Z2070" s="269"/>
      <c r="AA2070" s="269"/>
      <c r="AB2070" s="269"/>
      <c r="AC2070" s="269"/>
      <c r="AD2070" s="269"/>
      <c r="AE2070" s="269"/>
    </row>
    <row r="2071" spans="1:31" ht="26.25">
      <c r="A2071" s="269"/>
      <c r="B2071" s="269"/>
      <c r="C2071" s="269"/>
      <c r="D2071" s="269"/>
      <c r="E2071" s="269"/>
      <c r="F2071" s="269"/>
      <c r="G2071" s="269"/>
      <c r="H2071" s="269"/>
      <c r="I2071" s="269"/>
      <c r="J2071" s="334"/>
      <c r="K2071" s="334"/>
      <c r="L2071" s="334"/>
      <c r="M2071" s="328"/>
      <c r="N2071" s="328"/>
      <c r="S2071" s="336"/>
      <c r="T2071" s="62" ph="1"/>
      <c r="V2071" s="232"/>
      <c r="W2071" s="269"/>
      <c r="X2071" s="201"/>
      <c r="Y2071" s="269"/>
      <c r="Z2071" s="269"/>
      <c r="AA2071" s="269"/>
      <c r="AB2071" s="269"/>
      <c r="AC2071" s="269"/>
      <c r="AD2071" s="269"/>
      <c r="AE2071" s="269"/>
    </row>
    <row r="2072" spans="1:31" ht="26.25">
      <c r="A2072" s="269"/>
      <c r="B2072" s="269"/>
      <c r="C2072" s="269"/>
      <c r="D2072" s="269"/>
      <c r="E2072" s="269"/>
      <c r="F2072" s="269"/>
      <c r="G2072" s="269"/>
      <c r="H2072" s="269"/>
      <c r="I2072" s="269"/>
      <c r="J2072" s="334"/>
      <c r="K2072" s="334"/>
      <c r="L2072" s="334"/>
      <c r="M2072" s="328"/>
      <c r="N2072" s="328"/>
      <c r="S2072" s="336"/>
      <c r="T2072" s="62" ph="1"/>
      <c r="V2072" s="232"/>
      <c r="W2072" s="269"/>
      <c r="X2072" s="201"/>
      <c r="Y2072" s="269"/>
      <c r="Z2072" s="269"/>
      <c r="AA2072" s="269"/>
      <c r="AB2072" s="269"/>
      <c r="AC2072" s="269"/>
      <c r="AD2072" s="269"/>
      <c r="AE2072" s="269"/>
    </row>
    <row r="2073" spans="1:31" ht="26.25">
      <c r="A2073" s="269"/>
      <c r="B2073" s="269"/>
      <c r="C2073" s="269"/>
      <c r="D2073" s="269"/>
      <c r="E2073" s="269"/>
      <c r="F2073" s="269"/>
      <c r="G2073" s="269"/>
      <c r="H2073" s="269"/>
      <c r="I2073" s="269"/>
      <c r="J2073" s="334"/>
      <c r="K2073" s="334"/>
      <c r="L2073" s="334"/>
      <c r="M2073" s="328"/>
      <c r="N2073" s="328"/>
      <c r="S2073" s="336"/>
      <c r="T2073" s="62" ph="1"/>
      <c r="V2073" s="232"/>
      <c r="W2073" s="269"/>
      <c r="X2073" s="201"/>
      <c r="Y2073" s="269"/>
      <c r="Z2073" s="269"/>
      <c r="AA2073" s="269"/>
      <c r="AB2073" s="269"/>
      <c r="AC2073" s="269"/>
      <c r="AD2073" s="269"/>
      <c r="AE2073" s="269"/>
    </row>
    <row r="2074" spans="1:31" ht="26.25">
      <c r="A2074" s="269"/>
      <c r="B2074" s="269"/>
      <c r="C2074" s="269"/>
      <c r="D2074" s="269"/>
      <c r="E2074" s="269"/>
      <c r="F2074" s="269"/>
      <c r="G2074" s="269"/>
      <c r="H2074" s="269"/>
      <c r="I2074" s="269"/>
      <c r="J2074" s="334"/>
      <c r="K2074" s="334"/>
      <c r="L2074" s="334"/>
      <c r="M2074" s="328"/>
      <c r="N2074" s="328"/>
      <c r="S2074" s="336"/>
      <c r="T2074" s="62" ph="1"/>
      <c r="V2074" s="232"/>
      <c r="W2074" s="269"/>
      <c r="X2074" s="201"/>
      <c r="Y2074" s="269"/>
      <c r="Z2074" s="269"/>
      <c r="AA2074" s="269"/>
      <c r="AB2074" s="269"/>
      <c r="AC2074" s="269"/>
      <c r="AD2074" s="269"/>
      <c r="AE2074" s="269"/>
    </row>
    <row r="2075" spans="1:31" ht="26.25">
      <c r="A2075" s="269"/>
      <c r="B2075" s="269"/>
      <c r="C2075" s="269"/>
      <c r="D2075" s="269"/>
      <c r="E2075" s="269"/>
      <c r="F2075" s="269"/>
      <c r="G2075" s="269"/>
      <c r="H2075" s="269"/>
      <c r="I2075" s="269"/>
      <c r="J2075" s="334"/>
      <c r="K2075" s="334"/>
      <c r="L2075" s="334"/>
      <c r="M2075" s="328"/>
      <c r="N2075" s="328"/>
      <c r="S2075" s="336"/>
      <c r="T2075" s="62" ph="1"/>
      <c r="V2075" s="232"/>
      <c r="W2075" s="269"/>
      <c r="X2075" s="201"/>
      <c r="Y2075" s="269"/>
      <c r="Z2075" s="269"/>
      <c r="AA2075" s="269"/>
      <c r="AB2075" s="269"/>
      <c r="AC2075" s="269"/>
      <c r="AD2075" s="269"/>
      <c r="AE2075" s="269"/>
    </row>
    <row r="2076" spans="1:31" ht="26.25">
      <c r="A2076" s="269"/>
      <c r="B2076" s="269"/>
      <c r="C2076" s="269"/>
      <c r="D2076" s="269"/>
      <c r="E2076" s="269"/>
      <c r="F2076" s="269"/>
      <c r="G2076" s="269"/>
      <c r="H2076" s="269"/>
      <c r="I2076" s="269"/>
      <c r="J2076" s="334"/>
      <c r="K2076" s="334"/>
      <c r="L2076" s="334"/>
      <c r="M2076" s="328"/>
      <c r="N2076" s="328"/>
      <c r="S2076" s="336"/>
      <c r="T2076" s="62" ph="1"/>
      <c r="V2076" s="232"/>
      <c r="W2076" s="269"/>
      <c r="X2076" s="201"/>
      <c r="Y2076" s="269"/>
      <c r="Z2076" s="269"/>
      <c r="AA2076" s="269"/>
      <c r="AB2076" s="269"/>
      <c r="AC2076" s="269"/>
      <c r="AD2076" s="269"/>
      <c r="AE2076" s="269"/>
    </row>
    <row r="2077" spans="1:31" ht="26.25">
      <c r="A2077" s="269"/>
      <c r="B2077" s="269"/>
      <c r="C2077" s="269"/>
      <c r="D2077" s="269"/>
      <c r="E2077" s="269"/>
      <c r="F2077" s="269"/>
      <c r="G2077" s="269"/>
      <c r="H2077" s="269"/>
      <c r="I2077" s="269"/>
      <c r="J2077" s="334"/>
      <c r="K2077" s="334"/>
      <c r="L2077" s="334"/>
      <c r="M2077" s="328"/>
      <c r="N2077" s="328"/>
      <c r="S2077" s="336"/>
      <c r="T2077" s="62" ph="1"/>
      <c r="V2077" s="232"/>
      <c r="W2077" s="269"/>
      <c r="X2077" s="201"/>
      <c r="Y2077" s="269"/>
      <c r="Z2077" s="269"/>
      <c r="AA2077" s="269"/>
      <c r="AB2077" s="269"/>
      <c r="AC2077" s="269"/>
      <c r="AD2077" s="269"/>
      <c r="AE2077" s="269"/>
    </row>
    <row r="2078" spans="1:31" ht="26.25">
      <c r="A2078" s="269"/>
      <c r="B2078" s="269"/>
      <c r="C2078" s="269"/>
      <c r="D2078" s="269"/>
      <c r="E2078" s="269"/>
      <c r="F2078" s="269"/>
      <c r="G2078" s="269"/>
      <c r="H2078" s="269"/>
      <c r="I2078" s="269"/>
      <c r="J2078" s="334"/>
      <c r="K2078" s="334"/>
      <c r="L2078" s="334"/>
      <c r="M2078" s="328"/>
      <c r="N2078" s="328"/>
      <c r="S2078" s="336"/>
      <c r="T2078" s="62" ph="1"/>
      <c r="V2078" s="232"/>
      <c r="W2078" s="269"/>
      <c r="X2078" s="201"/>
      <c r="Y2078" s="269"/>
      <c r="Z2078" s="269"/>
      <c r="AA2078" s="269"/>
      <c r="AB2078" s="269"/>
      <c r="AC2078" s="269"/>
      <c r="AD2078" s="269"/>
      <c r="AE2078" s="269"/>
    </row>
    <row r="2079" spans="1:31" ht="26.25">
      <c r="A2079" s="269"/>
      <c r="B2079" s="269"/>
      <c r="C2079" s="269"/>
      <c r="D2079" s="269"/>
      <c r="E2079" s="269"/>
      <c r="F2079" s="269"/>
      <c r="G2079" s="269"/>
      <c r="H2079" s="269"/>
      <c r="I2079" s="269"/>
      <c r="J2079" s="334"/>
      <c r="K2079" s="334"/>
      <c r="L2079" s="334"/>
      <c r="M2079" s="328"/>
      <c r="N2079" s="328"/>
      <c r="S2079" s="336"/>
      <c r="T2079" s="62" ph="1"/>
      <c r="V2079" s="232"/>
      <c r="W2079" s="269"/>
      <c r="X2079" s="201"/>
      <c r="Y2079" s="269"/>
      <c r="Z2079" s="269"/>
      <c r="AA2079" s="269"/>
      <c r="AB2079" s="269"/>
      <c r="AC2079" s="269"/>
      <c r="AD2079" s="269"/>
      <c r="AE2079" s="269"/>
    </row>
    <row r="2080" spans="1:31" ht="26.25">
      <c r="A2080" s="269"/>
      <c r="B2080" s="269"/>
      <c r="C2080" s="269"/>
      <c r="D2080" s="269"/>
      <c r="E2080" s="269"/>
      <c r="F2080" s="269"/>
      <c r="G2080" s="269"/>
      <c r="H2080" s="269"/>
      <c r="I2080" s="269"/>
      <c r="J2080" s="334"/>
      <c r="K2080" s="334"/>
      <c r="L2080" s="334"/>
      <c r="M2080" s="328"/>
      <c r="N2080" s="328"/>
      <c r="S2080" s="336"/>
      <c r="T2080" s="62" ph="1"/>
      <c r="V2080" s="232"/>
      <c r="W2080" s="269"/>
      <c r="X2080" s="201"/>
      <c r="Y2080" s="269"/>
      <c r="Z2080" s="269"/>
      <c r="AA2080" s="269"/>
      <c r="AB2080" s="269"/>
      <c r="AC2080" s="269"/>
      <c r="AD2080" s="269"/>
      <c r="AE2080" s="269"/>
    </row>
    <row r="2081" spans="1:31" ht="26.25">
      <c r="A2081" s="269"/>
      <c r="B2081" s="269"/>
      <c r="C2081" s="269"/>
      <c r="D2081" s="269"/>
      <c r="E2081" s="269"/>
      <c r="F2081" s="269"/>
      <c r="G2081" s="269"/>
      <c r="H2081" s="269"/>
      <c r="I2081" s="269"/>
      <c r="J2081" s="334"/>
      <c r="K2081" s="334"/>
      <c r="L2081" s="334"/>
      <c r="M2081" s="328"/>
      <c r="N2081" s="328"/>
      <c r="S2081" s="336"/>
      <c r="T2081" s="62" ph="1"/>
      <c r="V2081" s="232"/>
      <c r="W2081" s="269"/>
      <c r="X2081" s="201"/>
      <c r="Y2081" s="269"/>
      <c r="Z2081" s="269"/>
      <c r="AA2081" s="269"/>
      <c r="AB2081" s="269"/>
      <c r="AC2081" s="269"/>
      <c r="AD2081" s="269"/>
      <c r="AE2081" s="269"/>
    </row>
    <row r="2082" spans="1:31" ht="26.25">
      <c r="A2082" s="269"/>
      <c r="B2082" s="269"/>
      <c r="C2082" s="269"/>
      <c r="D2082" s="269"/>
      <c r="E2082" s="269"/>
      <c r="F2082" s="269"/>
      <c r="G2082" s="269"/>
      <c r="H2082" s="269"/>
      <c r="I2082" s="269"/>
      <c r="J2082" s="334"/>
      <c r="K2082" s="334"/>
      <c r="L2082" s="334"/>
      <c r="M2082" s="328"/>
      <c r="N2082" s="328"/>
      <c r="S2082" s="336"/>
      <c r="T2082" s="62" ph="1"/>
      <c r="V2082" s="232"/>
      <c r="W2082" s="269"/>
      <c r="X2082" s="201"/>
      <c r="Y2082" s="269"/>
      <c r="Z2082" s="269"/>
      <c r="AA2082" s="269"/>
      <c r="AB2082" s="269"/>
      <c r="AC2082" s="269"/>
      <c r="AD2082" s="269"/>
      <c r="AE2082" s="269"/>
    </row>
    <row r="2083" spans="1:31" ht="26.25">
      <c r="A2083" s="269"/>
      <c r="B2083" s="269"/>
      <c r="C2083" s="269"/>
      <c r="D2083" s="269"/>
      <c r="E2083" s="269"/>
      <c r="F2083" s="269"/>
      <c r="G2083" s="269"/>
      <c r="H2083" s="269"/>
      <c r="I2083" s="269"/>
      <c r="J2083" s="334"/>
      <c r="K2083" s="334"/>
      <c r="L2083" s="334"/>
      <c r="M2083" s="328"/>
      <c r="N2083" s="328"/>
      <c r="S2083" s="336"/>
      <c r="T2083" s="62" ph="1"/>
      <c r="V2083" s="232"/>
      <c r="W2083" s="269"/>
      <c r="X2083" s="201"/>
      <c r="Y2083" s="269"/>
      <c r="Z2083" s="269"/>
      <c r="AA2083" s="269"/>
      <c r="AB2083" s="269"/>
      <c r="AC2083" s="269"/>
      <c r="AD2083" s="269"/>
      <c r="AE2083" s="269"/>
    </row>
    <row r="2084" spans="1:31" ht="26.25">
      <c r="A2084" s="269"/>
      <c r="B2084" s="269"/>
      <c r="C2084" s="269"/>
      <c r="D2084" s="269"/>
      <c r="E2084" s="269"/>
      <c r="F2084" s="269"/>
      <c r="G2084" s="269"/>
      <c r="H2084" s="269"/>
      <c r="I2084" s="269"/>
      <c r="J2084" s="334"/>
      <c r="K2084" s="334"/>
      <c r="L2084" s="334"/>
      <c r="M2084" s="328"/>
      <c r="N2084" s="328"/>
      <c r="S2084" s="336"/>
      <c r="T2084" s="62" ph="1"/>
      <c r="V2084" s="232"/>
      <c r="W2084" s="269"/>
      <c r="X2084" s="201"/>
      <c r="Y2084" s="269"/>
      <c r="Z2084" s="269"/>
      <c r="AA2084" s="269"/>
      <c r="AB2084" s="269"/>
      <c r="AC2084" s="269"/>
      <c r="AD2084" s="269"/>
      <c r="AE2084" s="269"/>
    </row>
    <row r="2085" spans="1:31" ht="26.25">
      <c r="A2085" s="269"/>
      <c r="B2085" s="269"/>
      <c r="C2085" s="269"/>
      <c r="D2085" s="269"/>
      <c r="E2085" s="269"/>
      <c r="F2085" s="269"/>
      <c r="G2085" s="269"/>
      <c r="H2085" s="269"/>
      <c r="I2085" s="269"/>
      <c r="J2085" s="334"/>
      <c r="K2085" s="334"/>
      <c r="L2085" s="334"/>
      <c r="M2085" s="328"/>
      <c r="N2085" s="328"/>
      <c r="S2085" s="336"/>
      <c r="T2085" s="62" ph="1"/>
      <c r="V2085" s="232"/>
      <c r="W2085" s="269"/>
      <c r="X2085" s="201"/>
      <c r="Y2085" s="269"/>
      <c r="Z2085" s="269"/>
      <c r="AA2085" s="269"/>
      <c r="AB2085" s="269"/>
      <c r="AC2085" s="269"/>
      <c r="AD2085" s="269"/>
      <c r="AE2085" s="269"/>
    </row>
    <row r="2086" spans="1:31" ht="26.25">
      <c r="A2086" s="269"/>
      <c r="B2086" s="269"/>
      <c r="C2086" s="269"/>
      <c r="D2086" s="269"/>
      <c r="E2086" s="269"/>
      <c r="F2086" s="269"/>
      <c r="G2086" s="269"/>
      <c r="H2086" s="269"/>
      <c r="I2086" s="269"/>
      <c r="J2086" s="334"/>
      <c r="K2086" s="334"/>
      <c r="L2086" s="334"/>
      <c r="M2086" s="328"/>
      <c r="N2086" s="328"/>
      <c r="S2086" s="336"/>
      <c r="T2086" s="62" ph="1"/>
      <c r="V2086" s="232"/>
      <c r="W2086" s="269"/>
      <c r="X2086" s="201"/>
      <c r="Y2086" s="269"/>
      <c r="Z2086" s="269"/>
      <c r="AA2086" s="269"/>
      <c r="AB2086" s="269"/>
      <c r="AC2086" s="269"/>
      <c r="AD2086" s="269"/>
      <c r="AE2086" s="269"/>
    </row>
    <row r="2087" spans="1:31" ht="26.25">
      <c r="A2087" s="269"/>
      <c r="B2087" s="269"/>
      <c r="C2087" s="269"/>
      <c r="D2087" s="269"/>
      <c r="E2087" s="269"/>
      <c r="F2087" s="269"/>
      <c r="G2087" s="269"/>
      <c r="H2087" s="269"/>
      <c r="I2087" s="269"/>
      <c r="J2087" s="334"/>
      <c r="K2087" s="334"/>
      <c r="L2087" s="334"/>
      <c r="M2087" s="328"/>
      <c r="N2087" s="328"/>
      <c r="S2087" s="336"/>
      <c r="T2087" s="62" ph="1"/>
      <c r="V2087" s="232"/>
      <c r="W2087" s="269"/>
      <c r="X2087" s="201"/>
      <c r="Y2087" s="269"/>
      <c r="Z2087" s="269"/>
      <c r="AA2087" s="269"/>
      <c r="AB2087" s="269"/>
      <c r="AC2087" s="269"/>
      <c r="AD2087" s="269"/>
      <c r="AE2087" s="269"/>
    </row>
    <row r="2088" spans="1:31" ht="26.25">
      <c r="A2088" s="269"/>
      <c r="B2088" s="269"/>
      <c r="C2088" s="269"/>
      <c r="D2088" s="269"/>
      <c r="E2088" s="269"/>
      <c r="F2088" s="269"/>
      <c r="G2088" s="269"/>
      <c r="H2088" s="269"/>
      <c r="I2088" s="269"/>
      <c r="J2088" s="334"/>
      <c r="K2088" s="334"/>
      <c r="L2088" s="334"/>
      <c r="M2088" s="328"/>
      <c r="N2088" s="328"/>
      <c r="S2088" s="336"/>
      <c r="T2088" s="62" ph="1"/>
      <c r="V2088" s="232"/>
      <c r="W2088" s="269"/>
      <c r="X2088" s="201"/>
      <c r="Y2088" s="269"/>
      <c r="Z2088" s="269"/>
      <c r="AA2088" s="269"/>
      <c r="AB2088" s="269"/>
      <c r="AC2088" s="269"/>
      <c r="AD2088" s="269"/>
      <c r="AE2088" s="269"/>
    </row>
    <row r="2089" spans="1:31" ht="26.25">
      <c r="A2089" s="269"/>
      <c r="B2089" s="269"/>
      <c r="C2089" s="269"/>
      <c r="D2089" s="269"/>
      <c r="E2089" s="269"/>
      <c r="F2089" s="269"/>
      <c r="G2089" s="269"/>
      <c r="H2089" s="269"/>
      <c r="I2089" s="269"/>
      <c r="J2089" s="334"/>
      <c r="K2089" s="334"/>
      <c r="L2089" s="334"/>
      <c r="M2089" s="328"/>
      <c r="N2089" s="328"/>
      <c r="S2089" s="336"/>
      <c r="T2089" s="62" ph="1"/>
      <c r="V2089" s="232"/>
      <c r="W2089" s="269"/>
      <c r="X2089" s="201"/>
      <c r="Y2089" s="269"/>
      <c r="Z2089" s="269"/>
      <c r="AA2089" s="269"/>
      <c r="AB2089" s="269"/>
      <c r="AC2089" s="269"/>
      <c r="AD2089" s="269"/>
      <c r="AE2089" s="269"/>
    </row>
    <row r="2090" spans="1:31" ht="26.25">
      <c r="A2090" s="269"/>
      <c r="B2090" s="269"/>
      <c r="C2090" s="269"/>
      <c r="D2090" s="269"/>
      <c r="E2090" s="269"/>
      <c r="F2090" s="269"/>
      <c r="G2090" s="269"/>
      <c r="H2090" s="269"/>
      <c r="I2090" s="269"/>
      <c r="J2090" s="334"/>
      <c r="K2090" s="334"/>
      <c r="L2090" s="334"/>
      <c r="M2090" s="328"/>
      <c r="N2090" s="328"/>
      <c r="S2090" s="336"/>
      <c r="T2090" s="62" ph="1"/>
      <c r="V2090" s="232"/>
      <c r="W2090" s="269"/>
      <c r="X2090" s="201"/>
      <c r="Y2090" s="269"/>
      <c r="Z2090" s="269"/>
      <c r="AA2090" s="269"/>
      <c r="AB2090" s="269"/>
      <c r="AC2090" s="269"/>
      <c r="AD2090" s="269"/>
      <c r="AE2090" s="269"/>
    </row>
    <row r="2091" spans="1:31" ht="26.25">
      <c r="A2091" s="269"/>
      <c r="B2091" s="269"/>
      <c r="C2091" s="269"/>
      <c r="D2091" s="269"/>
      <c r="E2091" s="269"/>
      <c r="F2091" s="269"/>
      <c r="G2091" s="269"/>
      <c r="H2091" s="269"/>
      <c r="I2091" s="269"/>
      <c r="J2091" s="334"/>
      <c r="K2091" s="334"/>
      <c r="L2091" s="334"/>
      <c r="M2091" s="328"/>
      <c r="N2091" s="328"/>
      <c r="S2091" s="336"/>
      <c r="T2091" s="62" ph="1"/>
      <c r="V2091" s="232"/>
      <c r="W2091" s="269"/>
      <c r="X2091" s="201"/>
      <c r="Y2091" s="269"/>
      <c r="Z2091" s="269"/>
      <c r="AA2091" s="269"/>
      <c r="AB2091" s="269"/>
      <c r="AC2091" s="269"/>
      <c r="AD2091" s="269"/>
      <c r="AE2091" s="269"/>
    </row>
    <row r="2092" spans="1:31" ht="26.25">
      <c r="A2092" s="269"/>
      <c r="B2092" s="269"/>
      <c r="C2092" s="269"/>
      <c r="D2092" s="269"/>
      <c r="E2092" s="269"/>
      <c r="F2092" s="269"/>
      <c r="G2092" s="269"/>
      <c r="H2092" s="269"/>
      <c r="I2092" s="269"/>
      <c r="J2092" s="334"/>
      <c r="K2092" s="334"/>
      <c r="L2092" s="334"/>
      <c r="M2092" s="328"/>
      <c r="N2092" s="328"/>
      <c r="S2092" s="336"/>
      <c r="T2092" s="62" ph="1"/>
      <c r="V2092" s="232"/>
      <c r="W2092" s="269"/>
      <c r="X2092" s="201"/>
      <c r="Y2092" s="269"/>
      <c r="Z2092" s="269"/>
      <c r="AA2092" s="269"/>
      <c r="AB2092" s="269"/>
      <c r="AC2092" s="269"/>
      <c r="AD2092" s="269"/>
      <c r="AE2092" s="269"/>
    </row>
    <row r="2093" spans="1:31" ht="26.25">
      <c r="A2093" s="269"/>
      <c r="B2093" s="269"/>
      <c r="C2093" s="269"/>
      <c r="D2093" s="269"/>
      <c r="E2093" s="269"/>
      <c r="F2093" s="269"/>
      <c r="G2093" s="269"/>
      <c r="H2093" s="269"/>
      <c r="I2093" s="269"/>
      <c r="J2093" s="334"/>
      <c r="K2093" s="334"/>
      <c r="L2093" s="334"/>
      <c r="M2093" s="328"/>
      <c r="N2093" s="328"/>
      <c r="S2093" s="336"/>
      <c r="T2093" s="62" ph="1"/>
      <c r="V2093" s="232"/>
      <c r="W2093" s="269"/>
      <c r="X2093" s="201"/>
      <c r="Y2093" s="269"/>
      <c r="Z2093" s="269"/>
      <c r="AA2093" s="269"/>
      <c r="AB2093" s="269"/>
      <c r="AC2093" s="269"/>
      <c r="AD2093" s="269"/>
      <c r="AE2093" s="269"/>
    </row>
    <row r="2094" spans="1:31" ht="26.25">
      <c r="A2094" s="269"/>
      <c r="B2094" s="269"/>
      <c r="C2094" s="269"/>
      <c r="D2094" s="269"/>
      <c r="E2094" s="269"/>
      <c r="F2094" s="269"/>
      <c r="G2094" s="269"/>
      <c r="H2094" s="269"/>
      <c r="I2094" s="269"/>
      <c r="J2094" s="334"/>
      <c r="K2094" s="334"/>
      <c r="L2094" s="334"/>
      <c r="M2094" s="328"/>
      <c r="N2094" s="328"/>
      <c r="S2094" s="336"/>
      <c r="T2094" s="62" ph="1"/>
      <c r="V2094" s="232"/>
      <c r="W2094" s="269"/>
      <c r="X2094" s="201"/>
      <c r="Y2094" s="269"/>
      <c r="Z2094" s="269"/>
      <c r="AA2094" s="269"/>
      <c r="AB2094" s="269"/>
      <c r="AC2094" s="269"/>
      <c r="AD2094" s="269"/>
      <c r="AE2094" s="269"/>
    </row>
    <row r="2095" spans="1:31" ht="26.25">
      <c r="A2095" s="269"/>
      <c r="B2095" s="269"/>
      <c r="C2095" s="269"/>
      <c r="D2095" s="269"/>
      <c r="E2095" s="269"/>
      <c r="F2095" s="269"/>
      <c r="G2095" s="269"/>
      <c r="H2095" s="269"/>
      <c r="I2095" s="269"/>
      <c r="J2095" s="334"/>
      <c r="K2095" s="334"/>
      <c r="L2095" s="334"/>
      <c r="M2095" s="328"/>
      <c r="N2095" s="328"/>
      <c r="S2095" s="336"/>
      <c r="T2095" s="62" ph="1"/>
      <c r="V2095" s="232"/>
      <c r="W2095" s="269"/>
      <c r="X2095" s="201"/>
      <c r="Y2095" s="269"/>
      <c r="Z2095" s="269"/>
      <c r="AA2095" s="269"/>
      <c r="AB2095" s="269"/>
      <c r="AC2095" s="269"/>
      <c r="AD2095" s="269"/>
      <c r="AE2095" s="269"/>
    </row>
    <row r="2096" spans="1:31" ht="26.25">
      <c r="A2096" s="269"/>
      <c r="B2096" s="269"/>
      <c r="C2096" s="269"/>
      <c r="D2096" s="269"/>
      <c r="E2096" s="269"/>
      <c r="F2096" s="269"/>
      <c r="G2096" s="269"/>
      <c r="H2096" s="269"/>
      <c r="I2096" s="269"/>
      <c r="J2096" s="334"/>
      <c r="K2096" s="334"/>
      <c r="L2096" s="334"/>
      <c r="M2096" s="328"/>
      <c r="N2096" s="328"/>
      <c r="S2096" s="336"/>
      <c r="T2096" s="62" ph="1"/>
      <c r="V2096" s="232"/>
      <c r="W2096" s="269"/>
      <c r="X2096" s="201"/>
      <c r="Y2096" s="269"/>
      <c r="Z2096" s="269"/>
      <c r="AA2096" s="269"/>
      <c r="AB2096" s="269"/>
      <c r="AC2096" s="269"/>
      <c r="AD2096" s="269"/>
      <c r="AE2096" s="269"/>
    </row>
    <row r="2097" spans="1:31" ht="26.25">
      <c r="A2097" s="269"/>
      <c r="B2097" s="269"/>
      <c r="C2097" s="269"/>
      <c r="D2097" s="269"/>
      <c r="E2097" s="269"/>
      <c r="F2097" s="269"/>
      <c r="G2097" s="269"/>
      <c r="H2097" s="269"/>
      <c r="I2097" s="269"/>
      <c r="J2097" s="334"/>
      <c r="K2097" s="334"/>
      <c r="L2097" s="334"/>
      <c r="M2097" s="328"/>
      <c r="N2097" s="328"/>
      <c r="S2097" s="336"/>
      <c r="T2097" s="62" ph="1"/>
      <c r="V2097" s="232"/>
      <c r="W2097" s="269"/>
      <c r="X2097" s="201"/>
      <c r="Y2097" s="269"/>
      <c r="Z2097" s="269"/>
      <c r="AA2097" s="269"/>
      <c r="AB2097" s="269"/>
      <c r="AC2097" s="269"/>
      <c r="AD2097" s="269"/>
      <c r="AE2097" s="269"/>
    </row>
    <row r="2098" spans="1:31" ht="26.25">
      <c r="A2098" s="269"/>
      <c r="B2098" s="269"/>
      <c r="C2098" s="269"/>
      <c r="D2098" s="269"/>
      <c r="E2098" s="269"/>
      <c r="F2098" s="269"/>
      <c r="G2098" s="269"/>
      <c r="H2098" s="269"/>
      <c r="I2098" s="269"/>
      <c r="J2098" s="334"/>
      <c r="K2098" s="334"/>
      <c r="L2098" s="334"/>
      <c r="M2098" s="328"/>
      <c r="N2098" s="328"/>
      <c r="S2098" s="336"/>
      <c r="T2098" s="62" ph="1"/>
      <c r="V2098" s="232"/>
      <c r="W2098" s="269"/>
      <c r="X2098" s="201"/>
      <c r="Y2098" s="269"/>
      <c r="Z2098" s="269"/>
      <c r="AA2098" s="269"/>
      <c r="AB2098" s="269"/>
      <c r="AC2098" s="269"/>
      <c r="AD2098" s="269"/>
      <c r="AE2098" s="269"/>
    </row>
    <row r="2099" spans="1:31" ht="26.25">
      <c r="A2099" s="269"/>
      <c r="B2099" s="269"/>
      <c r="C2099" s="269"/>
      <c r="D2099" s="269"/>
      <c r="E2099" s="269"/>
      <c r="F2099" s="269"/>
      <c r="G2099" s="269"/>
      <c r="H2099" s="269"/>
      <c r="I2099" s="269"/>
      <c r="J2099" s="334"/>
      <c r="K2099" s="334"/>
      <c r="L2099" s="334"/>
      <c r="M2099" s="328"/>
      <c r="N2099" s="328"/>
      <c r="S2099" s="336"/>
      <c r="T2099" s="62" ph="1"/>
      <c r="V2099" s="232"/>
      <c r="W2099" s="269"/>
      <c r="X2099" s="201"/>
      <c r="Y2099" s="269"/>
      <c r="Z2099" s="269"/>
      <c r="AA2099" s="269"/>
      <c r="AB2099" s="269"/>
      <c r="AC2099" s="269"/>
      <c r="AD2099" s="269"/>
      <c r="AE2099" s="269"/>
    </row>
    <row r="2100" spans="1:31" ht="26.25">
      <c r="A2100" s="269"/>
      <c r="B2100" s="269"/>
      <c r="C2100" s="269"/>
      <c r="D2100" s="269"/>
      <c r="E2100" s="269"/>
      <c r="F2100" s="269"/>
      <c r="G2100" s="269"/>
      <c r="H2100" s="269"/>
      <c r="I2100" s="269"/>
      <c r="J2100" s="334"/>
      <c r="K2100" s="334"/>
      <c r="L2100" s="334"/>
      <c r="M2100" s="328"/>
      <c r="N2100" s="328"/>
      <c r="S2100" s="336"/>
      <c r="T2100" s="62" ph="1"/>
      <c r="V2100" s="232"/>
      <c r="W2100" s="269"/>
      <c r="X2100" s="201"/>
      <c r="Y2100" s="269"/>
      <c r="Z2100" s="269"/>
      <c r="AA2100" s="269"/>
      <c r="AB2100" s="269"/>
      <c r="AC2100" s="269"/>
      <c r="AD2100" s="269"/>
      <c r="AE2100" s="269"/>
    </row>
    <row r="2101" spans="1:31" ht="26.25">
      <c r="A2101" s="269"/>
      <c r="B2101" s="269"/>
      <c r="C2101" s="269"/>
      <c r="D2101" s="269"/>
      <c r="E2101" s="269"/>
      <c r="F2101" s="269"/>
      <c r="G2101" s="269"/>
      <c r="H2101" s="269"/>
      <c r="I2101" s="269"/>
      <c r="J2101" s="334"/>
      <c r="K2101" s="334"/>
      <c r="L2101" s="334"/>
      <c r="M2101" s="328"/>
      <c r="N2101" s="328"/>
      <c r="S2101" s="336"/>
      <c r="T2101" s="62" ph="1"/>
      <c r="V2101" s="232"/>
      <c r="W2101" s="269"/>
      <c r="X2101" s="201"/>
      <c r="Y2101" s="269"/>
      <c r="Z2101" s="269"/>
      <c r="AA2101" s="269"/>
      <c r="AB2101" s="269"/>
      <c r="AC2101" s="269"/>
      <c r="AD2101" s="269"/>
      <c r="AE2101" s="269"/>
    </row>
    <row r="2102" spans="1:31" ht="26.25">
      <c r="A2102" s="269"/>
      <c r="B2102" s="269"/>
      <c r="C2102" s="269"/>
      <c r="D2102" s="269"/>
      <c r="E2102" s="269"/>
      <c r="F2102" s="269"/>
      <c r="G2102" s="269"/>
      <c r="H2102" s="269"/>
      <c r="I2102" s="269"/>
      <c r="J2102" s="334"/>
      <c r="K2102" s="334"/>
      <c r="L2102" s="334"/>
      <c r="M2102" s="328"/>
      <c r="N2102" s="328"/>
      <c r="S2102" s="336"/>
      <c r="T2102" s="62" ph="1"/>
      <c r="V2102" s="232"/>
      <c r="W2102" s="269"/>
      <c r="X2102" s="201"/>
      <c r="Y2102" s="269"/>
      <c r="Z2102" s="269"/>
      <c r="AA2102" s="269"/>
      <c r="AB2102" s="269"/>
      <c r="AC2102" s="269"/>
      <c r="AD2102" s="269"/>
      <c r="AE2102" s="269"/>
    </row>
    <row r="2103" spans="1:31" ht="26.25">
      <c r="A2103" s="269"/>
      <c r="B2103" s="269"/>
      <c r="C2103" s="269"/>
      <c r="D2103" s="269"/>
      <c r="E2103" s="269"/>
      <c r="F2103" s="269"/>
      <c r="G2103" s="269"/>
      <c r="H2103" s="269"/>
      <c r="I2103" s="269"/>
      <c r="J2103" s="334"/>
      <c r="K2103" s="334"/>
      <c r="L2103" s="334"/>
      <c r="M2103" s="328"/>
      <c r="N2103" s="328"/>
      <c r="S2103" s="336"/>
      <c r="T2103" s="62" ph="1"/>
      <c r="V2103" s="232"/>
      <c r="W2103" s="269"/>
      <c r="X2103" s="201"/>
      <c r="Y2103" s="269"/>
      <c r="Z2103" s="269"/>
      <c r="AA2103" s="269"/>
      <c r="AB2103" s="269"/>
      <c r="AC2103" s="269"/>
      <c r="AD2103" s="269"/>
      <c r="AE2103" s="269"/>
    </row>
    <row r="2104" spans="1:31" ht="26.25">
      <c r="A2104" s="269"/>
      <c r="B2104" s="269"/>
      <c r="C2104" s="269"/>
      <c r="D2104" s="269"/>
      <c r="E2104" s="269"/>
      <c r="F2104" s="269"/>
      <c r="G2104" s="269"/>
      <c r="H2104" s="269"/>
      <c r="I2104" s="269"/>
      <c r="J2104" s="334"/>
      <c r="K2104" s="334"/>
      <c r="L2104" s="334"/>
      <c r="M2104" s="328"/>
      <c r="N2104" s="328"/>
      <c r="S2104" s="336"/>
      <c r="T2104" s="62" ph="1"/>
      <c r="V2104" s="232"/>
      <c r="W2104" s="269"/>
      <c r="X2104" s="201"/>
      <c r="Y2104" s="269"/>
      <c r="Z2104" s="269"/>
      <c r="AA2104" s="269"/>
      <c r="AB2104" s="269"/>
      <c r="AC2104" s="269"/>
      <c r="AD2104" s="269"/>
      <c r="AE2104" s="269"/>
    </row>
    <row r="2105" spans="1:31" ht="26.25">
      <c r="A2105" s="269"/>
      <c r="B2105" s="269"/>
      <c r="C2105" s="269"/>
      <c r="D2105" s="269"/>
      <c r="E2105" s="269"/>
      <c r="F2105" s="269"/>
      <c r="G2105" s="269"/>
      <c r="H2105" s="269"/>
      <c r="I2105" s="269"/>
      <c r="J2105" s="334"/>
      <c r="K2105" s="334"/>
      <c r="L2105" s="334"/>
      <c r="M2105" s="328"/>
      <c r="N2105" s="328"/>
      <c r="S2105" s="336"/>
      <c r="T2105" s="62" ph="1"/>
      <c r="V2105" s="232"/>
      <c r="W2105" s="269"/>
      <c r="X2105" s="201"/>
      <c r="Y2105" s="269"/>
      <c r="Z2105" s="269"/>
      <c r="AA2105" s="269"/>
      <c r="AB2105" s="269"/>
      <c r="AC2105" s="269"/>
      <c r="AD2105" s="269"/>
      <c r="AE2105" s="269"/>
    </row>
    <row r="2106" spans="1:31" ht="26.25">
      <c r="A2106" s="269"/>
      <c r="B2106" s="269"/>
      <c r="C2106" s="269"/>
      <c r="D2106" s="269"/>
      <c r="E2106" s="269"/>
      <c r="F2106" s="269"/>
      <c r="G2106" s="269"/>
      <c r="H2106" s="269"/>
      <c r="I2106" s="269"/>
      <c r="J2106" s="334"/>
      <c r="K2106" s="334"/>
      <c r="L2106" s="334"/>
      <c r="M2106" s="328"/>
      <c r="N2106" s="328"/>
      <c r="S2106" s="336"/>
      <c r="T2106" s="62" ph="1"/>
      <c r="V2106" s="232"/>
      <c r="W2106" s="269"/>
      <c r="X2106" s="201"/>
      <c r="Y2106" s="269"/>
      <c r="Z2106" s="269"/>
      <c r="AA2106" s="269"/>
      <c r="AB2106" s="269"/>
      <c r="AC2106" s="269"/>
      <c r="AD2106" s="269"/>
      <c r="AE2106" s="269"/>
    </row>
    <row r="2107" spans="1:31" ht="26.25">
      <c r="A2107" s="269"/>
      <c r="B2107" s="269"/>
      <c r="C2107" s="269"/>
      <c r="D2107" s="269"/>
      <c r="E2107" s="269"/>
      <c r="F2107" s="269"/>
      <c r="G2107" s="269"/>
      <c r="H2107" s="269"/>
      <c r="I2107" s="269"/>
      <c r="J2107" s="334"/>
      <c r="K2107" s="334"/>
      <c r="L2107" s="334"/>
      <c r="M2107" s="328"/>
      <c r="N2107" s="328"/>
      <c r="S2107" s="336"/>
      <c r="T2107" s="62" ph="1"/>
      <c r="V2107" s="232"/>
      <c r="W2107" s="269"/>
      <c r="X2107" s="201"/>
      <c r="Y2107" s="269"/>
      <c r="Z2107" s="269"/>
      <c r="AA2107" s="269"/>
      <c r="AB2107" s="269"/>
      <c r="AC2107" s="269"/>
      <c r="AD2107" s="269"/>
      <c r="AE2107" s="269"/>
    </row>
    <row r="2108" spans="1:31" ht="26.25">
      <c r="A2108" s="269"/>
      <c r="B2108" s="269"/>
      <c r="C2108" s="269"/>
      <c r="D2108" s="269"/>
      <c r="E2108" s="269"/>
      <c r="F2108" s="269"/>
      <c r="G2108" s="269"/>
      <c r="H2108" s="269"/>
      <c r="I2108" s="269"/>
      <c r="J2108" s="334"/>
      <c r="K2108" s="334"/>
      <c r="L2108" s="334"/>
      <c r="M2108" s="328"/>
      <c r="N2108" s="328"/>
      <c r="S2108" s="336"/>
      <c r="T2108" s="62" ph="1"/>
      <c r="V2108" s="232"/>
      <c r="W2108" s="269"/>
      <c r="X2108" s="201"/>
      <c r="Y2108" s="269"/>
      <c r="Z2108" s="269"/>
      <c r="AA2108" s="269"/>
      <c r="AB2108" s="269"/>
      <c r="AC2108" s="269"/>
      <c r="AD2108" s="269"/>
      <c r="AE2108" s="269"/>
    </row>
    <row r="2109" spans="1:31" ht="26.25">
      <c r="A2109" s="269"/>
      <c r="B2109" s="269"/>
      <c r="C2109" s="269"/>
      <c r="D2109" s="269"/>
      <c r="E2109" s="269"/>
      <c r="F2109" s="269"/>
      <c r="G2109" s="269"/>
      <c r="H2109" s="269"/>
      <c r="I2109" s="269"/>
      <c r="J2109" s="334"/>
      <c r="K2109" s="334"/>
      <c r="L2109" s="334"/>
      <c r="M2109" s="328"/>
      <c r="N2109" s="328"/>
      <c r="S2109" s="336"/>
      <c r="T2109" s="62" ph="1"/>
      <c r="V2109" s="232"/>
      <c r="W2109" s="269"/>
      <c r="X2109" s="201"/>
      <c r="Y2109" s="269"/>
      <c r="Z2109" s="269"/>
      <c r="AA2109" s="269"/>
      <c r="AB2109" s="269"/>
      <c r="AC2109" s="269"/>
      <c r="AD2109" s="269"/>
      <c r="AE2109" s="269"/>
    </row>
    <row r="2110" spans="1:31" ht="26.25">
      <c r="A2110" s="269"/>
      <c r="B2110" s="269"/>
      <c r="C2110" s="269"/>
      <c r="D2110" s="269"/>
      <c r="E2110" s="269"/>
      <c r="F2110" s="269"/>
      <c r="G2110" s="269"/>
      <c r="H2110" s="269"/>
      <c r="I2110" s="269"/>
      <c r="J2110" s="334"/>
      <c r="K2110" s="334"/>
      <c r="L2110" s="334"/>
      <c r="M2110" s="328"/>
      <c r="N2110" s="328"/>
      <c r="S2110" s="336"/>
      <c r="T2110" s="62" ph="1"/>
      <c r="V2110" s="232"/>
      <c r="W2110" s="269"/>
      <c r="X2110" s="201"/>
      <c r="Y2110" s="269"/>
      <c r="Z2110" s="269"/>
      <c r="AA2110" s="269"/>
      <c r="AB2110" s="269"/>
      <c r="AC2110" s="269"/>
      <c r="AD2110" s="269"/>
      <c r="AE2110" s="269"/>
    </row>
    <row r="2111" spans="1:31" ht="26.25">
      <c r="A2111" s="269"/>
      <c r="B2111" s="269"/>
      <c r="C2111" s="269"/>
      <c r="D2111" s="269"/>
      <c r="E2111" s="269"/>
      <c r="F2111" s="269"/>
      <c r="G2111" s="269"/>
      <c r="H2111" s="269"/>
      <c r="I2111" s="269"/>
      <c r="J2111" s="334"/>
      <c r="K2111" s="334"/>
      <c r="L2111" s="334"/>
      <c r="M2111" s="328"/>
      <c r="N2111" s="328"/>
      <c r="S2111" s="336"/>
      <c r="T2111" s="62" ph="1"/>
      <c r="V2111" s="232"/>
      <c r="W2111" s="269"/>
      <c r="X2111" s="201"/>
      <c r="Y2111" s="269"/>
      <c r="Z2111" s="269"/>
      <c r="AA2111" s="269"/>
      <c r="AB2111" s="269"/>
      <c r="AC2111" s="269"/>
      <c r="AD2111" s="269"/>
      <c r="AE2111" s="269"/>
    </row>
    <row r="2112" spans="1:31" ht="26.25">
      <c r="A2112" s="269"/>
      <c r="B2112" s="269"/>
      <c r="C2112" s="269"/>
      <c r="D2112" s="269"/>
      <c r="E2112" s="269"/>
      <c r="F2112" s="269"/>
      <c r="G2112" s="269"/>
      <c r="H2112" s="269"/>
      <c r="I2112" s="269"/>
      <c r="J2112" s="334"/>
      <c r="K2112" s="334"/>
      <c r="L2112" s="334"/>
      <c r="M2112" s="328"/>
      <c r="N2112" s="328"/>
      <c r="S2112" s="336"/>
      <c r="T2112" s="62" ph="1"/>
      <c r="V2112" s="232"/>
      <c r="W2112" s="269"/>
      <c r="X2112" s="201"/>
      <c r="Y2112" s="269"/>
      <c r="Z2112" s="269"/>
      <c r="AA2112" s="269"/>
      <c r="AB2112" s="269"/>
      <c r="AC2112" s="269"/>
      <c r="AD2112" s="269"/>
      <c r="AE2112" s="269"/>
    </row>
    <row r="2113" spans="1:31" ht="26.25">
      <c r="A2113" s="269"/>
      <c r="B2113" s="269"/>
      <c r="C2113" s="269"/>
      <c r="D2113" s="269"/>
      <c r="E2113" s="269"/>
      <c r="F2113" s="269"/>
      <c r="G2113" s="269"/>
      <c r="H2113" s="269"/>
      <c r="I2113" s="269"/>
      <c r="J2113" s="334"/>
      <c r="K2113" s="334"/>
      <c r="L2113" s="334"/>
      <c r="M2113" s="328"/>
      <c r="N2113" s="328"/>
      <c r="S2113" s="336"/>
      <c r="T2113" s="62" ph="1"/>
      <c r="V2113" s="232"/>
      <c r="W2113" s="269"/>
      <c r="X2113" s="201"/>
      <c r="Y2113" s="269"/>
      <c r="Z2113" s="269"/>
      <c r="AA2113" s="269"/>
      <c r="AB2113" s="269"/>
      <c r="AC2113" s="269"/>
      <c r="AD2113" s="269"/>
      <c r="AE2113" s="269"/>
    </row>
    <row r="2114" spans="1:31" ht="26.25">
      <c r="A2114" s="269"/>
      <c r="B2114" s="269"/>
      <c r="C2114" s="269"/>
      <c r="D2114" s="269"/>
      <c r="E2114" s="269"/>
      <c r="F2114" s="269"/>
      <c r="G2114" s="269"/>
      <c r="H2114" s="269"/>
      <c r="I2114" s="269"/>
      <c r="J2114" s="334"/>
      <c r="K2114" s="334"/>
      <c r="L2114" s="334"/>
      <c r="M2114" s="328"/>
      <c r="N2114" s="328"/>
      <c r="S2114" s="336"/>
      <c r="T2114" s="62" ph="1"/>
      <c r="V2114" s="232"/>
      <c r="W2114" s="269"/>
      <c r="X2114" s="201"/>
      <c r="Y2114" s="269"/>
      <c r="Z2114" s="269"/>
      <c r="AA2114" s="269"/>
      <c r="AB2114" s="269"/>
      <c r="AC2114" s="269"/>
      <c r="AD2114" s="269"/>
      <c r="AE2114" s="269"/>
    </row>
    <row r="2115" spans="1:31" ht="26.25">
      <c r="A2115" s="269"/>
      <c r="B2115" s="269"/>
      <c r="C2115" s="269"/>
      <c r="D2115" s="269"/>
      <c r="E2115" s="269"/>
      <c r="F2115" s="269"/>
      <c r="G2115" s="269"/>
      <c r="H2115" s="269"/>
      <c r="I2115" s="269"/>
      <c r="J2115" s="334"/>
      <c r="K2115" s="334"/>
      <c r="L2115" s="334"/>
      <c r="M2115" s="328"/>
      <c r="N2115" s="328"/>
      <c r="S2115" s="336"/>
      <c r="T2115" s="62" ph="1"/>
      <c r="V2115" s="232"/>
      <c r="W2115" s="269"/>
      <c r="X2115" s="201"/>
      <c r="Y2115" s="269"/>
      <c r="Z2115" s="269"/>
      <c r="AA2115" s="269"/>
      <c r="AB2115" s="269"/>
      <c r="AC2115" s="269"/>
      <c r="AD2115" s="269"/>
      <c r="AE2115" s="269"/>
    </row>
    <row r="2116" spans="1:31" ht="26.25">
      <c r="A2116" s="269"/>
      <c r="B2116" s="269"/>
      <c r="C2116" s="269"/>
      <c r="D2116" s="269"/>
      <c r="E2116" s="269"/>
      <c r="F2116" s="269"/>
      <c r="G2116" s="269"/>
      <c r="H2116" s="269"/>
      <c r="I2116" s="269"/>
      <c r="J2116" s="334"/>
      <c r="K2116" s="334"/>
      <c r="L2116" s="334"/>
      <c r="M2116" s="328"/>
      <c r="N2116" s="328"/>
      <c r="S2116" s="336"/>
      <c r="T2116" s="62" ph="1"/>
      <c r="V2116" s="232"/>
      <c r="W2116" s="269"/>
      <c r="X2116" s="201"/>
      <c r="Y2116" s="269"/>
      <c r="Z2116" s="269"/>
      <c r="AA2116" s="269"/>
      <c r="AB2116" s="269"/>
      <c r="AC2116" s="269"/>
      <c r="AD2116" s="269"/>
      <c r="AE2116" s="269"/>
    </row>
    <row r="2117" spans="1:31" ht="26.25">
      <c r="A2117" s="269"/>
      <c r="B2117" s="269"/>
      <c r="C2117" s="269"/>
      <c r="D2117" s="269"/>
      <c r="E2117" s="269"/>
      <c r="F2117" s="269"/>
      <c r="G2117" s="269"/>
      <c r="H2117" s="269"/>
      <c r="I2117" s="269"/>
      <c r="J2117" s="334"/>
      <c r="K2117" s="334"/>
      <c r="L2117" s="334"/>
      <c r="M2117" s="328"/>
      <c r="N2117" s="328"/>
      <c r="S2117" s="336"/>
      <c r="T2117" s="62" ph="1"/>
      <c r="V2117" s="232"/>
      <c r="W2117" s="269"/>
      <c r="X2117" s="201"/>
      <c r="Y2117" s="269"/>
      <c r="Z2117" s="269"/>
      <c r="AA2117" s="269"/>
      <c r="AB2117" s="269"/>
      <c r="AC2117" s="269"/>
      <c r="AD2117" s="269"/>
      <c r="AE2117" s="269"/>
    </row>
    <row r="2118" spans="1:31" ht="26.25">
      <c r="A2118" s="269"/>
      <c r="B2118" s="269"/>
      <c r="C2118" s="269"/>
      <c r="D2118" s="269"/>
      <c r="E2118" s="269"/>
      <c r="F2118" s="269"/>
      <c r="G2118" s="269"/>
      <c r="H2118" s="269"/>
      <c r="I2118" s="269"/>
      <c r="J2118" s="334"/>
      <c r="K2118" s="334"/>
      <c r="L2118" s="334"/>
      <c r="M2118" s="328"/>
      <c r="N2118" s="328"/>
      <c r="S2118" s="336"/>
      <c r="T2118" s="62" ph="1"/>
      <c r="V2118" s="232"/>
      <c r="W2118" s="269"/>
      <c r="X2118" s="201"/>
      <c r="Y2118" s="269"/>
      <c r="Z2118" s="269"/>
      <c r="AA2118" s="269"/>
      <c r="AB2118" s="269"/>
      <c r="AC2118" s="269"/>
      <c r="AD2118" s="269"/>
      <c r="AE2118" s="269"/>
    </row>
    <row r="2119" spans="1:31" ht="26.25">
      <c r="A2119" s="269"/>
      <c r="B2119" s="269"/>
      <c r="C2119" s="269"/>
      <c r="D2119" s="269"/>
      <c r="E2119" s="269"/>
      <c r="F2119" s="269"/>
      <c r="G2119" s="269"/>
      <c r="H2119" s="269"/>
      <c r="I2119" s="269"/>
      <c r="J2119" s="334"/>
      <c r="K2119" s="334"/>
      <c r="L2119" s="334"/>
      <c r="M2119" s="328"/>
      <c r="N2119" s="328"/>
      <c r="S2119" s="336"/>
      <c r="T2119" s="62" ph="1"/>
      <c r="V2119" s="232"/>
      <c r="W2119" s="269"/>
      <c r="X2119" s="201"/>
      <c r="Y2119" s="269"/>
      <c r="Z2119" s="269"/>
      <c r="AA2119" s="269"/>
      <c r="AB2119" s="269"/>
      <c r="AC2119" s="269"/>
      <c r="AD2119" s="269"/>
      <c r="AE2119" s="269"/>
    </row>
    <row r="2120" spans="1:31" ht="26.25">
      <c r="A2120" s="269"/>
      <c r="B2120" s="269"/>
      <c r="C2120" s="269"/>
      <c r="D2120" s="269"/>
      <c r="E2120" s="269"/>
      <c r="F2120" s="269"/>
      <c r="G2120" s="269"/>
      <c r="H2120" s="269"/>
      <c r="I2120" s="269"/>
      <c r="J2120" s="334"/>
      <c r="K2120" s="334"/>
      <c r="L2120" s="334"/>
      <c r="M2120" s="328"/>
      <c r="N2120" s="328"/>
      <c r="S2120" s="336"/>
      <c r="T2120" s="62" ph="1"/>
      <c r="V2120" s="232"/>
      <c r="W2120" s="269"/>
      <c r="X2120" s="201"/>
      <c r="Y2120" s="269"/>
      <c r="Z2120" s="269"/>
      <c r="AA2120" s="269"/>
      <c r="AB2120" s="269"/>
      <c r="AC2120" s="269"/>
      <c r="AD2120" s="269"/>
      <c r="AE2120" s="269"/>
    </row>
    <row r="2121" spans="1:31" ht="26.25">
      <c r="A2121" s="269"/>
      <c r="B2121" s="269"/>
      <c r="C2121" s="269"/>
      <c r="D2121" s="269"/>
      <c r="E2121" s="269"/>
      <c r="F2121" s="269"/>
      <c r="G2121" s="269"/>
      <c r="H2121" s="269"/>
      <c r="I2121" s="269"/>
      <c r="J2121" s="334"/>
      <c r="K2121" s="334"/>
      <c r="L2121" s="334"/>
      <c r="M2121" s="328"/>
      <c r="N2121" s="328"/>
      <c r="S2121" s="336"/>
      <c r="T2121" s="62" ph="1"/>
      <c r="V2121" s="232"/>
      <c r="W2121" s="269"/>
      <c r="X2121" s="201"/>
      <c r="Y2121" s="269"/>
      <c r="Z2121" s="269"/>
      <c r="AA2121" s="269"/>
      <c r="AB2121" s="269"/>
      <c r="AC2121" s="269"/>
      <c r="AD2121" s="269"/>
      <c r="AE2121" s="269"/>
    </row>
    <row r="2122" spans="1:31" ht="26.25">
      <c r="A2122" s="269"/>
      <c r="B2122" s="269"/>
      <c r="C2122" s="269"/>
      <c r="D2122" s="269"/>
      <c r="E2122" s="269"/>
      <c r="F2122" s="269"/>
      <c r="G2122" s="269"/>
      <c r="H2122" s="269"/>
      <c r="I2122" s="269"/>
      <c r="J2122" s="334"/>
      <c r="K2122" s="334"/>
      <c r="L2122" s="334"/>
      <c r="M2122" s="328"/>
      <c r="N2122" s="328"/>
      <c r="S2122" s="336"/>
      <c r="T2122" s="62" ph="1"/>
      <c r="V2122" s="232"/>
      <c r="W2122" s="269"/>
      <c r="X2122" s="201"/>
      <c r="Y2122" s="269"/>
      <c r="Z2122" s="269"/>
      <c r="AA2122" s="269"/>
      <c r="AB2122" s="269"/>
      <c r="AC2122" s="269"/>
      <c r="AD2122" s="269"/>
      <c r="AE2122" s="269"/>
    </row>
    <row r="2123" spans="1:31" ht="26.25">
      <c r="A2123" s="269"/>
      <c r="B2123" s="269"/>
      <c r="C2123" s="269"/>
      <c r="D2123" s="269"/>
      <c r="E2123" s="269"/>
      <c r="F2123" s="269"/>
      <c r="G2123" s="269"/>
      <c r="H2123" s="269"/>
      <c r="I2123" s="269"/>
      <c r="J2123" s="334"/>
      <c r="K2123" s="334"/>
      <c r="L2123" s="334"/>
      <c r="M2123" s="328"/>
      <c r="N2123" s="328"/>
      <c r="S2123" s="336"/>
      <c r="T2123" s="62" ph="1"/>
      <c r="V2123" s="232"/>
      <c r="W2123" s="269"/>
      <c r="X2123" s="201"/>
      <c r="Y2123" s="269"/>
      <c r="Z2123" s="269"/>
      <c r="AA2123" s="269"/>
      <c r="AB2123" s="269"/>
      <c r="AC2123" s="269"/>
      <c r="AD2123" s="269"/>
      <c r="AE2123" s="269"/>
    </row>
    <row r="2124" spans="1:31" ht="26.25">
      <c r="A2124" s="269"/>
      <c r="B2124" s="269"/>
      <c r="C2124" s="269"/>
      <c r="D2124" s="269"/>
      <c r="E2124" s="269"/>
      <c r="F2124" s="269"/>
      <c r="G2124" s="269"/>
      <c r="H2124" s="269"/>
      <c r="I2124" s="269"/>
      <c r="J2124" s="334"/>
      <c r="K2124" s="334"/>
      <c r="L2124" s="334"/>
      <c r="M2124" s="328"/>
      <c r="N2124" s="328"/>
      <c r="S2124" s="336"/>
      <c r="T2124" s="62" ph="1"/>
      <c r="V2124" s="232"/>
      <c r="W2124" s="269"/>
      <c r="X2124" s="201"/>
      <c r="Y2124" s="269"/>
      <c r="Z2124" s="269"/>
      <c r="AA2124" s="269"/>
      <c r="AB2124" s="269"/>
      <c r="AC2124" s="269"/>
      <c r="AD2124" s="269"/>
      <c r="AE2124" s="269"/>
    </row>
    <row r="2125" spans="1:31" ht="26.25">
      <c r="A2125" s="269"/>
      <c r="B2125" s="269"/>
      <c r="C2125" s="269"/>
      <c r="D2125" s="269"/>
      <c r="E2125" s="269"/>
      <c r="F2125" s="269"/>
      <c r="G2125" s="269"/>
      <c r="H2125" s="269"/>
      <c r="I2125" s="269"/>
      <c r="J2125" s="334"/>
      <c r="K2125" s="334"/>
      <c r="L2125" s="334"/>
      <c r="M2125" s="328"/>
      <c r="N2125" s="328"/>
      <c r="S2125" s="336"/>
      <c r="T2125" s="62" ph="1"/>
      <c r="V2125" s="232"/>
      <c r="W2125" s="269"/>
      <c r="X2125" s="201"/>
      <c r="Y2125" s="269"/>
      <c r="Z2125" s="269"/>
      <c r="AA2125" s="269"/>
      <c r="AB2125" s="269"/>
      <c r="AC2125" s="269"/>
      <c r="AD2125" s="269"/>
      <c r="AE2125" s="269"/>
    </row>
    <row r="2126" spans="1:31" ht="26.25">
      <c r="A2126" s="269"/>
      <c r="B2126" s="269"/>
      <c r="C2126" s="269"/>
      <c r="D2126" s="269"/>
      <c r="E2126" s="269"/>
      <c r="F2126" s="269"/>
      <c r="G2126" s="269"/>
      <c r="H2126" s="269"/>
      <c r="I2126" s="269"/>
      <c r="J2126" s="334"/>
      <c r="K2126" s="334"/>
      <c r="L2126" s="334"/>
      <c r="M2126" s="328"/>
      <c r="N2126" s="328"/>
      <c r="S2126" s="336"/>
      <c r="T2126" s="62" ph="1"/>
      <c r="V2126" s="232"/>
      <c r="W2126" s="269"/>
      <c r="X2126" s="201"/>
      <c r="Y2126" s="269"/>
      <c r="Z2126" s="269"/>
      <c r="AA2126" s="269"/>
      <c r="AB2126" s="269"/>
      <c r="AC2126" s="269"/>
      <c r="AD2126" s="269"/>
      <c r="AE2126" s="269"/>
    </row>
    <row r="2127" spans="1:31" ht="26.25">
      <c r="A2127" s="269"/>
      <c r="B2127" s="269"/>
      <c r="C2127" s="269"/>
      <c r="D2127" s="269"/>
      <c r="E2127" s="269"/>
      <c r="F2127" s="269"/>
      <c r="G2127" s="269"/>
      <c r="H2127" s="269"/>
      <c r="I2127" s="269"/>
      <c r="J2127" s="334"/>
      <c r="K2127" s="334"/>
      <c r="L2127" s="334"/>
      <c r="M2127" s="328"/>
      <c r="N2127" s="328"/>
      <c r="S2127" s="336"/>
      <c r="T2127" s="62" ph="1"/>
      <c r="V2127" s="232"/>
      <c r="W2127" s="269"/>
      <c r="X2127" s="201"/>
      <c r="Y2127" s="269"/>
      <c r="Z2127" s="269"/>
      <c r="AA2127" s="269"/>
      <c r="AB2127" s="269"/>
      <c r="AC2127" s="269"/>
      <c r="AD2127" s="269"/>
      <c r="AE2127" s="269"/>
    </row>
    <row r="2128" spans="1:31" ht="26.25">
      <c r="A2128" s="269"/>
      <c r="B2128" s="269"/>
      <c r="C2128" s="269"/>
      <c r="D2128" s="269"/>
      <c r="E2128" s="269"/>
      <c r="F2128" s="269"/>
      <c r="G2128" s="269"/>
      <c r="H2128" s="269"/>
      <c r="I2128" s="269"/>
      <c r="J2128" s="334"/>
      <c r="K2128" s="334"/>
      <c r="L2128" s="334"/>
      <c r="M2128" s="328"/>
      <c r="N2128" s="328"/>
      <c r="S2128" s="336"/>
      <c r="T2128" s="62" ph="1"/>
      <c r="V2128" s="232"/>
      <c r="W2128" s="269"/>
      <c r="X2128" s="201"/>
      <c r="Y2128" s="269"/>
      <c r="Z2128" s="269"/>
      <c r="AA2128" s="269"/>
      <c r="AB2128" s="269"/>
      <c r="AC2128" s="269"/>
      <c r="AD2128" s="269"/>
      <c r="AE2128" s="269"/>
    </row>
    <row r="2129" spans="1:31" ht="26.25">
      <c r="A2129" s="269"/>
      <c r="B2129" s="269"/>
      <c r="C2129" s="269"/>
      <c r="D2129" s="269"/>
      <c r="E2129" s="269"/>
      <c r="F2129" s="269"/>
      <c r="G2129" s="269"/>
      <c r="H2129" s="269"/>
      <c r="I2129" s="269"/>
      <c r="J2129" s="334"/>
      <c r="K2129" s="334"/>
      <c r="L2129" s="334"/>
      <c r="M2129" s="328"/>
      <c r="N2129" s="328"/>
      <c r="S2129" s="336"/>
      <c r="T2129" s="62" ph="1"/>
      <c r="V2129" s="232"/>
      <c r="W2129" s="269"/>
      <c r="X2129" s="201"/>
      <c r="Y2129" s="269"/>
      <c r="Z2129" s="269"/>
      <c r="AA2129" s="269"/>
      <c r="AB2129" s="269"/>
      <c r="AC2129" s="269"/>
      <c r="AD2129" s="269"/>
      <c r="AE2129" s="269"/>
    </row>
    <row r="2130" spans="1:31" ht="26.25">
      <c r="A2130" s="269"/>
      <c r="B2130" s="269"/>
      <c r="C2130" s="269"/>
      <c r="D2130" s="269"/>
      <c r="E2130" s="269"/>
      <c r="F2130" s="269"/>
      <c r="G2130" s="269"/>
      <c r="H2130" s="269"/>
      <c r="I2130" s="269"/>
      <c r="J2130" s="334"/>
      <c r="K2130" s="334"/>
      <c r="L2130" s="334"/>
      <c r="M2130" s="328"/>
      <c r="N2130" s="328"/>
      <c r="S2130" s="336"/>
      <c r="T2130" s="62" ph="1"/>
      <c r="V2130" s="232"/>
      <c r="W2130" s="269"/>
      <c r="X2130" s="201"/>
      <c r="Y2130" s="269"/>
      <c r="Z2130" s="269"/>
      <c r="AA2130" s="269"/>
      <c r="AB2130" s="269"/>
      <c r="AC2130" s="269"/>
      <c r="AD2130" s="269"/>
      <c r="AE2130" s="269"/>
    </row>
    <row r="2131" spans="1:31" ht="26.25">
      <c r="A2131" s="269"/>
      <c r="B2131" s="269"/>
      <c r="C2131" s="269"/>
      <c r="D2131" s="269"/>
      <c r="E2131" s="269"/>
      <c r="F2131" s="269"/>
      <c r="G2131" s="269"/>
      <c r="H2131" s="269"/>
      <c r="I2131" s="269"/>
      <c r="J2131" s="334"/>
      <c r="K2131" s="334"/>
      <c r="L2131" s="334"/>
      <c r="M2131" s="328"/>
      <c r="N2131" s="328"/>
      <c r="S2131" s="336"/>
      <c r="T2131" s="62" ph="1"/>
      <c r="V2131" s="232"/>
      <c r="W2131" s="269"/>
      <c r="X2131" s="201"/>
      <c r="Y2131" s="269"/>
      <c r="Z2131" s="269"/>
      <c r="AA2131" s="269"/>
      <c r="AB2131" s="269"/>
      <c r="AC2131" s="269"/>
      <c r="AD2131" s="269"/>
      <c r="AE2131" s="269"/>
    </row>
    <row r="2132" spans="1:31" ht="26.25">
      <c r="A2132" s="269"/>
      <c r="B2132" s="269"/>
      <c r="C2132" s="269"/>
      <c r="D2132" s="269"/>
      <c r="E2132" s="269"/>
      <c r="F2132" s="269"/>
      <c r="G2132" s="269"/>
      <c r="H2132" s="269"/>
      <c r="I2132" s="269"/>
      <c r="J2132" s="334"/>
      <c r="K2132" s="334"/>
      <c r="L2132" s="334"/>
      <c r="M2132" s="328"/>
      <c r="N2132" s="328"/>
      <c r="S2132" s="336"/>
      <c r="T2132" s="62" ph="1"/>
      <c r="V2132" s="232"/>
      <c r="W2132" s="269"/>
      <c r="X2132" s="201"/>
      <c r="Y2132" s="269"/>
      <c r="Z2132" s="269"/>
      <c r="AA2132" s="269"/>
      <c r="AB2132" s="269"/>
      <c r="AC2132" s="269"/>
      <c r="AD2132" s="269"/>
      <c r="AE2132" s="269"/>
    </row>
    <row r="2133" spans="1:31" ht="26.25">
      <c r="A2133" s="269"/>
      <c r="B2133" s="269"/>
      <c r="C2133" s="269"/>
      <c r="D2133" s="269"/>
      <c r="E2133" s="269"/>
      <c r="F2133" s="269"/>
      <c r="G2133" s="269"/>
      <c r="H2133" s="269"/>
      <c r="I2133" s="269"/>
      <c r="J2133" s="334"/>
      <c r="K2133" s="334"/>
      <c r="L2133" s="334"/>
      <c r="M2133" s="328"/>
      <c r="N2133" s="328"/>
      <c r="S2133" s="336"/>
      <c r="T2133" s="62" ph="1"/>
      <c r="V2133" s="232"/>
      <c r="W2133" s="269"/>
      <c r="X2133" s="201"/>
      <c r="Y2133" s="269"/>
      <c r="Z2133" s="269"/>
      <c r="AA2133" s="269"/>
      <c r="AB2133" s="269"/>
      <c r="AC2133" s="269"/>
      <c r="AD2133" s="269"/>
      <c r="AE2133" s="269"/>
    </row>
    <row r="2134" spans="1:31" ht="26.25">
      <c r="A2134" s="269"/>
      <c r="B2134" s="269"/>
      <c r="C2134" s="269"/>
      <c r="D2134" s="269"/>
      <c r="E2134" s="269"/>
      <c r="F2134" s="269"/>
      <c r="G2134" s="269"/>
      <c r="H2134" s="269"/>
      <c r="I2134" s="269"/>
      <c r="J2134" s="334"/>
      <c r="K2134" s="334"/>
      <c r="L2134" s="334"/>
      <c r="M2134" s="328"/>
      <c r="N2134" s="328"/>
      <c r="S2134" s="336"/>
      <c r="T2134" s="62" ph="1"/>
      <c r="V2134" s="232"/>
      <c r="W2134" s="269"/>
      <c r="X2134" s="201"/>
      <c r="Y2134" s="269"/>
      <c r="Z2134" s="269"/>
      <c r="AA2134" s="269"/>
      <c r="AB2134" s="269"/>
      <c r="AC2134" s="269"/>
      <c r="AD2134" s="269"/>
      <c r="AE2134" s="269"/>
    </row>
    <row r="2135" spans="1:31" ht="26.25">
      <c r="A2135" s="269"/>
      <c r="B2135" s="269"/>
      <c r="C2135" s="269"/>
      <c r="D2135" s="269"/>
      <c r="E2135" s="269"/>
      <c r="F2135" s="269"/>
      <c r="G2135" s="269"/>
      <c r="H2135" s="269"/>
      <c r="I2135" s="269"/>
      <c r="J2135" s="334"/>
      <c r="K2135" s="334"/>
      <c r="L2135" s="334"/>
      <c r="M2135" s="328"/>
      <c r="N2135" s="328"/>
      <c r="S2135" s="336"/>
      <c r="T2135" s="62" ph="1"/>
      <c r="V2135" s="232"/>
      <c r="W2135" s="269"/>
      <c r="X2135" s="201"/>
      <c r="Y2135" s="269"/>
      <c r="Z2135" s="269"/>
      <c r="AA2135" s="269"/>
      <c r="AB2135" s="269"/>
      <c r="AC2135" s="269"/>
      <c r="AD2135" s="269"/>
      <c r="AE2135" s="269"/>
    </row>
    <row r="2136" spans="1:31" ht="26.25">
      <c r="A2136" s="269"/>
      <c r="B2136" s="269"/>
      <c r="C2136" s="269"/>
      <c r="D2136" s="269"/>
      <c r="E2136" s="269"/>
      <c r="F2136" s="269"/>
      <c r="G2136" s="269"/>
      <c r="H2136" s="269"/>
      <c r="I2136" s="269"/>
      <c r="J2136" s="334"/>
      <c r="K2136" s="334"/>
      <c r="L2136" s="334"/>
      <c r="M2136" s="328"/>
      <c r="N2136" s="328"/>
      <c r="S2136" s="336"/>
      <c r="T2136" s="62" ph="1"/>
      <c r="V2136" s="232"/>
      <c r="W2136" s="269"/>
      <c r="X2136" s="201"/>
      <c r="Y2136" s="269"/>
      <c r="Z2136" s="269"/>
      <c r="AA2136" s="269"/>
      <c r="AB2136" s="269"/>
      <c r="AC2136" s="269"/>
      <c r="AD2136" s="269"/>
      <c r="AE2136" s="269"/>
    </row>
    <row r="2137" spans="1:31" ht="26.25">
      <c r="A2137" s="269"/>
      <c r="B2137" s="269"/>
      <c r="C2137" s="269"/>
      <c r="D2137" s="269"/>
      <c r="E2137" s="269"/>
      <c r="F2137" s="269"/>
      <c r="G2137" s="269"/>
      <c r="H2137" s="269"/>
      <c r="I2137" s="269"/>
      <c r="J2137" s="334"/>
      <c r="K2137" s="334"/>
      <c r="L2137" s="334"/>
      <c r="M2137" s="328"/>
      <c r="N2137" s="328"/>
      <c r="S2137" s="336"/>
      <c r="T2137" s="62" ph="1"/>
      <c r="V2137" s="232"/>
      <c r="W2137" s="269"/>
      <c r="X2137" s="201"/>
      <c r="Y2137" s="269"/>
      <c r="Z2137" s="269"/>
      <c r="AA2137" s="269"/>
      <c r="AB2137" s="269"/>
      <c r="AC2137" s="269"/>
      <c r="AD2137" s="269"/>
      <c r="AE2137" s="269"/>
    </row>
    <row r="2138" spans="1:31" ht="26.25">
      <c r="A2138" s="269"/>
      <c r="B2138" s="269"/>
      <c r="C2138" s="269"/>
      <c r="D2138" s="269"/>
      <c r="E2138" s="269"/>
      <c r="F2138" s="269"/>
      <c r="G2138" s="269"/>
      <c r="H2138" s="269"/>
      <c r="I2138" s="269"/>
      <c r="J2138" s="334"/>
      <c r="K2138" s="334"/>
      <c r="L2138" s="334"/>
      <c r="M2138" s="328"/>
      <c r="N2138" s="328"/>
      <c r="S2138" s="336"/>
      <c r="T2138" s="62" ph="1"/>
      <c r="V2138" s="232"/>
      <c r="W2138" s="269"/>
      <c r="X2138" s="201"/>
      <c r="Y2138" s="269"/>
      <c r="Z2138" s="269"/>
      <c r="AA2138" s="269"/>
      <c r="AB2138" s="269"/>
      <c r="AC2138" s="269"/>
      <c r="AD2138" s="269"/>
      <c r="AE2138" s="269"/>
    </row>
    <row r="2139" spans="1:31" ht="26.25">
      <c r="A2139" s="269"/>
      <c r="B2139" s="269"/>
      <c r="C2139" s="269"/>
      <c r="D2139" s="269"/>
      <c r="E2139" s="269"/>
      <c r="F2139" s="269"/>
      <c r="G2139" s="269"/>
      <c r="H2139" s="269"/>
      <c r="I2139" s="269"/>
      <c r="J2139" s="334"/>
      <c r="K2139" s="334"/>
      <c r="L2139" s="334"/>
      <c r="M2139" s="328"/>
      <c r="N2139" s="328"/>
      <c r="S2139" s="336"/>
      <c r="T2139" s="62" ph="1"/>
      <c r="V2139" s="232"/>
      <c r="W2139" s="269"/>
      <c r="X2139" s="201"/>
      <c r="Y2139" s="269"/>
      <c r="Z2139" s="269"/>
      <c r="AA2139" s="269"/>
      <c r="AB2139" s="269"/>
      <c r="AC2139" s="269"/>
      <c r="AD2139" s="269"/>
      <c r="AE2139" s="269"/>
    </row>
    <row r="2140" spans="1:31" ht="26.25">
      <c r="A2140" s="269"/>
      <c r="B2140" s="269"/>
      <c r="C2140" s="269"/>
      <c r="D2140" s="269"/>
      <c r="E2140" s="269"/>
      <c r="F2140" s="269"/>
      <c r="G2140" s="269"/>
      <c r="H2140" s="269"/>
      <c r="I2140" s="269"/>
      <c r="J2140" s="334"/>
      <c r="K2140" s="334"/>
      <c r="L2140" s="334"/>
      <c r="M2140" s="328"/>
      <c r="N2140" s="328"/>
      <c r="S2140" s="336"/>
      <c r="T2140" s="62" ph="1"/>
      <c r="V2140" s="232"/>
      <c r="W2140" s="269"/>
      <c r="X2140" s="201"/>
      <c r="Y2140" s="269"/>
      <c r="Z2140" s="269"/>
      <c r="AA2140" s="269"/>
      <c r="AB2140" s="269"/>
      <c r="AC2140" s="269"/>
      <c r="AD2140" s="269"/>
      <c r="AE2140" s="269"/>
    </row>
    <row r="2141" spans="1:31" ht="26.25">
      <c r="A2141" s="269"/>
      <c r="B2141" s="269"/>
      <c r="C2141" s="269"/>
      <c r="D2141" s="269"/>
      <c r="E2141" s="269"/>
      <c r="F2141" s="269"/>
      <c r="G2141" s="269"/>
      <c r="H2141" s="269"/>
      <c r="I2141" s="269"/>
      <c r="J2141" s="334"/>
      <c r="K2141" s="334"/>
      <c r="L2141" s="334"/>
      <c r="M2141" s="328"/>
      <c r="N2141" s="328"/>
      <c r="S2141" s="336"/>
      <c r="T2141" s="62" ph="1"/>
      <c r="V2141" s="232"/>
      <c r="W2141" s="269"/>
      <c r="X2141" s="201"/>
      <c r="Y2141" s="269"/>
      <c r="Z2141" s="269"/>
      <c r="AA2141" s="269"/>
      <c r="AB2141" s="269"/>
      <c r="AC2141" s="269"/>
      <c r="AD2141" s="269"/>
      <c r="AE2141" s="269"/>
    </row>
    <row r="2142" spans="1:31" ht="26.25">
      <c r="A2142" s="269"/>
      <c r="B2142" s="269"/>
      <c r="C2142" s="269"/>
      <c r="D2142" s="269"/>
      <c r="E2142" s="269"/>
      <c r="F2142" s="269"/>
      <c r="G2142" s="269"/>
      <c r="H2142" s="269"/>
      <c r="I2142" s="269"/>
      <c r="J2142" s="334"/>
      <c r="K2142" s="334"/>
      <c r="L2142" s="334"/>
      <c r="M2142" s="328"/>
      <c r="N2142" s="328"/>
      <c r="S2142" s="336"/>
      <c r="T2142" s="62" ph="1"/>
      <c r="V2142" s="232"/>
      <c r="W2142" s="269"/>
      <c r="X2142" s="201"/>
      <c r="Y2142" s="269"/>
      <c r="Z2142" s="269"/>
      <c r="AA2142" s="269"/>
      <c r="AB2142" s="269"/>
      <c r="AC2142" s="269"/>
      <c r="AD2142" s="269"/>
      <c r="AE2142" s="269"/>
    </row>
    <row r="2143" spans="1:31" ht="26.25">
      <c r="A2143" s="269"/>
      <c r="B2143" s="269"/>
      <c r="C2143" s="269"/>
      <c r="D2143" s="269"/>
      <c r="E2143" s="269"/>
      <c r="F2143" s="269"/>
      <c r="G2143" s="269"/>
      <c r="H2143" s="269"/>
      <c r="I2143" s="269"/>
      <c r="J2143" s="334"/>
      <c r="K2143" s="334"/>
      <c r="L2143" s="334"/>
      <c r="M2143" s="328"/>
      <c r="N2143" s="328"/>
      <c r="S2143" s="336"/>
      <c r="T2143" s="62" ph="1"/>
      <c r="V2143" s="232"/>
      <c r="W2143" s="269"/>
      <c r="X2143" s="201"/>
      <c r="Y2143" s="269"/>
      <c r="Z2143" s="269"/>
      <c r="AA2143" s="269"/>
      <c r="AB2143" s="269"/>
      <c r="AC2143" s="269"/>
      <c r="AD2143" s="269"/>
      <c r="AE2143" s="269"/>
    </row>
    <row r="2144" spans="1:31" ht="26.25">
      <c r="A2144" s="269"/>
      <c r="B2144" s="269"/>
      <c r="C2144" s="269"/>
      <c r="D2144" s="269"/>
      <c r="E2144" s="269"/>
      <c r="F2144" s="269"/>
      <c r="G2144" s="269"/>
      <c r="H2144" s="269"/>
      <c r="I2144" s="269"/>
      <c r="J2144" s="334"/>
      <c r="K2144" s="334"/>
      <c r="L2144" s="334"/>
      <c r="M2144" s="328"/>
      <c r="N2144" s="328"/>
      <c r="S2144" s="336"/>
      <c r="T2144" s="62" ph="1"/>
      <c r="V2144" s="232"/>
      <c r="W2144" s="269"/>
      <c r="X2144" s="201"/>
      <c r="Y2144" s="269"/>
      <c r="Z2144" s="269"/>
      <c r="AA2144" s="269"/>
      <c r="AB2144" s="269"/>
      <c r="AC2144" s="269"/>
      <c r="AD2144" s="269"/>
      <c r="AE2144" s="269"/>
    </row>
    <row r="2145" spans="1:31" ht="26.25">
      <c r="A2145" s="269"/>
      <c r="B2145" s="269"/>
      <c r="C2145" s="269"/>
      <c r="D2145" s="269"/>
      <c r="E2145" s="269"/>
      <c r="F2145" s="269"/>
      <c r="G2145" s="269"/>
      <c r="H2145" s="269"/>
      <c r="I2145" s="269"/>
      <c r="J2145" s="334"/>
      <c r="K2145" s="334"/>
      <c r="L2145" s="334"/>
      <c r="M2145" s="328"/>
      <c r="N2145" s="328"/>
      <c r="S2145" s="336"/>
      <c r="T2145" s="62" ph="1"/>
      <c r="V2145" s="232"/>
      <c r="W2145" s="269"/>
      <c r="X2145" s="201"/>
      <c r="Y2145" s="269"/>
      <c r="Z2145" s="269"/>
      <c r="AA2145" s="269"/>
      <c r="AB2145" s="269"/>
      <c r="AC2145" s="269"/>
      <c r="AD2145" s="269"/>
      <c r="AE2145" s="269"/>
    </row>
    <row r="2146" spans="1:31" ht="26.25">
      <c r="A2146" s="269"/>
      <c r="B2146" s="269"/>
      <c r="C2146" s="269"/>
      <c r="D2146" s="269"/>
      <c r="E2146" s="269"/>
      <c r="F2146" s="269"/>
      <c r="G2146" s="269"/>
      <c r="H2146" s="269"/>
      <c r="I2146" s="269"/>
      <c r="J2146" s="334"/>
      <c r="K2146" s="334"/>
      <c r="L2146" s="334"/>
      <c r="M2146" s="328"/>
      <c r="N2146" s="328"/>
      <c r="S2146" s="336"/>
      <c r="T2146" s="62" ph="1"/>
      <c r="V2146" s="232"/>
      <c r="W2146" s="269"/>
      <c r="X2146" s="201"/>
      <c r="Y2146" s="269"/>
      <c r="Z2146" s="269"/>
      <c r="AA2146" s="269"/>
      <c r="AB2146" s="269"/>
      <c r="AC2146" s="269"/>
      <c r="AD2146" s="269"/>
      <c r="AE2146" s="269"/>
    </row>
    <row r="2147" spans="1:31" ht="26.25">
      <c r="A2147" s="269"/>
      <c r="B2147" s="269"/>
      <c r="C2147" s="269"/>
      <c r="D2147" s="269"/>
      <c r="E2147" s="269"/>
      <c r="F2147" s="269"/>
      <c r="G2147" s="269"/>
      <c r="H2147" s="269"/>
      <c r="I2147" s="269"/>
      <c r="J2147" s="334"/>
      <c r="K2147" s="334"/>
      <c r="L2147" s="334"/>
      <c r="M2147" s="328"/>
      <c r="N2147" s="328"/>
      <c r="S2147" s="336"/>
      <c r="T2147" s="62" ph="1"/>
      <c r="V2147" s="232"/>
      <c r="W2147" s="269"/>
      <c r="X2147" s="201"/>
      <c r="Y2147" s="269"/>
      <c r="Z2147" s="269"/>
      <c r="AA2147" s="269"/>
      <c r="AB2147" s="269"/>
      <c r="AC2147" s="269"/>
      <c r="AD2147" s="269"/>
      <c r="AE2147" s="269"/>
    </row>
    <row r="2148" spans="1:31" ht="26.25">
      <c r="A2148" s="269"/>
      <c r="B2148" s="269"/>
      <c r="C2148" s="269"/>
      <c r="D2148" s="269"/>
      <c r="E2148" s="269"/>
      <c r="F2148" s="269"/>
      <c r="G2148" s="269"/>
      <c r="H2148" s="269"/>
      <c r="I2148" s="269"/>
      <c r="J2148" s="334"/>
      <c r="K2148" s="334"/>
      <c r="L2148" s="334"/>
      <c r="M2148" s="328"/>
      <c r="N2148" s="328"/>
      <c r="S2148" s="336"/>
      <c r="T2148" s="62" ph="1"/>
      <c r="V2148" s="232"/>
      <c r="W2148" s="269"/>
      <c r="X2148" s="201"/>
      <c r="Y2148" s="269"/>
      <c r="Z2148" s="269"/>
      <c r="AA2148" s="269"/>
      <c r="AB2148" s="269"/>
      <c r="AC2148" s="269"/>
      <c r="AD2148" s="269"/>
      <c r="AE2148" s="269"/>
    </row>
    <row r="2149" spans="1:31" ht="26.25">
      <c r="A2149" s="269"/>
      <c r="B2149" s="269"/>
      <c r="C2149" s="269"/>
      <c r="D2149" s="269"/>
      <c r="E2149" s="269"/>
      <c r="F2149" s="269"/>
      <c r="G2149" s="269"/>
      <c r="H2149" s="269"/>
      <c r="I2149" s="269"/>
      <c r="J2149" s="334"/>
      <c r="K2149" s="334"/>
      <c r="L2149" s="334"/>
      <c r="M2149" s="328"/>
      <c r="N2149" s="328"/>
      <c r="S2149" s="336"/>
      <c r="T2149" s="62" ph="1"/>
      <c r="V2149" s="232"/>
      <c r="W2149" s="269"/>
      <c r="X2149" s="201"/>
      <c r="Y2149" s="269"/>
      <c r="Z2149" s="269"/>
      <c r="AA2149" s="269"/>
      <c r="AB2149" s="269"/>
      <c r="AC2149" s="269"/>
      <c r="AD2149" s="269"/>
      <c r="AE2149" s="269"/>
    </row>
    <row r="2150" spans="1:31" ht="26.25">
      <c r="A2150" s="269"/>
      <c r="B2150" s="269"/>
      <c r="C2150" s="269"/>
      <c r="D2150" s="269"/>
      <c r="E2150" s="269"/>
      <c r="F2150" s="269"/>
      <c r="G2150" s="269"/>
      <c r="H2150" s="269"/>
      <c r="I2150" s="269"/>
      <c r="J2150" s="334"/>
      <c r="K2150" s="334"/>
      <c r="L2150" s="334"/>
      <c r="M2150" s="328"/>
      <c r="N2150" s="328"/>
      <c r="S2150" s="336"/>
      <c r="T2150" s="62" ph="1"/>
      <c r="V2150" s="232"/>
      <c r="W2150" s="269"/>
      <c r="X2150" s="201"/>
      <c r="Y2150" s="269"/>
      <c r="Z2150" s="269"/>
      <c r="AA2150" s="269"/>
      <c r="AB2150" s="269"/>
      <c r="AC2150" s="269"/>
      <c r="AD2150" s="269"/>
      <c r="AE2150" s="269"/>
    </row>
    <row r="2151" spans="1:31" ht="26.25">
      <c r="A2151" s="269"/>
      <c r="B2151" s="269"/>
      <c r="C2151" s="269"/>
      <c r="D2151" s="269"/>
      <c r="E2151" s="269"/>
      <c r="F2151" s="269"/>
      <c r="G2151" s="269"/>
      <c r="H2151" s="269"/>
      <c r="I2151" s="269"/>
      <c r="J2151" s="334"/>
      <c r="K2151" s="334"/>
      <c r="L2151" s="334"/>
      <c r="M2151" s="328"/>
      <c r="N2151" s="328"/>
      <c r="S2151" s="336"/>
      <c r="T2151" s="62" ph="1"/>
      <c r="V2151" s="232"/>
      <c r="W2151" s="269"/>
      <c r="X2151" s="201"/>
      <c r="Y2151" s="269"/>
      <c r="Z2151" s="269"/>
      <c r="AA2151" s="269"/>
      <c r="AB2151" s="269"/>
      <c r="AC2151" s="269"/>
      <c r="AD2151" s="269"/>
      <c r="AE2151" s="269"/>
    </row>
    <row r="2152" spans="1:31" ht="26.25">
      <c r="A2152" s="269"/>
      <c r="B2152" s="269"/>
      <c r="C2152" s="269"/>
      <c r="D2152" s="269"/>
      <c r="E2152" s="269"/>
      <c r="F2152" s="269"/>
      <c r="G2152" s="269"/>
      <c r="H2152" s="269"/>
      <c r="I2152" s="269"/>
      <c r="J2152" s="334"/>
      <c r="K2152" s="334"/>
      <c r="L2152" s="334"/>
      <c r="M2152" s="328"/>
      <c r="N2152" s="328"/>
      <c r="S2152" s="336"/>
      <c r="T2152" s="62" ph="1"/>
      <c r="V2152" s="232"/>
      <c r="W2152" s="269"/>
      <c r="X2152" s="201"/>
      <c r="Y2152" s="269"/>
      <c r="Z2152" s="269"/>
      <c r="AA2152" s="269"/>
      <c r="AB2152" s="269"/>
      <c r="AC2152" s="269"/>
      <c r="AD2152" s="269"/>
      <c r="AE2152" s="269"/>
    </row>
    <row r="2153" spans="1:31" ht="26.25">
      <c r="A2153" s="269"/>
      <c r="B2153" s="269"/>
      <c r="C2153" s="269"/>
      <c r="D2153" s="269"/>
      <c r="E2153" s="269"/>
      <c r="F2153" s="269"/>
      <c r="G2153" s="269"/>
      <c r="H2153" s="269"/>
      <c r="I2153" s="269"/>
      <c r="J2153" s="334"/>
      <c r="K2153" s="334"/>
      <c r="L2153" s="334"/>
      <c r="M2153" s="328"/>
      <c r="N2153" s="328"/>
      <c r="S2153" s="336"/>
      <c r="T2153" s="62" ph="1"/>
      <c r="V2153" s="232"/>
      <c r="W2153" s="269"/>
      <c r="X2153" s="201"/>
      <c r="Y2153" s="269"/>
      <c r="Z2153" s="269"/>
      <c r="AA2153" s="269"/>
      <c r="AB2153" s="269"/>
      <c r="AC2153" s="269"/>
      <c r="AD2153" s="269"/>
      <c r="AE2153" s="269"/>
    </row>
    <row r="2154" spans="1:31" ht="26.25">
      <c r="A2154" s="269"/>
      <c r="B2154" s="269"/>
      <c r="C2154" s="269"/>
      <c r="D2154" s="269"/>
      <c r="E2154" s="269"/>
      <c r="F2154" s="269"/>
      <c r="G2154" s="269"/>
      <c r="H2154" s="269"/>
      <c r="I2154" s="269"/>
      <c r="J2154" s="334"/>
      <c r="K2154" s="334"/>
      <c r="L2154" s="334"/>
      <c r="M2154" s="328"/>
      <c r="N2154" s="328"/>
      <c r="S2154" s="336"/>
      <c r="T2154" s="62" ph="1"/>
      <c r="V2154" s="232"/>
      <c r="W2154" s="269"/>
      <c r="X2154" s="201"/>
      <c r="Y2154" s="269"/>
      <c r="Z2154" s="269"/>
      <c r="AA2154" s="269"/>
      <c r="AB2154" s="269"/>
      <c r="AC2154" s="269"/>
      <c r="AD2154" s="269"/>
      <c r="AE2154" s="269"/>
    </row>
    <row r="2155" spans="1:31" ht="26.25">
      <c r="A2155" s="269"/>
      <c r="B2155" s="269"/>
      <c r="C2155" s="269"/>
      <c r="D2155" s="269"/>
      <c r="E2155" s="269"/>
      <c r="F2155" s="269"/>
      <c r="G2155" s="269"/>
      <c r="H2155" s="269"/>
      <c r="I2155" s="269"/>
      <c r="J2155" s="334"/>
      <c r="K2155" s="334"/>
      <c r="L2155" s="334"/>
      <c r="M2155" s="328"/>
      <c r="N2155" s="328"/>
      <c r="S2155" s="336"/>
      <c r="T2155" s="62" ph="1"/>
      <c r="V2155" s="232"/>
      <c r="W2155" s="269"/>
      <c r="X2155" s="201"/>
      <c r="Y2155" s="269"/>
      <c r="Z2155" s="269"/>
      <c r="AA2155" s="269"/>
      <c r="AB2155" s="269"/>
      <c r="AC2155" s="269"/>
      <c r="AD2155" s="269"/>
      <c r="AE2155" s="269"/>
    </row>
    <row r="2156" spans="1:31" ht="26.25">
      <c r="A2156" s="269"/>
      <c r="B2156" s="269"/>
      <c r="C2156" s="269"/>
      <c r="D2156" s="269"/>
      <c r="E2156" s="269"/>
      <c r="F2156" s="269"/>
      <c r="G2156" s="269"/>
      <c r="H2156" s="269"/>
      <c r="I2156" s="269"/>
      <c r="J2156" s="334"/>
      <c r="K2156" s="334"/>
      <c r="L2156" s="334"/>
      <c r="M2156" s="328"/>
      <c r="N2156" s="328"/>
      <c r="S2156" s="336"/>
      <c r="T2156" s="62" ph="1"/>
      <c r="V2156" s="232"/>
      <c r="W2156" s="269"/>
      <c r="X2156" s="201"/>
      <c r="Y2156" s="269"/>
      <c r="Z2156" s="269"/>
      <c r="AA2156" s="269"/>
      <c r="AB2156" s="269"/>
      <c r="AC2156" s="269"/>
      <c r="AD2156" s="269"/>
      <c r="AE2156" s="269"/>
    </row>
    <row r="2157" spans="1:31" ht="26.25">
      <c r="A2157" s="269"/>
      <c r="B2157" s="269"/>
      <c r="C2157" s="269"/>
      <c r="D2157" s="269"/>
      <c r="E2157" s="269"/>
      <c r="F2157" s="269"/>
      <c r="G2157" s="269"/>
      <c r="H2157" s="269"/>
      <c r="I2157" s="269"/>
      <c r="J2157" s="334"/>
      <c r="K2157" s="334"/>
      <c r="L2157" s="334"/>
      <c r="M2157" s="328"/>
      <c r="N2157" s="328"/>
      <c r="S2157" s="336"/>
      <c r="T2157" s="62" ph="1"/>
      <c r="V2157" s="232"/>
      <c r="W2157" s="269"/>
      <c r="X2157" s="201"/>
      <c r="Y2157" s="269"/>
      <c r="Z2157" s="269"/>
      <c r="AA2157" s="269"/>
      <c r="AB2157" s="269"/>
      <c r="AC2157" s="269"/>
      <c r="AD2157" s="269"/>
      <c r="AE2157" s="269"/>
    </row>
    <row r="2158" spans="1:31" ht="26.25">
      <c r="A2158" s="269"/>
      <c r="B2158" s="269"/>
      <c r="C2158" s="269"/>
      <c r="D2158" s="269"/>
      <c r="E2158" s="269"/>
      <c r="F2158" s="269"/>
      <c r="G2158" s="269"/>
      <c r="H2158" s="269"/>
      <c r="I2158" s="269"/>
      <c r="J2158" s="334"/>
      <c r="K2158" s="334"/>
      <c r="L2158" s="334"/>
      <c r="M2158" s="328"/>
      <c r="N2158" s="328"/>
      <c r="S2158" s="336"/>
      <c r="T2158" s="62" ph="1"/>
      <c r="V2158" s="232"/>
      <c r="W2158" s="269"/>
      <c r="X2158" s="201"/>
      <c r="Y2158" s="269"/>
      <c r="Z2158" s="269"/>
      <c r="AA2158" s="269"/>
      <c r="AB2158" s="269"/>
      <c r="AC2158" s="269"/>
      <c r="AD2158" s="269"/>
      <c r="AE2158" s="269"/>
    </row>
    <row r="2159" spans="1:31" ht="26.25">
      <c r="A2159" s="269"/>
      <c r="B2159" s="269"/>
      <c r="C2159" s="269"/>
      <c r="D2159" s="269"/>
      <c r="E2159" s="269"/>
      <c r="F2159" s="269"/>
      <c r="G2159" s="269"/>
      <c r="H2159" s="269"/>
      <c r="I2159" s="269"/>
      <c r="J2159" s="334"/>
      <c r="K2159" s="334"/>
      <c r="L2159" s="334"/>
      <c r="M2159" s="328"/>
      <c r="N2159" s="328"/>
      <c r="S2159" s="336"/>
      <c r="T2159" s="62" ph="1"/>
      <c r="V2159" s="232"/>
      <c r="W2159" s="269"/>
      <c r="X2159" s="201"/>
      <c r="Y2159" s="269"/>
      <c r="Z2159" s="269"/>
      <c r="AA2159" s="269"/>
      <c r="AB2159" s="269"/>
      <c r="AC2159" s="269"/>
      <c r="AD2159" s="269"/>
      <c r="AE2159" s="269"/>
    </row>
    <row r="2160" spans="1:31" ht="26.25">
      <c r="A2160" s="269"/>
      <c r="B2160" s="269"/>
      <c r="C2160" s="269"/>
      <c r="D2160" s="269"/>
      <c r="E2160" s="269"/>
      <c r="F2160" s="269"/>
      <c r="G2160" s="269"/>
      <c r="H2160" s="269"/>
      <c r="I2160" s="269"/>
      <c r="J2160" s="334"/>
      <c r="K2160" s="334"/>
      <c r="L2160" s="334"/>
      <c r="M2160" s="328"/>
      <c r="N2160" s="328"/>
      <c r="S2160" s="336"/>
      <c r="T2160" s="62" ph="1"/>
      <c r="V2160" s="232"/>
      <c r="W2160" s="269"/>
      <c r="X2160" s="201"/>
      <c r="Y2160" s="269"/>
      <c r="Z2160" s="269"/>
      <c r="AA2160" s="269"/>
      <c r="AB2160" s="269"/>
      <c r="AC2160" s="269"/>
      <c r="AD2160" s="269"/>
      <c r="AE2160" s="269"/>
    </row>
    <row r="2161" spans="1:31" ht="26.25">
      <c r="A2161" s="269"/>
      <c r="B2161" s="269"/>
      <c r="C2161" s="269"/>
      <c r="D2161" s="269"/>
      <c r="E2161" s="269"/>
      <c r="F2161" s="269"/>
      <c r="G2161" s="269"/>
      <c r="H2161" s="269"/>
      <c r="I2161" s="269"/>
      <c r="J2161" s="334"/>
      <c r="K2161" s="334"/>
      <c r="L2161" s="334"/>
      <c r="M2161" s="328"/>
      <c r="N2161" s="328"/>
      <c r="S2161" s="336"/>
      <c r="T2161" s="62" ph="1"/>
      <c r="V2161" s="232"/>
      <c r="W2161" s="269"/>
      <c r="X2161" s="201"/>
      <c r="Y2161" s="269"/>
      <c r="Z2161" s="269"/>
      <c r="AA2161" s="269"/>
      <c r="AB2161" s="269"/>
      <c r="AC2161" s="269"/>
      <c r="AD2161" s="269"/>
      <c r="AE2161" s="269"/>
    </row>
    <row r="2162" spans="1:31" ht="26.25">
      <c r="A2162" s="269"/>
      <c r="B2162" s="269"/>
      <c r="C2162" s="269"/>
      <c r="D2162" s="269"/>
      <c r="E2162" s="269"/>
      <c r="F2162" s="269"/>
      <c r="G2162" s="269"/>
      <c r="H2162" s="269"/>
      <c r="I2162" s="269"/>
      <c r="J2162" s="334"/>
      <c r="K2162" s="334"/>
      <c r="L2162" s="334"/>
      <c r="M2162" s="328"/>
      <c r="N2162" s="328"/>
      <c r="S2162" s="336"/>
      <c r="T2162" s="62" ph="1"/>
      <c r="V2162" s="232"/>
      <c r="W2162" s="269"/>
      <c r="X2162" s="201"/>
      <c r="Y2162" s="269"/>
      <c r="Z2162" s="269"/>
      <c r="AA2162" s="269"/>
      <c r="AB2162" s="269"/>
      <c r="AC2162" s="269"/>
      <c r="AD2162" s="269"/>
      <c r="AE2162" s="269"/>
    </row>
    <row r="2163" spans="1:31" ht="26.25">
      <c r="A2163" s="269"/>
      <c r="B2163" s="269"/>
      <c r="C2163" s="269"/>
      <c r="D2163" s="269"/>
      <c r="E2163" s="269"/>
      <c r="F2163" s="269"/>
      <c r="G2163" s="269"/>
      <c r="H2163" s="269"/>
      <c r="I2163" s="269"/>
      <c r="J2163" s="334"/>
      <c r="K2163" s="334"/>
      <c r="L2163" s="334"/>
      <c r="M2163" s="328"/>
      <c r="N2163" s="328"/>
      <c r="S2163" s="336"/>
      <c r="T2163" s="62" ph="1"/>
      <c r="V2163" s="232"/>
      <c r="W2163" s="269"/>
      <c r="X2163" s="201"/>
      <c r="Y2163" s="269"/>
      <c r="Z2163" s="269"/>
      <c r="AA2163" s="269"/>
      <c r="AB2163" s="269"/>
      <c r="AC2163" s="269"/>
      <c r="AD2163" s="269"/>
      <c r="AE2163" s="269"/>
    </row>
    <row r="2164" spans="1:31" ht="26.25">
      <c r="A2164" s="269"/>
      <c r="B2164" s="269"/>
      <c r="C2164" s="269"/>
      <c r="D2164" s="269"/>
      <c r="E2164" s="269"/>
      <c r="F2164" s="269"/>
      <c r="G2164" s="269"/>
      <c r="H2164" s="269"/>
      <c r="I2164" s="269"/>
      <c r="J2164" s="334"/>
      <c r="K2164" s="334"/>
      <c r="L2164" s="334"/>
      <c r="M2164" s="328"/>
      <c r="N2164" s="328"/>
      <c r="S2164" s="336"/>
      <c r="T2164" s="62" ph="1"/>
      <c r="V2164" s="232"/>
      <c r="W2164" s="269"/>
      <c r="X2164" s="201"/>
      <c r="Y2164" s="269"/>
      <c r="Z2164" s="269"/>
      <c r="AA2164" s="269"/>
      <c r="AB2164" s="269"/>
      <c r="AC2164" s="269"/>
      <c r="AD2164" s="269"/>
      <c r="AE2164" s="269"/>
    </row>
    <row r="2165" spans="1:31" ht="26.25">
      <c r="A2165" s="269"/>
      <c r="B2165" s="269"/>
      <c r="C2165" s="269"/>
      <c r="D2165" s="269"/>
      <c r="E2165" s="269"/>
      <c r="F2165" s="269"/>
      <c r="G2165" s="269"/>
      <c r="H2165" s="269"/>
      <c r="I2165" s="269"/>
      <c r="J2165" s="334"/>
      <c r="K2165" s="334"/>
      <c r="L2165" s="334"/>
      <c r="M2165" s="328"/>
      <c r="N2165" s="328"/>
      <c r="S2165" s="336"/>
      <c r="T2165" s="62" ph="1"/>
      <c r="V2165" s="232"/>
      <c r="W2165" s="269"/>
      <c r="X2165" s="201"/>
      <c r="Y2165" s="269"/>
      <c r="Z2165" s="269"/>
      <c r="AA2165" s="269"/>
      <c r="AB2165" s="269"/>
      <c r="AC2165" s="269"/>
      <c r="AD2165" s="269"/>
      <c r="AE2165" s="269"/>
    </row>
    <row r="2166" spans="1:31" ht="26.25">
      <c r="A2166" s="269"/>
      <c r="B2166" s="269"/>
      <c r="C2166" s="269"/>
      <c r="D2166" s="269"/>
      <c r="E2166" s="269"/>
      <c r="F2166" s="269"/>
      <c r="G2166" s="269"/>
      <c r="H2166" s="269"/>
      <c r="I2166" s="269"/>
      <c r="J2166" s="334"/>
      <c r="K2166" s="334"/>
      <c r="L2166" s="334"/>
      <c r="M2166" s="328"/>
      <c r="N2166" s="328"/>
      <c r="S2166" s="336"/>
      <c r="T2166" s="62" ph="1"/>
      <c r="V2166" s="232"/>
      <c r="W2166" s="269"/>
      <c r="X2166" s="201"/>
      <c r="Y2166" s="269"/>
      <c r="Z2166" s="269"/>
      <c r="AA2166" s="269"/>
      <c r="AB2166" s="269"/>
      <c r="AC2166" s="269"/>
      <c r="AD2166" s="269"/>
      <c r="AE2166" s="269"/>
    </row>
    <row r="2167" spans="1:31" ht="26.25">
      <c r="A2167" s="269"/>
      <c r="B2167" s="269"/>
      <c r="C2167" s="269"/>
      <c r="D2167" s="269"/>
      <c r="E2167" s="269"/>
      <c r="F2167" s="269"/>
      <c r="G2167" s="269"/>
      <c r="H2167" s="269"/>
      <c r="I2167" s="269"/>
      <c r="J2167" s="334"/>
      <c r="K2167" s="334"/>
      <c r="L2167" s="334"/>
      <c r="M2167" s="328"/>
      <c r="N2167" s="328"/>
      <c r="S2167" s="336"/>
      <c r="T2167" s="62" ph="1"/>
      <c r="V2167" s="232"/>
      <c r="W2167" s="269"/>
      <c r="X2167" s="201"/>
      <c r="Y2167" s="269"/>
      <c r="Z2167" s="269"/>
      <c r="AA2167" s="269"/>
      <c r="AB2167" s="269"/>
      <c r="AC2167" s="269"/>
      <c r="AD2167" s="269"/>
      <c r="AE2167" s="269"/>
    </row>
    <row r="2168" spans="1:31" ht="26.25">
      <c r="A2168" s="269"/>
      <c r="B2168" s="269"/>
      <c r="C2168" s="269"/>
      <c r="D2168" s="269"/>
      <c r="E2168" s="269"/>
      <c r="F2168" s="269"/>
      <c r="G2168" s="269"/>
      <c r="H2168" s="269"/>
      <c r="I2168" s="269"/>
      <c r="J2168" s="334"/>
      <c r="K2168" s="334"/>
      <c r="L2168" s="334"/>
      <c r="M2168" s="328"/>
      <c r="N2168" s="328"/>
      <c r="S2168" s="336"/>
      <c r="T2168" s="62" ph="1"/>
      <c r="V2168" s="232"/>
      <c r="W2168" s="269"/>
      <c r="X2168" s="201"/>
      <c r="Y2168" s="269"/>
      <c r="Z2168" s="269"/>
      <c r="AA2168" s="269"/>
      <c r="AB2168" s="269"/>
      <c r="AC2168" s="269"/>
      <c r="AD2168" s="269"/>
      <c r="AE2168" s="269"/>
    </row>
    <row r="2169" spans="1:31" ht="26.25">
      <c r="A2169" s="269"/>
      <c r="B2169" s="269"/>
      <c r="C2169" s="269"/>
      <c r="D2169" s="269"/>
      <c r="E2169" s="269"/>
      <c r="F2169" s="269"/>
      <c r="G2169" s="269"/>
      <c r="H2169" s="269"/>
      <c r="I2169" s="269"/>
      <c r="J2169" s="334"/>
      <c r="K2169" s="334"/>
      <c r="L2169" s="334"/>
      <c r="M2169" s="328"/>
      <c r="N2169" s="328"/>
      <c r="S2169" s="336"/>
      <c r="T2169" s="62" ph="1"/>
      <c r="V2169" s="232"/>
      <c r="W2169" s="269"/>
      <c r="X2169" s="201"/>
      <c r="Y2169" s="269"/>
      <c r="Z2169" s="269"/>
      <c r="AA2169" s="269"/>
      <c r="AB2169" s="269"/>
      <c r="AC2169" s="269"/>
      <c r="AD2169" s="269"/>
      <c r="AE2169" s="269"/>
    </row>
    <row r="2170" spans="1:31" ht="26.25">
      <c r="A2170" s="269"/>
      <c r="B2170" s="269"/>
      <c r="C2170" s="269"/>
      <c r="D2170" s="269"/>
      <c r="E2170" s="269"/>
      <c r="F2170" s="269"/>
      <c r="G2170" s="269"/>
      <c r="H2170" s="269"/>
      <c r="I2170" s="269"/>
      <c r="J2170" s="334"/>
      <c r="K2170" s="334"/>
      <c r="L2170" s="334"/>
      <c r="M2170" s="328"/>
      <c r="N2170" s="328"/>
      <c r="S2170" s="336"/>
      <c r="T2170" s="62" ph="1"/>
      <c r="V2170" s="232"/>
      <c r="W2170" s="269"/>
      <c r="X2170" s="201"/>
      <c r="Y2170" s="269"/>
      <c r="Z2170" s="269"/>
      <c r="AA2170" s="269"/>
      <c r="AB2170" s="269"/>
      <c r="AC2170" s="269"/>
      <c r="AD2170" s="269"/>
      <c r="AE2170" s="269"/>
    </row>
    <row r="2171" spans="1:31" ht="26.25">
      <c r="A2171" s="269"/>
      <c r="B2171" s="269"/>
      <c r="C2171" s="269"/>
      <c r="D2171" s="269"/>
      <c r="E2171" s="269"/>
      <c r="F2171" s="269"/>
      <c r="G2171" s="269"/>
      <c r="H2171" s="269"/>
      <c r="I2171" s="269"/>
      <c r="J2171" s="334"/>
      <c r="K2171" s="334"/>
      <c r="L2171" s="334"/>
      <c r="M2171" s="328"/>
      <c r="N2171" s="328"/>
      <c r="S2171" s="336"/>
      <c r="T2171" s="62" ph="1"/>
      <c r="V2171" s="232"/>
      <c r="W2171" s="269"/>
      <c r="X2171" s="201"/>
      <c r="Y2171" s="269"/>
      <c r="Z2171" s="269"/>
      <c r="AA2171" s="269"/>
      <c r="AB2171" s="269"/>
      <c r="AC2171" s="269"/>
      <c r="AD2171" s="269"/>
      <c r="AE2171" s="269"/>
    </row>
    <row r="2172" spans="1:31" ht="26.25">
      <c r="A2172" s="269"/>
      <c r="B2172" s="269"/>
      <c r="C2172" s="269"/>
      <c r="D2172" s="269"/>
      <c r="E2172" s="269"/>
      <c r="F2172" s="269"/>
      <c r="G2172" s="269"/>
      <c r="H2172" s="269"/>
      <c r="I2172" s="269"/>
      <c r="J2172" s="334"/>
      <c r="K2172" s="334"/>
      <c r="L2172" s="334"/>
      <c r="M2172" s="328"/>
      <c r="N2172" s="328"/>
      <c r="S2172" s="336"/>
      <c r="T2172" s="62" ph="1"/>
      <c r="V2172" s="232"/>
      <c r="W2172" s="269"/>
      <c r="X2172" s="201"/>
      <c r="Y2172" s="269"/>
      <c r="Z2172" s="269"/>
      <c r="AA2172" s="269"/>
      <c r="AB2172" s="269"/>
      <c r="AC2172" s="269"/>
      <c r="AD2172" s="269"/>
      <c r="AE2172" s="269"/>
    </row>
    <row r="2173" spans="1:31" ht="26.25">
      <c r="A2173" s="269"/>
      <c r="B2173" s="269"/>
      <c r="C2173" s="269"/>
      <c r="D2173" s="269"/>
      <c r="E2173" s="269"/>
      <c r="F2173" s="269"/>
      <c r="G2173" s="269"/>
      <c r="H2173" s="269"/>
      <c r="I2173" s="269"/>
      <c r="J2173" s="334"/>
      <c r="K2173" s="334"/>
      <c r="L2173" s="334"/>
      <c r="M2173" s="328"/>
      <c r="N2173" s="328"/>
      <c r="S2173" s="336"/>
      <c r="T2173" s="62" ph="1"/>
      <c r="V2173" s="232"/>
      <c r="W2173" s="269"/>
      <c r="X2173" s="201"/>
      <c r="Y2173" s="269"/>
      <c r="Z2173" s="269"/>
      <c r="AA2173" s="269"/>
      <c r="AB2173" s="269"/>
      <c r="AC2173" s="269"/>
      <c r="AD2173" s="269"/>
      <c r="AE2173" s="269"/>
    </row>
    <row r="2174" spans="1:31" ht="26.25">
      <c r="A2174" s="269"/>
      <c r="B2174" s="269"/>
      <c r="C2174" s="269"/>
      <c r="D2174" s="269"/>
      <c r="E2174" s="269"/>
      <c r="F2174" s="269"/>
      <c r="G2174" s="269"/>
      <c r="H2174" s="269"/>
      <c r="I2174" s="269"/>
      <c r="J2174" s="334"/>
      <c r="K2174" s="334"/>
      <c r="L2174" s="334"/>
      <c r="M2174" s="328"/>
      <c r="N2174" s="328"/>
      <c r="S2174" s="336"/>
      <c r="T2174" s="62" ph="1"/>
      <c r="V2174" s="232"/>
      <c r="W2174" s="269"/>
      <c r="X2174" s="201"/>
      <c r="Y2174" s="269"/>
      <c r="Z2174" s="269"/>
      <c r="AA2174" s="269"/>
      <c r="AB2174" s="269"/>
      <c r="AC2174" s="269"/>
      <c r="AD2174" s="269"/>
      <c r="AE2174" s="269"/>
    </row>
    <row r="2175" spans="1:31" ht="26.25">
      <c r="A2175" s="269"/>
      <c r="B2175" s="269"/>
      <c r="C2175" s="269"/>
      <c r="D2175" s="269"/>
      <c r="E2175" s="269"/>
      <c r="F2175" s="269"/>
      <c r="G2175" s="269"/>
      <c r="H2175" s="269"/>
      <c r="I2175" s="269"/>
      <c r="J2175" s="334"/>
      <c r="K2175" s="334"/>
      <c r="L2175" s="334"/>
      <c r="M2175" s="328"/>
      <c r="N2175" s="328"/>
      <c r="S2175" s="336"/>
      <c r="T2175" s="62" ph="1"/>
      <c r="V2175" s="232"/>
      <c r="W2175" s="269"/>
      <c r="X2175" s="201"/>
      <c r="Y2175" s="269"/>
      <c r="Z2175" s="269"/>
      <c r="AA2175" s="269"/>
      <c r="AB2175" s="269"/>
      <c r="AC2175" s="269"/>
      <c r="AD2175" s="269"/>
      <c r="AE2175" s="269"/>
    </row>
    <row r="2176" spans="1:31" ht="26.25">
      <c r="A2176" s="269"/>
      <c r="B2176" s="269"/>
      <c r="C2176" s="269"/>
      <c r="D2176" s="269"/>
      <c r="E2176" s="269"/>
      <c r="F2176" s="269"/>
      <c r="G2176" s="269"/>
      <c r="H2176" s="269"/>
      <c r="I2176" s="269"/>
      <c r="J2176" s="334"/>
      <c r="K2176" s="334"/>
      <c r="L2176" s="334"/>
      <c r="M2176" s="328"/>
      <c r="N2176" s="328"/>
      <c r="S2176" s="336"/>
      <c r="T2176" s="62" ph="1"/>
      <c r="V2176" s="232"/>
      <c r="W2176" s="269"/>
      <c r="X2176" s="201"/>
      <c r="Y2176" s="269"/>
      <c r="Z2176" s="269"/>
      <c r="AA2176" s="269"/>
      <c r="AB2176" s="269"/>
      <c r="AC2176" s="269"/>
      <c r="AD2176" s="269"/>
      <c r="AE2176" s="269"/>
    </row>
    <row r="2177" spans="1:31" ht="26.25">
      <c r="A2177" s="269"/>
      <c r="B2177" s="269"/>
      <c r="C2177" s="269"/>
      <c r="D2177" s="269"/>
      <c r="E2177" s="269"/>
      <c r="F2177" s="269"/>
      <c r="G2177" s="269"/>
      <c r="H2177" s="269"/>
      <c r="I2177" s="269"/>
      <c r="J2177" s="334"/>
      <c r="K2177" s="334"/>
      <c r="L2177" s="334"/>
      <c r="M2177" s="328"/>
      <c r="N2177" s="328"/>
      <c r="S2177" s="336"/>
      <c r="T2177" s="62" ph="1"/>
      <c r="V2177" s="232"/>
      <c r="W2177" s="269"/>
      <c r="X2177" s="201"/>
      <c r="Y2177" s="269"/>
      <c r="Z2177" s="269"/>
      <c r="AA2177" s="269"/>
      <c r="AB2177" s="269"/>
      <c r="AC2177" s="269"/>
      <c r="AD2177" s="269"/>
      <c r="AE2177" s="269"/>
    </row>
    <row r="2178" spans="1:31" ht="26.25">
      <c r="A2178" s="269"/>
      <c r="B2178" s="269"/>
      <c r="C2178" s="269"/>
      <c r="D2178" s="269"/>
      <c r="E2178" s="269"/>
      <c r="F2178" s="269"/>
      <c r="G2178" s="269"/>
      <c r="H2178" s="269"/>
      <c r="I2178" s="269"/>
      <c r="J2178" s="334"/>
      <c r="K2178" s="334"/>
      <c r="L2178" s="334"/>
      <c r="M2178" s="328"/>
      <c r="N2178" s="328"/>
      <c r="S2178" s="336"/>
      <c r="T2178" s="62" ph="1"/>
      <c r="V2178" s="232"/>
      <c r="W2178" s="269"/>
      <c r="X2178" s="201"/>
      <c r="Y2178" s="269"/>
      <c r="Z2178" s="269"/>
      <c r="AA2178" s="269"/>
      <c r="AB2178" s="269"/>
      <c r="AC2178" s="269"/>
      <c r="AD2178" s="269"/>
      <c r="AE2178" s="269"/>
    </row>
    <row r="2179" spans="1:31" ht="26.25">
      <c r="A2179" s="269"/>
      <c r="B2179" s="269"/>
      <c r="C2179" s="269"/>
      <c r="D2179" s="269"/>
      <c r="E2179" s="269"/>
      <c r="F2179" s="269"/>
      <c r="G2179" s="269"/>
      <c r="H2179" s="269"/>
      <c r="I2179" s="269"/>
      <c r="J2179" s="334"/>
      <c r="K2179" s="334"/>
      <c r="L2179" s="334"/>
      <c r="M2179" s="328"/>
      <c r="N2179" s="328"/>
      <c r="S2179" s="336"/>
      <c r="T2179" s="62" ph="1"/>
      <c r="V2179" s="232"/>
      <c r="W2179" s="269"/>
      <c r="X2179" s="201"/>
      <c r="Y2179" s="269"/>
      <c r="Z2179" s="269"/>
      <c r="AA2179" s="269"/>
      <c r="AB2179" s="269"/>
      <c r="AC2179" s="269"/>
      <c r="AD2179" s="269"/>
      <c r="AE2179" s="269"/>
    </row>
    <row r="2180" spans="1:31" ht="26.25">
      <c r="A2180" s="269"/>
      <c r="B2180" s="269"/>
      <c r="C2180" s="269"/>
      <c r="D2180" s="269"/>
      <c r="E2180" s="269"/>
      <c r="F2180" s="269"/>
      <c r="G2180" s="269"/>
      <c r="H2180" s="269"/>
      <c r="I2180" s="269"/>
      <c r="J2180" s="334"/>
      <c r="K2180" s="334"/>
      <c r="L2180" s="334"/>
      <c r="M2180" s="328"/>
      <c r="N2180" s="328"/>
      <c r="S2180" s="336"/>
      <c r="T2180" s="62" ph="1"/>
      <c r="V2180" s="232"/>
      <c r="W2180" s="269"/>
      <c r="X2180" s="201"/>
      <c r="Y2180" s="269"/>
      <c r="Z2180" s="269"/>
      <c r="AA2180" s="269"/>
      <c r="AB2180" s="269"/>
      <c r="AC2180" s="269"/>
      <c r="AD2180" s="269"/>
      <c r="AE2180" s="269"/>
    </row>
    <row r="2181" spans="1:31" ht="26.25">
      <c r="A2181" s="269"/>
      <c r="B2181" s="269"/>
      <c r="C2181" s="269"/>
      <c r="D2181" s="269"/>
      <c r="E2181" s="269"/>
      <c r="F2181" s="269"/>
      <c r="G2181" s="269"/>
      <c r="H2181" s="269"/>
      <c r="I2181" s="269"/>
      <c r="J2181" s="334"/>
      <c r="K2181" s="334"/>
      <c r="L2181" s="334"/>
      <c r="M2181" s="328"/>
      <c r="N2181" s="328"/>
      <c r="S2181" s="336"/>
      <c r="T2181" s="62" ph="1"/>
      <c r="V2181" s="232"/>
      <c r="W2181" s="269"/>
      <c r="X2181" s="201"/>
      <c r="Y2181" s="269"/>
      <c r="Z2181" s="269"/>
      <c r="AA2181" s="269"/>
      <c r="AB2181" s="269"/>
      <c r="AC2181" s="269"/>
      <c r="AD2181" s="269"/>
      <c r="AE2181" s="269"/>
    </row>
    <row r="2182" spans="1:31" ht="26.25">
      <c r="A2182" s="269"/>
      <c r="B2182" s="269"/>
      <c r="C2182" s="269"/>
      <c r="D2182" s="269"/>
      <c r="E2182" s="269"/>
      <c r="F2182" s="269"/>
      <c r="G2182" s="269"/>
      <c r="H2182" s="269"/>
      <c r="I2182" s="269"/>
      <c r="J2182" s="334"/>
      <c r="K2182" s="334"/>
      <c r="L2182" s="334"/>
      <c r="M2182" s="328"/>
      <c r="N2182" s="328"/>
      <c r="S2182" s="336"/>
      <c r="T2182" s="62" ph="1"/>
      <c r="V2182" s="232"/>
      <c r="W2182" s="269"/>
      <c r="X2182" s="201"/>
      <c r="Y2182" s="269"/>
      <c r="Z2182" s="269"/>
      <c r="AA2182" s="269"/>
      <c r="AB2182" s="269"/>
      <c r="AC2182" s="269"/>
      <c r="AD2182" s="269"/>
      <c r="AE2182" s="269"/>
    </row>
    <row r="2183" spans="1:31" ht="26.25">
      <c r="A2183" s="269"/>
      <c r="B2183" s="269"/>
      <c r="C2183" s="269"/>
      <c r="D2183" s="269"/>
      <c r="E2183" s="269"/>
      <c r="F2183" s="269"/>
      <c r="G2183" s="269"/>
      <c r="H2183" s="269"/>
      <c r="I2183" s="269"/>
      <c r="J2183" s="334"/>
      <c r="K2183" s="334"/>
      <c r="L2183" s="334"/>
      <c r="M2183" s="328"/>
      <c r="N2183" s="328"/>
      <c r="S2183" s="336"/>
      <c r="T2183" s="62" ph="1"/>
      <c r="V2183" s="232"/>
      <c r="W2183" s="269"/>
      <c r="X2183" s="201"/>
      <c r="Y2183" s="269"/>
      <c r="Z2183" s="269"/>
      <c r="AA2183" s="269"/>
      <c r="AB2183" s="269"/>
      <c r="AC2183" s="269"/>
      <c r="AD2183" s="269"/>
      <c r="AE2183" s="269"/>
    </row>
    <row r="2184" spans="1:31" ht="26.25">
      <c r="A2184" s="269"/>
      <c r="B2184" s="269"/>
      <c r="C2184" s="269"/>
      <c r="D2184" s="269"/>
      <c r="E2184" s="269"/>
      <c r="F2184" s="269"/>
      <c r="G2184" s="269"/>
      <c r="H2184" s="269"/>
      <c r="I2184" s="269"/>
      <c r="J2184" s="334"/>
      <c r="K2184" s="334"/>
      <c r="L2184" s="334"/>
      <c r="M2184" s="328"/>
      <c r="N2184" s="328"/>
      <c r="S2184" s="336"/>
      <c r="T2184" s="62" ph="1"/>
      <c r="V2184" s="232"/>
      <c r="W2184" s="269"/>
      <c r="X2184" s="201"/>
      <c r="Y2184" s="269"/>
      <c r="Z2184" s="269"/>
      <c r="AA2184" s="269"/>
      <c r="AB2184" s="269"/>
      <c r="AC2184" s="269"/>
      <c r="AD2184" s="269"/>
      <c r="AE2184" s="269"/>
    </row>
    <row r="2185" spans="1:31" ht="26.25">
      <c r="A2185" s="269"/>
      <c r="B2185" s="269"/>
      <c r="C2185" s="269"/>
      <c r="D2185" s="269"/>
      <c r="E2185" s="269"/>
      <c r="F2185" s="269"/>
      <c r="G2185" s="269"/>
      <c r="H2185" s="269"/>
      <c r="I2185" s="269"/>
      <c r="J2185" s="334"/>
      <c r="K2185" s="334"/>
      <c r="L2185" s="334"/>
      <c r="M2185" s="328"/>
      <c r="N2185" s="328"/>
      <c r="S2185" s="336"/>
      <c r="T2185" s="62" ph="1"/>
      <c r="V2185" s="232"/>
      <c r="W2185" s="269"/>
      <c r="X2185" s="201"/>
      <c r="Y2185" s="269"/>
      <c r="Z2185" s="269"/>
      <c r="AA2185" s="269"/>
      <c r="AB2185" s="269"/>
      <c r="AC2185" s="269"/>
      <c r="AD2185" s="269"/>
      <c r="AE2185" s="269"/>
    </row>
    <row r="2186" spans="1:31" ht="26.25">
      <c r="A2186" s="269"/>
      <c r="B2186" s="269"/>
      <c r="C2186" s="269"/>
      <c r="D2186" s="269"/>
      <c r="E2186" s="269"/>
      <c r="F2186" s="269"/>
      <c r="G2186" s="269"/>
      <c r="H2186" s="269"/>
      <c r="I2186" s="269"/>
      <c r="J2186" s="334"/>
      <c r="K2186" s="334"/>
      <c r="L2186" s="334"/>
      <c r="M2186" s="328"/>
      <c r="N2186" s="328"/>
      <c r="S2186" s="336"/>
      <c r="T2186" s="62" ph="1"/>
      <c r="V2186" s="232"/>
      <c r="W2186" s="269"/>
      <c r="X2186" s="201"/>
      <c r="Y2186" s="269"/>
      <c r="Z2186" s="269"/>
      <c r="AA2186" s="269"/>
      <c r="AB2186" s="269"/>
      <c r="AC2186" s="269"/>
      <c r="AD2186" s="269"/>
      <c r="AE2186" s="269"/>
    </row>
    <row r="2187" spans="1:31" ht="26.25">
      <c r="A2187" s="269"/>
      <c r="B2187" s="269"/>
      <c r="C2187" s="269"/>
      <c r="D2187" s="269"/>
      <c r="E2187" s="269"/>
      <c r="F2187" s="269"/>
      <c r="G2187" s="269"/>
      <c r="H2187" s="269"/>
      <c r="I2187" s="269"/>
      <c r="J2187" s="334"/>
      <c r="K2187" s="334"/>
      <c r="L2187" s="334"/>
      <c r="M2187" s="328"/>
      <c r="N2187" s="328"/>
      <c r="S2187" s="336"/>
      <c r="T2187" s="62" ph="1"/>
      <c r="V2187" s="232"/>
      <c r="W2187" s="269"/>
      <c r="X2187" s="201"/>
      <c r="Y2187" s="269"/>
      <c r="Z2187" s="269"/>
      <c r="AA2187" s="269"/>
      <c r="AB2187" s="269"/>
      <c r="AC2187" s="269"/>
      <c r="AD2187" s="269"/>
      <c r="AE2187" s="269"/>
    </row>
    <row r="2188" spans="1:31" ht="26.25">
      <c r="A2188" s="269"/>
      <c r="B2188" s="269"/>
      <c r="C2188" s="269"/>
      <c r="D2188" s="269"/>
      <c r="E2188" s="269"/>
      <c r="F2188" s="269"/>
      <c r="G2188" s="269"/>
      <c r="H2188" s="269"/>
      <c r="I2188" s="269"/>
      <c r="J2188" s="334"/>
      <c r="K2188" s="334"/>
      <c r="L2188" s="334"/>
      <c r="M2188" s="328"/>
      <c r="N2188" s="328"/>
      <c r="S2188" s="336"/>
      <c r="T2188" s="62" ph="1"/>
      <c r="V2188" s="232"/>
      <c r="W2188" s="269"/>
      <c r="X2188" s="201"/>
      <c r="Y2188" s="269"/>
      <c r="Z2188" s="269"/>
      <c r="AA2188" s="269"/>
      <c r="AB2188" s="269"/>
      <c r="AC2188" s="269"/>
      <c r="AD2188" s="269"/>
      <c r="AE2188" s="269"/>
    </row>
    <row r="2189" spans="1:31" ht="26.25">
      <c r="A2189" s="269"/>
      <c r="B2189" s="269"/>
      <c r="C2189" s="269"/>
      <c r="D2189" s="269"/>
      <c r="E2189" s="269"/>
      <c r="F2189" s="269"/>
      <c r="G2189" s="269"/>
      <c r="H2189" s="269"/>
      <c r="I2189" s="269"/>
      <c r="J2189" s="334"/>
      <c r="K2189" s="334"/>
      <c r="L2189" s="334"/>
      <c r="M2189" s="328"/>
      <c r="N2189" s="328"/>
      <c r="S2189" s="336"/>
      <c r="T2189" s="62" ph="1"/>
      <c r="V2189" s="232"/>
      <c r="W2189" s="269"/>
      <c r="X2189" s="201"/>
      <c r="Y2189" s="269"/>
      <c r="Z2189" s="269"/>
      <c r="AA2189" s="269"/>
      <c r="AB2189" s="269"/>
      <c r="AC2189" s="269"/>
      <c r="AD2189" s="269"/>
      <c r="AE2189" s="269"/>
    </row>
    <row r="2190" spans="1:31" ht="26.25">
      <c r="A2190" s="269"/>
      <c r="B2190" s="269"/>
      <c r="C2190" s="269"/>
      <c r="D2190" s="269"/>
      <c r="E2190" s="269"/>
      <c r="F2190" s="269"/>
      <c r="G2190" s="269"/>
      <c r="H2190" s="269"/>
      <c r="I2190" s="269"/>
      <c r="J2190" s="334"/>
      <c r="K2190" s="334"/>
      <c r="L2190" s="334"/>
      <c r="M2190" s="328"/>
      <c r="N2190" s="328"/>
      <c r="S2190" s="336"/>
      <c r="T2190" s="62" ph="1"/>
      <c r="V2190" s="232"/>
      <c r="W2190" s="269"/>
      <c r="X2190" s="201"/>
      <c r="Y2190" s="269"/>
      <c r="Z2190" s="269"/>
      <c r="AA2190" s="269"/>
      <c r="AB2190" s="269"/>
      <c r="AC2190" s="269"/>
      <c r="AD2190" s="269"/>
      <c r="AE2190" s="269"/>
    </row>
    <row r="2191" spans="1:31" ht="26.25">
      <c r="A2191" s="269"/>
      <c r="B2191" s="269"/>
      <c r="C2191" s="269"/>
      <c r="D2191" s="269"/>
      <c r="E2191" s="269"/>
      <c r="F2191" s="269"/>
      <c r="G2191" s="269"/>
      <c r="H2191" s="269"/>
      <c r="I2191" s="269"/>
      <c r="J2191" s="334"/>
      <c r="K2191" s="334"/>
      <c r="L2191" s="334"/>
      <c r="M2191" s="328"/>
      <c r="N2191" s="328"/>
      <c r="S2191" s="336"/>
      <c r="T2191" s="62" ph="1"/>
      <c r="V2191" s="232"/>
      <c r="W2191" s="269"/>
      <c r="X2191" s="201"/>
      <c r="Y2191" s="269"/>
      <c r="Z2191" s="269"/>
      <c r="AA2191" s="269"/>
      <c r="AB2191" s="269"/>
      <c r="AC2191" s="269"/>
      <c r="AD2191" s="269"/>
      <c r="AE2191" s="269"/>
    </row>
    <row r="2192" spans="1:31" ht="26.25">
      <c r="A2192" s="269"/>
      <c r="B2192" s="269"/>
      <c r="C2192" s="269"/>
      <c r="D2192" s="269"/>
      <c r="E2192" s="269"/>
      <c r="F2192" s="269"/>
      <c r="G2192" s="269"/>
      <c r="H2192" s="269"/>
      <c r="I2192" s="269"/>
      <c r="J2192" s="334"/>
      <c r="K2192" s="334"/>
      <c r="L2192" s="334"/>
      <c r="M2192" s="328"/>
      <c r="N2192" s="328"/>
      <c r="S2192" s="336"/>
      <c r="T2192" s="62" ph="1"/>
      <c r="V2192" s="232"/>
      <c r="W2192" s="269"/>
      <c r="X2192" s="201"/>
      <c r="Y2192" s="269"/>
      <c r="Z2192" s="269"/>
      <c r="AA2192" s="269"/>
      <c r="AB2192" s="269"/>
      <c r="AC2192" s="269"/>
      <c r="AD2192" s="269"/>
      <c r="AE2192" s="269"/>
    </row>
    <row r="2193" spans="1:31" ht="26.25">
      <c r="A2193" s="269"/>
      <c r="B2193" s="269"/>
      <c r="C2193" s="269"/>
      <c r="D2193" s="269"/>
      <c r="E2193" s="269"/>
      <c r="F2193" s="269"/>
      <c r="G2193" s="269"/>
      <c r="H2193" s="269"/>
      <c r="I2193" s="269"/>
      <c r="J2193" s="334"/>
      <c r="K2193" s="334"/>
      <c r="L2193" s="334"/>
      <c r="M2193" s="328"/>
      <c r="N2193" s="328"/>
      <c r="S2193" s="336"/>
      <c r="T2193" s="62" ph="1"/>
      <c r="V2193" s="232"/>
      <c r="W2193" s="269"/>
      <c r="X2193" s="201"/>
      <c r="Y2193" s="269"/>
      <c r="Z2193" s="269"/>
      <c r="AA2193" s="269"/>
      <c r="AB2193" s="269"/>
      <c r="AC2193" s="269"/>
      <c r="AD2193" s="269"/>
      <c r="AE2193" s="269"/>
    </row>
    <row r="2194" spans="1:31" ht="26.25">
      <c r="A2194" s="269"/>
      <c r="B2194" s="269"/>
      <c r="C2194" s="269"/>
      <c r="D2194" s="269"/>
      <c r="E2194" s="269"/>
      <c r="F2194" s="269"/>
      <c r="G2194" s="269"/>
      <c r="H2194" s="269"/>
      <c r="I2194" s="269"/>
      <c r="J2194" s="334"/>
      <c r="K2194" s="334"/>
      <c r="L2194" s="334"/>
      <c r="M2194" s="328"/>
      <c r="N2194" s="328"/>
      <c r="S2194" s="336"/>
      <c r="T2194" s="62" ph="1"/>
      <c r="V2194" s="232"/>
      <c r="W2194" s="269"/>
      <c r="X2194" s="201"/>
      <c r="Y2194" s="269"/>
      <c r="Z2194" s="269"/>
      <c r="AA2194" s="269"/>
      <c r="AB2194" s="269"/>
      <c r="AC2194" s="269"/>
      <c r="AD2194" s="269"/>
      <c r="AE2194" s="269"/>
    </row>
    <row r="2195" spans="1:31" ht="26.25">
      <c r="A2195" s="269"/>
      <c r="B2195" s="269"/>
      <c r="C2195" s="269"/>
      <c r="D2195" s="269"/>
      <c r="E2195" s="269"/>
      <c r="F2195" s="269"/>
      <c r="G2195" s="269"/>
      <c r="H2195" s="269"/>
      <c r="I2195" s="269"/>
      <c r="J2195" s="334"/>
      <c r="K2195" s="334"/>
      <c r="L2195" s="334"/>
      <c r="M2195" s="328"/>
      <c r="N2195" s="328"/>
      <c r="S2195" s="336"/>
      <c r="T2195" s="62" ph="1"/>
      <c r="V2195" s="232"/>
      <c r="W2195" s="269"/>
      <c r="X2195" s="201"/>
      <c r="Y2195" s="269"/>
      <c r="Z2195" s="269"/>
      <c r="AA2195" s="269"/>
      <c r="AB2195" s="269"/>
      <c r="AC2195" s="269"/>
      <c r="AD2195" s="269"/>
      <c r="AE2195" s="269"/>
    </row>
    <row r="2196" spans="1:31" ht="26.25">
      <c r="A2196" s="269"/>
      <c r="B2196" s="269"/>
      <c r="C2196" s="269"/>
      <c r="D2196" s="269"/>
      <c r="E2196" s="269"/>
      <c r="F2196" s="269"/>
      <c r="G2196" s="269"/>
      <c r="H2196" s="269"/>
      <c r="I2196" s="269"/>
      <c r="J2196" s="334"/>
      <c r="K2196" s="334"/>
      <c r="L2196" s="334"/>
      <c r="M2196" s="328"/>
      <c r="N2196" s="328"/>
      <c r="S2196" s="336"/>
      <c r="T2196" s="62" ph="1"/>
      <c r="V2196" s="232"/>
      <c r="W2196" s="269"/>
      <c r="X2196" s="201"/>
      <c r="Y2196" s="269"/>
      <c r="Z2196" s="269"/>
      <c r="AA2196" s="269"/>
      <c r="AB2196" s="269"/>
      <c r="AC2196" s="269"/>
      <c r="AD2196" s="269"/>
      <c r="AE2196" s="269"/>
    </row>
    <row r="2197" spans="1:31" ht="26.25">
      <c r="A2197" s="269"/>
      <c r="B2197" s="269"/>
      <c r="C2197" s="269"/>
      <c r="D2197" s="269"/>
      <c r="E2197" s="269"/>
      <c r="F2197" s="269"/>
      <c r="G2197" s="269"/>
      <c r="H2197" s="269"/>
      <c r="I2197" s="269"/>
      <c r="J2197" s="334"/>
      <c r="K2197" s="334"/>
      <c r="L2197" s="334"/>
      <c r="M2197" s="328"/>
      <c r="N2197" s="328"/>
      <c r="S2197" s="336"/>
      <c r="T2197" s="62" ph="1"/>
      <c r="V2197" s="232"/>
      <c r="W2197" s="269"/>
      <c r="X2197" s="201"/>
      <c r="Y2197" s="269"/>
      <c r="Z2197" s="269"/>
      <c r="AA2197" s="269"/>
      <c r="AB2197" s="269"/>
      <c r="AC2197" s="269"/>
      <c r="AD2197" s="269"/>
      <c r="AE2197" s="269"/>
    </row>
    <row r="2198" spans="1:31" ht="26.25">
      <c r="A2198" s="269"/>
      <c r="B2198" s="269"/>
      <c r="C2198" s="269"/>
      <c r="D2198" s="269"/>
      <c r="E2198" s="269"/>
      <c r="F2198" s="269"/>
      <c r="G2198" s="269"/>
      <c r="H2198" s="269"/>
      <c r="I2198" s="269"/>
      <c r="J2198" s="334"/>
      <c r="K2198" s="334"/>
      <c r="L2198" s="334"/>
      <c r="M2198" s="328"/>
      <c r="N2198" s="328"/>
      <c r="S2198" s="336"/>
      <c r="T2198" s="62" ph="1"/>
      <c r="V2198" s="232"/>
      <c r="W2198" s="269"/>
      <c r="X2198" s="201"/>
      <c r="Y2198" s="269"/>
      <c r="Z2198" s="269"/>
      <c r="AA2198" s="269"/>
      <c r="AB2198" s="269"/>
      <c r="AC2198" s="269"/>
      <c r="AD2198" s="269"/>
      <c r="AE2198" s="269"/>
    </row>
    <row r="2199" spans="1:31" ht="26.25">
      <c r="A2199" s="269"/>
      <c r="B2199" s="269"/>
      <c r="C2199" s="269"/>
      <c r="D2199" s="269"/>
      <c r="E2199" s="269"/>
      <c r="F2199" s="269"/>
      <c r="G2199" s="269"/>
      <c r="H2199" s="269"/>
      <c r="I2199" s="269"/>
      <c r="J2199" s="334"/>
      <c r="K2199" s="334"/>
      <c r="L2199" s="334"/>
      <c r="M2199" s="328"/>
      <c r="N2199" s="328"/>
      <c r="S2199" s="336"/>
      <c r="T2199" s="62" ph="1"/>
      <c r="V2199" s="232"/>
      <c r="W2199" s="269"/>
      <c r="X2199" s="201"/>
      <c r="Y2199" s="269"/>
      <c r="Z2199" s="269"/>
      <c r="AA2199" s="269"/>
      <c r="AB2199" s="269"/>
      <c r="AC2199" s="269"/>
      <c r="AD2199" s="269"/>
      <c r="AE2199" s="269"/>
    </row>
    <row r="2200" spans="1:31" ht="26.25">
      <c r="A2200" s="269"/>
      <c r="B2200" s="269"/>
      <c r="C2200" s="269"/>
      <c r="D2200" s="269"/>
      <c r="E2200" s="269"/>
      <c r="F2200" s="269"/>
      <c r="G2200" s="269"/>
      <c r="H2200" s="269"/>
      <c r="I2200" s="269"/>
      <c r="J2200" s="334"/>
      <c r="K2200" s="334"/>
      <c r="L2200" s="334"/>
      <c r="M2200" s="328"/>
      <c r="N2200" s="328"/>
      <c r="S2200" s="336"/>
      <c r="T2200" s="62" ph="1"/>
      <c r="V2200" s="232"/>
      <c r="W2200" s="269"/>
      <c r="X2200" s="201"/>
      <c r="Y2200" s="269"/>
      <c r="Z2200" s="269"/>
      <c r="AA2200" s="269"/>
      <c r="AB2200" s="269"/>
      <c r="AC2200" s="269"/>
      <c r="AD2200" s="269"/>
      <c r="AE2200" s="269"/>
    </row>
    <row r="2201" spans="1:31" ht="26.25">
      <c r="A2201" s="269"/>
      <c r="B2201" s="269"/>
      <c r="C2201" s="269"/>
      <c r="D2201" s="269"/>
      <c r="E2201" s="269"/>
      <c r="F2201" s="269"/>
      <c r="G2201" s="269"/>
      <c r="H2201" s="269"/>
      <c r="I2201" s="269"/>
      <c r="J2201" s="334"/>
      <c r="K2201" s="334"/>
      <c r="L2201" s="334"/>
      <c r="M2201" s="328"/>
      <c r="N2201" s="328"/>
      <c r="S2201" s="336"/>
      <c r="T2201" s="62" ph="1"/>
      <c r="V2201" s="232"/>
      <c r="W2201" s="269"/>
      <c r="X2201" s="201"/>
      <c r="Y2201" s="269"/>
      <c r="Z2201" s="269"/>
      <c r="AA2201" s="269"/>
      <c r="AB2201" s="269"/>
      <c r="AC2201" s="269"/>
      <c r="AD2201" s="269"/>
      <c r="AE2201" s="269"/>
    </row>
    <row r="2202" spans="1:31" ht="26.25">
      <c r="A2202" s="269"/>
      <c r="B2202" s="269"/>
      <c r="C2202" s="269"/>
      <c r="D2202" s="269"/>
      <c r="E2202" s="269"/>
      <c r="F2202" s="269"/>
      <c r="G2202" s="269"/>
      <c r="H2202" s="269"/>
      <c r="I2202" s="269"/>
      <c r="J2202" s="334"/>
      <c r="K2202" s="334"/>
      <c r="L2202" s="334"/>
      <c r="M2202" s="328"/>
      <c r="N2202" s="328"/>
      <c r="S2202" s="336"/>
      <c r="T2202" s="62" ph="1"/>
      <c r="V2202" s="232"/>
      <c r="W2202" s="269"/>
      <c r="X2202" s="201"/>
      <c r="Y2202" s="269"/>
      <c r="Z2202" s="269"/>
      <c r="AA2202" s="269"/>
      <c r="AB2202" s="269"/>
      <c r="AC2202" s="269"/>
      <c r="AD2202" s="269"/>
      <c r="AE2202" s="269"/>
    </row>
    <row r="2203" spans="1:31" ht="26.25">
      <c r="A2203" s="269"/>
      <c r="B2203" s="269"/>
      <c r="C2203" s="269"/>
      <c r="D2203" s="269"/>
      <c r="E2203" s="269"/>
      <c r="F2203" s="269"/>
      <c r="G2203" s="269"/>
      <c r="H2203" s="269"/>
      <c r="I2203" s="269"/>
      <c r="J2203" s="334"/>
      <c r="K2203" s="334"/>
      <c r="L2203" s="334"/>
      <c r="M2203" s="328"/>
      <c r="N2203" s="328"/>
      <c r="S2203" s="336"/>
      <c r="T2203" s="62" ph="1"/>
      <c r="V2203" s="232"/>
      <c r="W2203" s="269"/>
      <c r="X2203" s="201"/>
      <c r="Y2203" s="269"/>
      <c r="Z2203" s="269"/>
      <c r="AA2203" s="269"/>
      <c r="AB2203" s="269"/>
      <c r="AC2203" s="269"/>
      <c r="AD2203" s="269"/>
      <c r="AE2203" s="269"/>
    </row>
    <row r="2204" spans="1:31" ht="26.25">
      <c r="A2204" s="269"/>
      <c r="B2204" s="269"/>
      <c r="C2204" s="269"/>
      <c r="D2204" s="269"/>
      <c r="E2204" s="269"/>
      <c r="F2204" s="269"/>
      <c r="G2204" s="269"/>
      <c r="H2204" s="269"/>
      <c r="I2204" s="269"/>
      <c r="J2204" s="334"/>
      <c r="K2204" s="334"/>
      <c r="L2204" s="334"/>
      <c r="M2204" s="328"/>
      <c r="N2204" s="328"/>
      <c r="S2204" s="336"/>
      <c r="T2204" s="62" ph="1"/>
      <c r="V2204" s="232"/>
      <c r="W2204" s="269"/>
      <c r="X2204" s="201"/>
      <c r="Y2204" s="269"/>
      <c r="Z2204" s="269"/>
      <c r="AA2204" s="269"/>
      <c r="AB2204" s="269"/>
      <c r="AC2204" s="269"/>
      <c r="AD2204" s="269"/>
      <c r="AE2204" s="269"/>
    </row>
    <row r="2205" spans="1:31" ht="26.25">
      <c r="A2205" s="269"/>
      <c r="B2205" s="269"/>
      <c r="C2205" s="269"/>
      <c r="D2205" s="269"/>
      <c r="E2205" s="269"/>
      <c r="F2205" s="269"/>
      <c r="G2205" s="269"/>
      <c r="H2205" s="269"/>
      <c r="I2205" s="269"/>
      <c r="J2205" s="334"/>
      <c r="K2205" s="334"/>
      <c r="L2205" s="334"/>
      <c r="M2205" s="328"/>
      <c r="N2205" s="328"/>
      <c r="S2205" s="336"/>
      <c r="T2205" s="62" ph="1"/>
      <c r="V2205" s="232"/>
      <c r="W2205" s="269"/>
      <c r="X2205" s="201"/>
      <c r="Y2205" s="269"/>
      <c r="Z2205" s="269"/>
      <c r="AA2205" s="269"/>
      <c r="AB2205" s="269"/>
      <c r="AC2205" s="269"/>
      <c r="AD2205" s="269"/>
      <c r="AE2205" s="269"/>
    </row>
    <row r="2206" spans="1:31" ht="26.25">
      <c r="A2206" s="269"/>
      <c r="B2206" s="269"/>
      <c r="C2206" s="269"/>
      <c r="D2206" s="269"/>
      <c r="E2206" s="269"/>
      <c r="F2206" s="269"/>
      <c r="G2206" s="269"/>
      <c r="H2206" s="269"/>
      <c r="I2206" s="269"/>
      <c r="J2206" s="334"/>
      <c r="K2206" s="334"/>
      <c r="L2206" s="334"/>
      <c r="M2206" s="328"/>
      <c r="N2206" s="328"/>
      <c r="S2206" s="336"/>
      <c r="T2206" s="62" ph="1"/>
      <c r="V2206" s="232"/>
      <c r="W2206" s="269"/>
      <c r="X2206" s="201"/>
      <c r="Y2206" s="269"/>
      <c r="Z2206" s="269"/>
      <c r="AA2206" s="269"/>
      <c r="AB2206" s="269"/>
      <c r="AC2206" s="269"/>
      <c r="AD2206" s="269"/>
      <c r="AE2206" s="269"/>
    </row>
    <row r="2207" spans="1:31" ht="26.25">
      <c r="A2207" s="269"/>
      <c r="B2207" s="269"/>
      <c r="C2207" s="269"/>
      <c r="D2207" s="269"/>
      <c r="E2207" s="269"/>
      <c r="F2207" s="269"/>
      <c r="G2207" s="269"/>
      <c r="H2207" s="269"/>
      <c r="I2207" s="269"/>
      <c r="J2207" s="334"/>
      <c r="K2207" s="334"/>
      <c r="L2207" s="334"/>
      <c r="M2207" s="328"/>
      <c r="N2207" s="328"/>
      <c r="S2207" s="336"/>
      <c r="T2207" s="62" ph="1"/>
      <c r="V2207" s="232"/>
      <c r="W2207" s="269"/>
      <c r="X2207" s="201"/>
      <c r="Y2207" s="269"/>
      <c r="Z2207" s="269"/>
      <c r="AA2207" s="269"/>
      <c r="AB2207" s="269"/>
      <c r="AC2207" s="269"/>
      <c r="AD2207" s="269"/>
      <c r="AE2207" s="269"/>
    </row>
    <row r="2208" spans="1:31" ht="26.25">
      <c r="A2208" s="269"/>
      <c r="B2208" s="269"/>
      <c r="C2208" s="269"/>
      <c r="D2208" s="269"/>
      <c r="E2208" s="269"/>
      <c r="F2208" s="269"/>
      <c r="G2208" s="269"/>
      <c r="H2208" s="269"/>
      <c r="I2208" s="269"/>
      <c r="J2208" s="334"/>
      <c r="K2208" s="334"/>
      <c r="L2208" s="334"/>
      <c r="M2208" s="328"/>
      <c r="N2208" s="328"/>
      <c r="S2208" s="336"/>
      <c r="T2208" s="62" ph="1"/>
      <c r="V2208" s="232"/>
      <c r="W2208" s="269"/>
      <c r="X2208" s="201"/>
      <c r="Y2208" s="269"/>
      <c r="Z2208" s="269"/>
      <c r="AA2208" s="269"/>
      <c r="AB2208" s="269"/>
      <c r="AC2208" s="269"/>
      <c r="AD2208" s="269"/>
      <c r="AE2208" s="269"/>
    </row>
    <row r="2209" spans="1:31" ht="26.25">
      <c r="A2209" s="269"/>
      <c r="B2209" s="269"/>
      <c r="C2209" s="269"/>
      <c r="D2209" s="269"/>
      <c r="E2209" s="269"/>
      <c r="F2209" s="269"/>
      <c r="G2209" s="269"/>
      <c r="H2209" s="269"/>
      <c r="I2209" s="269"/>
      <c r="J2209" s="334"/>
      <c r="K2209" s="334"/>
      <c r="L2209" s="334"/>
      <c r="M2209" s="328"/>
      <c r="N2209" s="328"/>
      <c r="S2209" s="336"/>
      <c r="T2209" s="62" ph="1"/>
      <c r="V2209" s="232"/>
      <c r="W2209" s="269"/>
      <c r="X2209" s="201"/>
      <c r="Y2209" s="269"/>
      <c r="Z2209" s="269"/>
      <c r="AA2209" s="269"/>
      <c r="AB2209" s="269"/>
      <c r="AC2209" s="269"/>
      <c r="AD2209" s="269"/>
      <c r="AE2209" s="269"/>
    </row>
    <row r="2210" spans="1:31" ht="26.25">
      <c r="A2210" s="269"/>
      <c r="B2210" s="269"/>
      <c r="C2210" s="269"/>
      <c r="D2210" s="269"/>
      <c r="E2210" s="269"/>
      <c r="F2210" s="269"/>
      <c r="G2210" s="269"/>
      <c r="H2210" s="269"/>
      <c r="I2210" s="269"/>
      <c r="J2210" s="334"/>
      <c r="K2210" s="334"/>
      <c r="L2210" s="334"/>
      <c r="M2210" s="328"/>
      <c r="N2210" s="328"/>
      <c r="S2210" s="336"/>
      <c r="T2210" s="62" ph="1"/>
      <c r="V2210" s="232"/>
      <c r="W2210" s="269"/>
      <c r="X2210" s="201"/>
      <c r="Y2210" s="269"/>
      <c r="Z2210" s="269"/>
      <c r="AA2210" s="269"/>
      <c r="AB2210" s="269"/>
      <c r="AC2210" s="269"/>
      <c r="AD2210" s="269"/>
      <c r="AE2210" s="269"/>
    </row>
    <row r="2211" spans="1:31" ht="26.25">
      <c r="A2211" s="269"/>
      <c r="B2211" s="269"/>
      <c r="C2211" s="269"/>
      <c r="D2211" s="269"/>
      <c r="E2211" s="269"/>
      <c r="F2211" s="269"/>
      <c r="G2211" s="269"/>
      <c r="H2211" s="269"/>
      <c r="I2211" s="269"/>
      <c r="J2211" s="334"/>
      <c r="K2211" s="334"/>
      <c r="L2211" s="334"/>
      <c r="M2211" s="328"/>
      <c r="N2211" s="328"/>
      <c r="S2211" s="336"/>
      <c r="T2211" s="62" ph="1"/>
      <c r="V2211" s="232"/>
      <c r="W2211" s="269"/>
      <c r="X2211" s="201"/>
      <c r="Y2211" s="269"/>
      <c r="Z2211" s="269"/>
      <c r="AA2211" s="269"/>
      <c r="AB2211" s="269"/>
      <c r="AC2211" s="269"/>
      <c r="AD2211" s="269"/>
      <c r="AE2211" s="269"/>
    </row>
    <row r="2212" spans="1:31" ht="26.25">
      <c r="A2212" s="269"/>
      <c r="B2212" s="269"/>
      <c r="C2212" s="269"/>
      <c r="D2212" s="269"/>
      <c r="E2212" s="269"/>
      <c r="F2212" s="269"/>
      <c r="G2212" s="269"/>
      <c r="H2212" s="269"/>
      <c r="I2212" s="269"/>
      <c r="J2212" s="334"/>
      <c r="K2212" s="334"/>
      <c r="L2212" s="334"/>
      <c r="M2212" s="328"/>
      <c r="N2212" s="328"/>
      <c r="S2212" s="336"/>
      <c r="T2212" s="62" ph="1"/>
      <c r="V2212" s="232"/>
      <c r="W2212" s="269"/>
      <c r="X2212" s="201"/>
      <c r="Y2212" s="269"/>
      <c r="Z2212" s="269"/>
      <c r="AA2212" s="269"/>
      <c r="AB2212" s="269"/>
      <c r="AC2212" s="269"/>
      <c r="AD2212" s="269"/>
      <c r="AE2212" s="269"/>
    </row>
    <row r="2213" spans="1:31" ht="26.25">
      <c r="A2213" s="269"/>
      <c r="B2213" s="269"/>
      <c r="C2213" s="269"/>
      <c r="D2213" s="269"/>
      <c r="E2213" s="269"/>
      <c r="F2213" s="269"/>
      <c r="G2213" s="269"/>
      <c r="H2213" s="269"/>
      <c r="I2213" s="269"/>
      <c r="J2213" s="334"/>
      <c r="K2213" s="334"/>
      <c r="L2213" s="334"/>
      <c r="M2213" s="328"/>
      <c r="N2213" s="328"/>
      <c r="S2213" s="336"/>
      <c r="T2213" s="62" ph="1"/>
      <c r="V2213" s="232"/>
      <c r="W2213" s="269"/>
      <c r="X2213" s="201"/>
      <c r="Y2213" s="269"/>
      <c r="Z2213" s="269"/>
      <c r="AA2213" s="269"/>
      <c r="AB2213" s="269"/>
      <c r="AC2213" s="269"/>
      <c r="AD2213" s="269"/>
      <c r="AE2213" s="269"/>
    </row>
    <row r="2214" spans="1:31" ht="26.25">
      <c r="A2214" s="269"/>
      <c r="B2214" s="269"/>
      <c r="C2214" s="269"/>
      <c r="D2214" s="269"/>
      <c r="E2214" s="269"/>
      <c r="F2214" s="269"/>
      <c r="G2214" s="269"/>
      <c r="H2214" s="269"/>
      <c r="I2214" s="269"/>
      <c r="J2214" s="334"/>
      <c r="K2214" s="334"/>
      <c r="L2214" s="334"/>
      <c r="M2214" s="328"/>
      <c r="N2214" s="328"/>
      <c r="S2214" s="336"/>
      <c r="T2214" s="62" ph="1"/>
      <c r="V2214" s="232"/>
      <c r="W2214" s="269"/>
      <c r="X2214" s="201"/>
      <c r="Y2214" s="269"/>
      <c r="Z2214" s="269"/>
      <c r="AA2214" s="269"/>
      <c r="AB2214" s="269"/>
      <c r="AC2214" s="269"/>
      <c r="AD2214" s="269"/>
      <c r="AE2214" s="269"/>
    </row>
    <row r="2215" spans="1:31" ht="26.25">
      <c r="A2215" s="269"/>
      <c r="B2215" s="269"/>
      <c r="C2215" s="269"/>
      <c r="D2215" s="269"/>
      <c r="E2215" s="269"/>
      <c r="F2215" s="269"/>
      <c r="G2215" s="269"/>
      <c r="H2215" s="269"/>
      <c r="I2215" s="269"/>
      <c r="J2215" s="334"/>
      <c r="K2215" s="334"/>
      <c r="L2215" s="334"/>
      <c r="M2215" s="328"/>
      <c r="N2215" s="328"/>
      <c r="S2215" s="336"/>
      <c r="T2215" s="62" ph="1"/>
      <c r="V2215" s="232"/>
      <c r="W2215" s="269"/>
      <c r="X2215" s="201"/>
      <c r="Y2215" s="269"/>
      <c r="Z2215" s="269"/>
      <c r="AA2215" s="269"/>
      <c r="AB2215" s="269"/>
      <c r="AC2215" s="269"/>
      <c r="AD2215" s="269"/>
      <c r="AE2215" s="269"/>
    </row>
    <row r="2216" spans="1:31" ht="26.25">
      <c r="A2216" s="269"/>
      <c r="B2216" s="269"/>
      <c r="C2216" s="269"/>
      <c r="D2216" s="269"/>
      <c r="E2216" s="269"/>
      <c r="F2216" s="269"/>
      <c r="G2216" s="269"/>
      <c r="H2216" s="269"/>
      <c r="I2216" s="269"/>
      <c r="J2216" s="334"/>
      <c r="K2216" s="334"/>
      <c r="L2216" s="334"/>
      <c r="M2216" s="328"/>
      <c r="N2216" s="328"/>
      <c r="S2216" s="336"/>
      <c r="T2216" s="62" ph="1"/>
      <c r="V2216" s="232"/>
      <c r="W2216" s="269"/>
      <c r="X2216" s="201"/>
      <c r="Y2216" s="269"/>
      <c r="Z2216" s="269"/>
      <c r="AA2216" s="269"/>
      <c r="AB2216" s="269"/>
      <c r="AC2216" s="269"/>
      <c r="AD2216" s="269"/>
      <c r="AE2216" s="269"/>
    </row>
    <row r="2217" spans="1:31" ht="26.25">
      <c r="A2217" s="269"/>
      <c r="B2217" s="269"/>
      <c r="C2217" s="269"/>
      <c r="D2217" s="269"/>
      <c r="E2217" s="269"/>
      <c r="F2217" s="269"/>
      <c r="G2217" s="269"/>
      <c r="H2217" s="269"/>
      <c r="I2217" s="269"/>
      <c r="J2217" s="334"/>
      <c r="K2217" s="334"/>
      <c r="L2217" s="334"/>
      <c r="M2217" s="328"/>
      <c r="N2217" s="328"/>
      <c r="S2217" s="336"/>
      <c r="T2217" s="62" ph="1"/>
      <c r="V2217" s="232"/>
      <c r="W2217" s="269"/>
      <c r="X2217" s="201"/>
      <c r="Y2217" s="269"/>
      <c r="Z2217" s="269"/>
      <c r="AA2217" s="269"/>
      <c r="AB2217" s="269"/>
      <c r="AC2217" s="269"/>
      <c r="AD2217" s="269"/>
      <c r="AE2217" s="269"/>
    </row>
    <row r="2218" spans="1:31" ht="26.25">
      <c r="A2218" s="269"/>
      <c r="B2218" s="269"/>
      <c r="C2218" s="269"/>
      <c r="D2218" s="269"/>
      <c r="E2218" s="269"/>
      <c r="F2218" s="269"/>
      <c r="G2218" s="269"/>
      <c r="H2218" s="269"/>
      <c r="I2218" s="269"/>
      <c r="J2218" s="334"/>
      <c r="K2218" s="334"/>
      <c r="L2218" s="334"/>
      <c r="M2218" s="328"/>
      <c r="N2218" s="328"/>
      <c r="S2218" s="336"/>
      <c r="T2218" s="62" ph="1"/>
      <c r="V2218" s="232"/>
      <c r="W2218" s="269"/>
      <c r="X2218" s="201"/>
      <c r="Y2218" s="269"/>
      <c r="Z2218" s="269"/>
      <c r="AA2218" s="269"/>
      <c r="AB2218" s="269"/>
      <c r="AC2218" s="269"/>
      <c r="AD2218" s="269"/>
      <c r="AE2218" s="269"/>
    </row>
    <row r="2219" spans="1:31" ht="26.25">
      <c r="A2219" s="269"/>
      <c r="B2219" s="269"/>
      <c r="C2219" s="269"/>
      <c r="D2219" s="269"/>
      <c r="E2219" s="269"/>
      <c r="F2219" s="269"/>
      <c r="G2219" s="269"/>
      <c r="H2219" s="269"/>
      <c r="I2219" s="269"/>
      <c r="J2219" s="334"/>
      <c r="K2219" s="334"/>
      <c r="L2219" s="334"/>
      <c r="M2219" s="328"/>
      <c r="N2219" s="328"/>
      <c r="S2219" s="336"/>
      <c r="T2219" s="62" ph="1"/>
      <c r="V2219" s="232"/>
      <c r="W2219" s="269"/>
      <c r="X2219" s="201"/>
      <c r="Y2219" s="269"/>
      <c r="Z2219" s="269"/>
      <c r="AA2219" s="269"/>
      <c r="AB2219" s="269"/>
      <c r="AC2219" s="269"/>
      <c r="AD2219" s="269"/>
      <c r="AE2219" s="269"/>
    </row>
    <row r="2220" spans="1:31" ht="26.25">
      <c r="A2220" s="269"/>
      <c r="B2220" s="269"/>
      <c r="C2220" s="269"/>
      <c r="D2220" s="269"/>
      <c r="E2220" s="269"/>
      <c r="F2220" s="269"/>
      <c r="G2220" s="269"/>
      <c r="H2220" s="269"/>
      <c r="I2220" s="269"/>
      <c r="J2220" s="334"/>
      <c r="K2220" s="334"/>
      <c r="L2220" s="334"/>
      <c r="M2220" s="328"/>
      <c r="N2220" s="328"/>
      <c r="S2220" s="336"/>
      <c r="T2220" s="62" ph="1"/>
      <c r="V2220" s="232"/>
      <c r="W2220" s="269"/>
      <c r="X2220" s="201"/>
      <c r="Y2220" s="269"/>
      <c r="Z2220" s="269"/>
      <c r="AA2220" s="269"/>
      <c r="AB2220" s="269"/>
      <c r="AC2220" s="269"/>
      <c r="AD2220" s="269"/>
      <c r="AE2220" s="269"/>
    </row>
    <row r="2221" spans="1:31" ht="26.25">
      <c r="A2221" s="269"/>
      <c r="B2221" s="269"/>
      <c r="C2221" s="269"/>
      <c r="D2221" s="269"/>
      <c r="E2221" s="269"/>
      <c r="F2221" s="269"/>
      <c r="G2221" s="269"/>
      <c r="H2221" s="269"/>
      <c r="I2221" s="269"/>
      <c r="J2221" s="334"/>
      <c r="K2221" s="334"/>
      <c r="L2221" s="334"/>
      <c r="M2221" s="328"/>
      <c r="N2221" s="328"/>
      <c r="S2221" s="336"/>
      <c r="T2221" s="62" ph="1"/>
      <c r="V2221" s="232"/>
      <c r="W2221" s="269"/>
      <c r="X2221" s="201"/>
      <c r="Y2221" s="269"/>
      <c r="Z2221" s="269"/>
      <c r="AA2221" s="269"/>
      <c r="AB2221" s="269"/>
      <c r="AC2221" s="269"/>
      <c r="AD2221" s="269"/>
      <c r="AE2221" s="269"/>
    </row>
    <row r="2222" spans="1:31" ht="26.25">
      <c r="A2222" s="269"/>
      <c r="B2222" s="269"/>
      <c r="C2222" s="269"/>
      <c r="D2222" s="269"/>
      <c r="E2222" s="269"/>
      <c r="F2222" s="269"/>
      <c r="G2222" s="269"/>
      <c r="H2222" s="269"/>
      <c r="I2222" s="269"/>
      <c r="J2222" s="334"/>
      <c r="K2222" s="334"/>
      <c r="L2222" s="334"/>
      <c r="M2222" s="328"/>
      <c r="N2222" s="328"/>
      <c r="S2222" s="336"/>
      <c r="T2222" s="62" ph="1"/>
      <c r="V2222" s="232"/>
      <c r="W2222" s="269"/>
      <c r="X2222" s="201"/>
      <c r="Y2222" s="269"/>
      <c r="Z2222" s="269"/>
      <c r="AA2222" s="269"/>
      <c r="AB2222" s="269"/>
      <c r="AC2222" s="269"/>
      <c r="AD2222" s="269"/>
      <c r="AE2222" s="269"/>
    </row>
    <row r="2223" spans="1:31" ht="26.25">
      <c r="A2223" s="269"/>
      <c r="B2223" s="269"/>
      <c r="C2223" s="269"/>
      <c r="D2223" s="269"/>
      <c r="E2223" s="269"/>
      <c r="F2223" s="269"/>
      <c r="G2223" s="269"/>
      <c r="H2223" s="269"/>
      <c r="I2223" s="269"/>
      <c r="J2223" s="334"/>
      <c r="K2223" s="334"/>
      <c r="L2223" s="334"/>
      <c r="M2223" s="328"/>
      <c r="N2223" s="328"/>
      <c r="S2223" s="336"/>
      <c r="T2223" s="62" ph="1"/>
      <c r="V2223" s="232"/>
      <c r="W2223" s="269"/>
      <c r="X2223" s="201"/>
      <c r="Y2223" s="269"/>
      <c r="Z2223" s="269"/>
      <c r="AA2223" s="269"/>
      <c r="AB2223" s="269"/>
      <c r="AC2223" s="269"/>
      <c r="AD2223" s="269"/>
      <c r="AE2223" s="269"/>
    </row>
    <row r="2224" spans="1:31" ht="26.25">
      <c r="A2224" s="269"/>
      <c r="B2224" s="269"/>
      <c r="C2224" s="269"/>
      <c r="D2224" s="269"/>
      <c r="E2224" s="269"/>
      <c r="F2224" s="269"/>
      <c r="G2224" s="269"/>
      <c r="H2224" s="269"/>
      <c r="I2224" s="269"/>
      <c r="J2224" s="334"/>
      <c r="K2224" s="334"/>
      <c r="L2224" s="334"/>
      <c r="M2224" s="328"/>
      <c r="N2224" s="328"/>
      <c r="S2224" s="336"/>
      <c r="T2224" s="62" ph="1"/>
      <c r="V2224" s="232"/>
      <c r="W2224" s="269"/>
      <c r="X2224" s="201"/>
      <c r="Y2224" s="269"/>
      <c r="Z2224" s="269"/>
      <c r="AA2224" s="269"/>
      <c r="AB2224" s="269"/>
      <c r="AC2224" s="269"/>
      <c r="AD2224" s="269"/>
      <c r="AE2224" s="269"/>
    </row>
    <row r="2225" spans="1:31" ht="26.25">
      <c r="A2225" s="269"/>
      <c r="B2225" s="269"/>
      <c r="C2225" s="269"/>
      <c r="D2225" s="269"/>
      <c r="E2225" s="269"/>
      <c r="F2225" s="269"/>
      <c r="G2225" s="269"/>
      <c r="H2225" s="269"/>
      <c r="I2225" s="269"/>
      <c r="J2225" s="334"/>
      <c r="K2225" s="334"/>
      <c r="L2225" s="334"/>
      <c r="M2225" s="328"/>
      <c r="N2225" s="328"/>
      <c r="S2225" s="336"/>
      <c r="T2225" s="62" ph="1"/>
      <c r="V2225" s="232"/>
      <c r="W2225" s="269"/>
      <c r="X2225" s="201"/>
      <c r="Y2225" s="269"/>
      <c r="Z2225" s="269"/>
      <c r="AA2225" s="269"/>
      <c r="AB2225" s="269"/>
      <c r="AC2225" s="269"/>
      <c r="AD2225" s="269"/>
      <c r="AE2225" s="269"/>
    </row>
    <row r="2226" spans="1:31" ht="26.25">
      <c r="A2226" s="269"/>
      <c r="B2226" s="269"/>
      <c r="C2226" s="269"/>
      <c r="D2226" s="269"/>
      <c r="E2226" s="269"/>
      <c r="F2226" s="269"/>
      <c r="G2226" s="269"/>
      <c r="H2226" s="269"/>
      <c r="I2226" s="269"/>
      <c r="J2226" s="334"/>
      <c r="K2226" s="334"/>
      <c r="L2226" s="334"/>
      <c r="M2226" s="328"/>
      <c r="N2226" s="328"/>
      <c r="S2226" s="336"/>
      <c r="T2226" s="62" ph="1"/>
      <c r="V2226" s="232"/>
      <c r="W2226" s="269"/>
      <c r="X2226" s="201"/>
      <c r="Y2226" s="269"/>
      <c r="Z2226" s="269"/>
      <c r="AA2226" s="269"/>
      <c r="AB2226" s="269"/>
      <c r="AC2226" s="269"/>
      <c r="AD2226" s="269"/>
      <c r="AE2226" s="269"/>
    </row>
    <row r="2227" spans="1:31" ht="26.25">
      <c r="A2227" s="269"/>
      <c r="B2227" s="269"/>
      <c r="C2227" s="269"/>
      <c r="D2227" s="269"/>
      <c r="E2227" s="269"/>
      <c r="F2227" s="269"/>
      <c r="G2227" s="269"/>
      <c r="H2227" s="269"/>
      <c r="I2227" s="269"/>
      <c r="J2227" s="334"/>
      <c r="K2227" s="334"/>
      <c r="L2227" s="334"/>
      <c r="M2227" s="328"/>
      <c r="N2227" s="328"/>
      <c r="S2227" s="336"/>
      <c r="T2227" s="62" ph="1"/>
      <c r="V2227" s="232"/>
      <c r="W2227" s="269"/>
      <c r="X2227" s="201"/>
      <c r="Y2227" s="269"/>
      <c r="Z2227" s="269"/>
      <c r="AA2227" s="269"/>
      <c r="AB2227" s="269"/>
      <c r="AC2227" s="269"/>
      <c r="AD2227" s="269"/>
      <c r="AE2227" s="269"/>
    </row>
    <row r="2228" spans="1:31" ht="26.25">
      <c r="A2228" s="269"/>
      <c r="B2228" s="269"/>
      <c r="C2228" s="269"/>
      <c r="D2228" s="269"/>
      <c r="E2228" s="269"/>
      <c r="F2228" s="269"/>
      <c r="G2228" s="269"/>
      <c r="H2228" s="269"/>
      <c r="I2228" s="269"/>
      <c r="J2228" s="334"/>
      <c r="K2228" s="334"/>
      <c r="L2228" s="334"/>
      <c r="M2228" s="328"/>
      <c r="N2228" s="328"/>
      <c r="S2228" s="336"/>
      <c r="T2228" s="62" ph="1"/>
      <c r="V2228" s="232"/>
      <c r="W2228" s="269"/>
      <c r="X2228" s="201"/>
      <c r="Y2228" s="269"/>
      <c r="Z2228" s="269"/>
      <c r="AA2228" s="269"/>
      <c r="AB2228" s="269"/>
      <c r="AC2228" s="269"/>
      <c r="AD2228" s="269"/>
      <c r="AE2228" s="269"/>
    </row>
    <row r="2229" spans="1:31" ht="26.25">
      <c r="A2229" s="269"/>
      <c r="B2229" s="269"/>
      <c r="C2229" s="269"/>
      <c r="D2229" s="269"/>
      <c r="E2229" s="269"/>
      <c r="F2229" s="269"/>
      <c r="G2229" s="269"/>
      <c r="H2229" s="269"/>
      <c r="I2229" s="269"/>
      <c r="J2229" s="334"/>
      <c r="K2229" s="334"/>
      <c r="L2229" s="334"/>
      <c r="M2229" s="328"/>
      <c r="N2229" s="328"/>
      <c r="S2229" s="336"/>
      <c r="T2229" s="62" ph="1"/>
      <c r="V2229" s="232"/>
      <c r="W2229" s="269"/>
      <c r="X2229" s="201"/>
      <c r="Y2229" s="269"/>
      <c r="Z2229" s="269"/>
      <c r="AA2229" s="269"/>
      <c r="AB2229" s="269"/>
      <c r="AC2229" s="269"/>
      <c r="AD2229" s="269"/>
      <c r="AE2229" s="269"/>
    </row>
    <row r="2230" spans="1:31" ht="26.25">
      <c r="A2230" s="269"/>
      <c r="B2230" s="269"/>
      <c r="C2230" s="269"/>
      <c r="D2230" s="269"/>
      <c r="E2230" s="269"/>
      <c r="F2230" s="269"/>
      <c r="G2230" s="269"/>
      <c r="H2230" s="269"/>
      <c r="I2230" s="269"/>
      <c r="J2230" s="334"/>
      <c r="K2230" s="334"/>
      <c r="L2230" s="334"/>
      <c r="M2230" s="328"/>
      <c r="N2230" s="328"/>
      <c r="S2230" s="336"/>
      <c r="T2230" s="62" ph="1"/>
      <c r="V2230" s="232"/>
      <c r="W2230" s="269"/>
      <c r="X2230" s="201"/>
      <c r="Y2230" s="269"/>
      <c r="Z2230" s="269"/>
      <c r="AA2230" s="269"/>
      <c r="AB2230" s="269"/>
      <c r="AC2230" s="269"/>
      <c r="AD2230" s="269"/>
      <c r="AE2230" s="269"/>
    </row>
    <row r="2231" spans="1:31" ht="26.25">
      <c r="A2231" s="269"/>
      <c r="B2231" s="269"/>
      <c r="C2231" s="269"/>
      <c r="D2231" s="269"/>
      <c r="E2231" s="269"/>
      <c r="F2231" s="269"/>
      <c r="G2231" s="269"/>
      <c r="H2231" s="269"/>
      <c r="I2231" s="269"/>
      <c r="J2231" s="334"/>
      <c r="K2231" s="334"/>
      <c r="L2231" s="334"/>
      <c r="M2231" s="328"/>
      <c r="N2231" s="328"/>
      <c r="S2231" s="336"/>
      <c r="T2231" s="62" ph="1"/>
      <c r="V2231" s="232"/>
      <c r="W2231" s="269"/>
      <c r="X2231" s="201"/>
      <c r="Y2231" s="269"/>
      <c r="Z2231" s="269"/>
      <c r="AA2231" s="269"/>
      <c r="AB2231" s="269"/>
      <c r="AC2231" s="269"/>
      <c r="AD2231" s="269"/>
      <c r="AE2231" s="269"/>
    </row>
    <row r="2232" spans="1:31" ht="26.25">
      <c r="T2232" s="62" ph="1"/>
    </row>
    <row r="2233" spans="1:31" ht="26.25">
      <c r="T2233" s="62" ph="1"/>
    </row>
    <row r="2234" spans="1:31" ht="26.25">
      <c r="T2234" s="62" ph="1"/>
    </row>
    <row r="2235" spans="1:31" ht="26.25">
      <c r="T2235" s="62" ph="1"/>
    </row>
    <row r="2236" spans="1:31" ht="26.25">
      <c r="T2236" s="62" ph="1"/>
    </row>
    <row r="2237" spans="1:31" ht="26.25">
      <c r="T2237" s="62" ph="1"/>
    </row>
    <row r="2238" spans="1:31" ht="26.25">
      <c r="T2238" s="62" ph="1"/>
    </row>
    <row r="2239" spans="1:31" ht="26.25">
      <c r="T2239" s="62" ph="1"/>
    </row>
    <row r="2240" spans="1:31" ht="26.25">
      <c r="T2240" s="62" ph="1"/>
    </row>
    <row r="2241" spans="20:20" ht="26.25">
      <c r="T2241" s="62" ph="1"/>
    </row>
    <row r="2242" spans="20:20" ht="26.25">
      <c r="T2242" s="62" ph="1"/>
    </row>
    <row r="2243" spans="20:20" ht="26.25">
      <c r="T2243" s="62" ph="1"/>
    </row>
    <row r="2244" spans="20:20" ht="26.25">
      <c r="T2244" s="62" ph="1"/>
    </row>
    <row r="2245" spans="20:20" ht="26.25">
      <c r="T2245" s="62" ph="1"/>
    </row>
    <row r="2246" spans="20:20" ht="26.25">
      <c r="T2246" s="62" ph="1"/>
    </row>
    <row r="2247" spans="20:20" ht="26.25">
      <c r="T2247" s="62" ph="1"/>
    </row>
    <row r="2248" spans="20:20" ht="26.25">
      <c r="T2248" s="62" ph="1"/>
    </row>
    <row r="2249" spans="20:20" ht="26.25">
      <c r="T2249" s="62" ph="1"/>
    </row>
    <row r="2250" spans="20:20" ht="26.25">
      <c r="T2250" s="62" ph="1"/>
    </row>
    <row r="2251" spans="20:20" ht="26.25">
      <c r="T2251" s="62" ph="1"/>
    </row>
    <row r="2252" spans="20:20" ht="26.25">
      <c r="T2252" s="62" ph="1"/>
    </row>
    <row r="2253" spans="20:20" ht="26.25">
      <c r="T2253" s="62" ph="1"/>
    </row>
    <row r="2254" spans="20:20" ht="26.25">
      <c r="T2254" s="62" ph="1"/>
    </row>
    <row r="2255" spans="20:20" ht="26.25">
      <c r="T2255" s="62" ph="1"/>
    </row>
    <row r="2256" spans="20:20" ht="26.25">
      <c r="T2256" s="62" ph="1"/>
    </row>
    <row r="2257" spans="20:20" ht="26.25">
      <c r="T2257" s="62" ph="1"/>
    </row>
    <row r="2258" spans="20:20" ht="26.25">
      <c r="T2258" s="62" ph="1"/>
    </row>
    <row r="2259" spans="20:20" ht="26.25">
      <c r="T2259" s="62" ph="1"/>
    </row>
    <row r="2260" spans="20:20" ht="26.25">
      <c r="T2260" s="62" ph="1"/>
    </row>
    <row r="2261" spans="20:20" ht="26.25">
      <c r="T2261" s="62" ph="1"/>
    </row>
    <row r="2262" spans="20:20" ht="26.25">
      <c r="T2262" s="62" ph="1"/>
    </row>
    <row r="2263" spans="20:20" ht="26.25">
      <c r="T2263" s="62" ph="1"/>
    </row>
    <row r="2264" spans="20:20" ht="26.25">
      <c r="T2264" s="62" ph="1"/>
    </row>
    <row r="2265" spans="20:20" ht="26.25">
      <c r="T2265" s="62" ph="1"/>
    </row>
    <row r="2266" spans="20:20" ht="26.25">
      <c r="T2266" s="62" ph="1"/>
    </row>
    <row r="2267" spans="20:20" ht="26.25">
      <c r="T2267" s="62" ph="1"/>
    </row>
    <row r="2268" spans="20:20" ht="26.25">
      <c r="T2268" s="62" ph="1"/>
    </row>
    <row r="2269" spans="20:20" ht="26.25">
      <c r="T2269" s="62" ph="1"/>
    </row>
    <row r="2270" spans="20:20" ht="26.25">
      <c r="T2270" s="62" ph="1"/>
    </row>
    <row r="2271" spans="20:20" ht="26.25">
      <c r="T2271" s="62" ph="1"/>
    </row>
    <row r="2272" spans="20:20" ht="26.25">
      <c r="T2272" s="62" ph="1"/>
    </row>
    <row r="2273" spans="20:20" ht="26.25">
      <c r="T2273" s="62" ph="1"/>
    </row>
    <row r="2274" spans="20:20" ht="26.25">
      <c r="T2274" s="62" ph="1"/>
    </row>
    <row r="2275" spans="20:20" ht="26.25">
      <c r="T2275" s="62" ph="1"/>
    </row>
    <row r="2276" spans="20:20" ht="26.25">
      <c r="T2276" s="62" ph="1"/>
    </row>
    <row r="2277" spans="20:20" ht="26.25">
      <c r="T2277" s="62" ph="1"/>
    </row>
    <row r="2278" spans="20:20" ht="26.25">
      <c r="T2278" s="62" ph="1"/>
    </row>
    <row r="2279" spans="20:20" ht="26.25">
      <c r="T2279" s="62" ph="1"/>
    </row>
    <row r="2280" spans="20:20" ht="26.25">
      <c r="T2280" s="62" ph="1"/>
    </row>
    <row r="2281" spans="20:20" ht="26.25">
      <c r="T2281" s="62" ph="1"/>
    </row>
    <row r="2282" spans="20:20" ht="26.25">
      <c r="T2282" s="62" ph="1"/>
    </row>
    <row r="2283" spans="20:20" ht="26.25">
      <c r="T2283" s="62" ph="1"/>
    </row>
    <row r="2284" spans="20:20" ht="26.25">
      <c r="T2284" s="62" ph="1"/>
    </row>
    <row r="2285" spans="20:20" ht="26.25">
      <c r="T2285" s="62" ph="1"/>
    </row>
    <row r="2286" spans="20:20" ht="26.25">
      <c r="T2286" s="62" ph="1"/>
    </row>
    <row r="2287" spans="20:20" ht="26.25">
      <c r="T2287" s="62" ph="1"/>
    </row>
    <row r="2288" spans="20:20" ht="26.25">
      <c r="T2288" s="62" ph="1"/>
    </row>
    <row r="2289" spans="20:20" ht="26.25">
      <c r="T2289" s="62" ph="1"/>
    </row>
    <row r="2290" spans="20:20" ht="26.25">
      <c r="T2290" s="62" ph="1"/>
    </row>
    <row r="2291" spans="20:20" ht="26.25">
      <c r="T2291" s="62" ph="1"/>
    </row>
    <row r="2292" spans="20:20" ht="26.25">
      <c r="T2292" s="62" ph="1"/>
    </row>
    <row r="2293" spans="20:20" ht="26.25">
      <c r="T2293" s="62" ph="1"/>
    </row>
    <row r="2294" spans="20:20" ht="26.25">
      <c r="T2294" s="62" ph="1"/>
    </row>
    <row r="2295" spans="20:20" ht="26.25">
      <c r="T2295" s="62" ph="1"/>
    </row>
    <row r="2296" spans="20:20" ht="26.25">
      <c r="T2296" s="62" ph="1"/>
    </row>
    <row r="2297" spans="20:20" ht="26.25">
      <c r="T2297" s="62" ph="1"/>
    </row>
    <row r="2298" spans="20:20" ht="26.25">
      <c r="T2298" s="62" ph="1"/>
    </row>
    <row r="2299" spans="20:20" ht="26.25">
      <c r="T2299" s="62" ph="1"/>
    </row>
    <row r="2300" spans="20:20" ht="26.25">
      <c r="T2300" s="62" ph="1"/>
    </row>
    <row r="2301" spans="20:20" ht="26.25">
      <c r="T2301" s="62" ph="1"/>
    </row>
    <row r="2302" spans="20:20" ht="26.25">
      <c r="T2302" s="62" ph="1"/>
    </row>
    <row r="2303" spans="20:20" ht="26.25">
      <c r="T2303" s="62" ph="1"/>
    </row>
    <row r="2304" spans="20:20" ht="26.25">
      <c r="T2304" s="62" ph="1"/>
    </row>
    <row r="2305" spans="20:20" ht="26.25">
      <c r="T2305" s="62" ph="1"/>
    </row>
    <row r="2306" spans="20:20" ht="26.25">
      <c r="T2306" s="62" ph="1"/>
    </row>
    <row r="2307" spans="20:20" ht="26.25">
      <c r="T2307" s="62" ph="1"/>
    </row>
    <row r="2308" spans="20:20" ht="26.25">
      <c r="T2308" s="62" ph="1"/>
    </row>
    <row r="2309" spans="20:20" ht="26.25">
      <c r="T2309" s="62" ph="1"/>
    </row>
    <row r="2310" spans="20:20" ht="26.25">
      <c r="T2310" s="62" ph="1"/>
    </row>
    <row r="2311" spans="20:20" ht="26.25">
      <c r="T2311" s="62" ph="1"/>
    </row>
    <row r="2312" spans="20:20" ht="26.25">
      <c r="T2312" s="62" ph="1"/>
    </row>
    <row r="2313" spans="20:20" ht="26.25">
      <c r="T2313" s="62" ph="1"/>
    </row>
    <row r="2314" spans="20:20" ht="26.25">
      <c r="T2314" s="62" ph="1"/>
    </row>
    <row r="2315" spans="20:20" ht="26.25">
      <c r="T2315" s="62" ph="1"/>
    </row>
    <row r="2316" spans="20:20" ht="26.25">
      <c r="T2316" s="62" ph="1"/>
    </row>
    <row r="2317" spans="20:20" ht="26.25">
      <c r="T2317" s="62" ph="1"/>
    </row>
    <row r="2318" spans="20:20" ht="26.25">
      <c r="T2318" s="62" ph="1"/>
    </row>
    <row r="2319" spans="20:20" ht="26.25">
      <c r="T2319" s="62" ph="1"/>
    </row>
    <row r="2320" spans="20:20" ht="26.25">
      <c r="T2320" s="62" ph="1"/>
    </row>
    <row r="2321" spans="20:20" ht="26.25">
      <c r="T2321" s="62" ph="1"/>
    </row>
    <row r="2322" spans="20:20" ht="26.25">
      <c r="T2322" s="62" ph="1"/>
    </row>
    <row r="2323" spans="20:20" ht="26.25">
      <c r="T2323" s="62" ph="1"/>
    </row>
    <row r="2324" spans="20:20" ht="26.25">
      <c r="T2324" s="62" ph="1"/>
    </row>
    <row r="2325" spans="20:20" ht="26.25">
      <c r="T2325" s="62" ph="1"/>
    </row>
    <row r="2326" spans="20:20" ht="26.25">
      <c r="T2326" s="62" ph="1"/>
    </row>
    <row r="2327" spans="20:20" ht="26.25">
      <c r="T2327" s="62" ph="1"/>
    </row>
    <row r="2328" spans="20:20" ht="26.25">
      <c r="T2328" s="62" ph="1"/>
    </row>
    <row r="2329" spans="20:20" ht="26.25">
      <c r="T2329" s="62" ph="1"/>
    </row>
    <row r="2330" spans="20:20" ht="26.25">
      <c r="T2330" s="62" ph="1"/>
    </row>
    <row r="2331" spans="20:20" ht="26.25">
      <c r="T2331" s="62" ph="1"/>
    </row>
    <row r="2332" spans="20:20" ht="26.25">
      <c r="T2332" s="62" ph="1"/>
    </row>
    <row r="2333" spans="20:20" ht="26.25">
      <c r="T2333" s="62" ph="1"/>
    </row>
    <row r="2334" spans="20:20" ht="26.25">
      <c r="T2334" s="62" ph="1"/>
    </row>
    <row r="2335" spans="20:20" ht="26.25">
      <c r="T2335" s="62" ph="1"/>
    </row>
    <row r="2336" spans="20:20" ht="26.25">
      <c r="T2336" s="62" ph="1"/>
    </row>
    <row r="2337" spans="20:20" ht="26.25">
      <c r="T2337" s="62" ph="1"/>
    </row>
    <row r="2338" spans="20:20" ht="26.25">
      <c r="T2338" s="62" ph="1"/>
    </row>
    <row r="2339" spans="20:20" ht="26.25">
      <c r="T2339" s="62" ph="1"/>
    </row>
    <row r="2340" spans="20:20" ht="26.25">
      <c r="T2340" s="62" ph="1"/>
    </row>
    <row r="2341" spans="20:20" ht="26.25">
      <c r="T2341" s="62" ph="1"/>
    </row>
    <row r="2342" spans="20:20" ht="26.25">
      <c r="T2342" s="62" ph="1"/>
    </row>
    <row r="2343" spans="20:20" ht="26.25">
      <c r="T2343" s="62" ph="1"/>
    </row>
    <row r="2344" spans="20:20" ht="26.25">
      <c r="T2344" s="62" ph="1"/>
    </row>
    <row r="2345" spans="20:20" ht="26.25">
      <c r="T2345" s="62" ph="1"/>
    </row>
    <row r="2346" spans="20:20" ht="26.25">
      <c r="T2346" s="62" ph="1"/>
    </row>
    <row r="2347" spans="20:20" ht="26.25">
      <c r="T2347" s="62" ph="1"/>
    </row>
    <row r="2348" spans="20:20" ht="26.25">
      <c r="T2348" s="62" ph="1"/>
    </row>
    <row r="2349" spans="20:20" ht="26.25">
      <c r="T2349" s="62" ph="1"/>
    </row>
    <row r="2350" spans="20:20" ht="26.25">
      <c r="T2350" s="62" ph="1"/>
    </row>
    <row r="2351" spans="20:20" ht="26.25">
      <c r="T2351" s="62" ph="1"/>
    </row>
    <row r="2352" spans="20:20" ht="26.25">
      <c r="T2352" s="62" ph="1"/>
    </row>
    <row r="2353" spans="20:20" ht="26.25">
      <c r="T2353" s="62" ph="1"/>
    </row>
    <row r="2354" spans="20:20" ht="26.25">
      <c r="T2354" s="62" ph="1"/>
    </row>
    <row r="2355" spans="20:20" ht="26.25">
      <c r="T2355" s="62" ph="1"/>
    </row>
    <row r="2356" spans="20:20" ht="26.25">
      <c r="T2356" s="62" ph="1"/>
    </row>
    <row r="2357" spans="20:20" ht="26.25">
      <c r="T2357" s="62" ph="1"/>
    </row>
    <row r="2358" spans="20:20" ht="26.25">
      <c r="T2358" s="62" ph="1"/>
    </row>
    <row r="2359" spans="20:20" ht="26.25">
      <c r="T2359" s="62" ph="1"/>
    </row>
    <row r="2360" spans="20:20" ht="26.25">
      <c r="T2360" s="62" ph="1"/>
    </row>
    <row r="2361" spans="20:20" ht="26.25">
      <c r="T2361" s="62" ph="1"/>
    </row>
    <row r="2362" spans="20:20" ht="26.25">
      <c r="T2362" s="62" ph="1"/>
    </row>
    <row r="2363" spans="20:20" ht="26.25">
      <c r="T2363" s="62" ph="1"/>
    </row>
    <row r="2364" spans="20:20" ht="26.25">
      <c r="T2364" s="62" ph="1"/>
    </row>
    <row r="2365" spans="20:20" ht="26.25">
      <c r="T2365" s="62" ph="1"/>
    </row>
    <row r="2366" spans="20:20" ht="26.25">
      <c r="T2366" s="62" ph="1"/>
    </row>
    <row r="2367" spans="20:20" ht="26.25">
      <c r="T2367" s="62" ph="1"/>
    </row>
    <row r="2368" spans="20:20" ht="26.25">
      <c r="T2368" s="62" ph="1"/>
    </row>
    <row r="2369" spans="20:20" ht="26.25">
      <c r="T2369" s="62" ph="1"/>
    </row>
    <row r="2370" spans="20:20" ht="26.25">
      <c r="T2370" s="62" ph="1"/>
    </row>
    <row r="2371" spans="20:20" ht="26.25">
      <c r="T2371" s="62" ph="1"/>
    </row>
    <row r="2372" spans="20:20" ht="26.25">
      <c r="T2372" s="62" ph="1"/>
    </row>
    <row r="2373" spans="20:20" ht="26.25">
      <c r="T2373" s="62" ph="1"/>
    </row>
    <row r="2374" spans="20:20" ht="26.25">
      <c r="T2374" s="62" ph="1"/>
    </row>
    <row r="2375" spans="20:20" ht="26.25">
      <c r="T2375" s="62" ph="1"/>
    </row>
    <row r="2376" spans="20:20" ht="26.25">
      <c r="T2376" s="62" ph="1"/>
    </row>
    <row r="2377" spans="20:20" ht="26.25">
      <c r="T2377" s="62" ph="1"/>
    </row>
    <row r="2378" spans="20:20" ht="26.25">
      <c r="T2378" s="62" ph="1"/>
    </row>
    <row r="2379" spans="20:20" ht="26.25">
      <c r="T2379" s="62" ph="1"/>
    </row>
    <row r="2380" spans="20:20" ht="26.25">
      <c r="T2380" s="62" ph="1"/>
    </row>
    <row r="2381" spans="20:20" ht="26.25">
      <c r="T2381" s="62" ph="1"/>
    </row>
    <row r="2382" spans="20:20" ht="26.25">
      <c r="T2382" s="62" ph="1"/>
    </row>
    <row r="2383" spans="20:20" ht="26.25">
      <c r="T2383" s="62" ph="1"/>
    </row>
    <row r="2384" spans="20:20" ht="26.25">
      <c r="T2384" s="62" ph="1"/>
    </row>
    <row r="2385" spans="20:20" ht="26.25">
      <c r="T2385" s="62" ph="1"/>
    </row>
    <row r="2386" spans="20:20" ht="26.25">
      <c r="T2386" s="62" ph="1"/>
    </row>
    <row r="2387" spans="20:20" ht="26.25">
      <c r="T2387" s="62" ph="1"/>
    </row>
    <row r="2388" spans="20:20" ht="26.25">
      <c r="T2388" s="62" ph="1"/>
    </row>
    <row r="2389" spans="20:20" ht="26.25">
      <c r="T2389" s="62" ph="1"/>
    </row>
    <row r="2390" spans="20:20" ht="26.25">
      <c r="T2390" s="62" ph="1"/>
    </row>
    <row r="2391" spans="20:20" ht="26.25">
      <c r="T2391" s="62" ph="1"/>
    </row>
    <row r="2392" spans="20:20" ht="26.25">
      <c r="T2392" s="62" ph="1"/>
    </row>
    <row r="2393" spans="20:20" ht="26.25">
      <c r="T2393" s="62" ph="1"/>
    </row>
    <row r="2394" spans="20:20" ht="26.25">
      <c r="T2394" s="62" ph="1"/>
    </row>
    <row r="2395" spans="20:20" ht="26.25">
      <c r="T2395" s="62" ph="1"/>
    </row>
    <row r="2396" spans="20:20" ht="26.25">
      <c r="T2396" s="62" ph="1"/>
    </row>
    <row r="2397" spans="20:20" ht="26.25">
      <c r="T2397" s="62" ph="1"/>
    </row>
    <row r="2398" spans="20:20" ht="26.25">
      <c r="T2398" s="62" ph="1"/>
    </row>
    <row r="2399" spans="20:20" ht="26.25">
      <c r="T2399" s="62" ph="1"/>
    </row>
    <row r="2400" spans="20:20" ht="26.25">
      <c r="T2400" s="62" ph="1"/>
    </row>
    <row r="2401" spans="20:20" ht="26.25">
      <c r="T2401" s="62" ph="1"/>
    </row>
    <row r="2402" spans="20:20" ht="26.25">
      <c r="T2402" s="62" ph="1"/>
    </row>
    <row r="2403" spans="20:20" ht="26.25">
      <c r="T2403" s="62" ph="1"/>
    </row>
    <row r="2404" spans="20:20" ht="26.25">
      <c r="T2404" s="62" ph="1"/>
    </row>
    <row r="2405" spans="20:20" ht="26.25">
      <c r="T2405" s="62" ph="1"/>
    </row>
    <row r="2406" spans="20:20" ht="26.25">
      <c r="T2406" s="62" ph="1"/>
    </row>
    <row r="2407" spans="20:20" ht="26.25">
      <c r="T2407" s="62" ph="1"/>
    </row>
    <row r="2408" spans="20:20" ht="26.25">
      <c r="T2408" s="62" ph="1"/>
    </row>
    <row r="2409" spans="20:20" ht="26.25">
      <c r="T2409" s="62" ph="1"/>
    </row>
    <row r="2410" spans="20:20" ht="26.25">
      <c r="T2410" s="62" ph="1"/>
    </row>
    <row r="2411" spans="20:20" ht="26.25">
      <c r="T2411" s="62" ph="1"/>
    </row>
    <row r="2412" spans="20:20" ht="26.25">
      <c r="T2412" s="62" ph="1"/>
    </row>
    <row r="2413" spans="20:20" ht="26.25">
      <c r="T2413" s="62" ph="1"/>
    </row>
    <row r="2414" spans="20:20" ht="26.25">
      <c r="T2414" s="62" ph="1"/>
    </row>
    <row r="2415" spans="20:20" ht="26.25">
      <c r="T2415" s="62" ph="1"/>
    </row>
    <row r="2416" spans="20:20" ht="26.25">
      <c r="T2416" s="62" ph="1"/>
    </row>
    <row r="2417" spans="20:20" ht="26.25">
      <c r="T2417" s="62" ph="1"/>
    </row>
    <row r="2418" spans="20:20" ht="26.25">
      <c r="T2418" s="62" ph="1"/>
    </row>
    <row r="2419" spans="20:20" ht="26.25">
      <c r="T2419" s="62" ph="1"/>
    </row>
    <row r="2420" spans="20:20" ht="26.25">
      <c r="T2420" s="62" ph="1"/>
    </row>
    <row r="2421" spans="20:20" ht="26.25">
      <c r="T2421" s="62" ph="1"/>
    </row>
    <row r="2422" spans="20:20" ht="26.25">
      <c r="T2422" s="62" ph="1"/>
    </row>
    <row r="2423" spans="20:20" ht="26.25">
      <c r="T2423" s="62" ph="1"/>
    </row>
    <row r="2424" spans="20:20" ht="26.25">
      <c r="T2424" s="62" ph="1"/>
    </row>
    <row r="2425" spans="20:20" ht="26.25">
      <c r="T2425" s="62" ph="1"/>
    </row>
    <row r="2426" spans="20:20" ht="26.25">
      <c r="T2426" s="62" ph="1"/>
    </row>
    <row r="2427" spans="20:20" ht="26.25">
      <c r="T2427" s="62" ph="1"/>
    </row>
    <row r="2428" spans="20:20" ht="26.25">
      <c r="T2428" s="62" ph="1"/>
    </row>
    <row r="2429" spans="20:20" ht="26.25">
      <c r="T2429" s="62" ph="1"/>
    </row>
    <row r="2430" spans="20:20" ht="26.25">
      <c r="T2430" s="62" ph="1"/>
    </row>
    <row r="2431" spans="20:20" ht="26.25">
      <c r="T2431" s="62" ph="1"/>
    </row>
    <row r="2432" spans="20:20" ht="26.25">
      <c r="T2432" s="62" ph="1"/>
    </row>
    <row r="2433" spans="20:20" ht="26.25">
      <c r="T2433" s="62" ph="1"/>
    </row>
    <row r="2434" spans="20:20" ht="26.25">
      <c r="T2434" s="62" ph="1"/>
    </row>
    <row r="2435" spans="20:20" ht="26.25">
      <c r="T2435" s="62" ph="1"/>
    </row>
    <row r="2436" spans="20:20" ht="26.25">
      <c r="T2436" s="62" ph="1"/>
    </row>
    <row r="2437" spans="20:20" ht="26.25">
      <c r="T2437" s="62" ph="1"/>
    </row>
    <row r="2438" spans="20:20" ht="26.25">
      <c r="T2438" s="62" ph="1"/>
    </row>
    <row r="2439" spans="20:20" ht="26.25">
      <c r="T2439" s="62" ph="1"/>
    </row>
    <row r="2440" spans="20:20" ht="26.25">
      <c r="T2440" s="62" ph="1"/>
    </row>
    <row r="2441" spans="20:20" ht="26.25">
      <c r="T2441" s="62" ph="1"/>
    </row>
    <row r="2442" spans="20:20" ht="26.25">
      <c r="T2442" s="62" ph="1"/>
    </row>
    <row r="2443" spans="20:20" ht="26.25">
      <c r="T2443" s="62" ph="1"/>
    </row>
    <row r="2444" spans="20:20" ht="26.25">
      <c r="T2444" s="62" ph="1"/>
    </row>
    <row r="2445" spans="20:20" ht="26.25">
      <c r="T2445" s="62" ph="1"/>
    </row>
    <row r="2446" spans="20:20" ht="26.25">
      <c r="T2446" s="62" ph="1"/>
    </row>
    <row r="2447" spans="20:20" ht="26.25">
      <c r="T2447" s="62" ph="1"/>
    </row>
    <row r="2448" spans="20:20" ht="26.25">
      <c r="T2448" s="62" ph="1"/>
    </row>
    <row r="2449" spans="20:20" ht="26.25">
      <c r="T2449" s="62" ph="1"/>
    </row>
    <row r="2450" spans="20:20" ht="26.25">
      <c r="T2450" s="62" ph="1"/>
    </row>
    <row r="2451" spans="20:20" ht="26.25">
      <c r="T2451" s="62" ph="1"/>
    </row>
    <row r="2452" spans="20:20" ht="26.25">
      <c r="T2452" s="62" ph="1"/>
    </row>
    <row r="2453" spans="20:20" ht="26.25">
      <c r="T2453" s="62" ph="1"/>
    </row>
    <row r="2454" spans="20:20" ht="26.25">
      <c r="T2454" s="62" ph="1"/>
    </row>
    <row r="2455" spans="20:20" ht="26.25">
      <c r="T2455" s="62" ph="1"/>
    </row>
    <row r="2456" spans="20:20" ht="26.25">
      <c r="T2456" s="62" ph="1"/>
    </row>
    <row r="2457" spans="20:20" ht="26.25">
      <c r="T2457" s="62" ph="1"/>
    </row>
    <row r="2458" spans="20:20" ht="26.25">
      <c r="T2458" s="62" ph="1"/>
    </row>
    <row r="2459" spans="20:20" ht="26.25">
      <c r="T2459" s="62" ph="1"/>
    </row>
    <row r="2460" spans="20:20" ht="26.25">
      <c r="T2460" s="62" ph="1"/>
    </row>
    <row r="2461" spans="20:20" ht="26.25">
      <c r="T2461" s="62" ph="1"/>
    </row>
    <row r="2462" spans="20:20" ht="26.25">
      <c r="T2462" s="62" ph="1"/>
    </row>
    <row r="2463" spans="20:20" ht="26.25">
      <c r="T2463" s="62" ph="1"/>
    </row>
    <row r="2464" spans="20:20" ht="26.25">
      <c r="T2464" s="62" ph="1"/>
    </row>
    <row r="2465" spans="20:20" ht="26.25">
      <c r="T2465" s="62" ph="1"/>
    </row>
    <row r="2466" spans="20:20" ht="26.25">
      <c r="T2466" s="62" ph="1"/>
    </row>
    <row r="2467" spans="20:20" ht="26.25">
      <c r="T2467" s="62" ph="1"/>
    </row>
    <row r="2468" spans="20:20" ht="26.25">
      <c r="T2468" s="62" ph="1"/>
    </row>
    <row r="2469" spans="20:20" ht="26.25">
      <c r="T2469" s="62" ph="1"/>
    </row>
    <row r="2470" spans="20:20" ht="26.25">
      <c r="T2470" s="62" ph="1"/>
    </row>
    <row r="2471" spans="20:20" ht="26.25">
      <c r="T2471" s="62" ph="1"/>
    </row>
    <row r="2472" spans="20:20" ht="26.25">
      <c r="T2472" s="62" ph="1"/>
    </row>
    <row r="2473" spans="20:20" ht="26.25">
      <c r="T2473" s="62" ph="1"/>
    </row>
    <row r="2474" spans="20:20" ht="26.25">
      <c r="T2474" s="62" ph="1"/>
    </row>
    <row r="2475" spans="20:20" ht="26.25">
      <c r="T2475" s="62" ph="1"/>
    </row>
    <row r="2476" spans="20:20" ht="26.25">
      <c r="T2476" s="62" ph="1"/>
    </row>
    <row r="2477" spans="20:20" ht="26.25">
      <c r="T2477" s="62" ph="1"/>
    </row>
    <row r="2478" spans="20:20" ht="26.25">
      <c r="T2478" s="62" ph="1"/>
    </row>
    <row r="2479" spans="20:20" ht="26.25">
      <c r="T2479" s="62" ph="1"/>
    </row>
    <row r="2480" spans="20:20" ht="26.25">
      <c r="T2480" s="62" ph="1"/>
    </row>
    <row r="2481" spans="20:20" ht="26.25">
      <c r="T2481" s="62" ph="1"/>
    </row>
    <row r="2482" spans="20:20" ht="26.25">
      <c r="T2482" s="62" ph="1"/>
    </row>
    <row r="2483" spans="20:20" ht="26.25">
      <c r="T2483" s="62" ph="1"/>
    </row>
    <row r="2484" spans="20:20" ht="26.25">
      <c r="T2484" s="62" ph="1"/>
    </row>
    <row r="2485" spans="20:20" ht="26.25">
      <c r="T2485" s="62" ph="1"/>
    </row>
    <row r="2486" spans="20:20" ht="26.25">
      <c r="T2486" s="62" ph="1"/>
    </row>
    <row r="2487" spans="20:20" ht="26.25">
      <c r="T2487" s="62" ph="1"/>
    </row>
    <row r="2488" spans="20:20" ht="26.25">
      <c r="T2488" s="62" ph="1"/>
    </row>
    <row r="2489" spans="20:20" ht="26.25">
      <c r="T2489" s="62" ph="1"/>
    </row>
    <row r="2490" spans="20:20" ht="26.25">
      <c r="T2490" s="62" ph="1"/>
    </row>
    <row r="2491" spans="20:20" ht="26.25">
      <c r="T2491" s="62" ph="1"/>
    </row>
    <row r="2492" spans="20:20" ht="26.25">
      <c r="T2492" s="62" ph="1"/>
    </row>
    <row r="2493" spans="20:20" ht="26.25">
      <c r="T2493" s="62" ph="1"/>
    </row>
    <row r="2494" spans="20:20" ht="26.25">
      <c r="T2494" s="62" ph="1"/>
    </row>
    <row r="2495" spans="20:20" ht="26.25">
      <c r="T2495" s="62" ph="1"/>
    </row>
    <row r="2496" spans="20:20" ht="26.25">
      <c r="T2496" s="62" ph="1"/>
    </row>
    <row r="2497" spans="20:20" ht="26.25">
      <c r="T2497" s="62" ph="1"/>
    </row>
    <row r="2498" spans="20:20" ht="26.25">
      <c r="T2498" s="62" ph="1"/>
    </row>
    <row r="2499" spans="20:20" ht="26.25">
      <c r="T2499" s="62" ph="1"/>
    </row>
    <row r="2500" spans="20:20" ht="26.25">
      <c r="T2500" s="62" ph="1"/>
    </row>
    <row r="2501" spans="20:20" ht="26.25">
      <c r="T2501" s="62" ph="1"/>
    </row>
    <row r="2502" spans="20:20" ht="26.25">
      <c r="T2502" s="62" ph="1"/>
    </row>
    <row r="2503" spans="20:20" ht="26.25">
      <c r="T2503" s="62" ph="1"/>
    </row>
    <row r="2504" spans="20:20" ht="26.25">
      <c r="T2504" s="62" ph="1"/>
    </row>
    <row r="2505" spans="20:20" ht="26.25">
      <c r="T2505" s="62" ph="1"/>
    </row>
    <row r="2506" spans="20:20" ht="26.25">
      <c r="T2506" s="62" ph="1"/>
    </row>
    <row r="2507" spans="20:20" ht="26.25">
      <c r="T2507" s="62" ph="1"/>
    </row>
    <row r="2508" spans="20:20" ht="26.25">
      <c r="T2508" s="62" ph="1"/>
    </row>
    <row r="2509" spans="20:20" ht="26.25">
      <c r="T2509" s="62" ph="1"/>
    </row>
    <row r="2510" spans="20:20" ht="26.25">
      <c r="T2510" s="62" ph="1"/>
    </row>
    <row r="2511" spans="20:20" ht="26.25">
      <c r="T2511" s="62" ph="1"/>
    </row>
    <row r="2512" spans="20:20" ht="26.25">
      <c r="T2512" s="62" ph="1"/>
    </row>
    <row r="2513" spans="20:20" ht="26.25">
      <c r="T2513" s="62" ph="1"/>
    </row>
    <row r="2514" spans="20:20" ht="26.25">
      <c r="T2514" s="62" ph="1"/>
    </row>
    <row r="2515" spans="20:20" ht="26.25">
      <c r="T2515" s="62" ph="1"/>
    </row>
    <row r="2516" spans="20:20" ht="26.25">
      <c r="T2516" s="62" ph="1"/>
    </row>
    <row r="2517" spans="20:20" ht="26.25">
      <c r="T2517" s="62" ph="1"/>
    </row>
    <row r="2518" spans="20:20" ht="26.25">
      <c r="T2518" s="62" ph="1"/>
    </row>
    <row r="2519" spans="20:20" ht="26.25">
      <c r="T2519" s="62" ph="1"/>
    </row>
    <row r="2520" spans="20:20" ht="26.25">
      <c r="T2520" s="62" ph="1"/>
    </row>
    <row r="2521" spans="20:20" ht="26.25">
      <c r="T2521" s="62" ph="1"/>
    </row>
    <row r="2522" spans="20:20" ht="26.25">
      <c r="T2522" s="62" ph="1"/>
    </row>
    <row r="2523" spans="20:20" ht="26.25">
      <c r="T2523" s="62" ph="1"/>
    </row>
    <row r="2524" spans="20:20" ht="26.25">
      <c r="T2524" s="62" ph="1"/>
    </row>
    <row r="2525" spans="20:20" ht="26.25">
      <c r="T2525" s="62" ph="1"/>
    </row>
    <row r="2526" spans="20:20" ht="26.25">
      <c r="T2526" s="62" ph="1"/>
    </row>
    <row r="2527" spans="20:20" ht="26.25">
      <c r="T2527" s="62" ph="1"/>
    </row>
    <row r="2528" spans="20:20" ht="26.25">
      <c r="T2528" s="62" ph="1"/>
    </row>
    <row r="2529" spans="20:20" ht="26.25">
      <c r="T2529" s="62" ph="1"/>
    </row>
    <row r="2530" spans="20:20" ht="26.25">
      <c r="T2530" s="62" ph="1"/>
    </row>
    <row r="2531" spans="20:20" ht="26.25">
      <c r="T2531" s="62" ph="1"/>
    </row>
    <row r="2532" spans="20:20" ht="26.25">
      <c r="T2532" s="62" ph="1"/>
    </row>
    <row r="2533" spans="20:20" ht="26.25">
      <c r="T2533" s="62" ph="1"/>
    </row>
    <row r="2534" spans="20:20" ht="26.25">
      <c r="T2534" s="62" ph="1"/>
    </row>
    <row r="2535" spans="20:20" ht="26.25">
      <c r="T2535" s="62" ph="1"/>
    </row>
    <row r="2536" spans="20:20" ht="26.25">
      <c r="T2536" s="62" ph="1"/>
    </row>
    <row r="2537" spans="20:20" ht="26.25">
      <c r="T2537" s="62" ph="1"/>
    </row>
    <row r="2538" spans="20:20" ht="26.25">
      <c r="T2538" s="62" ph="1"/>
    </row>
    <row r="2539" spans="20:20" ht="26.25">
      <c r="T2539" s="62" ph="1"/>
    </row>
    <row r="2540" spans="20:20" ht="26.25">
      <c r="T2540" s="62" ph="1"/>
    </row>
    <row r="2541" spans="20:20" ht="26.25">
      <c r="T2541" s="62" ph="1"/>
    </row>
    <row r="2542" spans="20:20" ht="26.25">
      <c r="T2542" s="62" ph="1"/>
    </row>
    <row r="2543" spans="20:20" ht="26.25">
      <c r="T2543" s="62" ph="1"/>
    </row>
    <row r="2544" spans="20:20" ht="26.25">
      <c r="T2544" s="62" ph="1"/>
    </row>
    <row r="2545" spans="20:20" ht="26.25">
      <c r="T2545" s="62" ph="1"/>
    </row>
    <row r="2546" spans="20:20" ht="26.25">
      <c r="T2546" s="62" ph="1"/>
    </row>
    <row r="2547" spans="20:20" ht="26.25">
      <c r="T2547" s="62" ph="1"/>
    </row>
    <row r="2548" spans="20:20" ht="26.25">
      <c r="T2548" s="62" ph="1"/>
    </row>
    <row r="2549" spans="20:20" ht="26.25">
      <c r="T2549" s="62" ph="1"/>
    </row>
    <row r="2550" spans="20:20" ht="26.25">
      <c r="T2550" s="62" ph="1"/>
    </row>
    <row r="2551" spans="20:20" ht="26.25">
      <c r="T2551" s="62" ph="1"/>
    </row>
    <row r="2552" spans="20:20" ht="26.25">
      <c r="T2552" s="62" ph="1"/>
    </row>
    <row r="2553" spans="20:20" ht="26.25">
      <c r="T2553" s="62" ph="1"/>
    </row>
    <row r="2554" spans="20:20" ht="26.25">
      <c r="T2554" s="62" ph="1"/>
    </row>
    <row r="2555" spans="20:20" ht="26.25">
      <c r="T2555" s="62" ph="1"/>
    </row>
    <row r="2556" spans="20:20" ht="26.25">
      <c r="T2556" s="62" ph="1"/>
    </row>
    <row r="2557" spans="20:20" ht="26.25">
      <c r="T2557" s="62" ph="1"/>
    </row>
    <row r="2558" spans="20:20" ht="26.25">
      <c r="T2558" s="62" ph="1"/>
    </row>
    <row r="2559" spans="20:20" ht="26.25">
      <c r="T2559" s="62" ph="1"/>
    </row>
    <row r="2560" spans="20:20" ht="26.25">
      <c r="T2560" s="62" ph="1"/>
    </row>
    <row r="2561" spans="20:20" ht="26.25">
      <c r="T2561" s="62" ph="1"/>
    </row>
    <row r="2562" spans="20:20" ht="26.25">
      <c r="T2562" s="62" ph="1"/>
    </row>
    <row r="2563" spans="20:20" ht="26.25">
      <c r="T2563" s="62" ph="1"/>
    </row>
    <row r="2564" spans="20:20" ht="26.25">
      <c r="T2564" s="62" ph="1"/>
    </row>
    <row r="2565" spans="20:20" ht="26.25">
      <c r="T2565" s="62" ph="1"/>
    </row>
    <row r="2566" spans="20:20" ht="26.25">
      <c r="T2566" s="62" ph="1"/>
    </row>
    <row r="2567" spans="20:20" ht="26.25">
      <c r="T2567" s="62" ph="1"/>
    </row>
    <row r="2568" spans="20:20" ht="26.25">
      <c r="T2568" s="62" ph="1"/>
    </row>
    <row r="2569" spans="20:20" ht="26.25">
      <c r="T2569" s="62" ph="1"/>
    </row>
    <row r="2570" spans="20:20" ht="26.25">
      <c r="T2570" s="62" ph="1"/>
    </row>
    <row r="2571" spans="20:20" ht="26.25">
      <c r="T2571" s="62" ph="1"/>
    </row>
    <row r="2572" spans="20:20" ht="26.25">
      <c r="T2572" s="62" ph="1"/>
    </row>
    <row r="2573" spans="20:20" ht="26.25">
      <c r="T2573" s="62" ph="1"/>
    </row>
    <row r="2574" spans="20:20" ht="26.25">
      <c r="T2574" s="62" ph="1"/>
    </row>
    <row r="2575" spans="20:20" ht="26.25">
      <c r="T2575" s="62" ph="1"/>
    </row>
    <row r="2576" spans="20:20" ht="26.25">
      <c r="T2576" s="62" ph="1"/>
    </row>
    <row r="2577" spans="20:20" ht="26.25">
      <c r="T2577" s="62" ph="1"/>
    </row>
    <row r="2578" spans="20:20" ht="26.25">
      <c r="T2578" s="62" ph="1"/>
    </row>
    <row r="2579" spans="20:20" ht="26.25">
      <c r="T2579" s="62" ph="1"/>
    </row>
    <row r="2580" spans="20:20" ht="26.25">
      <c r="T2580" s="62" ph="1"/>
    </row>
    <row r="2581" spans="20:20" ht="26.25">
      <c r="T2581" s="62" ph="1"/>
    </row>
    <row r="2582" spans="20:20" ht="26.25">
      <c r="T2582" s="62" ph="1"/>
    </row>
    <row r="2583" spans="20:20" ht="26.25">
      <c r="T2583" s="62" ph="1"/>
    </row>
    <row r="2584" spans="20:20" ht="26.25">
      <c r="T2584" s="62" ph="1"/>
    </row>
    <row r="2585" spans="20:20" ht="26.25">
      <c r="T2585" s="62" ph="1"/>
    </row>
    <row r="2586" spans="20:20" ht="26.25">
      <c r="T2586" s="62" ph="1"/>
    </row>
    <row r="2587" spans="20:20" ht="26.25">
      <c r="T2587" s="62" ph="1"/>
    </row>
    <row r="2588" spans="20:20" ht="26.25">
      <c r="T2588" s="62" ph="1"/>
    </row>
    <row r="2589" spans="20:20" ht="26.25">
      <c r="T2589" s="62" ph="1"/>
    </row>
    <row r="2590" spans="20:20" ht="26.25">
      <c r="T2590" s="62" ph="1"/>
    </row>
    <row r="2591" spans="20:20" ht="26.25">
      <c r="T2591" s="62" ph="1"/>
    </row>
    <row r="2592" spans="20:20" ht="26.25">
      <c r="T2592" s="62" ph="1"/>
    </row>
    <row r="2593" spans="20:20" ht="26.25">
      <c r="T2593" s="62" ph="1"/>
    </row>
    <row r="2594" spans="20:20" ht="26.25">
      <c r="T2594" s="62" ph="1"/>
    </row>
    <row r="2595" spans="20:20" ht="26.25">
      <c r="T2595" s="62" ph="1"/>
    </row>
    <row r="2596" spans="20:20" ht="26.25">
      <c r="T2596" s="62" ph="1"/>
    </row>
    <row r="2597" spans="20:20" ht="26.25">
      <c r="T2597" s="62" ph="1"/>
    </row>
    <row r="2598" spans="20:20" ht="26.25">
      <c r="T2598" s="62" ph="1"/>
    </row>
    <row r="2599" spans="20:20" ht="26.25">
      <c r="T2599" s="62" ph="1"/>
    </row>
    <row r="2600" spans="20:20" ht="26.25">
      <c r="T2600" s="62" ph="1"/>
    </row>
    <row r="2601" spans="20:20" ht="26.25">
      <c r="T2601" s="62" ph="1"/>
    </row>
    <row r="2602" spans="20:20" ht="26.25">
      <c r="T2602" s="62" ph="1"/>
    </row>
    <row r="2603" spans="20:20" ht="26.25">
      <c r="T2603" s="62" ph="1"/>
    </row>
    <row r="2604" spans="20:20" ht="26.25">
      <c r="T2604" s="62" ph="1"/>
    </row>
    <row r="2605" spans="20:20" ht="26.25">
      <c r="T2605" s="62" ph="1"/>
    </row>
    <row r="2606" spans="20:20" ht="26.25">
      <c r="T2606" s="62" ph="1"/>
    </row>
    <row r="2607" spans="20:20" ht="26.25">
      <c r="T2607" s="62" ph="1"/>
    </row>
    <row r="2608" spans="20:20" ht="26.25">
      <c r="T2608" s="62" ph="1"/>
    </row>
    <row r="2609" spans="20:20" ht="26.25">
      <c r="T2609" s="62" ph="1"/>
    </row>
    <row r="2610" spans="20:20" ht="26.25">
      <c r="T2610" s="62" ph="1"/>
    </row>
    <row r="2611" spans="20:20" ht="26.25">
      <c r="T2611" s="62" ph="1"/>
    </row>
    <row r="2612" spans="20:20" ht="26.25">
      <c r="T2612" s="62" ph="1"/>
    </row>
    <row r="2613" spans="20:20" ht="26.25">
      <c r="T2613" s="62" ph="1"/>
    </row>
    <row r="2614" spans="20:20" ht="26.25">
      <c r="T2614" s="62" ph="1"/>
    </row>
    <row r="2615" spans="20:20" ht="26.25">
      <c r="T2615" s="62" ph="1"/>
    </row>
    <row r="2616" spans="20:20" ht="26.25">
      <c r="T2616" s="62" ph="1"/>
    </row>
    <row r="2617" spans="20:20" ht="26.25">
      <c r="T2617" s="62" ph="1"/>
    </row>
    <row r="2618" spans="20:20" ht="26.25">
      <c r="T2618" s="62" ph="1"/>
    </row>
    <row r="2619" spans="20:20" ht="26.25">
      <c r="T2619" s="62" ph="1"/>
    </row>
    <row r="2620" spans="20:20" ht="26.25">
      <c r="T2620" s="62" ph="1"/>
    </row>
    <row r="2621" spans="20:20" ht="26.25">
      <c r="T2621" s="62" ph="1"/>
    </row>
    <row r="2622" spans="20:20" ht="26.25">
      <c r="T2622" s="62" ph="1"/>
    </row>
    <row r="2623" spans="20:20" ht="26.25">
      <c r="T2623" s="62" ph="1"/>
    </row>
    <row r="2624" spans="20:20" ht="26.25">
      <c r="T2624" s="62" ph="1"/>
    </row>
    <row r="2625" spans="20:20" ht="26.25">
      <c r="T2625" s="62" ph="1"/>
    </row>
    <row r="2626" spans="20:20" ht="26.25">
      <c r="T2626" s="62" ph="1"/>
    </row>
    <row r="2627" spans="20:20" ht="26.25">
      <c r="T2627" s="62" ph="1"/>
    </row>
    <row r="2628" spans="20:20" ht="26.25">
      <c r="T2628" s="62" ph="1"/>
    </row>
    <row r="2629" spans="20:20" ht="26.25">
      <c r="T2629" s="62" ph="1"/>
    </row>
    <row r="2630" spans="20:20" ht="26.25">
      <c r="T2630" s="62" ph="1"/>
    </row>
    <row r="2631" spans="20:20" ht="26.25">
      <c r="T2631" s="62" ph="1"/>
    </row>
    <row r="2632" spans="20:20" ht="26.25">
      <c r="T2632" s="62" ph="1"/>
    </row>
    <row r="2633" spans="20:20" ht="26.25">
      <c r="T2633" s="62" ph="1"/>
    </row>
    <row r="2634" spans="20:20" ht="26.25">
      <c r="T2634" s="62" ph="1"/>
    </row>
    <row r="2635" spans="20:20" ht="26.25">
      <c r="T2635" s="62" ph="1"/>
    </row>
    <row r="2636" spans="20:20" ht="26.25">
      <c r="T2636" s="62" ph="1"/>
    </row>
    <row r="2637" spans="20:20" ht="26.25">
      <c r="T2637" s="62" ph="1"/>
    </row>
    <row r="2638" spans="20:20" ht="26.25">
      <c r="T2638" s="62" ph="1"/>
    </row>
    <row r="2639" spans="20:20" ht="26.25">
      <c r="T2639" s="62" ph="1"/>
    </row>
    <row r="2640" spans="20:20" ht="26.25">
      <c r="T2640" s="62" ph="1"/>
    </row>
    <row r="2641" spans="20:20" ht="26.25">
      <c r="T2641" s="62" ph="1"/>
    </row>
    <row r="2642" spans="20:20" ht="26.25">
      <c r="T2642" s="62" ph="1"/>
    </row>
    <row r="2643" spans="20:20" ht="26.25">
      <c r="T2643" s="62" ph="1"/>
    </row>
    <row r="2644" spans="20:20" ht="26.25">
      <c r="T2644" s="62" ph="1"/>
    </row>
    <row r="2645" spans="20:20" ht="26.25">
      <c r="T2645" s="62" ph="1"/>
    </row>
    <row r="2646" spans="20:20" ht="26.25">
      <c r="T2646" s="62" ph="1"/>
    </row>
    <row r="2647" spans="20:20" ht="26.25">
      <c r="T2647" s="62" ph="1"/>
    </row>
    <row r="2648" spans="20:20" ht="26.25">
      <c r="T2648" s="62" ph="1"/>
    </row>
    <row r="2649" spans="20:20" ht="26.25">
      <c r="T2649" s="62" ph="1"/>
    </row>
    <row r="2650" spans="20:20" ht="26.25">
      <c r="T2650" s="62" ph="1"/>
    </row>
    <row r="2651" spans="20:20" ht="26.25">
      <c r="T2651" s="62" ph="1"/>
    </row>
    <row r="2652" spans="20:20" ht="26.25">
      <c r="T2652" s="62" ph="1"/>
    </row>
    <row r="2653" spans="20:20" ht="26.25">
      <c r="T2653" s="62" ph="1"/>
    </row>
    <row r="2654" spans="20:20" ht="26.25">
      <c r="T2654" s="62" ph="1"/>
    </row>
    <row r="2655" spans="20:20" ht="26.25">
      <c r="T2655" s="62" ph="1"/>
    </row>
    <row r="2656" spans="20:20" ht="26.25">
      <c r="T2656" s="62" ph="1"/>
    </row>
    <row r="2657" spans="20:20" ht="26.25">
      <c r="T2657" s="62" ph="1"/>
    </row>
    <row r="2658" spans="20:20" ht="26.25">
      <c r="T2658" s="62" ph="1"/>
    </row>
    <row r="2659" spans="20:20" ht="26.25">
      <c r="T2659" s="62" ph="1"/>
    </row>
    <row r="2660" spans="20:20" ht="26.25">
      <c r="T2660" s="62" ph="1"/>
    </row>
    <row r="2661" spans="20:20" ht="26.25">
      <c r="T2661" s="62" ph="1"/>
    </row>
    <row r="2662" spans="20:20" ht="26.25">
      <c r="T2662" s="62" ph="1"/>
    </row>
    <row r="2663" spans="20:20" ht="26.25">
      <c r="T2663" s="62" ph="1"/>
    </row>
    <row r="2664" spans="20:20" ht="26.25">
      <c r="T2664" s="62" ph="1"/>
    </row>
    <row r="2665" spans="20:20" ht="26.25">
      <c r="T2665" s="62" ph="1"/>
    </row>
    <row r="2666" spans="20:20" ht="26.25">
      <c r="T2666" s="62" ph="1"/>
    </row>
    <row r="2667" spans="20:20" ht="26.25">
      <c r="T2667" s="62" ph="1"/>
    </row>
    <row r="2668" spans="20:20" ht="26.25">
      <c r="T2668" s="62" ph="1"/>
    </row>
    <row r="2669" spans="20:20" ht="26.25">
      <c r="T2669" s="62" ph="1"/>
    </row>
    <row r="2670" spans="20:20" ht="26.25">
      <c r="T2670" s="62" ph="1"/>
    </row>
    <row r="2671" spans="20:20" ht="26.25">
      <c r="T2671" s="62" ph="1"/>
    </row>
    <row r="2672" spans="20:20" ht="26.25">
      <c r="T2672" s="62" ph="1"/>
    </row>
    <row r="2673" spans="20:20" ht="26.25">
      <c r="T2673" s="62" ph="1"/>
    </row>
    <row r="2674" spans="20:20" ht="26.25">
      <c r="T2674" s="62" ph="1"/>
    </row>
    <row r="2675" spans="20:20" ht="26.25">
      <c r="T2675" s="62" ph="1"/>
    </row>
    <row r="2676" spans="20:20" ht="26.25">
      <c r="T2676" s="62" ph="1"/>
    </row>
    <row r="2677" spans="20:20" ht="26.25">
      <c r="T2677" s="62" ph="1"/>
    </row>
    <row r="2678" spans="20:20" ht="26.25">
      <c r="T2678" s="62" ph="1"/>
    </row>
    <row r="2679" spans="20:20" ht="26.25">
      <c r="T2679" s="62" ph="1"/>
    </row>
    <row r="2680" spans="20:20" ht="26.25">
      <c r="T2680" s="62" ph="1"/>
    </row>
    <row r="2681" spans="20:20" ht="26.25">
      <c r="T2681" s="62" ph="1"/>
    </row>
    <row r="2682" spans="20:20" ht="26.25">
      <c r="T2682" s="62" ph="1"/>
    </row>
    <row r="2683" spans="20:20" ht="26.25">
      <c r="T2683" s="62" ph="1"/>
    </row>
    <row r="2684" spans="20:20" ht="26.25">
      <c r="T2684" s="62" ph="1"/>
    </row>
    <row r="2685" spans="20:20" ht="26.25">
      <c r="T2685" s="62" ph="1"/>
    </row>
    <row r="2686" spans="20:20" ht="26.25">
      <c r="T2686" s="62" ph="1"/>
    </row>
    <row r="2687" spans="20:20" ht="26.25">
      <c r="T2687" s="62" ph="1"/>
    </row>
    <row r="2688" spans="20:20" ht="26.25">
      <c r="T2688" s="62" ph="1"/>
    </row>
    <row r="2689" spans="20:20" ht="26.25">
      <c r="T2689" s="62" ph="1"/>
    </row>
    <row r="2690" spans="20:20" ht="26.25">
      <c r="T2690" s="62" ph="1"/>
    </row>
    <row r="2691" spans="20:20" ht="26.25">
      <c r="T2691" s="62" ph="1"/>
    </row>
    <row r="2692" spans="20:20" ht="26.25">
      <c r="T2692" s="62" ph="1"/>
    </row>
    <row r="2693" spans="20:20" ht="26.25">
      <c r="T2693" s="62" ph="1"/>
    </row>
    <row r="2694" spans="20:20" ht="26.25">
      <c r="T2694" s="62" ph="1"/>
    </row>
    <row r="2695" spans="20:20" ht="26.25">
      <c r="T2695" s="62" ph="1"/>
    </row>
    <row r="2696" spans="20:20" ht="26.25">
      <c r="T2696" s="62" ph="1"/>
    </row>
    <row r="2697" spans="20:20" ht="26.25">
      <c r="T2697" s="62" ph="1"/>
    </row>
    <row r="2698" spans="20:20" ht="26.25">
      <c r="T2698" s="62" ph="1"/>
    </row>
    <row r="2699" spans="20:20" ht="26.25">
      <c r="T2699" s="62" ph="1"/>
    </row>
    <row r="2700" spans="20:20" ht="26.25">
      <c r="T2700" s="62" ph="1"/>
    </row>
    <row r="2701" spans="20:20" ht="26.25">
      <c r="T2701" s="62" ph="1"/>
    </row>
    <row r="2702" spans="20:20" ht="26.25">
      <c r="T2702" s="62" ph="1"/>
    </row>
    <row r="2703" spans="20:20" ht="26.25">
      <c r="T2703" s="62" ph="1"/>
    </row>
    <row r="2704" spans="20:20" ht="26.25">
      <c r="T2704" s="62" ph="1"/>
    </row>
    <row r="2705" spans="20:20" ht="26.25">
      <c r="T2705" s="62" ph="1"/>
    </row>
    <row r="2706" spans="20:20" ht="26.25">
      <c r="T2706" s="62" ph="1"/>
    </row>
    <row r="2707" spans="20:20" ht="26.25">
      <c r="T2707" s="62" ph="1"/>
    </row>
    <row r="2708" spans="20:20" ht="26.25">
      <c r="T2708" s="62" ph="1"/>
    </row>
    <row r="2709" spans="20:20" ht="26.25">
      <c r="T2709" s="62" ph="1"/>
    </row>
    <row r="2710" spans="20:20" ht="26.25">
      <c r="T2710" s="62" ph="1"/>
    </row>
    <row r="2711" spans="20:20" ht="26.25">
      <c r="T2711" s="62" ph="1"/>
    </row>
    <row r="2712" spans="20:20" ht="26.25">
      <c r="T2712" s="62" ph="1"/>
    </row>
    <row r="2713" spans="20:20" ht="26.25">
      <c r="T2713" s="62" ph="1"/>
    </row>
    <row r="2714" spans="20:20" ht="26.25">
      <c r="T2714" s="62" ph="1"/>
    </row>
    <row r="2715" spans="20:20" ht="26.25">
      <c r="T2715" s="62" ph="1"/>
    </row>
    <row r="2716" spans="20:20" ht="26.25">
      <c r="T2716" s="62" ph="1"/>
    </row>
    <row r="2717" spans="20:20" ht="26.25">
      <c r="T2717" s="62" ph="1"/>
    </row>
    <row r="2718" spans="20:20" ht="26.25">
      <c r="T2718" s="62" ph="1"/>
    </row>
    <row r="2719" spans="20:20" ht="26.25">
      <c r="T2719" s="62" ph="1"/>
    </row>
    <row r="2720" spans="20:20" ht="26.25">
      <c r="T2720" s="62" ph="1"/>
    </row>
    <row r="2721" spans="20:20" ht="26.25">
      <c r="T2721" s="62" ph="1"/>
    </row>
    <row r="2722" spans="20:20" ht="26.25">
      <c r="T2722" s="62" ph="1"/>
    </row>
    <row r="2723" spans="20:20" ht="26.25">
      <c r="T2723" s="62" ph="1"/>
    </row>
    <row r="2724" spans="20:20" ht="26.25">
      <c r="T2724" s="62" ph="1"/>
    </row>
    <row r="2725" spans="20:20" ht="26.25">
      <c r="T2725" s="62" ph="1"/>
    </row>
    <row r="2726" spans="20:20" ht="26.25">
      <c r="T2726" s="62" ph="1"/>
    </row>
    <row r="2727" spans="20:20" ht="26.25">
      <c r="T2727" s="62" ph="1"/>
    </row>
    <row r="2728" spans="20:20" ht="26.25">
      <c r="T2728" s="62" ph="1"/>
    </row>
    <row r="2729" spans="20:20" ht="26.25">
      <c r="T2729" s="62" ph="1"/>
    </row>
    <row r="2730" spans="20:20" ht="26.25">
      <c r="T2730" s="62" ph="1"/>
    </row>
    <row r="2731" spans="20:20" ht="26.25">
      <c r="T2731" s="62" ph="1"/>
    </row>
    <row r="2732" spans="20:20" ht="26.25">
      <c r="T2732" s="62" ph="1"/>
    </row>
    <row r="2733" spans="20:20" ht="26.25">
      <c r="T2733" s="62" ph="1"/>
    </row>
    <row r="2734" spans="20:20" ht="26.25">
      <c r="T2734" s="62" ph="1"/>
    </row>
    <row r="2735" spans="20:20" ht="26.25">
      <c r="T2735" s="62" ph="1"/>
    </row>
    <row r="2736" spans="20:20" ht="26.25">
      <c r="T2736" s="62" ph="1"/>
    </row>
    <row r="2737" spans="20:20" ht="26.25">
      <c r="T2737" s="62" ph="1"/>
    </row>
    <row r="2738" spans="20:20" ht="26.25">
      <c r="T2738" s="62" ph="1"/>
    </row>
    <row r="2739" spans="20:20" ht="26.25">
      <c r="T2739" s="62" ph="1"/>
    </row>
    <row r="2740" spans="20:20" ht="26.25">
      <c r="T2740" s="62" ph="1"/>
    </row>
    <row r="2741" spans="20:20" ht="26.25">
      <c r="T2741" s="62" ph="1"/>
    </row>
    <row r="2742" spans="20:20" ht="26.25">
      <c r="T2742" s="62" ph="1"/>
    </row>
    <row r="2743" spans="20:20" ht="26.25">
      <c r="T2743" s="62" ph="1"/>
    </row>
    <row r="2744" spans="20:20" ht="26.25">
      <c r="T2744" s="62" ph="1"/>
    </row>
    <row r="2745" spans="20:20" ht="26.25">
      <c r="T2745" s="62" ph="1"/>
    </row>
    <row r="2746" spans="20:20" ht="26.25">
      <c r="T2746" s="62" ph="1"/>
    </row>
    <row r="2747" spans="20:20" ht="26.25">
      <c r="T2747" s="62" ph="1"/>
    </row>
    <row r="2748" spans="20:20" ht="26.25">
      <c r="T2748" s="62" ph="1"/>
    </row>
    <row r="2749" spans="20:20" ht="26.25">
      <c r="T2749" s="62" ph="1"/>
    </row>
    <row r="2750" spans="20:20" ht="26.25">
      <c r="T2750" s="62" ph="1"/>
    </row>
    <row r="2751" spans="20:20" ht="26.25">
      <c r="T2751" s="62" ph="1"/>
    </row>
    <row r="2752" spans="20:20" ht="26.25">
      <c r="T2752" s="62" ph="1"/>
    </row>
    <row r="2753" spans="20:20" ht="26.25">
      <c r="T2753" s="62" ph="1"/>
    </row>
    <row r="2754" spans="20:20" ht="26.25">
      <c r="T2754" s="62" ph="1"/>
    </row>
    <row r="2755" spans="20:20" ht="26.25">
      <c r="T2755" s="62" ph="1"/>
    </row>
    <row r="2756" spans="20:20" ht="26.25">
      <c r="T2756" s="62" ph="1"/>
    </row>
    <row r="2757" spans="20:20" ht="26.25">
      <c r="T2757" s="62" ph="1"/>
    </row>
    <row r="2758" spans="20:20" ht="26.25">
      <c r="T2758" s="62" ph="1"/>
    </row>
    <row r="2759" spans="20:20" ht="26.25">
      <c r="T2759" s="62" ph="1"/>
    </row>
    <row r="2760" spans="20:20" ht="26.25">
      <c r="T2760" s="62" ph="1"/>
    </row>
    <row r="2761" spans="20:20" ht="26.25">
      <c r="T2761" s="62" ph="1"/>
    </row>
    <row r="2762" spans="20:20" ht="26.25">
      <c r="T2762" s="62" ph="1"/>
    </row>
    <row r="2763" spans="20:20" ht="26.25">
      <c r="T2763" s="62" ph="1"/>
    </row>
    <row r="2764" spans="20:20" ht="26.25">
      <c r="T2764" s="62" ph="1"/>
    </row>
    <row r="2765" spans="20:20" ht="26.25">
      <c r="T2765" s="62" ph="1"/>
    </row>
    <row r="2766" spans="20:20" ht="26.25">
      <c r="T2766" s="62" ph="1"/>
    </row>
    <row r="2767" spans="20:20" ht="26.25">
      <c r="T2767" s="62" ph="1"/>
    </row>
    <row r="2768" spans="20:20" ht="26.25">
      <c r="T2768" s="62" ph="1"/>
    </row>
    <row r="2769" spans="20:20" ht="26.25">
      <c r="T2769" s="62" ph="1"/>
    </row>
    <row r="2770" spans="20:20" ht="26.25">
      <c r="T2770" s="62" ph="1"/>
    </row>
    <row r="2771" spans="20:20" ht="26.25">
      <c r="T2771" s="62" ph="1"/>
    </row>
    <row r="2772" spans="20:20" ht="26.25">
      <c r="T2772" s="62" ph="1"/>
    </row>
    <row r="2773" spans="20:20" ht="26.25">
      <c r="T2773" s="62" ph="1"/>
    </row>
    <row r="2774" spans="20:20" ht="26.25">
      <c r="T2774" s="62" ph="1"/>
    </row>
    <row r="2775" spans="20:20" ht="26.25">
      <c r="T2775" s="62" ph="1"/>
    </row>
    <row r="2776" spans="20:20" ht="26.25">
      <c r="T2776" s="62" ph="1"/>
    </row>
    <row r="2777" spans="20:20" ht="26.25">
      <c r="T2777" s="62" ph="1"/>
    </row>
    <row r="2778" spans="20:20" ht="26.25">
      <c r="T2778" s="62" ph="1"/>
    </row>
    <row r="2779" spans="20:20" ht="26.25">
      <c r="T2779" s="62" ph="1"/>
    </row>
    <row r="2780" spans="20:20" ht="26.25">
      <c r="T2780" s="62" ph="1"/>
    </row>
    <row r="2781" spans="20:20" ht="26.25">
      <c r="T2781" s="62" ph="1"/>
    </row>
    <row r="2782" spans="20:20" ht="26.25">
      <c r="T2782" s="62" ph="1"/>
    </row>
    <row r="2783" spans="20:20" ht="26.25">
      <c r="T2783" s="62" ph="1"/>
    </row>
    <row r="2784" spans="20:20" ht="26.25">
      <c r="T2784" s="62" ph="1"/>
    </row>
    <row r="2785" spans="20:20" ht="26.25">
      <c r="T2785" s="62" ph="1"/>
    </row>
    <row r="2786" spans="20:20" ht="26.25">
      <c r="T2786" s="62" ph="1"/>
    </row>
    <row r="2787" spans="20:20" ht="26.25">
      <c r="T2787" s="62" ph="1"/>
    </row>
    <row r="2788" spans="20:20" ht="26.25">
      <c r="T2788" s="62" ph="1"/>
    </row>
    <row r="2789" spans="20:20" ht="26.25">
      <c r="T2789" s="62" ph="1"/>
    </row>
    <row r="2790" spans="20:20" ht="26.25">
      <c r="T2790" s="62" ph="1"/>
    </row>
    <row r="2791" spans="20:20" ht="26.25">
      <c r="T2791" s="62" ph="1"/>
    </row>
    <row r="2792" spans="20:20" ht="26.25">
      <c r="T2792" s="62" ph="1"/>
    </row>
    <row r="2793" spans="20:20" ht="26.25">
      <c r="T2793" s="62" ph="1"/>
    </row>
    <row r="2794" spans="20:20" ht="26.25">
      <c r="T2794" s="62" ph="1"/>
    </row>
    <row r="2795" spans="20:20" ht="26.25">
      <c r="T2795" s="62" ph="1"/>
    </row>
    <row r="2796" spans="20:20" ht="26.25">
      <c r="T2796" s="62" ph="1"/>
    </row>
    <row r="2797" spans="20:20" ht="26.25">
      <c r="T2797" s="62" ph="1"/>
    </row>
    <row r="2798" spans="20:20" ht="26.25">
      <c r="T2798" s="62" ph="1"/>
    </row>
    <row r="2799" spans="20:20" ht="26.25">
      <c r="T2799" s="62" ph="1"/>
    </row>
    <row r="2800" spans="20:20" ht="26.25">
      <c r="T2800" s="62" ph="1"/>
    </row>
    <row r="2801" spans="20:20" ht="26.25">
      <c r="T2801" s="62" ph="1"/>
    </row>
    <row r="2802" spans="20:20" ht="26.25">
      <c r="T2802" s="62" ph="1"/>
    </row>
    <row r="2803" spans="20:20" ht="26.25">
      <c r="T2803" s="62" ph="1"/>
    </row>
    <row r="2804" spans="20:20" ht="26.25">
      <c r="T2804" s="62" ph="1"/>
    </row>
    <row r="2805" spans="20:20" ht="26.25">
      <c r="T2805" s="62" ph="1"/>
    </row>
    <row r="2806" spans="20:20" ht="26.25">
      <c r="T2806" s="62" ph="1"/>
    </row>
    <row r="2807" spans="20:20" ht="26.25">
      <c r="T2807" s="62" ph="1"/>
    </row>
    <row r="2808" spans="20:20" ht="26.25">
      <c r="T2808" s="62" ph="1"/>
    </row>
    <row r="2809" spans="20:20" ht="26.25">
      <c r="T2809" s="62" ph="1"/>
    </row>
    <row r="2810" spans="20:20" ht="26.25">
      <c r="T2810" s="62" ph="1"/>
    </row>
    <row r="2811" spans="20:20" ht="26.25">
      <c r="T2811" s="62" ph="1"/>
    </row>
    <row r="2812" spans="20:20" ht="26.25">
      <c r="T2812" s="62" ph="1"/>
    </row>
    <row r="2813" spans="20:20" ht="26.25">
      <c r="T2813" s="62" ph="1"/>
    </row>
    <row r="2814" spans="20:20" ht="26.25">
      <c r="T2814" s="62" ph="1"/>
    </row>
    <row r="2815" spans="20:20" ht="26.25">
      <c r="T2815" s="62" ph="1"/>
    </row>
    <row r="2816" spans="20:20" ht="26.25">
      <c r="T2816" s="62" ph="1"/>
    </row>
    <row r="2817" spans="20:20" ht="26.25">
      <c r="T2817" s="62" ph="1"/>
    </row>
    <row r="2818" spans="20:20" ht="26.25">
      <c r="T2818" s="62" ph="1"/>
    </row>
    <row r="2819" spans="20:20" ht="26.25">
      <c r="T2819" s="62" ph="1"/>
    </row>
    <row r="2820" spans="20:20" ht="26.25">
      <c r="T2820" s="62" ph="1"/>
    </row>
    <row r="2821" spans="20:20" ht="26.25">
      <c r="T2821" s="62" ph="1"/>
    </row>
    <row r="2822" spans="20:20" ht="26.25">
      <c r="T2822" s="62" ph="1"/>
    </row>
    <row r="2823" spans="20:20" ht="26.25">
      <c r="T2823" s="62" ph="1"/>
    </row>
    <row r="2824" spans="20:20" ht="26.25">
      <c r="T2824" s="62" ph="1"/>
    </row>
    <row r="2825" spans="20:20" ht="26.25">
      <c r="T2825" s="62" ph="1"/>
    </row>
    <row r="2826" spans="20:20" ht="26.25">
      <c r="T2826" s="62" ph="1"/>
    </row>
    <row r="2827" spans="20:20" ht="26.25">
      <c r="T2827" s="62" ph="1"/>
    </row>
    <row r="2828" spans="20:20" ht="26.25">
      <c r="T2828" s="62" ph="1"/>
    </row>
    <row r="2829" spans="20:20" ht="26.25">
      <c r="T2829" s="62" ph="1"/>
    </row>
    <row r="2830" spans="20:20" ht="26.25">
      <c r="T2830" s="62" ph="1"/>
    </row>
    <row r="2831" spans="20:20" ht="26.25">
      <c r="T2831" s="62" ph="1"/>
    </row>
    <row r="2832" spans="20:20" ht="26.25">
      <c r="T2832" s="62" ph="1"/>
    </row>
    <row r="2833" spans="20:20" ht="26.25">
      <c r="T2833" s="62" ph="1"/>
    </row>
    <row r="2834" spans="20:20" ht="26.25">
      <c r="T2834" s="62" ph="1"/>
    </row>
    <row r="2835" spans="20:20" ht="26.25">
      <c r="T2835" s="62" ph="1"/>
    </row>
    <row r="2836" spans="20:20" ht="26.25">
      <c r="T2836" s="62" ph="1"/>
    </row>
    <row r="2837" spans="20:20" ht="26.25">
      <c r="T2837" s="62" ph="1"/>
    </row>
    <row r="2838" spans="20:20" ht="26.25">
      <c r="T2838" s="62" ph="1"/>
    </row>
    <row r="2839" spans="20:20" ht="26.25">
      <c r="T2839" s="62" ph="1"/>
    </row>
    <row r="2840" spans="20:20" ht="26.25">
      <c r="T2840" s="62" ph="1"/>
    </row>
    <row r="2841" spans="20:20" ht="26.25">
      <c r="T2841" s="62" ph="1"/>
    </row>
    <row r="2842" spans="20:20" ht="26.25">
      <c r="T2842" s="62" ph="1"/>
    </row>
    <row r="2843" spans="20:20" ht="26.25">
      <c r="T2843" s="62" ph="1"/>
    </row>
    <row r="2844" spans="20:20" ht="26.25">
      <c r="T2844" s="62" ph="1"/>
    </row>
    <row r="2845" spans="20:20" ht="26.25">
      <c r="T2845" s="62" ph="1"/>
    </row>
    <row r="2846" spans="20:20" ht="26.25">
      <c r="T2846" s="62" ph="1"/>
    </row>
    <row r="2847" spans="20:20" ht="26.25">
      <c r="T2847" s="62" ph="1"/>
    </row>
    <row r="2848" spans="20:20" ht="26.25">
      <c r="T2848" s="62" ph="1"/>
    </row>
    <row r="2849" spans="20:20" ht="26.25">
      <c r="T2849" s="62" ph="1"/>
    </row>
    <row r="2850" spans="20:20" ht="26.25">
      <c r="T2850" s="62" ph="1"/>
    </row>
    <row r="2851" spans="20:20" ht="26.25">
      <c r="T2851" s="62" ph="1"/>
    </row>
    <row r="2852" spans="20:20" ht="26.25">
      <c r="T2852" s="62" ph="1"/>
    </row>
    <row r="2853" spans="20:20" ht="26.25">
      <c r="T2853" s="62" ph="1"/>
    </row>
    <row r="2854" spans="20:20" ht="26.25">
      <c r="T2854" s="62" ph="1"/>
    </row>
    <row r="2855" spans="20:20" ht="26.25">
      <c r="T2855" s="62" ph="1"/>
    </row>
    <row r="2856" spans="20:20" ht="26.25">
      <c r="T2856" s="62" ph="1"/>
    </row>
    <row r="2857" spans="20:20" ht="26.25">
      <c r="T2857" s="62" ph="1"/>
    </row>
    <row r="2858" spans="20:20" ht="26.25">
      <c r="T2858" s="62" ph="1"/>
    </row>
    <row r="2859" spans="20:20" ht="26.25">
      <c r="T2859" s="62" ph="1"/>
    </row>
    <row r="2860" spans="20:20" ht="26.25">
      <c r="T2860" s="62" ph="1"/>
    </row>
    <row r="2861" spans="20:20" ht="26.25">
      <c r="T2861" s="62" ph="1"/>
    </row>
    <row r="2862" spans="20:20" ht="26.25">
      <c r="T2862" s="62" ph="1"/>
    </row>
    <row r="2863" spans="20:20" ht="26.25">
      <c r="T2863" s="62" ph="1"/>
    </row>
    <row r="2864" spans="20:20" ht="26.25">
      <c r="T2864" s="62" ph="1"/>
    </row>
    <row r="2865" spans="20:20" ht="26.25">
      <c r="T2865" s="62" ph="1"/>
    </row>
    <row r="2866" spans="20:20" ht="26.25">
      <c r="T2866" s="62" ph="1"/>
    </row>
    <row r="2867" spans="20:20" ht="26.25">
      <c r="T2867" s="62" ph="1"/>
    </row>
    <row r="2868" spans="20:20" ht="26.25">
      <c r="T2868" s="62" ph="1"/>
    </row>
    <row r="2869" spans="20:20" ht="26.25">
      <c r="T2869" s="62" ph="1"/>
    </row>
    <row r="2870" spans="20:20" ht="26.25">
      <c r="T2870" s="62" ph="1"/>
    </row>
    <row r="2871" spans="20:20" ht="26.25">
      <c r="T2871" s="62" ph="1"/>
    </row>
    <row r="2872" spans="20:20" ht="26.25">
      <c r="T2872" s="62" ph="1"/>
    </row>
    <row r="2873" spans="20:20" ht="26.25">
      <c r="T2873" s="62" ph="1"/>
    </row>
    <row r="2874" spans="20:20" ht="26.25">
      <c r="T2874" s="62" ph="1"/>
    </row>
    <row r="2875" spans="20:20" ht="26.25">
      <c r="T2875" s="62" ph="1"/>
    </row>
    <row r="2876" spans="20:20" ht="26.25">
      <c r="T2876" s="62" ph="1"/>
    </row>
    <row r="2877" spans="20:20" ht="26.25">
      <c r="T2877" s="62" ph="1"/>
    </row>
    <row r="2878" spans="20:20" ht="26.25">
      <c r="T2878" s="62" ph="1"/>
    </row>
    <row r="2879" spans="20:20" ht="26.25">
      <c r="T2879" s="62" ph="1"/>
    </row>
    <row r="2880" spans="20:20" ht="26.25">
      <c r="T2880" s="62" ph="1"/>
    </row>
    <row r="2881" spans="20:20" ht="26.25">
      <c r="T2881" s="62" ph="1"/>
    </row>
    <row r="2882" spans="20:20" ht="26.25">
      <c r="T2882" s="62" ph="1"/>
    </row>
    <row r="2883" spans="20:20" ht="26.25">
      <c r="T2883" s="62" ph="1"/>
    </row>
    <row r="2884" spans="20:20" ht="26.25">
      <c r="T2884" s="62" ph="1"/>
    </row>
    <row r="2885" spans="20:20" ht="26.25">
      <c r="T2885" s="62" ph="1"/>
    </row>
    <row r="2886" spans="20:20" ht="26.25">
      <c r="T2886" s="62" ph="1"/>
    </row>
    <row r="2887" spans="20:20" ht="26.25">
      <c r="T2887" s="62" ph="1"/>
    </row>
    <row r="2888" spans="20:20" ht="26.25">
      <c r="T2888" s="62" ph="1"/>
    </row>
    <row r="2889" spans="20:20" ht="26.25">
      <c r="T2889" s="62" ph="1"/>
    </row>
    <row r="2890" spans="20:20" ht="26.25">
      <c r="T2890" s="62" ph="1"/>
    </row>
    <row r="2891" spans="20:20" ht="26.25">
      <c r="T2891" s="62" ph="1"/>
    </row>
    <row r="2892" spans="20:20" ht="26.25">
      <c r="T2892" s="62" ph="1"/>
    </row>
    <row r="2893" spans="20:20" ht="26.25">
      <c r="T2893" s="62" ph="1"/>
    </row>
    <row r="2894" spans="20:20" ht="26.25">
      <c r="T2894" s="62" ph="1"/>
    </row>
    <row r="2895" spans="20:20" ht="26.25">
      <c r="T2895" s="62" ph="1"/>
    </row>
    <row r="2896" spans="20:20" ht="26.25">
      <c r="T2896" s="62" ph="1"/>
    </row>
    <row r="2897" spans="20:20" ht="26.25">
      <c r="T2897" s="62" ph="1"/>
    </row>
    <row r="2898" spans="20:20" ht="26.25">
      <c r="T2898" s="62" ph="1"/>
    </row>
    <row r="2899" spans="20:20" ht="26.25">
      <c r="T2899" s="62" ph="1"/>
    </row>
    <row r="2900" spans="20:20" ht="26.25">
      <c r="T2900" s="62" ph="1"/>
    </row>
    <row r="2901" spans="20:20" ht="26.25">
      <c r="T2901" s="62" ph="1"/>
    </row>
    <row r="2902" spans="20:20" ht="26.25">
      <c r="T2902" s="62" ph="1"/>
    </row>
    <row r="2903" spans="20:20" ht="26.25">
      <c r="T2903" s="62" ph="1"/>
    </row>
    <row r="2904" spans="20:20" ht="26.25">
      <c r="T2904" s="62" ph="1"/>
    </row>
    <row r="2905" spans="20:20" ht="26.25">
      <c r="T2905" s="62" ph="1"/>
    </row>
    <row r="2906" spans="20:20" ht="26.25">
      <c r="T2906" s="62" ph="1"/>
    </row>
    <row r="2907" spans="20:20" ht="26.25">
      <c r="T2907" s="62" ph="1"/>
    </row>
    <row r="2908" spans="20:20" ht="26.25">
      <c r="T2908" s="62" ph="1"/>
    </row>
    <row r="2909" spans="20:20" ht="26.25">
      <c r="T2909" s="62" ph="1"/>
    </row>
    <row r="2910" spans="20:20" ht="26.25">
      <c r="T2910" s="62" ph="1"/>
    </row>
    <row r="2911" spans="20:20" ht="26.25">
      <c r="T2911" s="62" ph="1"/>
    </row>
    <row r="2912" spans="20:20" ht="26.25">
      <c r="T2912" s="62" ph="1"/>
    </row>
    <row r="2913" spans="20:20" ht="26.25">
      <c r="T2913" s="62" ph="1"/>
    </row>
    <row r="2914" spans="20:20" ht="26.25">
      <c r="T2914" s="62" ph="1"/>
    </row>
    <row r="2915" spans="20:20" ht="26.25">
      <c r="T2915" s="62" ph="1"/>
    </row>
    <row r="2916" spans="20:20" ht="26.25">
      <c r="T2916" s="62" ph="1"/>
    </row>
    <row r="2917" spans="20:20" ht="26.25">
      <c r="T2917" s="62" ph="1"/>
    </row>
    <row r="2918" spans="20:20" ht="26.25">
      <c r="T2918" s="62" ph="1"/>
    </row>
    <row r="2919" spans="20:20" ht="26.25">
      <c r="T2919" s="62" ph="1"/>
    </row>
    <row r="2920" spans="20:20" ht="26.25">
      <c r="T2920" s="62" ph="1"/>
    </row>
    <row r="2921" spans="20:20" ht="26.25">
      <c r="T2921" s="62" ph="1"/>
    </row>
    <row r="2922" spans="20:20" ht="26.25">
      <c r="T2922" s="62" ph="1"/>
    </row>
    <row r="2923" spans="20:20" ht="26.25">
      <c r="T2923" s="62" ph="1"/>
    </row>
    <row r="2924" spans="20:20" ht="26.25">
      <c r="T2924" s="62" ph="1"/>
    </row>
    <row r="2925" spans="20:20" ht="26.25">
      <c r="T2925" s="62" ph="1"/>
    </row>
    <row r="2926" spans="20:20" ht="26.25">
      <c r="T2926" s="62" ph="1"/>
    </row>
    <row r="2927" spans="20:20" ht="26.25">
      <c r="T2927" s="62" ph="1"/>
    </row>
    <row r="2928" spans="20:20" ht="26.25">
      <c r="T2928" s="62" ph="1"/>
    </row>
    <row r="2929" spans="20:20" ht="26.25">
      <c r="T2929" s="62" ph="1"/>
    </row>
    <row r="2930" spans="20:20" ht="26.25">
      <c r="T2930" s="62" ph="1"/>
    </row>
    <row r="2931" spans="20:20" ht="26.25">
      <c r="T2931" s="62" ph="1"/>
    </row>
    <row r="2932" spans="20:20" ht="26.25">
      <c r="T2932" s="62" ph="1"/>
    </row>
    <row r="2933" spans="20:20" ht="26.25">
      <c r="T2933" s="62" ph="1"/>
    </row>
    <row r="2934" spans="20:20" ht="26.25">
      <c r="T2934" s="62" ph="1"/>
    </row>
    <row r="2935" spans="20:20" ht="26.25">
      <c r="T2935" s="62" ph="1"/>
    </row>
    <row r="2936" spans="20:20" ht="26.25">
      <c r="T2936" s="62" ph="1"/>
    </row>
    <row r="2937" spans="20:20" ht="26.25">
      <c r="T2937" s="62" ph="1"/>
    </row>
    <row r="2938" spans="20:20" ht="26.25">
      <c r="T2938" s="62" ph="1"/>
    </row>
    <row r="2939" spans="20:20" ht="26.25">
      <c r="T2939" s="62" ph="1"/>
    </row>
    <row r="2940" spans="20:20" ht="26.25">
      <c r="T2940" s="62" ph="1"/>
    </row>
    <row r="2941" spans="20:20" ht="26.25">
      <c r="T2941" s="62" ph="1"/>
    </row>
    <row r="2942" spans="20:20" ht="26.25">
      <c r="T2942" s="62" ph="1"/>
    </row>
    <row r="2943" spans="20:20" ht="26.25">
      <c r="T2943" s="62" ph="1"/>
    </row>
    <row r="2944" spans="20:20" ht="26.25">
      <c r="T2944" s="62" ph="1"/>
    </row>
    <row r="2945" spans="20:20" ht="26.25">
      <c r="T2945" s="62" ph="1"/>
    </row>
    <row r="2946" spans="20:20" ht="26.25">
      <c r="T2946" s="62" ph="1"/>
    </row>
    <row r="2947" spans="20:20" ht="26.25">
      <c r="T2947" s="62" ph="1"/>
    </row>
    <row r="2948" spans="20:20" ht="26.25">
      <c r="T2948" s="62" ph="1"/>
    </row>
    <row r="2949" spans="20:20" ht="26.25">
      <c r="T2949" s="62" ph="1"/>
    </row>
    <row r="2950" spans="20:20" ht="26.25">
      <c r="T2950" s="62" ph="1"/>
    </row>
    <row r="2951" spans="20:20" ht="26.25">
      <c r="T2951" s="62" ph="1"/>
    </row>
    <row r="2952" spans="20:20" ht="26.25">
      <c r="T2952" s="62" ph="1"/>
    </row>
    <row r="2953" spans="20:20" ht="26.25">
      <c r="T2953" s="62" ph="1"/>
    </row>
    <row r="2954" spans="20:20" ht="26.25">
      <c r="T2954" s="62" ph="1"/>
    </row>
    <row r="2955" spans="20:20" ht="26.25">
      <c r="T2955" s="62" ph="1"/>
    </row>
    <row r="2956" spans="20:20" ht="26.25">
      <c r="T2956" s="62" ph="1"/>
    </row>
    <row r="2957" spans="20:20" ht="26.25">
      <c r="T2957" s="62" ph="1"/>
    </row>
    <row r="2958" spans="20:20" ht="26.25">
      <c r="T2958" s="62" ph="1"/>
    </row>
    <row r="2959" spans="20:20" ht="26.25">
      <c r="T2959" s="62" ph="1"/>
    </row>
    <row r="2960" spans="20:20" ht="26.25">
      <c r="T2960" s="62" ph="1"/>
    </row>
    <row r="2961" spans="20:20" ht="26.25">
      <c r="T2961" s="62" ph="1"/>
    </row>
    <row r="2962" spans="20:20" ht="26.25">
      <c r="T2962" s="62" ph="1"/>
    </row>
    <row r="2963" spans="20:20" ht="26.25">
      <c r="T2963" s="62" ph="1"/>
    </row>
    <row r="2964" spans="20:20" ht="26.25">
      <c r="T2964" s="62" ph="1"/>
    </row>
    <row r="2965" spans="20:20" ht="26.25">
      <c r="T2965" s="62" ph="1"/>
    </row>
    <row r="2966" spans="20:20" ht="26.25">
      <c r="T2966" s="62" ph="1"/>
    </row>
    <row r="2967" spans="20:20" ht="26.25">
      <c r="T2967" s="62" ph="1"/>
    </row>
    <row r="2968" spans="20:20" ht="26.25">
      <c r="T2968" s="62" ph="1"/>
    </row>
    <row r="2969" spans="20:20" ht="26.25">
      <c r="T2969" s="62" ph="1"/>
    </row>
    <row r="2970" spans="20:20" ht="26.25">
      <c r="T2970" s="62" ph="1"/>
    </row>
    <row r="2971" spans="20:20" ht="26.25">
      <c r="T2971" s="62" ph="1"/>
    </row>
    <row r="2972" spans="20:20" ht="26.25">
      <c r="T2972" s="62" ph="1"/>
    </row>
    <row r="2973" spans="20:20" ht="26.25">
      <c r="T2973" s="62" ph="1"/>
    </row>
    <row r="2974" spans="20:20" ht="26.25">
      <c r="T2974" s="62" ph="1"/>
    </row>
    <row r="2975" spans="20:20" ht="26.25">
      <c r="T2975" s="62" ph="1"/>
    </row>
    <row r="2976" spans="20:20" ht="26.25">
      <c r="T2976" s="62" ph="1"/>
    </row>
    <row r="2977" spans="20:20" ht="26.25">
      <c r="T2977" s="62" ph="1"/>
    </row>
    <row r="2978" spans="20:20" ht="26.25">
      <c r="T2978" s="62" ph="1"/>
    </row>
    <row r="2979" spans="20:20" ht="26.25">
      <c r="T2979" s="62" ph="1"/>
    </row>
    <row r="2980" spans="20:20" ht="26.25">
      <c r="T2980" s="62" ph="1"/>
    </row>
    <row r="2981" spans="20:20" ht="26.25">
      <c r="T2981" s="62" ph="1"/>
    </row>
    <row r="2982" spans="20:20" ht="26.25">
      <c r="T2982" s="62" ph="1"/>
    </row>
    <row r="2983" spans="20:20" ht="26.25">
      <c r="T2983" s="62" ph="1"/>
    </row>
    <row r="2984" spans="20:20" ht="26.25">
      <c r="T2984" s="62" ph="1"/>
    </row>
    <row r="2985" spans="20:20" ht="26.25">
      <c r="T2985" s="62" ph="1"/>
    </row>
    <row r="2986" spans="20:20" ht="26.25">
      <c r="T2986" s="62" ph="1"/>
    </row>
    <row r="2987" spans="20:20" ht="26.25">
      <c r="T2987" s="62" ph="1"/>
    </row>
    <row r="2988" spans="20:20" ht="26.25">
      <c r="T2988" s="62" ph="1"/>
    </row>
    <row r="2989" spans="20:20" ht="26.25">
      <c r="T2989" s="62" ph="1"/>
    </row>
    <row r="2990" spans="20:20" ht="26.25">
      <c r="T2990" s="62" ph="1"/>
    </row>
    <row r="2991" spans="20:20" ht="26.25">
      <c r="T2991" s="62" ph="1"/>
    </row>
    <row r="2992" spans="20:20" ht="26.25">
      <c r="T2992" s="62" ph="1"/>
    </row>
    <row r="2993" spans="20:20" ht="26.25">
      <c r="T2993" s="62" ph="1"/>
    </row>
    <row r="2994" spans="20:20" ht="26.25">
      <c r="T2994" s="62" ph="1"/>
    </row>
    <row r="2995" spans="20:20" ht="26.25">
      <c r="T2995" s="62" ph="1"/>
    </row>
    <row r="2996" spans="20:20" ht="26.25">
      <c r="T2996" s="62" ph="1"/>
    </row>
    <row r="2997" spans="20:20" ht="26.25">
      <c r="T2997" s="62" ph="1"/>
    </row>
    <row r="2998" spans="20:20" ht="26.25">
      <c r="T2998" s="62" ph="1"/>
    </row>
    <row r="2999" spans="20:20" ht="26.25">
      <c r="T2999" s="62" ph="1"/>
    </row>
    <row r="3000" spans="20:20" ht="26.25">
      <c r="T3000" s="62" ph="1"/>
    </row>
    <row r="3001" spans="20:20" ht="26.25">
      <c r="T3001" s="62" ph="1"/>
    </row>
    <row r="3002" spans="20:20" ht="26.25">
      <c r="T3002" s="62" ph="1"/>
    </row>
    <row r="3003" spans="20:20" ht="26.25">
      <c r="T3003" s="62" ph="1"/>
    </row>
    <row r="3004" spans="20:20" ht="26.25">
      <c r="T3004" s="62" ph="1"/>
    </row>
    <row r="3005" spans="20:20" ht="26.25">
      <c r="T3005" s="62" ph="1"/>
    </row>
    <row r="3006" spans="20:20" ht="26.25">
      <c r="T3006" s="62" ph="1"/>
    </row>
    <row r="3007" spans="20:20" ht="26.25">
      <c r="T3007" s="62" ph="1"/>
    </row>
    <row r="3008" spans="20:20" ht="26.25">
      <c r="T3008" s="62" ph="1"/>
    </row>
    <row r="3009" spans="20:20" ht="26.25">
      <c r="T3009" s="62" ph="1"/>
    </row>
    <row r="3010" spans="20:20" ht="26.25">
      <c r="T3010" s="62" ph="1"/>
    </row>
    <row r="3011" spans="20:20" ht="26.25">
      <c r="T3011" s="62" ph="1"/>
    </row>
    <row r="3012" spans="20:20" ht="26.25">
      <c r="T3012" s="62" ph="1"/>
    </row>
    <row r="3013" spans="20:20" ht="26.25">
      <c r="T3013" s="62" ph="1"/>
    </row>
    <row r="3014" spans="20:20" ht="26.25">
      <c r="T3014" s="62" ph="1"/>
    </row>
    <row r="3015" spans="20:20" ht="26.25">
      <c r="T3015" s="62" ph="1"/>
    </row>
    <row r="3016" spans="20:20" ht="26.25">
      <c r="T3016" s="62" ph="1"/>
    </row>
    <row r="3017" spans="20:20" ht="26.25">
      <c r="T3017" s="62" ph="1"/>
    </row>
    <row r="3018" spans="20:20" ht="26.25">
      <c r="T3018" s="62" ph="1"/>
    </row>
    <row r="3019" spans="20:20" ht="26.25">
      <c r="T3019" s="62" ph="1"/>
    </row>
    <row r="3020" spans="20:20" ht="26.25">
      <c r="T3020" s="62" ph="1"/>
    </row>
    <row r="3021" spans="20:20" ht="26.25">
      <c r="T3021" s="62" ph="1"/>
    </row>
    <row r="3022" spans="20:20" ht="26.25">
      <c r="T3022" s="62" ph="1"/>
    </row>
    <row r="3023" spans="20:20" ht="26.25">
      <c r="T3023" s="62" ph="1"/>
    </row>
    <row r="3024" spans="20:20" ht="26.25">
      <c r="T3024" s="62" ph="1"/>
    </row>
    <row r="3025" spans="20:20" ht="26.25">
      <c r="T3025" s="62" ph="1"/>
    </row>
    <row r="3026" spans="20:20" ht="26.25">
      <c r="T3026" s="62" ph="1"/>
    </row>
    <row r="3027" spans="20:20" ht="26.25">
      <c r="T3027" s="62" ph="1"/>
    </row>
    <row r="3028" spans="20:20" ht="26.25">
      <c r="T3028" s="62" ph="1"/>
    </row>
    <row r="3029" spans="20:20" ht="26.25">
      <c r="T3029" s="62" ph="1"/>
    </row>
    <row r="3030" spans="20:20" ht="26.25">
      <c r="T3030" s="62" ph="1"/>
    </row>
    <row r="3031" spans="20:20" ht="26.25">
      <c r="T3031" s="62" ph="1"/>
    </row>
    <row r="3032" spans="20:20" ht="26.25">
      <c r="T3032" s="62" ph="1"/>
    </row>
    <row r="3033" spans="20:20" ht="26.25">
      <c r="T3033" s="62" ph="1"/>
    </row>
    <row r="3034" spans="20:20" ht="26.25">
      <c r="T3034" s="62" ph="1"/>
    </row>
    <row r="3035" spans="20:20" ht="26.25">
      <c r="T3035" s="62" ph="1"/>
    </row>
    <row r="3036" spans="20:20" ht="26.25">
      <c r="T3036" s="62" ph="1"/>
    </row>
    <row r="3037" spans="20:20" ht="26.25">
      <c r="T3037" s="62" ph="1"/>
    </row>
    <row r="3038" spans="20:20" ht="26.25">
      <c r="T3038" s="62" ph="1"/>
    </row>
    <row r="3039" spans="20:20" ht="26.25">
      <c r="T3039" s="62" ph="1"/>
    </row>
    <row r="3040" spans="20:20" ht="26.25">
      <c r="T3040" s="62" ph="1"/>
    </row>
    <row r="3041" spans="20:20" ht="26.25">
      <c r="T3041" s="62" ph="1"/>
    </row>
    <row r="3042" spans="20:20" ht="26.25">
      <c r="T3042" s="62" ph="1"/>
    </row>
    <row r="3043" spans="20:20" ht="26.25">
      <c r="T3043" s="62" ph="1"/>
    </row>
    <row r="3044" spans="20:20" ht="26.25">
      <c r="T3044" s="62" ph="1"/>
    </row>
    <row r="3045" spans="20:20" ht="26.25">
      <c r="T3045" s="62" ph="1"/>
    </row>
    <row r="3046" spans="20:20" ht="26.25">
      <c r="T3046" s="62" ph="1"/>
    </row>
    <row r="3047" spans="20:20" ht="26.25">
      <c r="T3047" s="62" ph="1"/>
    </row>
    <row r="3048" spans="20:20" ht="26.25">
      <c r="T3048" s="62" ph="1"/>
    </row>
    <row r="3049" spans="20:20" ht="26.25">
      <c r="T3049" s="62" ph="1"/>
    </row>
    <row r="3050" spans="20:20" ht="26.25">
      <c r="T3050" s="62" ph="1"/>
    </row>
    <row r="3051" spans="20:20" ht="26.25">
      <c r="T3051" s="62" ph="1"/>
    </row>
    <row r="3052" spans="20:20" ht="26.25">
      <c r="T3052" s="62" ph="1"/>
    </row>
    <row r="3053" spans="20:20" ht="26.25">
      <c r="T3053" s="62" ph="1"/>
    </row>
    <row r="3054" spans="20:20" ht="26.25">
      <c r="T3054" s="62" ph="1"/>
    </row>
    <row r="3055" spans="20:20" ht="26.25">
      <c r="T3055" s="62" ph="1"/>
    </row>
    <row r="3056" spans="20:20" ht="26.25">
      <c r="T3056" s="62" ph="1"/>
    </row>
    <row r="3057" spans="20:20" ht="26.25">
      <c r="T3057" s="62" ph="1"/>
    </row>
    <row r="3058" spans="20:20" ht="26.25">
      <c r="T3058" s="62" ph="1"/>
    </row>
    <row r="3059" spans="20:20" ht="26.25">
      <c r="T3059" s="62" ph="1"/>
    </row>
    <row r="3060" spans="20:20" ht="26.25">
      <c r="T3060" s="62" ph="1"/>
    </row>
    <row r="3061" spans="20:20" ht="26.25">
      <c r="T3061" s="62" ph="1"/>
    </row>
    <row r="3062" spans="20:20" ht="26.25">
      <c r="T3062" s="62" ph="1"/>
    </row>
    <row r="3063" spans="20:20" ht="26.25">
      <c r="T3063" s="62" ph="1"/>
    </row>
    <row r="3064" spans="20:20" ht="26.25">
      <c r="T3064" s="62" ph="1"/>
    </row>
    <row r="3065" spans="20:20" ht="26.25">
      <c r="T3065" s="62" ph="1"/>
    </row>
    <row r="3066" spans="20:20" ht="26.25">
      <c r="T3066" s="62" ph="1"/>
    </row>
    <row r="3067" spans="20:20" ht="26.25">
      <c r="T3067" s="62" ph="1"/>
    </row>
    <row r="3068" spans="20:20" ht="26.25">
      <c r="T3068" s="62" ph="1"/>
    </row>
    <row r="3069" spans="20:20" ht="26.25">
      <c r="T3069" s="62" ph="1"/>
    </row>
    <row r="3070" spans="20:20" ht="26.25">
      <c r="T3070" s="62" ph="1"/>
    </row>
    <row r="3071" spans="20:20" ht="26.25">
      <c r="T3071" s="62" ph="1"/>
    </row>
    <row r="3072" spans="20:20" ht="26.25">
      <c r="T3072" s="62" ph="1"/>
    </row>
    <row r="3073" spans="20:20" ht="26.25">
      <c r="T3073" s="62" ph="1"/>
    </row>
    <row r="3074" spans="20:20" ht="26.25">
      <c r="T3074" s="62" ph="1"/>
    </row>
    <row r="3075" spans="20:20" ht="26.25">
      <c r="T3075" s="62" ph="1"/>
    </row>
    <row r="3076" spans="20:20" ht="26.25">
      <c r="T3076" s="62" ph="1"/>
    </row>
    <row r="3077" spans="20:20" ht="26.25">
      <c r="T3077" s="62" ph="1"/>
    </row>
    <row r="3078" spans="20:20" ht="26.25">
      <c r="T3078" s="62" ph="1"/>
    </row>
    <row r="3079" spans="20:20" ht="26.25">
      <c r="T3079" s="62" ph="1"/>
    </row>
    <row r="3080" spans="20:20" ht="26.25">
      <c r="T3080" s="62" ph="1"/>
    </row>
    <row r="3081" spans="20:20" ht="26.25">
      <c r="T3081" s="62" ph="1"/>
    </row>
    <row r="3082" spans="20:20" ht="26.25">
      <c r="T3082" s="62" ph="1"/>
    </row>
    <row r="3083" spans="20:20" ht="26.25">
      <c r="T3083" s="62" ph="1"/>
    </row>
    <row r="3084" spans="20:20" ht="26.25">
      <c r="T3084" s="62" ph="1"/>
    </row>
    <row r="3085" spans="20:20" ht="26.25">
      <c r="T3085" s="62" ph="1"/>
    </row>
    <row r="3086" spans="20:20" ht="26.25">
      <c r="T3086" s="62" ph="1"/>
    </row>
    <row r="3087" spans="20:20" ht="26.25">
      <c r="T3087" s="62" ph="1"/>
    </row>
    <row r="3088" spans="20:20" ht="26.25">
      <c r="T3088" s="62" ph="1"/>
    </row>
    <row r="3089" spans="20:20" ht="26.25">
      <c r="T3089" s="62" ph="1"/>
    </row>
    <row r="3090" spans="20:20" ht="26.25">
      <c r="T3090" s="62" ph="1"/>
    </row>
    <row r="3091" spans="20:20" ht="26.25">
      <c r="T3091" s="62" ph="1"/>
    </row>
    <row r="3092" spans="20:20" ht="26.25">
      <c r="T3092" s="62" ph="1"/>
    </row>
    <row r="3093" spans="20:20" ht="26.25">
      <c r="T3093" s="62" ph="1"/>
    </row>
    <row r="3094" spans="20:20" ht="26.25">
      <c r="T3094" s="62" ph="1"/>
    </row>
    <row r="3095" spans="20:20" ht="26.25">
      <c r="T3095" s="62" ph="1"/>
    </row>
    <row r="3096" spans="20:20" ht="26.25">
      <c r="T3096" s="62" ph="1"/>
    </row>
    <row r="3097" spans="20:20" ht="26.25">
      <c r="T3097" s="62" ph="1"/>
    </row>
    <row r="3098" spans="20:20" ht="26.25">
      <c r="T3098" s="62" ph="1"/>
    </row>
    <row r="3099" spans="20:20" ht="26.25">
      <c r="T3099" s="62" ph="1"/>
    </row>
    <row r="3100" spans="20:20" ht="26.25">
      <c r="T3100" s="62" ph="1"/>
    </row>
    <row r="3101" spans="20:20" ht="26.25">
      <c r="T3101" s="62" ph="1"/>
    </row>
    <row r="3102" spans="20:20" ht="26.25">
      <c r="T3102" s="62" ph="1"/>
    </row>
    <row r="3103" spans="20:20" ht="26.25">
      <c r="T3103" s="62" ph="1"/>
    </row>
    <row r="3104" spans="20:20" ht="26.25">
      <c r="T3104" s="62" ph="1"/>
    </row>
    <row r="3105" spans="20:20" ht="26.25">
      <c r="T3105" s="62" ph="1"/>
    </row>
    <row r="3106" spans="20:20" ht="26.25">
      <c r="T3106" s="62" ph="1"/>
    </row>
    <row r="3107" spans="20:20" ht="26.25">
      <c r="T3107" s="62" ph="1"/>
    </row>
    <row r="3108" spans="20:20" ht="26.25">
      <c r="T3108" s="62" ph="1"/>
    </row>
    <row r="3109" spans="20:20" ht="26.25">
      <c r="T3109" s="62" ph="1"/>
    </row>
    <row r="3110" spans="20:20" ht="26.25">
      <c r="T3110" s="62" ph="1"/>
    </row>
    <row r="3111" spans="20:20" ht="26.25">
      <c r="T3111" s="62" ph="1"/>
    </row>
    <row r="3112" spans="20:20" ht="26.25">
      <c r="T3112" s="62" ph="1"/>
    </row>
    <row r="3113" spans="20:20" ht="26.25">
      <c r="T3113" s="62" ph="1"/>
    </row>
    <row r="3114" spans="20:20" ht="26.25">
      <c r="T3114" s="62" ph="1"/>
    </row>
    <row r="3115" spans="20:20" ht="26.25">
      <c r="T3115" s="62" ph="1"/>
    </row>
    <row r="3116" spans="20:20" ht="26.25">
      <c r="T3116" s="62" ph="1"/>
    </row>
    <row r="3117" spans="20:20" ht="26.25">
      <c r="T3117" s="62" ph="1"/>
    </row>
    <row r="3118" spans="20:20" ht="26.25">
      <c r="T3118" s="62" ph="1"/>
    </row>
    <row r="3119" spans="20:20" ht="26.25">
      <c r="T3119" s="62" ph="1"/>
    </row>
    <row r="3120" spans="20:20" ht="26.25">
      <c r="T3120" s="62" ph="1"/>
    </row>
    <row r="3121" spans="20:20" ht="26.25">
      <c r="T3121" s="62" ph="1"/>
    </row>
    <row r="3122" spans="20:20" ht="26.25">
      <c r="T3122" s="62" ph="1"/>
    </row>
    <row r="3123" spans="20:20" ht="26.25">
      <c r="T3123" s="62" ph="1"/>
    </row>
    <row r="3124" spans="20:20" ht="26.25">
      <c r="T3124" s="62" ph="1"/>
    </row>
    <row r="3125" spans="20:20" ht="26.25">
      <c r="T3125" s="62" ph="1"/>
    </row>
    <row r="3126" spans="20:20" ht="26.25">
      <c r="T3126" s="62" ph="1"/>
    </row>
    <row r="3127" spans="20:20" ht="26.25">
      <c r="T3127" s="62" ph="1"/>
    </row>
    <row r="3128" spans="20:20" ht="26.25">
      <c r="T3128" s="62" ph="1"/>
    </row>
    <row r="3129" spans="20:20" ht="26.25">
      <c r="T3129" s="62" ph="1"/>
    </row>
    <row r="3130" spans="20:20" ht="26.25">
      <c r="T3130" s="62" ph="1"/>
    </row>
    <row r="3131" spans="20:20" ht="26.25">
      <c r="T3131" s="62" ph="1"/>
    </row>
    <row r="3132" spans="20:20" ht="26.25">
      <c r="T3132" s="62" ph="1"/>
    </row>
    <row r="3133" spans="20:20" ht="26.25">
      <c r="T3133" s="62" ph="1"/>
    </row>
    <row r="3134" spans="20:20" ht="26.25">
      <c r="T3134" s="62" ph="1"/>
    </row>
    <row r="3135" spans="20:20" ht="26.25">
      <c r="T3135" s="62" ph="1"/>
    </row>
    <row r="3136" spans="20:20" ht="26.25">
      <c r="T3136" s="62" ph="1"/>
    </row>
    <row r="3137" spans="20:20" ht="26.25">
      <c r="T3137" s="62" ph="1"/>
    </row>
    <row r="3138" spans="20:20" ht="26.25">
      <c r="T3138" s="62" ph="1"/>
    </row>
    <row r="3139" spans="20:20" ht="26.25">
      <c r="T3139" s="62" ph="1"/>
    </row>
    <row r="3140" spans="20:20" ht="26.25">
      <c r="T3140" s="62" ph="1"/>
    </row>
    <row r="3141" spans="20:20" ht="26.25">
      <c r="T3141" s="62" ph="1"/>
    </row>
    <row r="3142" spans="20:20" ht="26.25">
      <c r="T3142" s="62" ph="1"/>
    </row>
    <row r="3143" spans="20:20" ht="26.25">
      <c r="T3143" s="62" ph="1"/>
    </row>
    <row r="3144" spans="20:20" ht="26.25">
      <c r="T3144" s="62" ph="1"/>
    </row>
    <row r="3145" spans="20:20" ht="26.25">
      <c r="T3145" s="62" ph="1"/>
    </row>
    <row r="3146" spans="20:20" ht="26.25">
      <c r="T3146" s="62" ph="1"/>
    </row>
    <row r="3147" spans="20:20" ht="26.25">
      <c r="T3147" s="62" ph="1"/>
    </row>
    <row r="3148" spans="20:20" ht="26.25">
      <c r="T3148" s="62" ph="1"/>
    </row>
    <row r="3149" spans="20:20" ht="26.25">
      <c r="T3149" s="62" ph="1"/>
    </row>
    <row r="3150" spans="20:20" ht="26.25">
      <c r="T3150" s="62" ph="1"/>
    </row>
    <row r="3151" spans="20:20" ht="26.25">
      <c r="T3151" s="62" ph="1"/>
    </row>
    <row r="3152" spans="20:20" ht="26.25">
      <c r="T3152" s="62" ph="1"/>
    </row>
    <row r="3153" spans="20:20" ht="26.25">
      <c r="T3153" s="62" ph="1"/>
    </row>
    <row r="3154" spans="20:20" ht="26.25">
      <c r="T3154" s="62" ph="1"/>
    </row>
    <row r="3155" spans="20:20" ht="26.25">
      <c r="T3155" s="62" ph="1"/>
    </row>
    <row r="3156" spans="20:20" ht="26.25">
      <c r="T3156" s="62" ph="1"/>
    </row>
    <row r="3157" spans="20:20" ht="26.25">
      <c r="T3157" s="62" ph="1"/>
    </row>
    <row r="3158" spans="20:20" ht="26.25">
      <c r="T3158" s="62" ph="1"/>
    </row>
    <row r="3159" spans="20:20" ht="26.25">
      <c r="T3159" s="62" ph="1"/>
    </row>
    <row r="3160" spans="20:20" ht="26.25">
      <c r="T3160" s="62" ph="1"/>
    </row>
    <row r="3161" spans="20:20" ht="26.25">
      <c r="T3161" s="62" ph="1"/>
    </row>
    <row r="3162" spans="20:20" ht="26.25">
      <c r="T3162" s="62" ph="1"/>
    </row>
    <row r="3163" spans="20:20" ht="26.25">
      <c r="T3163" s="62" ph="1"/>
    </row>
    <row r="3164" spans="20:20" ht="26.25">
      <c r="T3164" s="62" ph="1"/>
    </row>
    <row r="3165" spans="20:20" ht="26.25">
      <c r="T3165" s="62" ph="1"/>
    </row>
    <row r="3166" spans="20:20" ht="26.25">
      <c r="T3166" s="62" ph="1"/>
    </row>
    <row r="3167" spans="20:20" ht="26.25">
      <c r="T3167" s="62" ph="1"/>
    </row>
    <row r="3168" spans="20:20" ht="26.25">
      <c r="T3168" s="62" ph="1"/>
    </row>
    <row r="3169" spans="20:20" ht="26.25">
      <c r="T3169" s="62" ph="1"/>
    </row>
    <row r="3170" spans="20:20" ht="26.25">
      <c r="T3170" s="62" ph="1"/>
    </row>
    <row r="3171" spans="20:20" ht="26.25">
      <c r="T3171" s="62" ph="1"/>
    </row>
    <row r="3172" spans="20:20" ht="26.25">
      <c r="T3172" s="62" ph="1"/>
    </row>
    <row r="3173" spans="20:20" ht="26.25">
      <c r="T3173" s="62" ph="1"/>
    </row>
    <row r="3174" spans="20:20" ht="26.25">
      <c r="T3174" s="62" ph="1"/>
    </row>
    <row r="3175" spans="20:20" ht="26.25">
      <c r="T3175" s="62" ph="1"/>
    </row>
    <row r="3176" spans="20:20" ht="26.25">
      <c r="T3176" s="62" ph="1"/>
    </row>
    <row r="3177" spans="20:20" ht="26.25">
      <c r="T3177" s="62" ph="1"/>
    </row>
    <row r="3178" spans="20:20" ht="26.25">
      <c r="T3178" s="62" ph="1"/>
    </row>
    <row r="3179" spans="20:20" ht="26.25">
      <c r="T3179" s="62" ph="1"/>
    </row>
    <row r="3180" spans="20:20" ht="26.25">
      <c r="T3180" s="62" ph="1"/>
    </row>
    <row r="3181" spans="20:20" ht="26.25">
      <c r="T3181" s="62" ph="1"/>
    </row>
    <row r="3182" spans="20:20" ht="26.25">
      <c r="T3182" s="62" ph="1"/>
    </row>
    <row r="3183" spans="20:20" ht="26.25">
      <c r="T3183" s="62" ph="1"/>
    </row>
    <row r="3184" spans="20:20" ht="26.25">
      <c r="T3184" s="62" ph="1"/>
    </row>
    <row r="3185" spans="20:20" ht="26.25">
      <c r="T3185" s="62" ph="1"/>
    </row>
    <row r="3186" spans="20:20" ht="26.25">
      <c r="T3186" s="62" ph="1"/>
    </row>
    <row r="3187" spans="20:20" ht="26.25">
      <c r="T3187" s="62" ph="1"/>
    </row>
    <row r="3188" spans="20:20" ht="26.25">
      <c r="T3188" s="62" ph="1"/>
    </row>
    <row r="3189" spans="20:20" ht="26.25">
      <c r="T3189" s="62" ph="1"/>
    </row>
    <row r="3190" spans="20:20" ht="26.25">
      <c r="T3190" s="62" ph="1"/>
    </row>
    <row r="3191" spans="20:20" ht="26.25">
      <c r="T3191" s="62" ph="1"/>
    </row>
    <row r="3192" spans="20:20" ht="26.25">
      <c r="T3192" s="62" ph="1"/>
    </row>
    <row r="3193" spans="20:20" ht="26.25">
      <c r="T3193" s="62" ph="1"/>
    </row>
    <row r="3194" spans="20:20" ht="26.25">
      <c r="T3194" s="62" ph="1"/>
    </row>
    <row r="3195" spans="20:20" ht="26.25">
      <c r="T3195" s="62" ph="1"/>
    </row>
    <row r="3196" spans="20:20" ht="26.25">
      <c r="T3196" s="62" ph="1"/>
    </row>
    <row r="3197" spans="20:20" ht="26.25">
      <c r="T3197" s="62" ph="1"/>
    </row>
    <row r="3198" spans="20:20" ht="26.25">
      <c r="T3198" s="62" ph="1"/>
    </row>
    <row r="3199" spans="20:20" ht="26.25">
      <c r="T3199" s="62" ph="1"/>
    </row>
    <row r="3200" spans="20:20" ht="26.25">
      <c r="T3200" s="62" ph="1"/>
    </row>
    <row r="3201" spans="20:20" ht="26.25">
      <c r="T3201" s="62" ph="1"/>
    </row>
    <row r="3202" spans="20:20" ht="26.25">
      <c r="T3202" s="62" ph="1"/>
    </row>
    <row r="3203" spans="20:20" ht="26.25">
      <c r="T3203" s="62" ph="1"/>
    </row>
    <row r="3204" spans="20:20" ht="26.25">
      <c r="T3204" s="62" ph="1"/>
    </row>
    <row r="3205" spans="20:20" ht="26.25">
      <c r="T3205" s="62" ph="1"/>
    </row>
    <row r="3206" spans="20:20" ht="26.25">
      <c r="T3206" s="62" ph="1"/>
    </row>
    <row r="3207" spans="20:20" ht="26.25">
      <c r="T3207" s="62" ph="1"/>
    </row>
    <row r="3208" spans="20:20" ht="26.25">
      <c r="T3208" s="62" ph="1"/>
    </row>
    <row r="3209" spans="20:20" ht="26.25">
      <c r="T3209" s="62" ph="1"/>
    </row>
    <row r="3210" spans="20:20" ht="26.25">
      <c r="T3210" s="62" ph="1"/>
    </row>
    <row r="3211" spans="20:20" ht="26.25">
      <c r="T3211" s="62" ph="1"/>
    </row>
    <row r="3212" spans="20:20" ht="26.25">
      <c r="T3212" s="62" ph="1"/>
    </row>
    <row r="3213" spans="20:20" ht="26.25">
      <c r="T3213" s="62" ph="1"/>
    </row>
    <row r="3214" spans="20:20" ht="26.25">
      <c r="T3214" s="62" ph="1"/>
    </row>
    <row r="3215" spans="20:20" ht="26.25">
      <c r="T3215" s="62" ph="1"/>
    </row>
    <row r="3216" spans="20:20" ht="26.25">
      <c r="T3216" s="62" ph="1"/>
    </row>
    <row r="3217" spans="20:20" ht="26.25">
      <c r="T3217" s="62" ph="1"/>
    </row>
    <row r="3218" spans="20:20" ht="26.25">
      <c r="T3218" s="62" ph="1"/>
    </row>
    <row r="3219" spans="20:20" ht="26.25">
      <c r="T3219" s="62" ph="1"/>
    </row>
    <row r="3220" spans="20:20" ht="26.25">
      <c r="T3220" s="62" ph="1"/>
    </row>
    <row r="3221" spans="20:20" ht="26.25">
      <c r="T3221" s="62" ph="1"/>
    </row>
    <row r="3222" spans="20:20" ht="26.25">
      <c r="T3222" s="62" ph="1"/>
    </row>
    <row r="3223" spans="20:20" ht="26.25">
      <c r="T3223" s="62" ph="1"/>
    </row>
    <row r="3224" spans="20:20" ht="26.25">
      <c r="T3224" s="62" ph="1"/>
    </row>
    <row r="3225" spans="20:20" ht="26.25">
      <c r="T3225" s="62" ph="1"/>
    </row>
    <row r="3226" spans="20:20" ht="26.25">
      <c r="T3226" s="62" ph="1"/>
    </row>
    <row r="3227" spans="20:20" ht="26.25">
      <c r="T3227" s="62" ph="1"/>
    </row>
    <row r="3228" spans="20:20" ht="26.25">
      <c r="T3228" s="62" ph="1"/>
    </row>
    <row r="3229" spans="20:20" ht="26.25">
      <c r="T3229" s="62" ph="1"/>
    </row>
    <row r="3230" spans="20:20" ht="26.25">
      <c r="T3230" s="62" ph="1"/>
    </row>
    <row r="3231" spans="20:20" ht="26.25">
      <c r="T3231" s="62" ph="1"/>
    </row>
    <row r="3232" spans="20:20" ht="26.25">
      <c r="T3232" s="62" ph="1"/>
    </row>
    <row r="3233" spans="20:20" ht="26.25">
      <c r="T3233" s="62" ph="1"/>
    </row>
    <row r="3234" spans="20:20" ht="26.25">
      <c r="T3234" s="62" ph="1"/>
    </row>
    <row r="3235" spans="20:20" ht="26.25">
      <c r="T3235" s="62" ph="1"/>
    </row>
    <row r="3236" spans="20:20" ht="26.25">
      <c r="T3236" s="62" ph="1"/>
    </row>
    <row r="3237" spans="20:20" ht="26.25">
      <c r="T3237" s="62" ph="1"/>
    </row>
    <row r="3238" spans="20:20" ht="26.25">
      <c r="T3238" s="62" ph="1"/>
    </row>
    <row r="3239" spans="20:20" ht="26.25">
      <c r="T3239" s="62" ph="1"/>
    </row>
    <row r="3240" spans="20:20" ht="26.25">
      <c r="T3240" s="62" ph="1"/>
    </row>
    <row r="3241" spans="20:20" ht="26.25">
      <c r="T3241" s="62" ph="1"/>
    </row>
    <row r="3242" spans="20:20" ht="26.25">
      <c r="T3242" s="62" ph="1"/>
    </row>
    <row r="3243" spans="20:20" ht="26.25">
      <c r="T3243" s="62" ph="1"/>
    </row>
    <row r="3244" spans="20:20" ht="26.25">
      <c r="T3244" s="62" ph="1"/>
    </row>
    <row r="3245" spans="20:20" ht="26.25">
      <c r="T3245" s="62" ph="1"/>
    </row>
    <row r="3246" spans="20:20" ht="26.25">
      <c r="T3246" s="62" ph="1"/>
    </row>
    <row r="3247" spans="20:20" ht="26.25">
      <c r="T3247" s="62" ph="1"/>
    </row>
    <row r="3248" spans="20:20" ht="26.25">
      <c r="T3248" s="62" ph="1"/>
    </row>
    <row r="3249" spans="20:20" ht="26.25">
      <c r="T3249" s="62" ph="1"/>
    </row>
    <row r="3250" spans="20:20" ht="26.25">
      <c r="T3250" s="62" ph="1"/>
    </row>
    <row r="3251" spans="20:20" ht="26.25">
      <c r="T3251" s="62" ph="1"/>
    </row>
    <row r="3252" spans="20:20" ht="26.25">
      <c r="T3252" s="62" ph="1"/>
    </row>
    <row r="3253" spans="20:20" ht="26.25">
      <c r="T3253" s="62" ph="1"/>
    </row>
    <row r="3254" spans="20:20" ht="26.25">
      <c r="T3254" s="62" ph="1"/>
    </row>
    <row r="3255" spans="20:20" ht="26.25">
      <c r="T3255" s="62" ph="1"/>
    </row>
    <row r="3256" spans="20:20" ht="26.25">
      <c r="T3256" s="62" ph="1"/>
    </row>
    <row r="3257" spans="20:20" ht="26.25">
      <c r="T3257" s="62" ph="1"/>
    </row>
    <row r="3258" spans="20:20" ht="26.25">
      <c r="T3258" s="62" ph="1"/>
    </row>
    <row r="3259" spans="20:20" ht="26.25">
      <c r="T3259" s="62" ph="1"/>
    </row>
    <row r="3260" spans="20:20" ht="26.25">
      <c r="T3260" s="62" ph="1"/>
    </row>
    <row r="3261" spans="20:20" ht="26.25">
      <c r="T3261" s="62" ph="1"/>
    </row>
    <row r="3262" spans="20:20" ht="26.25">
      <c r="T3262" s="62" ph="1"/>
    </row>
    <row r="3263" spans="20:20" ht="26.25">
      <c r="T3263" s="62" ph="1"/>
    </row>
    <row r="3264" spans="20:20" ht="26.25">
      <c r="T3264" s="62" ph="1"/>
    </row>
    <row r="3265" spans="20:20" ht="26.25">
      <c r="T3265" s="62" ph="1"/>
    </row>
    <row r="3266" spans="20:20" ht="26.25">
      <c r="T3266" s="62" ph="1"/>
    </row>
    <row r="3267" spans="20:20" ht="26.25">
      <c r="T3267" s="62" ph="1"/>
    </row>
    <row r="3268" spans="20:20" ht="26.25">
      <c r="T3268" s="62" ph="1"/>
    </row>
    <row r="3269" spans="20:20" ht="26.25">
      <c r="T3269" s="62" ph="1"/>
    </row>
    <row r="3270" spans="20:20" ht="26.25">
      <c r="T3270" s="62" ph="1"/>
    </row>
    <row r="3271" spans="20:20" ht="26.25">
      <c r="T3271" s="62" ph="1"/>
    </row>
    <row r="3272" spans="20:20" ht="26.25">
      <c r="T3272" s="62" ph="1"/>
    </row>
    <row r="3273" spans="20:20" ht="26.25">
      <c r="T3273" s="62" ph="1"/>
    </row>
    <row r="3274" spans="20:20" ht="26.25">
      <c r="T3274" s="62" ph="1"/>
    </row>
    <row r="3275" spans="20:20" ht="26.25">
      <c r="T3275" s="62" ph="1"/>
    </row>
    <row r="3276" spans="20:20" ht="26.25">
      <c r="T3276" s="62" ph="1"/>
    </row>
    <row r="3277" spans="20:20" ht="26.25">
      <c r="T3277" s="62" ph="1"/>
    </row>
    <row r="3278" spans="20:20" ht="26.25">
      <c r="T3278" s="62" ph="1"/>
    </row>
    <row r="3279" spans="20:20" ht="26.25">
      <c r="T3279" s="62" ph="1"/>
    </row>
    <row r="3280" spans="20:20" ht="26.25">
      <c r="T3280" s="62" ph="1"/>
    </row>
    <row r="3281" spans="20:20" ht="26.25">
      <c r="T3281" s="62" ph="1"/>
    </row>
    <row r="3282" spans="20:20" ht="26.25">
      <c r="T3282" s="62" ph="1"/>
    </row>
    <row r="3283" spans="20:20" ht="26.25">
      <c r="T3283" s="62" ph="1"/>
    </row>
    <row r="3284" spans="20:20" ht="26.25">
      <c r="T3284" s="62" ph="1"/>
    </row>
    <row r="3285" spans="20:20" ht="26.25">
      <c r="T3285" s="62" ph="1"/>
    </row>
    <row r="3286" spans="20:20" ht="26.25">
      <c r="T3286" s="62" ph="1"/>
    </row>
    <row r="3287" spans="20:20" ht="26.25">
      <c r="T3287" s="62" ph="1"/>
    </row>
    <row r="3288" spans="20:20" ht="26.25">
      <c r="T3288" s="62" ph="1"/>
    </row>
    <row r="3289" spans="20:20" ht="26.25">
      <c r="T3289" s="62" ph="1"/>
    </row>
    <row r="3290" spans="20:20" ht="26.25">
      <c r="T3290" s="62" ph="1"/>
    </row>
    <row r="3291" spans="20:20" ht="26.25">
      <c r="T3291" s="62" ph="1"/>
    </row>
    <row r="3292" spans="20:20" ht="26.25">
      <c r="T3292" s="62" ph="1"/>
    </row>
    <row r="3293" spans="20:20" ht="26.25">
      <c r="T3293" s="62" ph="1"/>
    </row>
    <row r="3294" spans="20:20" ht="26.25">
      <c r="T3294" s="62" ph="1"/>
    </row>
    <row r="3295" spans="20:20" ht="26.25">
      <c r="T3295" s="62" ph="1"/>
    </row>
    <row r="3296" spans="20:20" ht="26.25">
      <c r="T3296" s="62" ph="1"/>
    </row>
    <row r="3297" spans="20:20" ht="26.25">
      <c r="T3297" s="62" ph="1"/>
    </row>
    <row r="3298" spans="20:20" ht="26.25">
      <c r="T3298" s="62" ph="1"/>
    </row>
    <row r="3299" spans="20:20" ht="26.25">
      <c r="T3299" s="62" ph="1"/>
    </row>
    <row r="3300" spans="20:20" ht="26.25">
      <c r="T3300" s="62" ph="1"/>
    </row>
    <row r="3301" spans="20:20" ht="26.25">
      <c r="T3301" s="62" ph="1"/>
    </row>
    <row r="3302" spans="20:20" ht="26.25">
      <c r="T3302" s="62" ph="1"/>
    </row>
    <row r="3303" spans="20:20" ht="26.25">
      <c r="T3303" s="62" ph="1"/>
    </row>
    <row r="3304" spans="20:20" ht="26.25">
      <c r="T3304" s="62" ph="1"/>
    </row>
    <row r="3305" spans="20:20" ht="26.25">
      <c r="T3305" s="62" ph="1"/>
    </row>
    <row r="3306" spans="20:20" ht="26.25">
      <c r="T3306" s="62" ph="1"/>
    </row>
    <row r="3307" spans="20:20" ht="26.25">
      <c r="T3307" s="62" ph="1"/>
    </row>
    <row r="3308" spans="20:20" ht="26.25">
      <c r="T3308" s="62" ph="1"/>
    </row>
    <row r="3309" spans="20:20" ht="26.25">
      <c r="T3309" s="62" ph="1"/>
    </row>
    <row r="3310" spans="20:20" ht="26.25">
      <c r="T3310" s="62" ph="1"/>
    </row>
    <row r="3311" spans="20:20" ht="26.25">
      <c r="T3311" s="62" ph="1"/>
    </row>
    <row r="3312" spans="20:20" ht="26.25">
      <c r="T3312" s="62" ph="1"/>
    </row>
    <row r="3313" spans="20:20" ht="26.25">
      <c r="T3313" s="62" ph="1"/>
    </row>
    <row r="3314" spans="20:20" ht="26.25">
      <c r="T3314" s="62" ph="1"/>
    </row>
    <row r="3315" spans="20:20" ht="26.25">
      <c r="T3315" s="62" ph="1"/>
    </row>
    <row r="3316" spans="20:20" ht="26.25">
      <c r="T3316" s="62" ph="1"/>
    </row>
    <row r="3317" spans="20:20" ht="26.25">
      <c r="T3317" s="62" ph="1"/>
    </row>
    <row r="3318" spans="20:20" ht="26.25">
      <c r="T3318" s="62" ph="1"/>
    </row>
    <row r="3319" spans="20:20" ht="26.25">
      <c r="T3319" s="62" ph="1"/>
    </row>
    <row r="3320" spans="20:20" ht="26.25">
      <c r="T3320" s="62" ph="1"/>
    </row>
    <row r="3321" spans="20:20" ht="26.25">
      <c r="T3321" s="62" ph="1"/>
    </row>
    <row r="3322" spans="20:20" ht="26.25">
      <c r="T3322" s="62" ph="1"/>
    </row>
    <row r="3323" spans="20:20" ht="26.25">
      <c r="T3323" s="62" ph="1"/>
    </row>
    <row r="3324" spans="20:20" ht="26.25">
      <c r="T3324" s="62" ph="1"/>
    </row>
    <row r="3325" spans="20:20" ht="26.25">
      <c r="T3325" s="62" ph="1"/>
    </row>
    <row r="3326" spans="20:20" ht="26.25">
      <c r="T3326" s="62" ph="1"/>
    </row>
    <row r="3327" spans="20:20" ht="26.25">
      <c r="T3327" s="62" ph="1"/>
    </row>
    <row r="3328" spans="20:20" ht="26.25">
      <c r="T3328" s="62" ph="1"/>
    </row>
    <row r="3329" spans="20:20" ht="26.25">
      <c r="T3329" s="62" ph="1"/>
    </row>
    <row r="3330" spans="20:20" ht="26.25">
      <c r="T3330" s="62" ph="1"/>
    </row>
    <row r="3331" spans="20:20" ht="26.25">
      <c r="T3331" s="62" ph="1"/>
    </row>
    <row r="3332" spans="20:20" ht="26.25">
      <c r="T3332" s="62" ph="1"/>
    </row>
    <row r="3333" spans="20:20" ht="26.25">
      <c r="T3333" s="62" ph="1"/>
    </row>
    <row r="3334" spans="20:20" ht="26.25">
      <c r="T3334" s="62" ph="1"/>
    </row>
    <row r="3335" spans="20:20" ht="26.25">
      <c r="T3335" s="62" ph="1"/>
    </row>
    <row r="3336" spans="20:20" ht="26.25">
      <c r="T3336" s="62" ph="1"/>
    </row>
    <row r="3337" spans="20:20" ht="26.25">
      <c r="T3337" s="62" ph="1"/>
    </row>
    <row r="3338" spans="20:20" ht="26.25">
      <c r="T3338" s="62" ph="1"/>
    </row>
    <row r="3339" spans="20:20" ht="26.25">
      <c r="T3339" s="62" ph="1"/>
    </row>
    <row r="3340" spans="20:20" ht="26.25">
      <c r="T3340" s="62" ph="1"/>
    </row>
    <row r="3341" spans="20:20" ht="26.25">
      <c r="T3341" s="62" ph="1"/>
    </row>
    <row r="3342" spans="20:20" ht="26.25">
      <c r="T3342" s="62" ph="1"/>
    </row>
    <row r="3343" spans="20:20" ht="26.25">
      <c r="T3343" s="62" ph="1"/>
    </row>
    <row r="3344" spans="20:20" ht="26.25">
      <c r="T3344" s="62" ph="1"/>
    </row>
    <row r="3345" spans="20:20" ht="26.25">
      <c r="T3345" s="62" ph="1"/>
    </row>
    <row r="3346" spans="20:20" ht="26.25">
      <c r="T3346" s="62" ph="1"/>
    </row>
    <row r="3347" spans="20:20" ht="26.25">
      <c r="T3347" s="62" ph="1"/>
    </row>
    <row r="3348" spans="20:20" ht="26.25">
      <c r="T3348" s="62" ph="1"/>
    </row>
    <row r="3349" spans="20:20" ht="26.25">
      <c r="T3349" s="62" ph="1"/>
    </row>
    <row r="3350" spans="20:20" ht="26.25">
      <c r="T3350" s="62" ph="1"/>
    </row>
    <row r="3351" spans="20:20" ht="26.25">
      <c r="T3351" s="62" ph="1"/>
    </row>
    <row r="3352" spans="20:20" ht="26.25">
      <c r="T3352" s="62" ph="1"/>
    </row>
    <row r="3353" spans="20:20" ht="26.25">
      <c r="T3353" s="62" ph="1"/>
    </row>
    <row r="3354" spans="20:20" ht="26.25">
      <c r="T3354" s="62" ph="1"/>
    </row>
    <row r="3355" spans="20:20" ht="26.25">
      <c r="T3355" s="62" ph="1"/>
    </row>
    <row r="3356" spans="20:20" ht="26.25">
      <c r="T3356" s="62" ph="1"/>
    </row>
    <row r="3357" spans="20:20" ht="26.25">
      <c r="T3357" s="62" ph="1"/>
    </row>
    <row r="3358" spans="20:20" ht="26.25">
      <c r="T3358" s="62" ph="1"/>
    </row>
    <row r="3359" spans="20:20" ht="26.25">
      <c r="T3359" s="62" ph="1"/>
    </row>
    <row r="3360" spans="20:20" ht="26.25">
      <c r="T3360" s="62" ph="1"/>
    </row>
    <row r="3361" spans="20:20" ht="26.25">
      <c r="T3361" s="62" ph="1"/>
    </row>
    <row r="3362" spans="20:20" ht="26.25">
      <c r="T3362" s="62" ph="1"/>
    </row>
    <row r="3363" spans="20:20" ht="26.25">
      <c r="T3363" s="62" ph="1"/>
    </row>
    <row r="3364" spans="20:20" ht="26.25">
      <c r="T3364" s="62" ph="1"/>
    </row>
    <row r="3365" spans="20:20" ht="26.25">
      <c r="T3365" s="62" ph="1"/>
    </row>
    <row r="3366" spans="20:20" ht="26.25">
      <c r="T3366" s="62" ph="1"/>
    </row>
    <row r="3367" spans="20:20" ht="26.25">
      <c r="T3367" s="62" ph="1"/>
    </row>
    <row r="3368" spans="20:20" ht="26.25">
      <c r="T3368" s="62" ph="1"/>
    </row>
    <row r="3369" spans="20:20" ht="26.25">
      <c r="T3369" s="62" ph="1"/>
    </row>
    <row r="3370" spans="20:20" ht="26.25">
      <c r="T3370" s="62" ph="1"/>
    </row>
    <row r="3371" spans="20:20" ht="26.25">
      <c r="T3371" s="62" ph="1"/>
    </row>
    <row r="3372" spans="20:20" ht="26.25">
      <c r="T3372" s="62" ph="1"/>
    </row>
    <row r="3373" spans="20:20" ht="26.25">
      <c r="T3373" s="62" ph="1"/>
    </row>
    <row r="3374" spans="20:20" ht="26.25">
      <c r="T3374" s="62" ph="1"/>
    </row>
    <row r="3375" spans="20:20" ht="26.25">
      <c r="T3375" s="62" ph="1"/>
    </row>
    <row r="3376" spans="20:20" ht="26.25">
      <c r="T3376" s="62" ph="1"/>
    </row>
    <row r="3377" spans="20:20" ht="26.25">
      <c r="T3377" s="62" ph="1"/>
    </row>
    <row r="3378" spans="20:20" ht="26.25">
      <c r="T3378" s="62" ph="1"/>
    </row>
    <row r="3379" spans="20:20" ht="26.25">
      <c r="T3379" s="62" ph="1"/>
    </row>
    <row r="3380" spans="20:20" ht="26.25">
      <c r="T3380" s="62" ph="1"/>
    </row>
    <row r="3381" spans="20:20" ht="26.25">
      <c r="T3381" s="62" ph="1"/>
    </row>
    <row r="3382" spans="20:20" ht="26.25">
      <c r="T3382" s="62" ph="1"/>
    </row>
    <row r="3383" spans="20:20" ht="26.25">
      <c r="T3383" s="62" ph="1"/>
    </row>
    <row r="3384" spans="20:20" ht="26.25">
      <c r="T3384" s="62" ph="1"/>
    </row>
    <row r="3385" spans="20:20" ht="26.25">
      <c r="T3385" s="62" ph="1"/>
    </row>
    <row r="3386" spans="20:20" ht="26.25">
      <c r="T3386" s="62" ph="1"/>
    </row>
    <row r="3387" spans="20:20" ht="26.25">
      <c r="T3387" s="62" ph="1"/>
    </row>
    <row r="3388" spans="20:20" ht="26.25">
      <c r="T3388" s="62" ph="1"/>
    </row>
    <row r="3389" spans="20:20" ht="26.25">
      <c r="T3389" s="62" ph="1"/>
    </row>
    <row r="3390" spans="20:20" ht="26.25">
      <c r="T3390" s="62" ph="1"/>
    </row>
    <row r="3391" spans="20:20" ht="26.25">
      <c r="T3391" s="62" ph="1"/>
    </row>
    <row r="3392" spans="20:20" ht="26.25">
      <c r="T3392" s="62" ph="1"/>
    </row>
    <row r="3393" spans="20:20" ht="26.25">
      <c r="T3393" s="62" ph="1"/>
    </row>
    <row r="3394" spans="20:20" ht="26.25">
      <c r="T3394" s="62" ph="1"/>
    </row>
    <row r="3395" spans="20:20" ht="26.25">
      <c r="T3395" s="62" ph="1"/>
    </row>
    <row r="3396" spans="20:20" ht="26.25">
      <c r="T3396" s="62" ph="1"/>
    </row>
    <row r="3397" spans="20:20" ht="26.25">
      <c r="T3397" s="62" ph="1"/>
    </row>
    <row r="3398" spans="20:20" ht="26.25">
      <c r="T3398" s="62" ph="1"/>
    </row>
    <row r="3399" spans="20:20" ht="26.25">
      <c r="T3399" s="62" ph="1"/>
    </row>
    <row r="3400" spans="20:20" ht="26.25">
      <c r="T3400" s="62" ph="1"/>
    </row>
    <row r="3401" spans="20:20" ht="26.25">
      <c r="T3401" s="62" ph="1"/>
    </row>
    <row r="3402" spans="20:20" ht="26.25">
      <c r="T3402" s="62" ph="1"/>
    </row>
    <row r="3403" spans="20:20" ht="26.25">
      <c r="T3403" s="62" ph="1"/>
    </row>
    <row r="3404" spans="20:20" ht="26.25">
      <c r="T3404" s="62" ph="1"/>
    </row>
    <row r="3405" spans="20:20" ht="26.25">
      <c r="T3405" s="62" ph="1"/>
    </row>
    <row r="3406" spans="20:20" ht="26.25">
      <c r="T3406" s="62" ph="1"/>
    </row>
    <row r="3407" spans="20:20" ht="26.25">
      <c r="T3407" s="62" ph="1"/>
    </row>
    <row r="3408" spans="20:20" ht="26.25">
      <c r="T3408" s="62" ph="1"/>
    </row>
    <row r="3409" spans="20:20" ht="26.25">
      <c r="T3409" s="62" ph="1"/>
    </row>
    <row r="3410" spans="20:20" ht="26.25">
      <c r="T3410" s="62" ph="1"/>
    </row>
    <row r="3411" spans="20:20" ht="26.25">
      <c r="T3411" s="62" ph="1"/>
    </row>
    <row r="3412" spans="20:20" ht="26.25">
      <c r="T3412" s="62" ph="1"/>
    </row>
    <row r="3413" spans="20:20" ht="26.25">
      <c r="T3413" s="62" ph="1"/>
    </row>
    <row r="3414" spans="20:20" ht="26.25">
      <c r="T3414" s="62" ph="1"/>
    </row>
    <row r="3415" spans="20:20" ht="26.25">
      <c r="T3415" s="62" ph="1"/>
    </row>
    <row r="3416" spans="20:20" ht="26.25">
      <c r="T3416" s="62" ph="1"/>
    </row>
    <row r="3417" spans="20:20" ht="26.25">
      <c r="T3417" s="62" ph="1"/>
    </row>
    <row r="3418" spans="20:20" ht="26.25">
      <c r="T3418" s="62" ph="1"/>
    </row>
    <row r="3419" spans="20:20" ht="26.25">
      <c r="T3419" s="62" ph="1"/>
    </row>
    <row r="3420" spans="20:20" ht="26.25">
      <c r="T3420" s="62" ph="1"/>
    </row>
    <row r="3421" spans="20:20" ht="26.25">
      <c r="T3421" s="62" ph="1"/>
    </row>
    <row r="3422" spans="20:20" ht="26.25">
      <c r="T3422" s="62" ph="1"/>
    </row>
    <row r="3423" spans="20:20" ht="26.25">
      <c r="T3423" s="62" ph="1"/>
    </row>
    <row r="3424" spans="20:20" ht="26.25">
      <c r="T3424" s="62" ph="1"/>
    </row>
    <row r="3425" spans="20:20" ht="26.25">
      <c r="T3425" s="62" ph="1"/>
    </row>
    <row r="3426" spans="20:20" ht="26.25">
      <c r="T3426" s="62" ph="1"/>
    </row>
    <row r="3427" spans="20:20" ht="26.25">
      <c r="T3427" s="62" ph="1"/>
    </row>
    <row r="3428" spans="20:20" ht="26.25">
      <c r="T3428" s="62" ph="1"/>
    </row>
    <row r="3429" spans="20:20" ht="26.25">
      <c r="T3429" s="62" ph="1"/>
    </row>
    <row r="3430" spans="20:20" ht="26.25">
      <c r="T3430" s="62" ph="1"/>
    </row>
    <row r="3431" spans="20:20" ht="26.25">
      <c r="T3431" s="62" ph="1"/>
    </row>
    <row r="3432" spans="20:20" ht="26.25">
      <c r="T3432" s="62" ph="1"/>
    </row>
    <row r="3433" spans="20:20" ht="26.25">
      <c r="T3433" s="62" ph="1"/>
    </row>
    <row r="3434" spans="20:20" ht="26.25">
      <c r="T3434" s="62" ph="1"/>
    </row>
    <row r="3435" spans="20:20" ht="26.25">
      <c r="T3435" s="62" ph="1"/>
    </row>
    <row r="3436" spans="20:20" ht="26.25">
      <c r="T3436" s="62" ph="1"/>
    </row>
    <row r="3437" spans="20:20" ht="26.25">
      <c r="T3437" s="62" ph="1"/>
    </row>
    <row r="3438" spans="20:20" ht="26.25">
      <c r="T3438" s="62" ph="1"/>
    </row>
    <row r="3439" spans="20:20" ht="26.25">
      <c r="T3439" s="62" ph="1"/>
    </row>
    <row r="3440" spans="20:20" ht="26.25">
      <c r="T3440" s="62" ph="1"/>
    </row>
    <row r="3441" spans="20:20" ht="26.25">
      <c r="T3441" s="62" ph="1"/>
    </row>
    <row r="3442" spans="20:20" ht="26.25">
      <c r="T3442" s="62" ph="1"/>
    </row>
    <row r="3443" spans="20:20" ht="26.25">
      <c r="T3443" s="62" ph="1"/>
    </row>
    <row r="3444" spans="20:20" ht="26.25">
      <c r="T3444" s="62" ph="1"/>
    </row>
    <row r="3445" spans="20:20" ht="26.25">
      <c r="T3445" s="62" ph="1"/>
    </row>
    <row r="3446" spans="20:20" ht="26.25">
      <c r="T3446" s="62" ph="1"/>
    </row>
    <row r="3447" spans="20:20" ht="26.25">
      <c r="T3447" s="62" ph="1"/>
    </row>
    <row r="3448" spans="20:20" ht="26.25">
      <c r="T3448" s="62" ph="1"/>
    </row>
    <row r="3449" spans="20:20" ht="26.25">
      <c r="T3449" s="62" ph="1"/>
    </row>
    <row r="3450" spans="20:20" ht="26.25">
      <c r="T3450" s="62" ph="1"/>
    </row>
    <row r="3451" spans="20:20" ht="26.25">
      <c r="T3451" s="62" ph="1"/>
    </row>
    <row r="3452" spans="20:20" ht="26.25">
      <c r="T3452" s="62" ph="1"/>
    </row>
    <row r="3453" spans="20:20" ht="26.25">
      <c r="T3453" s="62" ph="1"/>
    </row>
    <row r="3454" spans="20:20" ht="26.25">
      <c r="T3454" s="62" ph="1"/>
    </row>
    <row r="3455" spans="20:20" ht="26.25">
      <c r="T3455" s="62" ph="1"/>
    </row>
    <row r="3456" spans="20:20" ht="26.25">
      <c r="T3456" s="62" ph="1"/>
    </row>
    <row r="3457" spans="20:20" ht="26.25">
      <c r="T3457" s="62" ph="1"/>
    </row>
    <row r="3458" spans="20:20" ht="26.25">
      <c r="T3458" s="62" ph="1"/>
    </row>
    <row r="3459" spans="20:20" ht="26.25">
      <c r="T3459" s="62" ph="1"/>
    </row>
    <row r="3460" spans="20:20" ht="26.25">
      <c r="T3460" s="62" ph="1"/>
    </row>
    <row r="3461" spans="20:20" ht="26.25">
      <c r="T3461" s="62" ph="1"/>
    </row>
    <row r="3462" spans="20:20" ht="26.25">
      <c r="T3462" s="62" ph="1"/>
    </row>
    <row r="3463" spans="20:20" ht="26.25">
      <c r="T3463" s="62" ph="1"/>
    </row>
    <row r="3464" spans="20:20" ht="26.25">
      <c r="T3464" s="62" ph="1"/>
    </row>
    <row r="3465" spans="20:20" ht="26.25">
      <c r="T3465" s="62" ph="1"/>
    </row>
    <row r="3466" spans="20:20" ht="26.25">
      <c r="T3466" s="62" ph="1"/>
    </row>
    <row r="3467" spans="20:20" ht="26.25">
      <c r="T3467" s="62" ph="1"/>
    </row>
    <row r="3468" spans="20:20" ht="26.25">
      <c r="T3468" s="62" ph="1"/>
    </row>
    <row r="3469" spans="20:20" ht="26.25">
      <c r="T3469" s="62" ph="1"/>
    </row>
    <row r="3470" spans="20:20" ht="26.25">
      <c r="T3470" s="62" ph="1"/>
    </row>
    <row r="3471" spans="20:20" ht="26.25">
      <c r="T3471" s="62" ph="1"/>
    </row>
    <row r="3472" spans="20:20" ht="26.25">
      <c r="T3472" s="62" ph="1"/>
    </row>
    <row r="3473" spans="20:20" ht="26.25">
      <c r="T3473" s="62" ph="1"/>
    </row>
    <row r="3474" spans="20:20" ht="26.25">
      <c r="T3474" s="62" ph="1"/>
    </row>
    <row r="3475" spans="20:20" ht="26.25">
      <c r="T3475" s="62" ph="1"/>
    </row>
    <row r="3476" spans="20:20" ht="26.25">
      <c r="T3476" s="62" ph="1"/>
    </row>
    <row r="3477" spans="20:20" ht="26.25">
      <c r="T3477" s="62" ph="1"/>
    </row>
    <row r="3478" spans="20:20" ht="26.25">
      <c r="T3478" s="62" ph="1"/>
    </row>
    <row r="3479" spans="20:20" ht="26.25">
      <c r="T3479" s="62" ph="1"/>
    </row>
    <row r="3480" spans="20:20" ht="26.25">
      <c r="T3480" s="62" ph="1"/>
    </row>
    <row r="3481" spans="20:20" ht="26.25">
      <c r="T3481" s="62" ph="1"/>
    </row>
    <row r="3482" spans="20:20" ht="26.25">
      <c r="T3482" s="62" ph="1"/>
    </row>
    <row r="3483" spans="20:20" ht="26.25">
      <c r="T3483" s="62" ph="1"/>
    </row>
    <row r="3484" spans="20:20" ht="26.25">
      <c r="T3484" s="62" ph="1"/>
    </row>
    <row r="3485" spans="20:20" ht="26.25">
      <c r="T3485" s="62" ph="1"/>
    </row>
    <row r="3486" spans="20:20" ht="26.25">
      <c r="T3486" s="62" ph="1"/>
    </row>
    <row r="3487" spans="20:20" ht="26.25">
      <c r="T3487" s="62" ph="1"/>
    </row>
    <row r="3488" spans="20:20" ht="26.25">
      <c r="T3488" s="62" ph="1"/>
    </row>
    <row r="3489" spans="20:20" ht="26.25">
      <c r="T3489" s="62" ph="1"/>
    </row>
    <row r="3490" spans="20:20" ht="26.25">
      <c r="T3490" s="62" ph="1"/>
    </row>
    <row r="3491" spans="20:20" ht="26.25">
      <c r="T3491" s="62" ph="1"/>
    </row>
    <row r="3492" spans="20:20" ht="26.25">
      <c r="T3492" s="62" ph="1"/>
    </row>
    <row r="3493" spans="20:20" ht="26.25">
      <c r="T3493" s="62" ph="1"/>
    </row>
    <row r="3494" spans="20:20" ht="26.25">
      <c r="T3494" s="62" ph="1"/>
    </row>
    <row r="3495" spans="20:20" ht="26.25">
      <c r="T3495" s="62" ph="1"/>
    </row>
    <row r="3496" spans="20:20" ht="26.25">
      <c r="T3496" s="62" ph="1"/>
    </row>
    <row r="3497" spans="20:20" ht="26.25">
      <c r="T3497" s="62" ph="1"/>
    </row>
    <row r="3498" spans="20:20" ht="26.25">
      <c r="T3498" s="62" ph="1"/>
    </row>
    <row r="3499" spans="20:20" ht="26.25">
      <c r="T3499" s="62" ph="1"/>
    </row>
    <row r="3500" spans="20:20" ht="26.25">
      <c r="T3500" s="62" ph="1"/>
    </row>
    <row r="3501" spans="20:20" ht="26.25">
      <c r="T3501" s="62" ph="1"/>
    </row>
    <row r="3502" spans="20:20" ht="26.25">
      <c r="T3502" s="62" ph="1"/>
    </row>
    <row r="3503" spans="20:20" ht="26.25">
      <c r="T3503" s="62" ph="1"/>
    </row>
    <row r="3504" spans="20:20" ht="26.25">
      <c r="T3504" s="62" ph="1"/>
    </row>
    <row r="3505" spans="20:20" ht="26.25">
      <c r="T3505" s="62" ph="1"/>
    </row>
    <row r="3506" spans="20:20" ht="26.25">
      <c r="T3506" s="62" ph="1"/>
    </row>
    <row r="3507" spans="20:20" ht="26.25">
      <c r="T3507" s="62" ph="1"/>
    </row>
    <row r="3508" spans="20:20" ht="26.25">
      <c r="T3508" s="62" ph="1"/>
    </row>
    <row r="3509" spans="20:20" ht="26.25">
      <c r="T3509" s="62" ph="1"/>
    </row>
    <row r="3510" spans="20:20" ht="26.25">
      <c r="T3510" s="62" ph="1"/>
    </row>
    <row r="3511" spans="20:20" ht="26.25">
      <c r="T3511" s="62" ph="1"/>
    </row>
    <row r="3512" spans="20:20" ht="26.25">
      <c r="T3512" s="62" ph="1"/>
    </row>
    <row r="3513" spans="20:20" ht="26.25">
      <c r="T3513" s="62" ph="1"/>
    </row>
    <row r="3514" spans="20:20" ht="26.25">
      <c r="T3514" s="62" ph="1"/>
    </row>
    <row r="3515" spans="20:20" ht="26.25">
      <c r="T3515" s="62" ph="1"/>
    </row>
    <row r="3516" spans="20:20" ht="26.25">
      <c r="T3516" s="62" ph="1"/>
    </row>
    <row r="3517" spans="20:20" ht="26.25">
      <c r="T3517" s="62" ph="1"/>
    </row>
    <row r="3518" spans="20:20" ht="26.25">
      <c r="T3518" s="62" ph="1"/>
    </row>
    <row r="3519" spans="20:20" ht="26.25">
      <c r="T3519" s="62" ph="1"/>
    </row>
    <row r="3520" spans="20:20" ht="26.25">
      <c r="T3520" s="62" ph="1"/>
    </row>
    <row r="3521" spans="20:20" ht="26.25">
      <c r="T3521" s="62" ph="1"/>
    </row>
    <row r="3522" spans="20:20" ht="26.25">
      <c r="T3522" s="62" ph="1"/>
    </row>
    <row r="3523" spans="20:20" ht="26.25">
      <c r="T3523" s="62" ph="1"/>
    </row>
    <row r="3524" spans="20:20" ht="26.25">
      <c r="T3524" s="62" ph="1"/>
    </row>
    <row r="3525" spans="20:20" ht="26.25">
      <c r="T3525" s="62" ph="1"/>
    </row>
    <row r="3526" spans="20:20" ht="26.25">
      <c r="T3526" s="62" ph="1"/>
    </row>
    <row r="3527" spans="20:20" ht="26.25">
      <c r="T3527" s="62" ph="1"/>
    </row>
    <row r="3528" spans="20:20" ht="26.25">
      <c r="T3528" s="62" ph="1"/>
    </row>
    <row r="3529" spans="20:20" ht="26.25">
      <c r="T3529" s="62" ph="1"/>
    </row>
    <row r="3530" spans="20:20" ht="26.25">
      <c r="T3530" s="62" ph="1"/>
    </row>
    <row r="3531" spans="20:20" ht="26.25">
      <c r="T3531" s="62" ph="1"/>
    </row>
    <row r="3532" spans="20:20" ht="26.25">
      <c r="T3532" s="62" ph="1"/>
    </row>
    <row r="3533" spans="20:20" ht="26.25">
      <c r="T3533" s="62" ph="1"/>
    </row>
    <row r="3534" spans="20:20" ht="26.25">
      <c r="T3534" s="62" ph="1"/>
    </row>
    <row r="3535" spans="20:20" ht="26.25">
      <c r="T3535" s="62" ph="1"/>
    </row>
    <row r="3536" spans="20:20" ht="26.25">
      <c r="T3536" s="62" ph="1"/>
    </row>
    <row r="3537" spans="20:20" ht="26.25">
      <c r="T3537" s="62" ph="1"/>
    </row>
    <row r="3538" spans="20:20" ht="26.25">
      <c r="T3538" s="62" ph="1"/>
    </row>
    <row r="3539" spans="20:20" ht="26.25">
      <c r="T3539" s="62" ph="1"/>
    </row>
    <row r="3540" spans="20:20" ht="26.25">
      <c r="T3540" s="62" ph="1"/>
    </row>
    <row r="3541" spans="20:20" ht="26.25">
      <c r="T3541" s="62" ph="1"/>
    </row>
    <row r="3542" spans="20:20" ht="26.25">
      <c r="T3542" s="62" ph="1"/>
    </row>
    <row r="3543" spans="20:20" ht="26.25">
      <c r="T3543" s="62" ph="1"/>
    </row>
    <row r="3544" spans="20:20" ht="26.25">
      <c r="T3544" s="62" ph="1"/>
    </row>
    <row r="3545" spans="20:20" ht="26.25">
      <c r="T3545" s="62" ph="1"/>
    </row>
    <row r="3546" spans="20:20" ht="26.25">
      <c r="T3546" s="62" ph="1"/>
    </row>
    <row r="3547" spans="20:20" ht="26.25">
      <c r="T3547" s="62" ph="1"/>
    </row>
    <row r="3548" spans="20:20" ht="26.25">
      <c r="T3548" s="62" ph="1"/>
    </row>
    <row r="3549" spans="20:20" ht="26.25">
      <c r="T3549" s="62" ph="1"/>
    </row>
    <row r="3550" spans="20:20" ht="26.25">
      <c r="T3550" s="62" ph="1"/>
    </row>
    <row r="3551" spans="20:20" ht="26.25">
      <c r="T3551" s="62" ph="1"/>
    </row>
    <row r="3552" spans="20:20" ht="26.25">
      <c r="T3552" s="62" ph="1"/>
    </row>
    <row r="3553" spans="20:20" ht="26.25">
      <c r="T3553" s="62" ph="1"/>
    </row>
    <row r="3554" spans="20:20" ht="26.25">
      <c r="T3554" s="62" ph="1"/>
    </row>
    <row r="3555" spans="20:20" ht="26.25">
      <c r="T3555" s="62" ph="1"/>
    </row>
    <row r="3556" spans="20:20" ht="26.25">
      <c r="T3556" s="62" ph="1"/>
    </row>
    <row r="3557" spans="20:20" ht="26.25">
      <c r="T3557" s="62" ph="1"/>
    </row>
    <row r="3558" spans="20:20" ht="26.25">
      <c r="T3558" s="62" ph="1"/>
    </row>
    <row r="3559" spans="20:20" ht="26.25">
      <c r="T3559" s="62" ph="1"/>
    </row>
    <row r="3560" spans="20:20" ht="26.25">
      <c r="T3560" s="62" ph="1"/>
    </row>
    <row r="3561" spans="20:20" ht="26.25">
      <c r="T3561" s="62" ph="1"/>
    </row>
    <row r="3562" spans="20:20" ht="26.25">
      <c r="T3562" s="62" ph="1"/>
    </row>
    <row r="3563" spans="20:20" ht="26.25">
      <c r="T3563" s="62" ph="1"/>
    </row>
    <row r="3564" spans="20:20" ht="26.25">
      <c r="T3564" s="62" ph="1"/>
    </row>
    <row r="3565" spans="20:20" ht="26.25">
      <c r="T3565" s="62" ph="1"/>
    </row>
    <row r="3566" spans="20:20" ht="26.25">
      <c r="T3566" s="62" ph="1"/>
    </row>
    <row r="3567" spans="20:20" ht="26.25">
      <c r="T3567" s="62" ph="1"/>
    </row>
    <row r="3568" spans="20:20" ht="26.25">
      <c r="T3568" s="62" ph="1"/>
    </row>
    <row r="3569" spans="20:20" ht="26.25">
      <c r="T3569" s="62" ph="1"/>
    </row>
    <row r="3570" spans="20:20" ht="26.25">
      <c r="T3570" s="62" ph="1"/>
    </row>
    <row r="3571" spans="20:20" ht="26.25">
      <c r="T3571" s="62" ph="1"/>
    </row>
    <row r="3572" spans="20:20" ht="26.25">
      <c r="T3572" s="62" ph="1"/>
    </row>
    <row r="3573" spans="20:20" ht="26.25">
      <c r="T3573" s="62" ph="1"/>
    </row>
    <row r="3574" spans="20:20" ht="26.25">
      <c r="T3574" s="62" ph="1"/>
    </row>
    <row r="3575" spans="20:20" ht="26.25">
      <c r="T3575" s="62" ph="1"/>
    </row>
    <row r="3576" spans="20:20" ht="26.25">
      <c r="T3576" s="62" ph="1"/>
    </row>
    <row r="3577" spans="20:20" ht="26.25">
      <c r="T3577" s="62" ph="1"/>
    </row>
    <row r="3578" spans="20:20" ht="26.25">
      <c r="T3578" s="62" ph="1"/>
    </row>
    <row r="3579" spans="20:20" ht="26.25">
      <c r="T3579" s="62" ph="1"/>
    </row>
    <row r="3580" spans="20:20" ht="26.25">
      <c r="T3580" s="62" ph="1"/>
    </row>
    <row r="3581" spans="20:20" ht="26.25">
      <c r="T3581" s="62" ph="1"/>
    </row>
    <row r="3582" spans="20:20" ht="26.25">
      <c r="T3582" s="62" ph="1"/>
    </row>
    <row r="3583" spans="20:20" ht="26.25">
      <c r="T3583" s="62" ph="1"/>
    </row>
    <row r="3584" spans="20:20" ht="26.25">
      <c r="T3584" s="62" ph="1"/>
    </row>
    <row r="3585" spans="20:20" ht="26.25">
      <c r="T3585" s="62" ph="1"/>
    </row>
    <row r="3586" spans="20:20" ht="26.25">
      <c r="T3586" s="62" ph="1"/>
    </row>
    <row r="3587" spans="20:20" ht="26.25">
      <c r="T3587" s="62" ph="1"/>
    </row>
    <row r="3588" spans="20:20" ht="26.25">
      <c r="T3588" s="62" ph="1"/>
    </row>
    <row r="3589" spans="20:20" ht="26.25">
      <c r="T3589" s="62" ph="1"/>
    </row>
    <row r="3590" spans="20:20" ht="26.25">
      <c r="T3590" s="62" ph="1"/>
    </row>
    <row r="3591" spans="20:20" ht="26.25">
      <c r="T3591" s="62" ph="1"/>
    </row>
    <row r="3592" spans="20:20" ht="26.25">
      <c r="T3592" s="62" ph="1"/>
    </row>
    <row r="3593" spans="20:20" ht="26.25">
      <c r="T3593" s="62" ph="1"/>
    </row>
    <row r="3594" spans="20:20" ht="26.25">
      <c r="T3594" s="62" ph="1"/>
    </row>
    <row r="3595" spans="20:20" ht="26.25">
      <c r="T3595" s="62" ph="1"/>
    </row>
    <row r="3596" spans="20:20" ht="26.25">
      <c r="T3596" s="62" ph="1"/>
    </row>
    <row r="3597" spans="20:20" ht="26.25">
      <c r="T3597" s="62" ph="1"/>
    </row>
    <row r="3598" spans="20:20" ht="26.25">
      <c r="T3598" s="62" ph="1"/>
    </row>
    <row r="3599" spans="20:20" ht="26.25">
      <c r="T3599" s="62" ph="1"/>
    </row>
    <row r="3600" spans="20:20" ht="26.25">
      <c r="T3600" s="62" ph="1"/>
    </row>
    <row r="3601" spans="20:20" ht="26.25">
      <c r="T3601" s="62" ph="1"/>
    </row>
    <row r="3602" spans="20:20" ht="26.25">
      <c r="T3602" s="62" ph="1"/>
    </row>
    <row r="3603" spans="20:20" ht="26.25">
      <c r="T3603" s="62" ph="1"/>
    </row>
    <row r="3604" spans="20:20" ht="26.25">
      <c r="T3604" s="62" ph="1"/>
    </row>
    <row r="3605" spans="20:20" ht="26.25">
      <c r="T3605" s="62" ph="1"/>
    </row>
    <row r="3606" spans="20:20" ht="26.25">
      <c r="T3606" s="62" ph="1"/>
    </row>
    <row r="3607" spans="20:20" ht="26.25">
      <c r="T3607" s="62" ph="1"/>
    </row>
    <row r="3608" spans="20:20" ht="26.25">
      <c r="T3608" s="62" ph="1"/>
    </row>
    <row r="3609" spans="20:20" ht="26.25">
      <c r="T3609" s="62" ph="1"/>
    </row>
    <row r="3610" spans="20:20" ht="26.25">
      <c r="T3610" s="62" ph="1"/>
    </row>
    <row r="3611" spans="20:20" ht="26.25">
      <c r="T3611" s="62" ph="1"/>
    </row>
    <row r="3612" spans="20:20" ht="26.25">
      <c r="T3612" s="62" ph="1"/>
    </row>
    <row r="3613" spans="20:20" ht="26.25">
      <c r="T3613" s="62" ph="1"/>
    </row>
    <row r="3614" spans="20:20" ht="26.25">
      <c r="T3614" s="62" ph="1"/>
    </row>
    <row r="3615" spans="20:20" ht="26.25">
      <c r="T3615" s="62" ph="1"/>
    </row>
    <row r="3616" spans="20:20" ht="26.25">
      <c r="T3616" s="62" ph="1"/>
    </row>
    <row r="3617" spans="20:20" ht="26.25">
      <c r="T3617" s="62" ph="1"/>
    </row>
    <row r="3618" spans="20:20" ht="26.25">
      <c r="T3618" s="62" ph="1"/>
    </row>
    <row r="3619" spans="20:20" ht="26.25">
      <c r="T3619" s="62" ph="1"/>
    </row>
    <row r="3620" spans="20:20" ht="26.25">
      <c r="T3620" s="62" ph="1"/>
    </row>
    <row r="3621" spans="20:20" ht="26.25">
      <c r="T3621" s="62" ph="1"/>
    </row>
    <row r="3622" spans="20:20" ht="26.25">
      <c r="T3622" s="62" ph="1"/>
    </row>
    <row r="3623" spans="20:20" ht="26.25">
      <c r="T3623" s="62" ph="1"/>
    </row>
    <row r="3624" spans="20:20" ht="26.25">
      <c r="T3624" s="62" ph="1"/>
    </row>
    <row r="3625" spans="20:20" ht="26.25">
      <c r="T3625" s="62" ph="1"/>
    </row>
    <row r="3626" spans="20:20" ht="26.25">
      <c r="T3626" s="62" ph="1"/>
    </row>
    <row r="3627" spans="20:20" ht="26.25">
      <c r="T3627" s="62" ph="1"/>
    </row>
    <row r="3628" spans="20:20" ht="26.25">
      <c r="T3628" s="62" ph="1"/>
    </row>
    <row r="3629" spans="20:20" ht="26.25">
      <c r="T3629" s="62" ph="1"/>
    </row>
    <row r="3630" spans="20:20" ht="26.25">
      <c r="T3630" s="62" ph="1"/>
    </row>
    <row r="3631" spans="20:20" ht="26.25">
      <c r="T3631" s="62" ph="1"/>
    </row>
    <row r="3632" spans="20:20" ht="26.25">
      <c r="T3632" s="62" ph="1"/>
    </row>
    <row r="3633" spans="20:20" ht="26.25">
      <c r="T3633" s="62" ph="1"/>
    </row>
    <row r="3634" spans="20:20" ht="26.25">
      <c r="T3634" s="62" ph="1"/>
    </row>
    <row r="3635" spans="20:20" ht="26.25">
      <c r="T3635" s="62" ph="1"/>
    </row>
    <row r="3636" spans="20:20" ht="26.25">
      <c r="T3636" s="62" ph="1"/>
    </row>
    <row r="3637" spans="20:20" ht="26.25">
      <c r="T3637" s="62" ph="1"/>
    </row>
    <row r="3638" spans="20:20" ht="26.25">
      <c r="T3638" s="62" ph="1"/>
    </row>
    <row r="3639" spans="20:20" ht="26.25">
      <c r="T3639" s="62" ph="1"/>
    </row>
    <row r="3640" spans="20:20" ht="26.25">
      <c r="T3640" s="62" ph="1"/>
    </row>
    <row r="3641" spans="20:20" ht="26.25">
      <c r="T3641" s="62" ph="1"/>
    </row>
    <row r="3642" spans="20:20" ht="26.25">
      <c r="T3642" s="62" ph="1"/>
    </row>
    <row r="3643" spans="20:20" ht="26.25">
      <c r="T3643" s="62" ph="1"/>
    </row>
    <row r="3644" spans="20:20" ht="26.25">
      <c r="T3644" s="62" ph="1"/>
    </row>
    <row r="3645" spans="20:20" ht="26.25">
      <c r="T3645" s="62" ph="1"/>
    </row>
    <row r="3646" spans="20:20" ht="26.25">
      <c r="T3646" s="62" ph="1"/>
    </row>
    <row r="3647" spans="20:20" ht="26.25">
      <c r="T3647" s="62" ph="1"/>
    </row>
    <row r="3648" spans="20:20" ht="26.25">
      <c r="T3648" s="62" ph="1"/>
    </row>
    <row r="3649" spans="20:20" ht="26.25">
      <c r="T3649" s="62" ph="1"/>
    </row>
    <row r="3650" spans="20:20" ht="26.25">
      <c r="T3650" s="62" ph="1"/>
    </row>
    <row r="3651" spans="20:20" ht="26.25">
      <c r="T3651" s="62" ph="1"/>
    </row>
    <row r="3652" spans="20:20" ht="26.25">
      <c r="T3652" s="62" ph="1"/>
    </row>
    <row r="3653" spans="20:20" ht="26.25">
      <c r="T3653" s="62" ph="1"/>
    </row>
    <row r="3654" spans="20:20" ht="26.25">
      <c r="T3654" s="62" ph="1"/>
    </row>
    <row r="3655" spans="20:20" ht="26.25">
      <c r="T3655" s="62" ph="1"/>
    </row>
    <row r="3656" spans="20:20" ht="26.25">
      <c r="T3656" s="62" ph="1"/>
    </row>
    <row r="3657" spans="20:20" ht="26.25">
      <c r="T3657" s="62" ph="1"/>
    </row>
    <row r="3658" spans="20:20" ht="26.25">
      <c r="T3658" s="62" ph="1"/>
    </row>
    <row r="3659" spans="20:20" ht="26.25">
      <c r="T3659" s="62" ph="1"/>
    </row>
    <row r="3660" spans="20:20" ht="26.25">
      <c r="T3660" s="62" ph="1"/>
    </row>
    <row r="3661" spans="20:20" ht="26.25">
      <c r="T3661" s="62" ph="1"/>
    </row>
    <row r="3662" spans="20:20" ht="26.25">
      <c r="T3662" s="62" ph="1"/>
    </row>
    <row r="3663" spans="20:20" ht="26.25">
      <c r="T3663" s="62" ph="1"/>
    </row>
    <row r="3664" spans="20:20" ht="26.25">
      <c r="T3664" s="62" ph="1"/>
    </row>
    <row r="3665" spans="20:20" ht="26.25">
      <c r="T3665" s="62" ph="1"/>
    </row>
    <row r="3666" spans="20:20" ht="26.25">
      <c r="T3666" s="62" ph="1"/>
    </row>
    <row r="3667" spans="20:20" ht="26.25">
      <c r="T3667" s="62" ph="1"/>
    </row>
    <row r="3668" spans="20:20" ht="26.25">
      <c r="T3668" s="62" ph="1"/>
    </row>
    <row r="3669" spans="20:20" ht="26.25">
      <c r="T3669" s="62" ph="1"/>
    </row>
    <row r="3670" spans="20:20" ht="26.25">
      <c r="T3670" s="62" ph="1"/>
    </row>
    <row r="3671" spans="20:20" ht="26.25">
      <c r="T3671" s="62" ph="1"/>
    </row>
    <row r="3672" spans="20:20" ht="26.25">
      <c r="T3672" s="62" ph="1"/>
    </row>
    <row r="3673" spans="20:20" ht="26.25">
      <c r="T3673" s="62" ph="1"/>
    </row>
    <row r="3674" spans="20:20" ht="26.25">
      <c r="T3674" s="62" ph="1"/>
    </row>
    <row r="3675" spans="20:20" ht="26.25">
      <c r="T3675" s="62" ph="1"/>
    </row>
    <row r="3676" spans="20:20" ht="26.25">
      <c r="T3676" s="62" ph="1"/>
    </row>
    <row r="3677" spans="20:20" ht="26.25">
      <c r="T3677" s="62" ph="1"/>
    </row>
    <row r="3678" spans="20:20" ht="26.25">
      <c r="T3678" s="62" ph="1"/>
    </row>
    <row r="3679" spans="20:20" ht="26.25">
      <c r="T3679" s="62" ph="1"/>
    </row>
    <row r="3680" spans="20:20" ht="26.25">
      <c r="T3680" s="62" ph="1"/>
    </row>
    <row r="3681" spans="20:20" ht="26.25">
      <c r="T3681" s="62" ph="1"/>
    </row>
    <row r="3682" spans="20:20" ht="26.25">
      <c r="T3682" s="62" ph="1"/>
    </row>
    <row r="3683" spans="20:20" ht="26.25">
      <c r="T3683" s="62" ph="1"/>
    </row>
    <row r="3684" spans="20:20" ht="26.25">
      <c r="T3684" s="62" ph="1"/>
    </row>
    <row r="3685" spans="20:20" ht="26.25">
      <c r="T3685" s="62" ph="1"/>
    </row>
    <row r="3686" spans="20:20" ht="26.25">
      <c r="T3686" s="62" ph="1"/>
    </row>
    <row r="3687" spans="20:20" ht="26.25">
      <c r="T3687" s="62" ph="1"/>
    </row>
    <row r="3688" spans="20:20" ht="26.25">
      <c r="T3688" s="62" ph="1"/>
    </row>
    <row r="3689" spans="20:20" ht="26.25">
      <c r="T3689" s="62" ph="1"/>
    </row>
    <row r="3690" spans="20:20" ht="26.25">
      <c r="T3690" s="62" ph="1"/>
    </row>
    <row r="3691" spans="20:20" ht="26.25">
      <c r="T3691" s="62" ph="1"/>
    </row>
    <row r="3692" spans="20:20" ht="26.25">
      <c r="T3692" s="62" ph="1"/>
    </row>
    <row r="3693" spans="20:20" ht="26.25">
      <c r="T3693" s="62" ph="1"/>
    </row>
    <row r="3694" spans="20:20" ht="26.25">
      <c r="T3694" s="62" ph="1"/>
    </row>
    <row r="3695" spans="20:20" ht="26.25">
      <c r="T3695" s="62" ph="1"/>
    </row>
    <row r="3696" spans="20:20" ht="26.25">
      <c r="T3696" s="62" ph="1"/>
    </row>
    <row r="3697" spans="20:20" ht="26.25">
      <c r="T3697" s="62" ph="1"/>
    </row>
    <row r="3698" spans="20:20" ht="26.25">
      <c r="T3698" s="62" ph="1"/>
    </row>
    <row r="3699" spans="20:20" ht="26.25">
      <c r="T3699" s="62" ph="1"/>
    </row>
    <row r="3700" spans="20:20" ht="26.25">
      <c r="T3700" s="62" ph="1"/>
    </row>
    <row r="3701" spans="20:20" ht="26.25">
      <c r="T3701" s="62" ph="1"/>
    </row>
    <row r="3702" spans="20:20" ht="26.25">
      <c r="T3702" s="62" ph="1"/>
    </row>
    <row r="3703" spans="20:20" ht="26.25">
      <c r="T3703" s="62" ph="1"/>
    </row>
    <row r="3704" spans="20:20" ht="26.25">
      <c r="T3704" s="62" ph="1"/>
    </row>
    <row r="3705" spans="20:20" ht="26.25">
      <c r="T3705" s="62" ph="1"/>
    </row>
    <row r="3706" spans="20:20" ht="26.25">
      <c r="T3706" s="62" ph="1"/>
    </row>
    <row r="3707" spans="20:20" ht="26.25">
      <c r="T3707" s="62" ph="1"/>
    </row>
    <row r="3708" spans="20:20" ht="26.25">
      <c r="T3708" s="62" ph="1"/>
    </row>
    <row r="3709" spans="20:20" ht="26.25">
      <c r="T3709" s="62" ph="1"/>
    </row>
    <row r="3710" spans="20:20" ht="26.25">
      <c r="T3710" s="62" ph="1"/>
    </row>
    <row r="3711" spans="20:20" ht="26.25">
      <c r="T3711" s="62" ph="1"/>
    </row>
    <row r="3712" spans="20:20" ht="26.25">
      <c r="T3712" s="62" ph="1"/>
    </row>
    <row r="3713" spans="20:20" ht="26.25">
      <c r="T3713" s="62" ph="1"/>
    </row>
    <row r="3714" spans="20:20" ht="26.25">
      <c r="T3714" s="62" ph="1"/>
    </row>
    <row r="3715" spans="20:20" ht="26.25">
      <c r="T3715" s="62" ph="1"/>
    </row>
    <row r="3716" spans="20:20" ht="26.25">
      <c r="T3716" s="62" ph="1"/>
    </row>
    <row r="3717" spans="20:20" ht="26.25">
      <c r="T3717" s="62" ph="1"/>
    </row>
    <row r="3718" spans="20:20" ht="26.25">
      <c r="T3718" s="62" ph="1"/>
    </row>
    <row r="3719" spans="20:20" ht="26.25">
      <c r="T3719" s="62" ph="1"/>
    </row>
    <row r="3720" spans="20:20" ht="26.25">
      <c r="T3720" s="62" ph="1"/>
    </row>
    <row r="3721" spans="20:20" ht="26.25">
      <c r="T3721" s="62" ph="1"/>
    </row>
    <row r="3722" spans="20:20" ht="26.25">
      <c r="T3722" s="62" ph="1"/>
    </row>
    <row r="3723" spans="20:20" ht="26.25">
      <c r="T3723" s="62" ph="1"/>
    </row>
    <row r="3724" spans="20:20" ht="26.25">
      <c r="T3724" s="62" ph="1"/>
    </row>
    <row r="3725" spans="20:20" ht="26.25">
      <c r="T3725" s="62" ph="1"/>
    </row>
    <row r="3726" spans="20:20" ht="26.25">
      <c r="T3726" s="62" ph="1"/>
    </row>
    <row r="3727" spans="20:20" ht="26.25">
      <c r="T3727" s="62" ph="1"/>
    </row>
    <row r="3728" spans="20:20" ht="26.25">
      <c r="T3728" s="62" ph="1"/>
    </row>
    <row r="3729" spans="20:20" ht="26.25">
      <c r="T3729" s="62" ph="1"/>
    </row>
    <row r="3730" spans="20:20" ht="26.25">
      <c r="T3730" s="62" ph="1"/>
    </row>
    <row r="3731" spans="20:20" ht="26.25">
      <c r="T3731" s="62" ph="1"/>
    </row>
    <row r="3732" spans="20:20" ht="26.25">
      <c r="T3732" s="62" ph="1"/>
    </row>
    <row r="3733" spans="20:20" ht="26.25">
      <c r="T3733" s="62" ph="1"/>
    </row>
    <row r="3734" spans="20:20" ht="26.25">
      <c r="T3734" s="62" ph="1"/>
    </row>
    <row r="3735" spans="20:20" ht="26.25">
      <c r="T3735" s="62" ph="1"/>
    </row>
    <row r="3736" spans="20:20" ht="26.25">
      <c r="T3736" s="62" ph="1"/>
    </row>
    <row r="3737" spans="20:20" ht="26.25">
      <c r="T3737" s="62" ph="1"/>
    </row>
    <row r="3738" spans="20:20" ht="26.25">
      <c r="T3738" s="62" ph="1"/>
    </row>
    <row r="3739" spans="20:20" ht="26.25">
      <c r="T3739" s="62" ph="1"/>
    </row>
    <row r="3740" spans="20:20" ht="26.25">
      <c r="T3740" s="62" ph="1"/>
    </row>
    <row r="3741" spans="20:20" ht="26.25">
      <c r="T3741" s="62" ph="1"/>
    </row>
    <row r="3742" spans="20:20" ht="26.25">
      <c r="T3742" s="62" ph="1"/>
    </row>
    <row r="3743" spans="20:20" ht="26.25">
      <c r="T3743" s="62" ph="1"/>
    </row>
    <row r="3744" spans="20:20" ht="26.25">
      <c r="T3744" s="62" ph="1"/>
    </row>
    <row r="3745" spans="20:20" ht="26.25">
      <c r="T3745" s="62" ph="1"/>
    </row>
    <row r="3746" spans="20:20" ht="26.25">
      <c r="T3746" s="62" ph="1"/>
    </row>
    <row r="3747" spans="20:20" ht="26.25">
      <c r="T3747" s="62" ph="1"/>
    </row>
    <row r="3748" spans="20:20" ht="26.25">
      <c r="T3748" s="62" ph="1"/>
    </row>
    <row r="3749" spans="20:20" ht="26.25">
      <c r="T3749" s="62" ph="1"/>
    </row>
    <row r="3750" spans="20:20" ht="26.25">
      <c r="T3750" s="62" ph="1"/>
    </row>
    <row r="3751" spans="20:20" ht="26.25">
      <c r="T3751" s="62" ph="1"/>
    </row>
    <row r="3752" spans="20:20" ht="26.25">
      <c r="T3752" s="62" ph="1"/>
    </row>
    <row r="3753" spans="20:20" ht="26.25">
      <c r="T3753" s="62" ph="1"/>
    </row>
    <row r="3754" spans="20:20" ht="26.25">
      <c r="T3754" s="62" ph="1"/>
    </row>
    <row r="3755" spans="20:20" ht="26.25">
      <c r="T3755" s="62" ph="1"/>
    </row>
    <row r="3756" spans="20:20" ht="26.25">
      <c r="T3756" s="62" ph="1"/>
    </row>
    <row r="3757" spans="20:20" ht="26.25">
      <c r="T3757" s="62" ph="1"/>
    </row>
    <row r="3758" spans="20:20" ht="26.25">
      <c r="T3758" s="62" ph="1"/>
    </row>
    <row r="3759" spans="20:20" ht="26.25">
      <c r="T3759" s="62" ph="1"/>
    </row>
    <row r="3760" spans="20:20" ht="26.25">
      <c r="T3760" s="62" ph="1"/>
    </row>
    <row r="3761" spans="20:20" ht="26.25">
      <c r="T3761" s="62" ph="1"/>
    </row>
    <row r="3762" spans="20:20" ht="26.25">
      <c r="T3762" s="62" ph="1"/>
    </row>
    <row r="3763" spans="20:20" ht="26.25">
      <c r="T3763" s="62" ph="1"/>
    </row>
    <row r="3764" spans="20:20" ht="26.25">
      <c r="T3764" s="62" ph="1"/>
    </row>
    <row r="3765" spans="20:20" ht="26.25">
      <c r="T3765" s="62" ph="1"/>
    </row>
    <row r="3766" spans="20:20" ht="26.25">
      <c r="T3766" s="62" ph="1"/>
    </row>
    <row r="3767" spans="20:20" ht="26.25">
      <c r="T3767" s="62" ph="1"/>
    </row>
    <row r="3768" spans="20:20" ht="26.25">
      <c r="T3768" s="62" ph="1"/>
    </row>
    <row r="3769" spans="20:20" ht="26.25">
      <c r="T3769" s="62" ph="1"/>
    </row>
    <row r="3770" spans="20:20" ht="26.25">
      <c r="T3770" s="62" ph="1"/>
    </row>
    <row r="3771" spans="20:20" ht="26.25">
      <c r="T3771" s="62" ph="1"/>
    </row>
    <row r="3772" spans="20:20" ht="26.25">
      <c r="T3772" s="62" ph="1"/>
    </row>
    <row r="3773" spans="20:20" ht="26.25">
      <c r="T3773" s="62" ph="1"/>
    </row>
    <row r="3774" spans="20:20" ht="26.25">
      <c r="T3774" s="62" ph="1"/>
    </row>
    <row r="3775" spans="20:20" ht="26.25">
      <c r="T3775" s="62" ph="1"/>
    </row>
    <row r="3776" spans="20:20" ht="26.25">
      <c r="T3776" s="62" ph="1"/>
    </row>
    <row r="3777" spans="20:20" ht="26.25">
      <c r="T3777" s="62" ph="1"/>
    </row>
    <row r="3778" spans="20:20" ht="26.25">
      <c r="T3778" s="62" ph="1"/>
    </row>
    <row r="3779" spans="20:20" ht="26.25">
      <c r="T3779" s="62" ph="1"/>
    </row>
    <row r="3780" spans="20:20" ht="26.25">
      <c r="T3780" s="62" ph="1"/>
    </row>
    <row r="3781" spans="20:20" ht="26.25">
      <c r="T3781" s="62" ph="1"/>
    </row>
    <row r="3782" spans="20:20" ht="26.25">
      <c r="T3782" s="62" ph="1"/>
    </row>
    <row r="3783" spans="20:20" ht="26.25">
      <c r="T3783" s="62" ph="1"/>
    </row>
    <row r="3784" spans="20:20" ht="26.25">
      <c r="T3784" s="62" ph="1"/>
    </row>
    <row r="3785" spans="20:20" ht="26.25">
      <c r="T3785" s="62" ph="1"/>
    </row>
    <row r="3786" spans="20:20" ht="26.25">
      <c r="T3786" s="62" ph="1"/>
    </row>
    <row r="3787" spans="20:20" ht="26.25">
      <c r="T3787" s="62" ph="1"/>
    </row>
    <row r="3788" spans="20:20" ht="26.25">
      <c r="T3788" s="62" ph="1"/>
    </row>
    <row r="3789" spans="20:20" ht="26.25">
      <c r="T3789" s="62" ph="1"/>
    </row>
    <row r="3790" spans="20:20" ht="26.25">
      <c r="T3790" s="62" ph="1"/>
    </row>
    <row r="3791" spans="20:20" ht="26.25">
      <c r="T3791" s="62" ph="1"/>
    </row>
    <row r="3792" spans="20:20" ht="26.25">
      <c r="T3792" s="62" ph="1"/>
    </row>
    <row r="3793" spans="20:20" ht="26.25">
      <c r="T3793" s="62" ph="1"/>
    </row>
    <row r="3794" spans="20:20" ht="26.25">
      <c r="T3794" s="62" ph="1"/>
    </row>
    <row r="3795" spans="20:20" ht="26.25">
      <c r="T3795" s="62" ph="1"/>
    </row>
    <row r="3796" spans="20:20" ht="26.25">
      <c r="T3796" s="62" ph="1"/>
    </row>
    <row r="3797" spans="20:20" ht="26.25">
      <c r="T3797" s="62" ph="1"/>
    </row>
    <row r="3798" spans="20:20" ht="26.25">
      <c r="T3798" s="62" ph="1"/>
    </row>
    <row r="3799" spans="20:20" ht="26.25">
      <c r="T3799" s="62" ph="1"/>
    </row>
    <row r="3800" spans="20:20" ht="26.25">
      <c r="T3800" s="62" ph="1"/>
    </row>
    <row r="3801" spans="20:20" ht="26.25">
      <c r="T3801" s="62" ph="1"/>
    </row>
    <row r="3802" spans="20:20" ht="26.25">
      <c r="T3802" s="62" ph="1"/>
    </row>
    <row r="3803" spans="20:20" ht="26.25">
      <c r="T3803" s="62" ph="1"/>
    </row>
    <row r="3804" spans="20:20" ht="26.25">
      <c r="T3804" s="62" ph="1"/>
    </row>
    <row r="3805" spans="20:20" ht="26.25">
      <c r="T3805" s="62" ph="1"/>
    </row>
    <row r="3806" spans="20:20" ht="26.25">
      <c r="T3806" s="62" ph="1"/>
    </row>
    <row r="3807" spans="20:20" ht="26.25">
      <c r="T3807" s="62" ph="1"/>
    </row>
    <row r="3808" spans="20:20" ht="26.25">
      <c r="T3808" s="62" ph="1"/>
    </row>
    <row r="3809" spans="20:20" ht="26.25">
      <c r="T3809" s="62" ph="1"/>
    </row>
    <row r="3810" spans="20:20" ht="26.25">
      <c r="T3810" s="62" ph="1"/>
    </row>
    <row r="3811" spans="20:20" ht="26.25">
      <c r="T3811" s="62" ph="1"/>
    </row>
    <row r="3812" spans="20:20" ht="26.25">
      <c r="T3812" s="62" ph="1"/>
    </row>
    <row r="3813" spans="20:20" ht="26.25">
      <c r="T3813" s="62" ph="1"/>
    </row>
    <row r="3814" spans="20:20" ht="26.25">
      <c r="T3814" s="62" ph="1"/>
    </row>
    <row r="3815" spans="20:20" ht="26.25">
      <c r="T3815" s="62" ph="1"/>
    </row>
    <row r="3816" spans="20:20" ht="26.25">
      <c r="T3816" s="62" ph="1"/>
    </row>
    <row r="3817" spans="20:20" ht="26.25">
      <c r="T3817" s="62" ph="1"/>
    </row>
    <row r="3818" spans="20:20" ht="26.25">
      <c r="T3818" s="62" ph="1"/>
    </row>
    <row r="3819" spans="20:20" ht="26.25">
      <c r="T3819" s="62" ph="1"/>
    </row>
    <row r="3820" spans="20:20" ht="26.25">
      <c r="T3820" s="62" ph="1"/>
    </row>
    <row r="3821" spans="20:20" ht="26.25">
      <c r="T3821" s="62" ph="1"/>
    </row>
    <row r="3822" spans="20:20" ht="26.25">
      <c r="T3822" s="62" ph="1"/>
    </row>
    <row r="3823" spans="20:20" ht="26.25">
      <c r="T3823" s="62" ph="1"/>
    </row>
    <row r="3824" spans="20:20" ht="26.25">
      <c r="T3824" s="62" ph="1"/>
    </row>
    <row r="3825" spans="20:20" ht="26.25">
      <c r="T3825" s="62" ph="1"/>
    </row>
    <row r="3826" spans="20:20" ht="26.25">
      <c r="T3826" s="62" ph="1"/>
    </row>
    <row r="3827" spans="20:20" ht="26.25">
      <c r="T3827" s="62" ph="1"/>
    </row>
    <row r="3828" spans="20:20" ht="26.25">
      <c r="T3828" s="62" ph="1"/>
    </row>
    <row r="3829" spans="20:20" ht="26.25">
      <c r="T3829" s="62" ph="1"/>
    </row>
    <row r="3830" spans="20:20" ht="26.25">
      <c r="T3830" s="62" ph="1"/>
    </row>
    <row r="3831" spans="20:20" ht="26.25">
      <c r="T3831" s="62" ph="1"/>
    </row>
    <row r="3832" spans="20:20" ht="26.25">
      <c r="T3832" s="62" ph="1"/>
    </row>
    <row r="3833" spans="20:20" ht="26.25">
      <c r="T3833" s="62" ph="1"/>
    </row>
    <row r="3834" spans="20:20" ht="26.25">
      <c r="T3834" s="62" ph="1"/>
    </row>
    <row r="3835" spans="20:20" ht="26.25">
      <c r="T3835" s="62" ph="1"/>
    </row>
    <row r="3836" spans="20:20" ht="26.25">
      <c r="T3836" s="62" ph="1"/>
    </row>
    <row r="3837" spans="20:20" ht="26.25">
      <c r="T3837" s="62" ph="1"/>
    </row>
    <row r="3838" spans="20:20" ht="26.25">
      <c r="T3838" s="62" ph="1"/>
    </row>
    <row r="3839" spans="20:20" ht="26.25">
      <c r="T3839" s="62" ph="1"/>
    </row>
    <row r="3840" spans="20:20" ht="26.25">
      <c r="T3840" s="62" ph="1"/>
    </row>
    <row r="3841" spans="20:20" ht="26.25">
      <c r="T3841" s="62" ph="1"/>
    </row>
    <row r="3842" spans="20:20" ht="26.25">
      <c r="T3842" s="62" ph="1"/>
    </row>
    <row r="3843" spans="20:20" ht="26.25">
      <c r="T3843" s="62" ph="1"/>
    </row>
    <row r="3844" spans="20:20" ht="26.25">
      <c r="T3844" s="62" ph="1"/>
    </row>
    <row r="3845" spans="20:20" ht="26.25">
      <c r="T3845" s="62" ph="1"/>
    </row>
    <row r="3846" spans="20:20" ht="26.25">
      <c r="T3846" s="62" ph="1"/>
    </row>
    <row r="3847" spans="20:20" ht="26.25">
      <c r="T3847" s="62" ph="1"/>
    </row>
    <row r="3848" spans="20:20" ht="26.25">
      <c r="T3848" s="62" ph="1"/>
    </row>
    <row r="3849" spans="20:20" ht="26.25">
      <c r="T3849" s="62" ph="1"/>
    </row>
    <row r="3850" spans="20:20" ht="26.25">
      <c r="T3850" s="62" ph="1"/>
    </row>
    <row r="3851" spans="20:20" ht="26.25">
      <c r="T3851" s="62" ph="1"/>
    </row>
    <row r="3852" spans="20:20" ht="26.25">
      <c r="T3852" s="62" ph="1"/>
    </row>
    <row r="3853" spans="20:20" ht="26.25">
      <c r="T3853" s="62" ph="1"/>
    </row>
    <row r="3854" spans="20:20" ht="26.25">
      <c r="T3854" s="62" ph="1"/>
    </row>
    <row r="3855" spans="20:20" ht="26.25">
      <c r="T3855" s="62" ph="1"/>
    </row>
    <row r="3856" spans="20:20" ht="26.25">
      <c r="T3856" s="62" ph="1"/>
    </row>
    <row r="3857" spans="20:20" ht="26.25">
      <c r="T3857" s="62" ph="1"/>
    </row>
    <row r="3858" spans="20:20" ht="26.25">
      <c r="T3858" s="62" ph="1"/>
    </row>
    <row r="3859" spans="20:20" ht="26.25">
      <c r="T3859" s="62" ph="1"/>
    </row>
    <row r="3860" spans="20:20" ht="26.25">
      <c r="T3860" s="62" ph="1"/>
    </row>
    <row r="3861" spans="20:20" ht="26.25">
      <c r="T3861" s="62" ph="1"/>
    </row>
    <row r="3862" spans="20:20" ht="26.25">
      <c r="T3862" s="62" ph="1"/>
    </row>
    <row r="3863" spans="20:20" ht="26.25">
      <c r="T3863" s="62" ph="1"/>
    </row>
    <row r="3864" spans="20:20" ht="26.25">
      <c r="T3864" s="62" ph="1"/>
    </row>
    <row r="3865" spans="20:20" ht="26.25">
      <c r="T3865" s="62" ph="1"/>
    </row>
    <row r="3866" spans="20:20" ht="26.25">
      <c r="T3866" s="62" ph="1"/>
    </row>
    <row r="3867" spans="20:20" ht="26.25">
      <c r="T3867" s="62" ph="1"/>
    </row>
    <row r="3868" spans="20:20" ht="26.25">
      <c r="T3868" s="62" ph="1"/>
    </row>
    <row r="3869" spans="20:20" ht="26.25">
      <c r="T3869" s="62" ph="1"/>
    </row>
    <row r="3870" spans="20:20" ht="26.25">
      <c r="T3870" s="62" ph="1"/>
    </row>
    <row r="3871" spans="20:20" ht="26.25">
      <c r="T3871" s="62" ph="1"/>
    </row>
    <row r="3872" spans="20:20" ht="26.25">
      <c r="T3872" s="62" ph="1"/>
    </row>
    <row r="3873" spans="20:20" ht="26.25">
      <c r="T3873" s="62" ph="1"/>
    </row>
    <row r="3874" spans="20:20" ht="26.25">
      <c r="T3874" s="62" ph="1"/>
    </row>
    <row r="3875" spans="20:20" ht="26.25">
      <c r="T3875" s="62" ph="1"/>
    </row>
    <row r="3876" spans="20:20" ht="26.25">
      <c r="T3876" s="62" ph="1"/>
    </row>
    <row r="3877" spans="20:20" ht="26.25">
      <c r="T3877" s="62" ph="1"/>
    </row>
    <row r="3878" spans="20:20" ht="26.25">
      <c r="T3878" s="62" ph="1"/>
    </row>
    <row r="3879" spans="20:20" ht="26.25">
      <c r="T3879" s="62" ph="1"/>
    </row>
    <row r="3880" spans="20:20" ht="26.25">
      <c r="T3880" s="62" ph="1"/>
    </row>
    <row r="3881" spans="20:20" ht="26.25">
      <c r="T3881" s="62" ph="1"/>
    </row>
    <row r="3882" spans="20:20" ht="26.25">
      <c r="T3882" s="62" ph="1"/>
    </row>
    <row r="3883" spans="20:20" ht="26.25">
      <c r="T3883" s="62" ph="1"/>
    </row>
    <row r="3884" spans="20:20" ht="26.25">
      <c r="T3884" s="62" ph="1"/>
    </row>
    <row r="3885" spans="20:20" ht="26.25">
      <c r="T3885" s="62" ph="1"/>
    </row>
    <row r="3886" spans="20:20" ht="26.25">
      <c r="T3886" s="62" ph="1"/>
    </row>
    <row r="3887" spans="20:20" ht="26.25">
      <c r="T3887" s="62" ph="1"/>
    </row>
    <row r="3888" spans="20:20" ht="26.25">
      <c r="T3888" s="62" ph="1"/>
    </row>
    <row r="3889" spans="20:20" ht="26.25">
      <c r="T3889" s="62" ph="1"/>
    </row>
    <row r="3890" spans="20:20" ht="26.25">
      <c r="T3890" s="62" ph="1"/>
    </row>
    <row r="3891" spans="20:20" ht="26.25">
      <c r="T3891" s="62" ph="1"/>
    </row>
    <row r="3892" spans="20:20" ht="26.25">
      <c r="T3892" s="62" ph="1"/>
    </row>
    <row r="3893" spans="20:20" ht="26.25">
      <c r="T3893" s="62" ph="1"/>
    </row>
    <row r="3894" spans="20:20" ht="26.25">
      <c r="T3894" s="62" ph="1"/>
    </row>
    <row r="3895" spans="20:20" ht="26.25">
      <c r="T3895" s="62" ph="1"/>
    </row>
    <row r="3896" spans="20:20" ht="26.25">
      <c r="T3896" s="62" ph="1"/>
    </row>
    <row r="3897" spans="20:20" ht="26.25">
      <c r="T3897" s="62" ph="1"/>
    </row>
    <row r="3898" spans="20:20" ht="26.25">
      <c r="T3898" s="62" ph="1"/>
    </row>
    <row r="3899" spans="20:20" ht="26.25">
      <c r="T3899" s="62" ph="1"/>
    </row>
    <row r="3900" spans="20:20" ht="26.25">
      <c r="T3900" s="62" ph="1"/>
    </row>
    <row r="3901" spans="20:20" ht="26.25">
      <c r="T3901" s="62" ph="1"/>
    </row>
    <row r="3902" spans="20:20" ht="26.25">
      <c r="T3902" s="62" ph="1"/>
    </row>
    <row r="3903" spans="20:20" ht="26.25">
      <c r="T3903" s="62" ph="1"/>
    </row>
    <row r="3904" spans="20:20" ht="26.25">
      <c r="T3904" s="62" ph="1"/>
    </row>
    <row r="3905" spans="20:20" ht="26.25">
      <c r="T3905" s="62" ph="1"/>
    </row>
    <row r="3906" spans="20:20" ht="26.25">
      <c r="T3906" s="62" ph="1"/>
    </row>
    <row r="3907" spans="20:20" ht="26.25">
      <c r="T3907" s="62" ph="1"/>
    </row>
    <row r="3908" spans="20:20" ht="26.25">
      <c r="T3908" s="62" ph="1"/>
    </row>
    <row r="3909" spans="20:20" ht="26.25">
      <c r="T3909" s="62" ph="1"/>
    </row>
    <row r="3910" spans="20:20" ht="26.25">
      <c r="T3910" s="62" ph="1"/>
    </row>
    <row r="3911" spans="20:20" ht="26.25">
      <c r="T3911" s="62" ph="1"/>
    </row>
    <row r="3912" spans="20:20" ht="26.25">
      <c r="T3912" s="62" ph="1"/>
    </row>
    <row r="3913" spans="20:20" ht="26.25">
      <c r="T3913" s="62" ph="1"/>
    </row>
    <row r="3914" spans="20:20" ht="26.25">
      <c r="T3914" s="62" ph="1"/>
    </row>
    <row r="3915" spans="20:20" ht="26.25">
      <c r="T3915" s="62" ph="1"/>
    </row>
    <row r="3916" spans="20:20" ht="26.25">
      <c r="T3916" s="62" ph="1"/>
    </row>
    <row r="3917" spans="20:20" ht="26.25">
      <c r="T3917" s="62" ph="1"/>
    </row>
    <row r="3918" spans="20:20" ht="26.25">
      <c r="T3918" s="62" ph="1"/>
    </row>
    <row r="3919" spans="20:20" ht="26.25">
      <c r="T3919" s="62" ph="1"/>
    </row>
    <row r="3920" spans="20:20" ht="26.25">
      <c r="T3920" s="62" ph="1"/>
    </row>
    <row r="3921" spans="20:20" ht="26.25">
      <c r="T3921" s="62" ph="1"/>
    </row>
    <row r="3922" spans="20:20" ht="26.25">
      <c r="T3922" s="62" ph="1"/>
    </row>
    <row r="3923" spans="20:20" ht="26.25">
      <c r="T3923" s="62" ph="1"/>
    </row>
    <row r="3924" spans="20:20" ht="26.25">
      <c r="T3924" s="62" ph="1"/>
    </row>
    <row r="3925" spans="20:20" ht="26.25">
      <c r="T3925" s="62" ph="1"/>
    </row>
    <row r="3926" spans="20:20" ht="26.25">
      <c r="T3926" s="62" ph="1"/>
    </row>
    <row r="3927" spans="20:20" ht="26.25">
      <c r="T3927" s="62" ph="1"/>
    </row>
    <row r="3928" spans="20:20" ht="26.25">
      <c r="T3928" s="62" ph="1"/>
    </row>
    <row r="3929" spans="20:20" ht="26.25">
      <c r="T3929" s="62" ph="1"/>
    </row>
    <row r="3930" spans="20:20" ht="26.25">
      <c r="T3930" s="62" ph="1"/>
    </row>
    <row r="3931" spans="20:20" ht="26.25">
      <c r="T3931" s="62" ph="1"/>
    </row>
    <row r="3932" spans="20:20" ht="26.25">
      <c r="T3932" s="62" ph="1"/>
    </row>
    <row r="3933" spans="20:20" ht="26.25">
      <c r="T3933" s="62" ph="1"/>
    </row>
    <row r="3934" spans="20:20" ht="26.25">
      <c r="T3934" s="62" ph="1"/>
    </row>
    <row r="3935" spans="20:20" ht="26.25">
      <c r="T3935" s="62" ph="1"/>
    </row>
    <row r="3936" spans="20:20" ht="26.25">
      <c r="T3936" s="62" ph="1"/>
    </row>
    <row r="3937" spans="20:20" ht="26.25">
      <c r="T3937" s="62" ph="1"/>
    </row>
    <row r="3938" spans="20:20" ht="26.25">
      <c r="T3938" s="62" ph="1"/>
    </row>
    <row r="3939" spans="20:20" ht="26.25">
      <c r="T3939" s="62" ph="1"/>
    </row>
    <row r="3940" spans="20:20" ht="26.25">
      <c r="T3940" s="62" ph="1"/>
    </row>
    <row r="3941" spans="20:20" ht="26.25">
      <c r="T3941" s="62" ph="1"/>
    </row>
    <row r="3942" spans="20:20" ht="26.25">
      <c r="T3942" s="62" ph="1"/>
    </row>
    <row r="3943" spans="20:20" ht="26.25">
      <c r="T3943" s="62" ph="1"/>
    </row>
    <row r="3944" spans="20:20" ht="26.25">
      <c r="T3944" s="62" ph="1"/>
    </row>
    <row r="3945" spans="20:20" ht="26.25">
      <c r="T3945" s="62" ph="1"/>
    </row>
    <row r="3946" spans="20:20" ht="26.25">
      <c r="T3946" s="62" ph="1"/>
    </row>
    <row r="3947" spans="20:20" ht="26.25">
      <c r="T3947" s="62" ph="1"/>
    </row>
    <row r="3948" spans="20:20" ht="26.25">
      <c r="T3948" s="62" ph="1"/>
    </row>
    <row r="3949" spans="20:20" ht="26.25">
      <c r="T3949" s="62" ph="1"/>
    </row>
    <row r="3950" spans="20:20" ht="26.25">
      <c r="T3950" s="62" ph="1"/>
    </row>
    <row r="3951" spans="20:20" ht="26.25">
      <c r="T3951" s="62" ph="1"/>
    </row>
    <row r="3952" spans="20:20" ht="26.25">
      <c r="T3952" s="62" ph="1"/>
    </row>
    <row r="3953" spans="20:20" ht="26.25">
      <c r="T3953" s="62" ph="1"/>
    </row>
    <row r="3954" spans="20:20" ht="26.25">
      <c r="T3954" s="62" ph="1"/>
    </row>
    <row r="3955" spans="20:20" ht="26.25">
      <c r="T3955" s="62" ph="1"/>
    </row>
    <row r="3956" spans="20:20" ht="26.25">
      <c r="T3956" s="62" ph="1"/>
    </row>
    <row r="3957" spans="20:20" ht="26.25">
      <c r="T3957" s="62" ph="1"/>
    </row>
    <row r="3958" spans="20:20" ht="26.25">
      <c r="T3958" s="62" ph="1"/>
    </row>
    <row r="3959" spans="20:20" ht="26.25">
      <c r="T3959" s="62" ph="1"/>
    </row>
    <row r="3960" spans="20:20" ht="26.25">
      <c r="T3960" s="62" ph="1"/>
    </row>
    <row r="3961" spans="20:20" ht="26.25">
      <c r="T3961" s="62" ph="1"/>
    </row>
    <row r="3962" spans="20:20" ht="26.25">
      <c r="T3962" s="62" ph="1"/>
    </row>
    <row r="3963" spans="20:20" ht="26.25">
      <c r="T3963" s="62" ph="1"/>
    </row>
    <row r="3964" spans="20:20" ht="26.25">
      <c r="T3964" s="62" ph="1"/>
    </row>
    <row r="3965" spans="20:20" ht="26.25">
      <c r="T3965" s="62" ph="1"/>
    </row>
    <row r="3966" spans="20:20" ht="26.25">
      <c r="T3966" s="62" ph="1"/>
    </row>
    <row r="3967" spans="20:20" ht="26.25">
      <c r="T3967" s="62" ph="1"/>
    </row>
    <row r="3968" spans="20:20" ht="26.25">
      <c r="T3968" s="62" ph="1"/>
    </row>
    <row r="3969" spans="20:20" ht="26.25">
      <c r="T3969" s="62" ph="1"/>
    </row>
    <row r="3970" spans="20:20" ht="26.25">
      <c r="T3970" s="62" ph="1"/>
    </row>
    <row r="3971" spans="20:20" ht="26.25">
      <c r="T3971" s="62" ph="1"/>
    </row>
    <row r="3972" spans="20:20" ht="26.25">
      <c r="T3972" s="62" ph="1"/>
    </row>
    <row r="3973" spans="20:20" ht="26.25">
      <c r="T3973" s="62" ph="1"/>
    </row>
    <row r="3974" spans="20:20" ht="26.25">
      <c r="T3974" s="62" ph="1"/>
    </row>
    <row r="3975" spans="20:20" ht="26.25">
      <c r="T3975" s="62" ph="1"/>
    </row>
    <row r="3976" spans="20:20" ht="26.25">
      <c r="T3976" s="62" ph="1"/>
    </row>
    <row r="3977" spans="20:20" ht="26.25">
      <c r="T3977" s="62" ph="1"/>
    </row>
    <row r="3978" spans="20:20" ht="26.25">
      <c r="T3978" s="62" ph="1"/>
    </row>
    <row r="3979" spans="20:20" ht="26.25">
      <c r="T3979" s="62" ph="1"/>
    </row>
    <row r="3980" spans="20:20" ht="26.25">
      <c r="T3980" s="62" ph="1"/>
    </row>
    <row r="3981" spans="20:20" ht="26.25">
      <c r="T3981" s="62" ph="1"/>
    </row>
    <row r="3982" spans="20:20" ht="26.25">
      <c r="T3982" s="62" ph="1"/>
    </row>
    <row r="3983" spans="20:20" ht="26.25">
      <c r="T3983" s="62" ph="1"/>
    </row>
    <row r="3984" spans="20:20" ht="26.25">
      <c r="T3984" s="62" ph="1"/>
    </row>
    <row r="3985" spans="20:20" ht="26.25">
      <c r="T3985" s="62" ph="1"/>
    </row>
    <row r="3986" spans="20:20" ht="26.25">
      <c r="T3986" s="62" ph="1"/>
    </row>
    <row r="3987" spans="20:20" ht="26.25">
      <c r="T3987" s="62" ph="1"/>
    </row>
    <row r="3988" spans="20:20" ht="26.25">
      <c r="T3988" s="62" ph="1"/>
    </row>
    <row r="3989" spans="20:20" ht="26.25">
      <c r="T3989" s="62" ph="1"/>
    </row>
    <row r="3990" spans="20:20" ht="26.25">
      <c r="T3990" s="62" ph="1"/>
    </row>
    <row r="3991" spans="20:20" ht="26.25">
      <c r="T3991" s="62" ph="1"/>
    </row>
    <row r="3992" spans="20:20" ht="26.25">
      <c r="T3992" s="62" ph="1"/>
    </row>
    <row r="3993" spans="20:20" ht="26.25">
      <c r="T3993" s="62" ph="1"/>
    </row>
    <row r="3994" spans="20:20" ht="26.25">
      <c r="T3994" s="62" ph="1"/>
    </row>
    <row r="3995" spans="20:20" ht="26.25">
      <c r="T3995" s="62" ph="1"/>
    </row>
    <row r="3996" spans="20:20" ht="26.25">
      <c r="T3996" s="62" ph="1"/>
    </row>
    <row r="3997" spans="20:20" ht="26.25">
      <c r="T3997" s="62" ph="1"/>
    </row>
    <row r="3998" spans="20:20" ht="26.25">
      <c r="T3998" s="62" ph="1"/>
    </row>
    <row r="3999" spans="20:20" ht="26.25">
      <c r="T3999" s="62" ph="1"/>
    </row>
    <row r="4000" spans="20:20" ht="26.25">
      <c r="T4000" s="62" ph="1"/>
    </row>
    <row r="4001" spans="20:20" ht="26.25">
      <c r="T4001" s="62" ph="1"/>
    </row>
    <row r="4002" spans="20:20" ht="26.25">
      <c r="T4002" s="62" ph="1"/>
    </row>
    <row r="4003" spans="20:20" ht="26.25">
      <c r="T4003" s="62" ph="1"/>
    </row>
    <row r="4004" spans="20:20" ht="26.25">
      <c r="T4004" s="62" ph="1"/>
    </row>
    <row r="4005" spans="20:20" ht="26.25">
      <c r="T4005" s="62" ph="1"/>
    </row>
    <row r="4006" spans="20:20" ht="26.25">
      <c r="T4006" s="62" ph="1"/>
    </row>
    <row r="4007" spans="20:20" ht="26.25">
      <c r="T4007" s="62" ph="1"/>
    </row>
    <row r="4008" spans="20:20" ht="26.25">
      <c r="T4008" s="62" ph="1"/>
    </row>
    <row r="4009" spans="20:20" ht="26.25">
      <c r="T4009" s="62" ph="1"/>
    </row>
    <row r="4010" spans="20:20" ht="26.25">
      <c r="T4010" s="62" ph="1"/>
    </row>
    <row r="4011" spans="20:20" ht="26.25">
      <c r="T4011" s="62" ph="1"/>
    </row>
    <row r="4012" spans="20:20" ht="26.25">
      <c r="T4012" s="62" ph="1"/>
    </row>
    <row r="4013" spans="20:20" ht="26.25">
      <c r="T4013" s="62" ph="1"/>
    </row>
    <row r="4014" spans="20:20" ht="26.25">
      <c r="T4014" s="62" ph="1"/>
    </row>
    <row r="4015" spans="20:20" ht="26.25">
      <c r="T4015" s="62" ph="1"/>
    </row>
    <row r="4016" spans="20:20" ht="26.25">
      <c r="T4016" s="62" ph="1"/>
    </row>
    <row r="4017" spans="20:20" ht="26.25">
      <c r="T4017" s="62" ph="1"/>
    </row>
    <row r="4018" spans="20:20" ht="26.25">
      <c r="T4018" s="62" ph="1"/>
    </row>
    <row r="4019" spans="20:20" ht="26.25">
      <c r="T4019" s="62" ph="1"/>
    </row>
    <row r="4020" spans="20:20" ht="26.25">
      <c r="T4020" s="62" ph="1"/>
    </row>
    <row r="4021" spans="20:20" ht="26.25">
      <c r="T4021" s="62" ph="1"/>
    </row>
    <row r="4022" spans="20:20" ht="26.25">
      <c r="T4022" s="62" ph="1"/>
    </row>
    <row r="4023" spans="20:20" ht="26.25">
      <c r="T4023" s="62" ph="1"/>
    </row>
    <row r="4024" spans="20:20" ht="26.25">
      <c r="T4024" s="62" ph="1"/>
    </row>
    <row r="4025" spans="20:20" ht="26.25">
      <c r="T4025" s="62" ph="1"/>
    </row>
    <row r="4026" spans="20:20" ht="26.25">
      <c r="T4026" s="62" ph="1"/>
    </row>
    <row r="4027" spans="20:20" ht="26.25">
      <c r="T4027" s="62" ph="1"/>
    </row>
    <row r="4028" spans="20:20" ht="26.25">
      <c r="T4028" s="62" ph="1"/>
    </row>
    <row r="4029" spans="20:20" ht="26.25">
      <c r="T4029" s="62" ph="1"/>
    </row>
    <row r="4030" spans="20:20" ht="26.25">
      <c r="T4030" s="62" ph="1"/>
    </row>
    <row r="4031" spans="20:20" ht="26.25">
      <c r="T4031" s="62" ph="1"/>
    </row>
    <row r="4032" spans="20:20" ht="26.25">
      <c r="T4032" s="62" ph="1"/>
    </row>
    <row r="4033" spans="20:20" ht="26.25">
      <c r="T4033" s="62" ph="1"/>
    </row>
    <row r="4034" spans="20:20" ht="26.25">
      <c r="T4034" s="62" ph="1"/>
    </row>
    <row r="4035" spans="20:20" ht="26.25">
      <c r="T4035" s="62" ph="1"/>
    </row>
    <row r="4036" spans="20:20" ht="26.25">
      <c r="T4036" s="62" ph="1"/>
    </row>
    <row r="4037" spans="20:20" ht="26.25">
      <c r="T4037" s="62" ph="1"/>
    </row>
    <row r="4038" spans="20:20" ht="26.25">
      <c r="T4038" s="62" ph="1"/>
    </row>
    <row r="4039" spans="20:20" ht="26.25">
      <c r="T4039" s="62" ph="1"/>
    </row>
    <row r="4040" spans="20:20" ht="26.25">
      <c r="T4040" s="62" ph="1"/>
    </row>
    <row r="4041" spans="20:20" ht="26.25">
      <c r="T4041" s="62" ph="1"/>
    </row>
    <row r="4042" spans="20:20" ht="26.25">
      <c r="T4042" s="62" ph="1"/>
    </row>
    <row r="4043" spans="20:20" ht="26.25">
      <c r="T4043" s="62" ph="1"/>
    </row>
    <row r="4044" spans="20:20" ht="26.25">
      <c r="T4044" s="62" ph="1"/>
    </row>
    <row r="4045" spans="20:20" ht="26.25">
      <c r="T4045" s="62" ph="1"/>
    </row>
    <row r="4046" spans="20:20" ht="26.25">
      <c r="T4046" s="62" ph="1"/>
    </row>
    <row r="4047" spans="20:20" ht="26.25">
      <c r="T4047" s="62" ph="1"/>
    </row>
    <row r="4048" spans="20:20" ht="26.25">
      <c r="T4048" s="62" ph="1"/>
    </row>
    <row r="4049" spans="20:20" ht="26.25">
      <c r="T4049" s="62" ph="1"/>
    </row>
    <row r="4050" spans="20:20" ht="26.25">
      <c r="T4050" s="62" ph="1"/>
    </row>
    <row r="4051" spans="20:20" ht="26.25">
      <c r="T4051" s="62" ph="1"/>
    </row>
    <row r="4052" spans="20:20" ht="26.25">
      <c r="T4052" s="62" ph="1"/>
    </row>
    <row r="4053" spans="20:20" ht="26.25">
      <c r="T4053" s="62" ph="1"/>
    </row>
    <row r="4054" spans="20:20" ht="26.25">
      <c r="T4054" s="62" ph="1"/>
    </row>
    <row r="4055" spans="20:20" ht="26.25">
      <c r="T4055" s="62" ph="1"/>
    </row>
    <row r="4056" spans="20:20" ht="26.25">
      <c r="T4056" s="62" ph="1"/>
    </row>
    <row r="4057" spans="20:20" ht="26.25">
      <c r="T4057" s="62" ph="1"/>
    </row>
    <row r="4058" spans="20:20" ht="26.25">
      <c r="T4058" s="62" ph="1"/>
    </row>
    <row r="4059" spans="20:20" ht="26.25">
      <c r="T4059" s="62" ph="1"/>
    </row>
    <row r="4060" spans="20:20" ht="26.25">
      <c r="T4060" s="62" ph="1"/>
    </row>
    <row r="4061" spans="20:20" ht="26.25">
      <c r="T4061" s="62" ph="1"/>
    </row>
    <row r="4062" spans="20:20" ht="26.25">
      <c r="T4062" s="62" ph="1"/>
    </row>
    <row r="4063" spans="20:20" ht="26.25">
      <c r="T4063" s="62" ph="1"/>
    </row>
    <row r="4064" spans="20:20" ht="26.25">
      <c r="T4064" s="62" ph="1"/>
    </row>
    <row r="4065" spans="20:20" ht="26.25">
      <c r="T4065" s="62" ph="1"/>
    </row>
    <row r="4066" spans="20:20" ht="26.25">
      <c r="T4066" s="62" ph="1"/>
    </row>
    <row r="4067" spans="20:20" ht="26.25">
      <c r="T4067" s="62" ph="1"/>
    </row>
    <row r="4068" spans="20:20" ht="26.25">
      <c r="T4068" s="62" ph="1"/>
    </row>
    <row r="4069" spans="20:20" ht="26.25">
      <c r="T4069" s="62" ph="1"/>
    </row>
    <row r="4070" spans="20:20" ht="26.25">
      <c r="T4070" s="62" ph="1"/>
    </row>
    <row r="4071" spans="20:20" ht="26.25">
      <c r="T4071" s="62" ph="1"/>
    </row>
    <row r="4072" spans="20:20" ht="26.25">
      <c r="T4072" s="62" ph="1"/>
    </row>
    <row r="4073" spans="20:20" ht="26.25">
      <c r="T4073" s="62" ph="1"/>
    </row>
    <row r="4074" spans="20:20" ht="26.25">
      <c r="T4074" s="62" ph="1"/>
    </row>
    <row r="4075" spans="20:20" ht="26.25">
      <c r="T4075" s="62" ph="1"/>
    </row>
    <row r="4076" spans="20:20" ht="26.25">
      <c r="T4076" s="62" ph="1"/>
    </row>
    <row r="4077" spans="20:20" ht="26.25">
      <c r="T4077" s="62" ph="1"/>
    </row>
    <row r="4078" spans="20:20" ht="26.25">
      <c r="T4078" s="62" ph="1"/>
    </row>
    <row r="4079" spans="20:20" ht="26.25">
      <c r="T4079" s="62" ph="1"/>
    </row>
    <row r="4080" spans="20:20" ht="26.25">
      <c r="T4080" s="62" ph="1"/>
    </row>
    <row r="4081" spans="20:20" ht="26.25">
      <c r="T4081" s="62" ph="1"/>
    </row>
    <row r="4082" spans="20:20" ht="26.25">
      <c r="T4082" s="62" ph="1"/>
    </row>
    <row r="4083" spans="20:20" ht="26.25">
      <c r="T4083" s="62" ph="1"/>
    </row>
    <row r="4084" spans="20:20" ht="26.25">
      <c r="T4084" s="62" ph="1"/>
    </row>
    <row r="4085" spans="20:20" ht="26.25">
      <c r="T4085" s="62" ph="1"/>
    </row>
    <row r="4086" spans="20:20" ht="26.25">
      <c r="T4086" s="62" ph="1"/>
    </row>
    <row r="4087" spans="20:20" ht="26.25">
      <c r="T4087" s="62" ph="1"/>
    </row>
    <row r="4088" spans="20:20" ht="26.25">
      <c r="T4088" s="62" ph="1"/>
    </row>
    <row r="4089" spans="20:20" ht="26.25">
      <c r="T4089" s="62" ph="1"/>
    </row>
    <row r="4090" spans="20:20" ht="26.25">
      <c r="T4090" s="62" ph="1"/>
    </row>
    <row r="4091" spans="20:20" ht="26.25">
      <c r="T4091" s="62" ph="1"/>
    </row>
    <row r="4092" spans="20:20" ht="26.25">
      <c r="T4092" s="62" ph="1"/>
    </row>
    <row r="4093" spans="20:20" ht="26.25">
      <c r="T4093" s="62" ph="1"/>
    </row>
    <row r="4094" spans="20:20" ht="26.25">
      <c r="T4094" s="62" ph="1"/>
    </row>
    <row r="4095" spans="20:20" ht="26.25">
      <c r="T4095" s="62" ph="1"/>
    </row>
    <row r="4096" spans="20:20" ht="26.25">
      <c r="T4096" s="62" ph="1"/>
    </row>
    <row r="4097" spans="20:20" ht="26.25">
      <c r="T4097" s="62" ph="1"/>
    </row>
    <row r="4098" spans="20:20" ht="26.25">
      <c r="T4098" s="62" ph="1"/>
    </row>
    <row r="4099" spans="20:20" ht="26.25">
      <c r="T4099" s="62" ph="1"/>
    </row>
    <row r="4100" spans="20:20" ht="26.25">
      <c r="T4100" s="62" ph="1"/>
    </row>
    <row r="4101" spans="20:20" ht="26.25">
      <c r="T4101" s="62" ph="1"/>
    </row>
    <row r="4102" spans="20:20" ht="26.25">
      <c r="T4102" s="62" ph="1"/>
    </row>
    <row r="4103" spans="20:20" ht="26.25">
      <c r="T4103" s="62" ph="1"/>
    </row>
    <row r="4104" spans="20:20" ht="26.25">
      <c r="T4104" s="62" ph="1"/>
    </row>
    <row r="4105" spans="20:20" ht="26.25">
      <c r="T4105" s="62" ph="1"/>
    </row>
    <row r="4106" spans="20:20" ht="26.25">
      <c r="T4106" s="62" ph="1"/>
    </row>
    <row r="4107" spans="20:20" ht="26.25">
      <c r="T4107" s="62" ph="1"/>
    </row>
    <row r="4108" spans="20:20" ht="26.25">
      <c r="T4108" s="62" ph="1"/>
    </row>
    <row r="4109" spans="20:20" ht="26.25">
      <c r="T4109" s="62" ph="1"/>
    </row>
    <row r="4110" spans="20:20" ht="26.25">
      <c r="T4110" s="62" ph="1"/>
    </row>
    <row r="4111" spans="20:20" ht="26.25">
      <c r="T4111" s="62" ph="1"/>
    </row>
    <row r="4112" spans="20:20" ht="26.25">
      <c r="T4112" s="62" ph="1"/>
    </row>
    <row r="4113" spans="20:20" ht="26.25">
      <c r="T4113" s="62" ph="1"/>
    </row>
    <row r="4114" spans="20:20" ht="26.25">
      <c r="T4114" s="62" ph="1"/>
    </row>
    <row r="4115" spans="20:20" ht="26.25">
      <c r="T4115" s="62" ph="1"/>
    </row>
    <row r="4116" spans="20:20" ht="26.25">
      <c r="T4116" s="62" ph="1"/>
    </row>
    <row r="4117" spans="20:20" ht="26.25">
      <c r="T4117" s="62" ph="1"/>
    </row>
    <row r="4118" spans="20:20" ht="26.25">
      <c r="T4118" s="62" ph="1"/>
    </row>
    <row r="4119" spans="20:20" ht="26.25">
      <c r="T4119" s="62" ph="1"/>
    </row>
    <row r="4120" spans="20:20" ht="26.25">
      <c r="T4120" s="62" ph="1"/>
    </row>
    <row r="4121" spans="20:20" ht="26.25">
      <c r="T4121" s="62" ph="1"/>
    </row>
    <row r="4122" spans="20:20" ht="26.25">
      <c r="T4122" s="62" ph="1"/>
    </row>
    <row r="4123" spans="20:20" ht="26.25">
      <c r="T4123" s="62" ph="1"/>
    </row>
    <row r="4124" spans="20:20" ht="26.25">
      <c r="T4124" s="62" ph="1"/>
    </row>
    <row r="4125" spans="20:20" ht="26.25">
      <c r="T4125" s="62" ph="1"/>
    </row>
    <row r="4126" spans="20:20" ht="26.25">
      <c r="T4126" s="62" ph="1"/>
    </row>
    <row r="4127" spans="20:20" ht="26.25">
      <c r="T4127" s="62" ph="1"/>
    </row>
    <row r="4128" spans="20:20" ht="26.25">
      <c r="T4128" s="62" ph="1"/>
    </row>
    <row r="4129" spans="20:20" ht="26.25">
      <c r="T4129" s="62" ph="1"/>
    </row>
    <row r="4130" spans="20:20" ht="26.25">
      <c r="T4130" s="62" ph="1"/>
    </row>
    <row r="4131" spans="20:20" ht="26.25">
      <c r="T4131" s="62" ph="1"/>
    </row>
    <row r="4132" spans="20:20" ht="26.25">
      <c r="T4132" s="62" ph="1"/>
    </row>
    <row r="4133" spans="20:20" ht="26.25">
      <c r="T4133" s="62" ph="1"/>
    </row>
    <row r="4134" spans="20:20" ht="26.25">
      <c r="T4134" s="62" ph="1"/>
    </row>
    <row r="4135" spans="20:20" ht="26.25">
      <c r="T4135" s="62" ph="1"/>
    </row>
    <row r="4136" spans="20:20" ht="26.25">
      <c r="T4136" s="62" ph="1"/>
    </row>
    <row r="4137" spans="20:20" ht="26.25">
      <c r="T4137" s="62" ph="1"/>
    </row>
    <row r="4138" spans="20:20" ht="26.25">
      <c r="T4138" s="62" ph="1"/>
    </row>
    <row r="4139" spans="20:20" ht="26.25">
      <c r="T4139" s="62" ph="1"/>
    </row>
    <row r="4140" spans="20:20" ht="26.25">
      <c r="T4140" s="62" ph="1"/>
    </row>
    <row r="4141" spans="20:20" ht="26.25">
      <c r="T4141" s="62" ph="1"/>
    </row>
    <row r="4142" spans="20:20" ht="26.25">
      <c r="T4142" s="62" ph="1"/>
    </row>
    <row r="4143" spans="20:20" ht="26.25">
      <c r="T4143" s="62" ph="1"/>
    </row>
    <row r="4144" spans="20:20" ht="26.25">
      <c r="T4144" s="62" ph="1"/>
    </row>
    <row r="4145" spans="20:20" ht="26.25">
      <c r="T4145" s="62" ph="1"/>
    </row>
    <row r="4146" spans="20:20" ht="26.25">
      <c r="T4146" s="62" ph="1"/>
    </row>
    <row r="4147" spans="20:20" ht="26.25">
      <c r="T4147" s="62" ph="1"/>
    </row>
    <row r="4148" spans="20:20" ht="26.25">
      <c r="T4148" s="62" ph="1"/>
    </row>
    <row r="4149" spans="20:20" ht="26.25">
      <c r="T4149" s="62" ph="1"/>
    </row>
    <row r="4150" spans="20:20" ht="26.25">
      <c r="T4150" s="62" ph="1"/>
    </row>
    <row r="4151" spans="20:20" ht="26.25">
      <c r="T4151" s="62" ph="1"/>
    </row>
    <row r="4152" spans="20:20" ht="26.25">
      <c r="T4152" s="62" ph="1"/>
    </row>
    <row r="4153" spans="20:20" ht="26.25">
      <c r="T4153" s="62" ph="1"/>
    </row>
    <row r="4154" spans="20:20" ht="26.25">
      <c r="T4154" s="62" ph="1"/>
    </row>
    <row r="4155" spans="20:20" ht="26.25">
      <c r="T4155" s="62" ph="1"/>
    </row>
    <row r="4156" spans="20:20" ht="26.25">
      <c r="T4156" s="62" ph="1"/>
    </row>
    <row r="4157" spans="20:20" ht="26.25">
      <c r="T4157" s="62" ph="1"/>
    </row>
    <row r="4158" spans="20:20" ht="26.25">
      <c r="T4158" s="62" ph="1"/>
    </row>
    <row r="4159" spans="20:20" ht="26.25">
      <c r="T4159" s="62" ph="1"/>
    </row>
    <row r="4160" spans="20:20" ht="26.25">
      <c r="T4160" s="62" ph="1"/>
    </row>
    <row r="4161" spans="20:20" ht="26.25">
      <c r="T4161" s="62" ph="1"/>
    </row>
    <row r="4162" spans="20:20" ht="26.25">
      <c r="T4162" s="62" ph="1"/>
    </row>
    <row r="4163" spans="20:20" ht="26.25">
      <c r="T4163" s="62" ph="1"/>
    </row>
    <row r="4164" spans="20:20" ht="26.25">
      <c r="T4164" s="62" ph="1"/>
    </row>
    <row r="4165" spans="20:20" ht="26.25">
      <c r="T4165" s="62" ph="1"/>
    </row>
    <row r="4166" spans="20:20" ht="26.25">
      <c r="T4166" s="62" ph="1"/>
    </row>
    <row r="4167" spans="20:20" ht="26.25">
      <c r="T4167" s="62" ph="1"/>
    </row>
    <row r="4168" spans="20:20" ht="26.25">
      <c r="T4168" s="62" ph="1"/>
    </row>
    <row r="4169" spans="20:20" ht="26.25">
      <c r="T4169" s="62" ph="1"/>
    </row>
    <row r="4170" spans="20:20" ht="26.25">
      <c r="T4170" s="62" ph="1"/>
    </row>
    <row r="4171" spans="20:20" ht="26.25">
      <c r="T4171" s="62" ph="1"/>
    </row>
    <row r="4172" spans="20:20" ht="26.25">
      <c r="T4172" s="62" ph="1"/>
    </row>
    <row r="4173" spans="20:20" ht="26.25">
      <c r="T4173" s="62" ph="1"/>
    </row>
    <row r="4174" spans="20:20" ht="26.25">
      <c r="T4174" s="62" ph="1"/>
    </row>
    <row r="4175" spans="20:20" ht="26.25">
      <c r="T4175" s="62" ph="1"/>
    </row>
    <row r="4176" spans="20:20" ht="26.25">
      <c r="T4176" s="62" ph="1"/>
    </row>
    <row r="4177" spans="20:20" ht="26.25">
      <c r="T4177" s="62" ph="1"/>
    </row>
    <row r="4178" spans="20:20" ht="26.25">
      <c r="T4178" s="62" ph="1"/>
    </row>
    <row r="4179" spans="20:20" ht="26.25">
      <c r="T4179" s="62" ph="1"/>
    </row>
    <row r="4180" spans="20:20" ht="26.25">
      <c r="T4180" s="62" ph="1"/>
    </row>
    <row r="4181" spans="20:20" ht="26.25">
      <c r="T4181" s="62" ph="1"/>
    </row>
    <row r="4182" spans="20:20" ht="26.25">
      <c r="T4182" s="62" ph="1"/>
    </row>
    <row r="4183" spans="20:20" ht="26.25">
      <c r="T4183" s="62" ph="1"/>
    </row>
    <row r="4184" spans="20:20" ht="26.25">
      <c r="T4184" s="62" ph="1"/>
    </row>
    <row r="4185" spans="20:20" ht="26.25">
      <c r="T4185" s="62" ph="1"/>
    </row>
    <row r="4186" spans="20:20" ht="26.25">
      <c r="T4186" s="62" ph="1"/>
    </row>
    <row r="4187" spans="20:20" ht="26.25">
      <c r="T4187" s="62" ph="1"/>
    </row>
    <row r="4188" spans="20:20" ht="26.25">
      <c r="T4188" s="62" ph="1"/>
    </row>
    <row r="4189" spans="20:20" ht="26.25">
      <c r="T4189" s="62" ph="1"/>
    </row>
    <row r="4190" spans="20:20" ht="26.25">
      <c r="T4190" s="62" ph="1"/>
    </row>
    <row r="4191" spans="20:20" ht="26.25">
      <c r="T4191" s="62" ph="1"/>
    </row>
    <row r="4192" spans="20:20" ht="26.25">
      <c r="T4192" s="62" ph="1"/>
    </row>
    <row r="4193" spans="20:20" ht="26.25">
      <c r="T4193" s="62" ph="1"/>
    </row>
    <row r="4194" spans="20:20" ht="26.25">
      <c r="T4194" s="62" ph="1"/>
    </row>
    <row r="4195" spans="20:20" ht="26.25">
      <c r="T4195" s="62" ph="1"/>
    </row>
    <row r="4196" spans="20:20" ht="26.25">
      <c r="T4196" s="62" ph="1"/>
    </row>
    <row r="4197" spans="20:20" ht="26.25">
      <c r="T4197" s="62" ph="1"/>
    </row>
    <row r="4198" spans="20:20" ht="26.25">
      <c r="T4198" s="62" ph="1"/>
    </row>
    <row r="4199" spans="20:20" ht="26.25">
      <c r="T4199" s="62" ph="1"/>
    </row>
    <row r="4200" spans="20:20" ht="26.25">
      <c r="T4200" s="62" ph="1"/>
    </row>
    <row r="4201" spans="20:20" ht="26.25">
      <c r="T4201" s="62" ph="1"/>
    </row>
    <row r="4202" spans="20:20" ht="26.25">
      <c r="T4202" s="62" ph="1"/>
    </row>
    <row r="4203" spans="20:20" ht="26.25">
      <c r="T4203" s="62" ph="1"/>
    </row>
    <row r="4204" spans="20:20" ht="26.25">
      <c r="T4204" s="62" ph="1"/>
    </row>
    <row r="4205" spans="20:20" ht="26.25">
      <c r="T4205" s="62" ph="1"/>
    </row>
    <row r="4206" spans="20:20" ht="26.25">
      <c r="T4206" s="62" ph="1"/>
    </row>
    <row r="4207" spans="20:20" ht="26.25">
      <c r="T4207" s="62" ph="1"/>
    </row>
    <row r="4208" spans="20:20" ht="26.25">
      <c r="T4208" s="62" ph="1"/>
    </row>
    <row r="4209" spans="20:20" ht="26.25">
      <c r="T4209" s="62" ph="1"/>
    </row>
    <row r="4210" spans="20:20" ht="26.25">
      <c r="T4210" s="62" ph="1"/>
    </row>
    <row r="4211" spans="20:20" ht="26.25">
      <c r="T4211" s="62" ph="1"/>
    </row>
    <row r="4212" spans="20:20" ht="26.25">
      <c r="T4212" s="62" ph="1"/>
    </row>
    <row r="4213" spans="20:20" ht="26.25">
      <c r="T4213" s="62" ph="1"/>
    </row>
    <row r="4214" spans="20:20" ht="26.25">
      <c r="T4214" s="62" ph="1"/>
    </row>
    <row r="4215" spans="20:20" ht="26.25">
      <c r="T4215" s="62" ph="1"/>
    </row>
    <row r="4216" spans="20:20" ht="26.25">
      <c r="T4216" s="62" ph="1"/>
    </row>
    <row r="4217" spans="20:20" ht="26.25">
      <c r="T4217" s="62" ph="1"/>
    </row>
    <row r="4218" spans="20:20" ht="26.25">
      <c r="T4218" s="62" ph="1"/>
    </row>
    <row r="4219" spans="20:20" ht="26.25">
      <c r="T4219" s="62" ph="1"/>
    </row>
    <row r="4220" spans="20:20" ht="26.25">
      <c r="T4220" s="62" ph="1"/>
    </row>
    <row r="4221" spans="20:20" ht="26.25">
      <c r="T4221" s="62" ph="1"/>
    </row>
    <row r="4222" spans="20:20" ht="26.25">
      <c r="T4222" s="62" ph="1"/>
    </row>
    <row r="4223" spans="20:20" ht="26.25">
      <c r="T4223" s="62" ph="1"/>
    </row>
    <row r="4224" spans="20:20" ht="26.25">
      <c r="T4224" s="62" ph="1"/>
    </row>
    <row r="4225" spans="20:20" ht="26.25">
      <c r="T4225" s="62" ph="1"/>
    </row>
    <row r="4226" spans="20:20" ht="26.25">
      <c r="T4226" s="62" ph="1"/>
    </row>
    <row r="4227" spans="20:20" ht="26.25">
      <c r="T4227" s="62" ph="1"/>
    </row>
    <row r="4228" spans="20:20" ht="26.25">
      <c r="T4228" s="62" ph="1"/>
    </row>
    <row r="4229" spans="20:20" ht="26.25">
      <c r="T4229" s="62" ph="1"/>
    </row>
    <row r="4230" spans="20:20" ht="26.25">
      <c r="T4230" s="62" ph="1"/>
    </row>
    <row r="4231" spans="20:20" ht="26.25">
      <c r="T4231" s="62" ph="1"/>
    </row>
    <row r="4232" spans="20:20" ht="26.25">
      <c r="T4232" s="62" ph="1"/>
    </row>
    <row r="4233" spans="20:20" ht="26.25">
      <c r="T4233" s="62" ph="1"/>
    </row>
    <row r="4234" spans="20:20" ht="26.25">
      <c r="T4234" s="62" ph="1"/>
    </row>
    <row r="4235" spans="20:20" ht="26.25">
      <c r="T4235" s="62" ph="1"/>
    </row>
    <row r="4236" spans="20:20" ht="26.25">
      <c r="T4236" s="62" ph="1"/>
    </row>
    <row r="4237" spans="20:20" ht="26.25">
      <c r="T4237" s="62" ph="1"/>
    </row>
    <row r="4238" spans="20:20" ht="26.25">
      <c r="T4238" s="62" ph="1"/>
    </row>
    <row r="4239" spans="20:20" ht="26.25">
      <c r="T4239" s="62" ph="1"/>
    </row>
    <row r="4240" spans="20:20" ht="26.25">
      <c r="T4240" s="62" ph="1"/>
    </row>
    <row r="4241" spans="20:20" ht="26.25">
      <c r="T4241" s="62" ph="1"/>
    </row>
    <row r="4242" spans="20:20" ht="26.25">
      <c r="T4242" s="62" ph="1"/>
    </row>
    <row r="4243" spans="20:20" ht="26.25">
      <c r="T4243" s="62" ph="1"/>
    </row>
    <row r="4244" spans="20:20" ht="26.25">
      <c r="T4244" s="62" ph="1"/>
    </row>
    <row r="4245" spans="20:20" ht="26.25">
      <c r="T4245" s="62" ph="1"/>
    </row>
    <row r="4246" spans="20:20" ht="26.25">
      <c r="T4246" s="62" ph="1"/>
    </row>
    <row r="4247" spans="20:20" ht="26.25">
      <c r="T4247" s="62" ph="1"/>
    </row>
    <row r="4248" spans="20:20" ht="26.25">
      <c r="T4248" s="62" ph="1"/>
    </row>
    <row r="4249" spans="20:20" ht="26.25">
      <c r="T4249" s="62" ph="1"/>
    </row>
    <row r="4250" spans="20:20" ht="26.25">
      <c r="T4250" s="62" ph="1"/>
    </row>
    <row r="4251" spans="20:20" ht="26.25">
      <c r="T4251" s="62" ph="1"/>
    </row>
    <row r="4252" spans="20:20" ht="26.25">
      <c r="T4252" s="62" ph="1"/>
    </row>
    <row r="4253" spans="20:20" ht="26.25">
      <c r="T4253" s="62" ph="1"/>
    </row>
    <row r="4254" spans="20:20" ht="26.25">
      <c r="T4254" s="62" ph="1"/>
    </row>
    <row r="4255" spans="20:20" ht="26.25">
      <c r="T4255" s="62" ph="1"/>
    </row>
    <row r="4256" spans="20:20" ht="26.25">
      <c r="T4256" s="62" ph="1"/>
    </row>
    <row r="4257" spans="20:20" ht="26.25">
      <c r="T4257" s="62" ph="1"/>
    </row>
    <row r="4258" spans="20:20" ht="26.25">
      <c r="T4258" s="62" ph="1"/>
    </row>
    <row r="4259" spans="20:20" ht="26.25">
      <c r="T4259" s="62" ph="1"/>
    </row>
    <row r="4260" spans="20:20" ht="26.25">
      <c r="T4260" s="62" ph="1"/>
    </row>
    <row r="4261" spans="20:20" ht="26.25">
      <c r="T4261" s="62" ph="1"/>
    </row>
    <row r="4262" spans="20:20" ht="26.25">
      <c r="T4262" s="62" ph="1"/>
    </row>
    <row r="4263" spans="20:20" ht="26.25">
      <c r="T4263" s="62" ph="1"/>
    </row>
    <row r="4264" spans="20:20" ht="26.25">
      <c r="T4264" s="62" ph="1"/>
    </row>
    <row r="4265" spans="20:20" ht="26.25">
      <c r="T4265" s="62" ph="1"/>
    </row>
    <row r="4266" spans="20:20" ht="26.25">
      <c r="T4266" s="62" ph="1"/>
    </row>
    <row r="4267" spans="20:20" ht="26.25">
      <c r="T4267" s="62" ph="1"/>
    </row>
    <row r="4268" spans="20:20" ht="26.25">
      <c r="T4268" s="62" ph="1"/>
    </row>
    <row r="4269" spans="20:20" ht="26.25">
      <c r="T4269" s="62" ph="1"/>
    </row>
    <row r="4270" spans="20:20" ht="26.25">
      <c r="T4270" s="62" ph="1"/>
    </row>
    <row r="4271" spans="20:20" ht="26.25">
      <c r="T4271" s="62" ph="1"/>
    </row>
    <row r="4272" spans="20:20" ht="26.25">
      <c r="T4272" s="62" ph="1"/>
    </row>
    <row r="4273" spans="20:20" ht="26.25">
      <c r="T4273" s="62" ph="1"/>
    </row>
    <row r="4274" spans="20:20" ht="26.25">
      <c r="T4274" s="62" ph="1"/>
    </row>
    <row r="4275" spans="20:20" ht="26.25">
      <c r="T4275" s="62" ph="1"/>
    </row>
    <row r="4276" spans="20:20" ht="26.25">
      <c r="T4276" s="62" ph="1"/>
    </row>
    <row r="4277" spans="20:20" ht="26.25">
      <c r="T4277" s="62" ph="1"/>
    </row>
    <row r="4278" spans="20:20" ht="26.25">
      <c r="T4278" s="62" ph="1"/>
    </row>
    <row r="4279" spans="20:20" ht="26.25">
      <c r="T4279" s="62" ph="1"/>
    </row>
    <row r="4280" spans="20:20" ht="26.25">
      <c r="T4280" s="62" ph="1"/>
    </row>
    <row r="4281" spans="20:20" ht="26.25">
      <c r="T4281" s="62" ph="1"/>
    </row>
    <row r="4282" spans="20:20" ht="26.25">
      <c r="T4282" s="62" ph="1"/>
    </row>
    <row r="4283" spans="20:20" ht="26.25">
      <c r="T4283" s="62" ph="1"/>
    </row>
    <row r="4284" spans="20:20" ht="26.25">
      <c r="T4284" s="62" ph="1"/>
    </row>
    <row r="4285" spans="20:20" ht="26.25">
      <c r="T4285" s="62" ph="1"/>
    </row>
    <row r="4286" spans="20:20" ht="26.25">
      <c r="T4286" s="62" ph="1"/>
    </row>
    <row r="4287" spans="20:20" ht="26.25">
      <c r="T4287" s="62" ph="1"/>
    </row>
    <row r="4288" spans="20:20" ht="26.25">
      <c r="T4288" s="62" ph="1"/>
    </row>
    <row r="4289" spans="20:20" ht="26.25">
      <c r="T4289" s="62" ph="1"/>
    </row>
    <row r="4290" spans="20:20" ht="26.25">
      <c r="T4290" s="62" ph="1"/>
    </row>
    <row r="4291" spans="20:20" ht="26.25">
      <c r="T4291" s="62" ph="1"/>
    </row>
    <row r="4292" spans="20:20" ht="26.25">
      <c r="T4292" s="62" ph="1"/>
    </row>
    <row r="4293" spans="20:20" ht="26.25">
      <c r="T4293" s="62" ph="1"/>
    </row>
    <row r="4294" spans="20:20" ht="26.25">
      <c r="T4294" s="62" ph="1"/>
    </row>
    <row r="4295" spans="20:20" ht="26.25">
      <c r="T4295" s="62" ph="1"/>
    </row>
    <row r="4296" spans="20:20" ht="26.25">
      <c r="T4296" s="62" ph="1"/>
    </row>
    <row r="4297" spans="20:20" ht="26.25">
      <c r="T4297" s="62" ph="1"/>
    </row>
    <row r="4298" spans="20:20" ht="26.25">
      <c r="T4298" s="62" ph="1"/>
    </row>
    <row r="4299" spans="20:20" ht="26.25">
      <c r="T4299" s="62" ph="1"/>
    </row>
    <row r="4300" spans="20:20" ht="26.25">
      <c r="T4300" s="62" ph="1"/>
    </row>
    <row r="4301" spans="20:20" ht="26.25">
      <c r="T4301" s="62" ph="1"/>
    </row>
    <row r="4302" spans="20:20" ht="26.25">
      <c r="T4302" s="62" ph="1"/>
    </row>
    <row r="4303" spans="20:20" ht="26.25">
      <c r="T4303" s="62" ph="1"/>
    </row>
    <row r="4304" spans="20:20" ht="26.25">
      <c r="T4304" s="62" ph="1"/>
    </row>
    <row r="4305" spans="20:20" ht="26.25">
      <c r="T4305" s="62" ph="1"/>
    </row>
    <row r="4306" spans="20:20" ht="26.25">
      <c r="T4306" s="62" ph="1"/>
    </row>
    <row r="4307" spans="20:20" ht="26.25">
      <c r="T4307" s="62" ph="1"/>
    </row>
    <row r="4308" spans="20:20" ht="26.25">
      <c r="T4308" s="62" ph="1"/>
    </row>
    <row r="4309" spans="20:20" ht="26.25">
      <c r="T4309" s="62" ph="1"/>
    </row>
    <row r="4310" spans="20:20" ht="26.25">
      <c r="T4310" s="62" ph="1"/>
    </row>
    <row r="4311" spans="20:20" ht="26.25">
      <c r="T4311" s="62" ph="1"/>
    </row>
    <row r="4312" spans="20:20" ht="26.25">
      <c r="T4312" s="62" ph="1"/>
    </row>
    <row r="4313" spans="20:20" ht="26.25">
      <c r="T4313" s="62" ph="1"/>
    </row>
    <row r="4314" spans="20:20" ht="26.25">
      <c r="T4314" s="62" ph="1"/>
    </row>
    <row r="4315" spans="20:20" ht="26.25">
      <c r="T4315" s="62" ph="1"/>
    </row>
    <row r="4316" spans="20:20" ht="26.25">
      <c r="T4316" s="62" ph="1"/>
    </row>
    <row r="4317" spans="20:20" ht="26.25">
      <c r="T4317" s="62" ph="1"/>
    </row>
    <row r="4318" spans="20:20" ht="26.25">
      <c r="T4318" s="62" ph="1"/>
    </row>
    <row r="4319" spans="20:20" ht="26.25">
      <c r="T4319" s="62" ph="1"/>
    </row>
    <row r="4320" spans="20:20" ht="26.25">
      <c r="T4320" s="62" ph="1"/>
    </row>
    <row r="4321" spans="20:20" ht="26.25">
      <c r="T4321" s="62" ph="1"/>
    </row>
    <row r="4322" spans="20:20" ht="26.25">
      <c r="T4322" s="62" ph="1"/>
    </row>
    <row r="4323" spans="20:20" ht="26.25">
      <c r="T4323" s="62" ph="1"/>
    </row>
    <row r="4324" spans="20:20" ht="26.25">
      <c r="T4324" s="62" ph="1"/>
    </row>
    <row r="4325" spans="20:20" ht="26.25">
      <c r="T4325" s="62" ph="1"/>
    </row>
    <row r="4326" spans="20:20" ht="26.25">
      <c r="T4326" s="62" ph="1"/>
    </row>
    <row r="4327" spans="20:20" ht="26.25">
      <c r="T4327" s="62" ph="1"/>
    </row>
    <row r="4328" spans="20:20" ht="26.25">
      <c r="T4328" s="62" ph="1"/>
    </row>
    <row r="4329" spans="20:20" ht="26.25">
      <c r="T4329" s="62" ph="1"/>
    </row>
    <row r="4330" spans="20:20" ht="26.25">
      <c r="T4330" s="62" ph="1"/>
    </row>
    <row r="4331" spans="20:20" ht="26.25">
      <c r="T4331" s="62" ph="1"/>
    </row>
    <row r="4332" spans="20:20" ht="26.25">
      <c r="T4332" s="62" ph="1"/>
    </row>
    <row r="4333" spans="20:20" ht="26.25">
      <c r="T4333" s="62" ph="1"/>
    </row>
    <row r="4334" spans="20:20" ht="26.25">
      <c r="T4334" s="62" ph="1"/>
    </row>
    <row r="4335" spans="20:20" ht="26.25">
      <c r="T4335" s="62" ph="1"/>
    </row>
    <row r="4336" spans="20:20" ht="26.25">
      <c r="T4336" s="62" ph="1"/>
    </row>
    <row r="4337" spans="20:20" ht="26.25">
      <c r="T4337" s="62" ph="1"/>
    </row>
    <row r="4338" spans="20:20" ht="26.25">
      <c r="T4338" s="62" ph="1"/>
    </row>
    <row r="4339" spans="20:20" ht="26.25">
      <c r="T4339" s="62" ph="1"/>
    </row>
    <row r="4340" spans="20:20" ht="26.25">
      <c r="T4340" s="62" ph="1"/>
    </row>
    <row r="4341" spans="20:20" ht="26.25">
      <c r="T4341" s="62" ph="1"/>
    </row>
    <row r="4342" spans="20:20" ht="26.25">
      <c r="T4342" s="62" ph="1"/>
    </row>
    <row r="4343" spans="20:20" ht="26.25">
      <c r="T4343" s="62" ph="1"/>
    </row>
    <row r="4344" spans="20:20" ht="26.25">
      <c r="T4344" s="62" ph="1"/>
    </row>
    <row r="4345" spans="20:20" ht="26.25">
      <c r="T4345" s="62" ph="1"/>
    </row>
    <row r="4346" spans="20:20" ht="26.25">
      <c r="T4346" s="62" ph="1"/>
    </row>
    <row r="4347" spans="20:20" ht="26.25">
      <c r="T4347" s="62" ph="1"/>
    </row>
    <row r="4348" spans="20:20" ht="26.25">
      <c r="T4348" s="62" ph="1"/>
    </row>
    <row r="4349" spans="20:20" ht="26.25">
      <c r="T4349" s="62" ph="1"/>
    </row>
    <row r="4350" spans="20:20" ht="26.25">
      <c r="T4350" s="62" ph="1"/>
    </row>
    <row r="4351" spans="20:20" ht="26.25">
      <c r="T4351" s="62" ph="1"/>
    </row>
    <row r="4352" spans="20:20" ht="26.25">
      <c r="T4352" s="62" ph="1"/>
    </row>
    <row r="4353" spans="20:20" ht="26.25">
      <c r="T4353" s="62" ph="1"/>
    </row>
    <row r="4354" spans="20:20" ht="26.25">
      <c r="T4354" s="62" ph="1"/>
    </row>
    <row r="4355" spans="20:20" ht="26.25">
      <c r="T4355" s="62" ph="1"/>
    </row>
    <row r="4356" spans="20:20" ht="26.25">
      <c r="T4356" s="62" ph="1"/>
    </row>
    <row r="4357" spans="20:20" ht="26.25">
      <c r="T4357" s="62" ph="1"/>
    </row>
    <row r="4358" spans="20:20" ht="26.25">
      <c r="T4358" s="62" ph="1"/>
    </row>
    <row r="4359" spans="20:20" ht="26.25">
      <c r="T4359" s="62" ph="1"/>
    </row>
    <row r="4360" spans="20:20" ht="26.25">
      <c r="T4360" s="62" ph="1"/>
    </row>
    <row r="4361" spans="20:20" ht="26.25">
      <c r="T4361" s="62" ph="1"/>
    </row>
    <row r="4362" spans="20:20" ht="26.25">
      <c r="T4362" s="62" ph="1"/>
    </row>
    <row r="4363" spans="20:20" ht="26.25">
      <c r="T4363" s="62" ph="1"/>
    </row>
    <row r="4364" spans="20:20" ht="26.25">
      <c r="T4364" s="62" ph="1"/>
    </row>
    <row r="4365" spans="20:20" ht="26.25">
      <c r="T4365" s="62" ph="1"/>
    </row>
    <row r="4366" spans="20:20" ht="26.25">
      <c r="T4366" s="62" ph="1"/>
    </row>
    <row r="4367" spans="20:20" ht="26.25">
      <c r="T4367" s="62" ph="1"/>
    </row>
    <row r="4368" spans="20:20" ht="26.25">
      <c r="T4368" s="62" ph="1"/>
    </row>
    <row r="4369" spans="20:20" ht="26.25">
      <c r="T4369" s="62" ph="1"/>
    </row>
    <row r="4370" spans="20:20" ht="26.25">
      <c r="T4370" s="62" ph="1"/>
    </row>
    <row r="4371" spans="20:20" ht="26.25">
      <c r="T4371" s="62" ph="1"/>
    </row>
    <row r="4372" spans="20:20" ht="26.25">
      <c r="T4372" s="62" ph="1"/>
    </row>
    <row r="4373" spans="20:20" ht="26.25">
      <c r="T4373" s="62" ph="1"/>
    </row>
    <row r="4374" spans="20:20" ht="26.25">
      <c r="T4374" s="62" ph="1"/>
    </row>
    <row r="4375" spans="20:20" ht="26.25">
      <c r="T4375" s="62" ph="1"/>
    </row>
    <row r="4376" spans="20:20" ht="26.25">
      <c r="T4376" s="62" ph="1"/>
    </row>
    <row r="4377" spans="20:20" ht="26.25">
      <c r="T4377" s="62" ph="1"/>
    </row>
    <row r="4378" spans="20:20" ht="26.25">
      <c r="T4378" s="62" ph="1"/>
    </row>
    <row r="4379" spans="20:20" ht="26.25">
      <c r="T4379" s="62" ph="1"/>
    </row>
    <row r="4380" spans="20:20" ht="26.25">
      <c r="T4380" s="62" ph="1"/>
    </row>
    <row r="4381" spans="20:20" ht="26.25">
      <c r="T4381" s="62" ph="1"/>
    </row>
    <row r="4382" spans="20:20" ht="26.25">
      <c r="T4382" s="62" ph="1"/>
    </row>
    <row r="4383" spans="20:20" ht="26.25">
      <c r="T4383" s="62" ph="1"/>
    </row>
    <row r="4384" spans="20:20" ht="26.25">
      <c r="T4384" s="62" ph="1"/>
    </row>
    <row r="4385" spans="20:20" ht="26.25">
      <c r="T4385" s="62" ph="1"/>
    </row>
    <row r="4386" spans="20:20" ht="26.25">
      <c r="T4386" s="62" ph="1"/>
    </row>
    <row r="4387" spans="20:20" ht="26.25">
      <c r="T4387" s="62" ph="1"/>
    </row>
    <row r="4388" spans="20:20" ht="26.25">
      <c r="T4388" s="62" ph="1"/>
    </row>
    <row r="4389" spans="20:20" ht="26.25">
      <c r="T4389" s="62" ph="1"/>
    </row>
    <row r="4390" spans="20:20" ht="26.25">
      <c r="T4390" s="62" ph="1"/>
    </row>
    <row r="4391" spans="20:20" ht="26.25">
      <c r="T4391" s="62" ph="1"/>
    </row>
    <row r="4392" spans="20:20" ht="26.25">
      <c r="T4392" s="62" ph="1"/>
    </row>
    <row r="4393" spans="20:20" ht="26.25">
      <c r="T4393" s="62" ph="1"/>
    </row>
    <row r="4394" spans="20:20" ht="26.25">
      <c r="T4394" s="62" ph="1"/>
    </row>
    <row r="4395" spans="20:20" ht="26.25">
      <c r="T4395" s="62" ph="1"/>
    </row>
    <row r="4396" spans="20:20" ht="26.25">
      <c r="T4396" s="62" ph="1"/>
    </row>
    <row r="4397" spans="20:20" ht="26.25">
      <c r="T4397" s="62" ph="1"/>
    </row>
    <row r="4398" spans="20:20" ht="26.25">
      <c r="T4398" s="62" ph="1"/>
    </row>
    <row r="4399" spans="20:20" ht="26.25">
      <c r="T4399" s="62" ph="1"/>
    </row>
    <row r="4400" spans="20:20" ht="26.25">
      <c r="T4400" s="62" ph="1"/>
    </row>
    <row r="4401" spans="20:20" ht="26.25">
      <c r="T4401" s="62" ph="1"/>
    </row>
    <row r="4402" spans="20:20" ht="26.25">
      <c r="T4402" s="62" ph="1"/>
    </row>
    <row r="4403" spans="20:20" ht="26.25">
      <c r="T4403" s="62" ph="1"/>
    </row>
    <row r="4404" spans="20:20" ht="26.25">
      <c r="T4404" s="62" ph="1"/>
    </row>
    <row r="4405" spans="20:20" ht="26.25">
      <c r="T4405" s="62" ph="1"/>
    </row>
    <row r="4406" spans="20:20" ht="26.25">
      <c r="T4406" s="62" ph="1"/>
    </row>
    <row r="4407" spans="20:20" ht="26.25">
      <c r="T4407" s="62" ph="1"/>
    </row>
    <row r="4408" spans="20:20" ht="26.25">
      <c r="T4408" s="62" ph="1"/>
    </row>
    <row r="4409" spans="20:20" ht="26.25">
      <c r="T4409" s="62" ph="1"/>
    </row>
    <row r="4410" spans="20:20" ht="26.25">
      <c r="T4410" s="62" ph="1"/>
    </row>
    <row r="4411" spans="20:20" ht="26.25">
      <c r="T4411" s="62" ph="1"/>
    </row>
    <row r="4412" spans="20:20" ht="26.25">
      <c r="T4412" s="62" ph="1"/>
    </row>
    <row r="4413" spans="20:20" ht="26.25">
      <c r="T4413" s="62" ph="1"/>
    </row>
    <row r="4414" spans="20:20" ht="26.25">
      <c r="T4414" s="62" ph="1"/>
    </row>
    <row r="4415" spans="20:20" ht="26.25">
      <c r="T4415" s="62" ph="1"/>
    </row>
    <row r="4416" spans="20:20" ht="26.25">
      <c r="T4416" s="62" ph="1"/>
    </row>
    <row r="4417" spans="20:20" ht="26.25">
      <c r="T4417" s="62" ph="1"/>
    </row>
    <row r="4418" spans="20:20" ht="26.25">
      <c r="T4418" s="62" ph="1"/>
    </row>
    <row r="4419" spans="20:20" ht="26.25">
      <c r="T4419" s="62" ph="1"/>
    </row>
    <row r="4420" spans="20:20" ht="26.25">
      <c r="T4420" s="62" ph="1"/>
    </row>
    <row r="4421" spans="20:20" ht="26.25">
      <c r="T4421" s="62" ph="1"/>
    </row>
    <row r="4422" spans="20:20" ht="26.25">
      <c r="T4422" s="62" ph="1"/>
    </row>
    <row r="4423" spans="20:20" ht="26.25">
      <c r="T4423" s="62" ph="1"/>
    </row>
    <row r="4424" spans="20:20" ht="26.25">
      <c r="T4424" s="62" ph="1"/>
    </row>
    <row r="4425" spans="20:20" ht="26.25">
      <c r="T4425" s="62" ph="1"/>
    </row>
    <row r="4426" spans="20:20" ht="26.25">
      <c r="T4426" s="62" ph="1"/>
    </row>
    <row r="4427" spans="20:20" ht="26.25">
      <c r="T4427" s="62" ph="1"/>
    </row>
    <row r="4428" spans="20:20" ht="26.25">
      <c r="T4428" s="62" ph="1"/>
    </row>
    <row r="4429" spans="20:20" ht="26.25">
      <c r="T4429" s="62" ph="1"/>
    </row>
    <row r="4430" spans="20:20" ht="26.25">
      <c r="T4430" s="62" ph="1"/>
    </row>
    <row r="4431" spans="20:20" ht="26.25">
      <c r="T4431" s="62" ph="1"/>
    </row>
    <row r="4432" spans="20:20" ht="26.25">
      <c r="T4432" s="62" ph="1"/>
    </row>
    <row r="4433" spans="20:20" ht="26.25">
      <c r="T4433" s="62" ph="1"/>
    </row>
    <row r="4434" spans="20:20" ht="26.25">
      <c r="T4434" s="62" ph="1"/>
    </row>
    <row r="4435" spans="20:20" ht="26.25">
      <c r="T4435" s="62" ph="1"/>
    </row>
    <row r="4436" spans="20:20" ht="26.25">
      <c r="T4436" s="62" ph="1"/>
    </row>
    <row r="4437" spans="20:20" ht="26.25">
      <c r="T4437" s="62" ph="1"/>
    </row>
    <row r="4438" spans="20:20" ht="26.25">
      <c r="T4438" s="62" ph="1"/>
    </row>
    <row r="4439" spans="20:20" ht="26.25">
      <c r="T4439" s="62" ph="1"/>
    </row>
    <row r="4440" spans="20:20" ht="26.25">
      <c r="T4440" s="62" ph="1"/>
    </row>
    <row r="4441" spans="20:20" ht="26.25">
      <c r="T4441" s="62" ph="1"/>
    </row>
    <row r="4442" spans="20:20" ht="26.25">
      <c r="T4442" s="62" ph="1"/>
    </row>
    <row r="4443" spans="20:20" ht="26.25">
      <c r="T4443" s="62" ph="1"/>
    </row>
    <row r="4444" spans="20:20" ht="26.25">
      <c r="T4444" s="62" ph="1"/>
    </row>
    <row r="4445" spans="20:20" ht="26.25">
      <c r="T4445" s="62" ph="1"/>
    </row>
    <row r="4446" spans="20:20" ht="26.25">
      <c r="T4446" s="62" ph="1"/>
    </row>
    <row r="4447" spans="20:20" ht="26.25">
      <c r="T4447" s="62" ph="1"/>
    </row>
    <row r="4448" spans="20:20" ht="26.25">
      <c r="T4448" s="62" ph="1"/>
    </row>
    <row r="4449" spans="20:20" ht="26.25">
      <c r="T4449" s="62" ph="1"/>
    </row>
    <row r="4450" spans="20:20" ht="26.25">
      <c r="T4450" s="62" ph="1"/>
    </row>
    <row r="4451" spans="20:20" ht="26.25">
      <c r="T4451" s="62" ph="1"/>
    </row>
    <row r="4452" spans="20:20" ht="26.25">
      <c r="T4452" s="62" ph="1"/>
    </row>
    <row r="4453" spans="20:20" ht="26.25">
      <c r="T4453" s="62" ph="1"/>
    </row>
    <row r="4454" spans="20:20" ht="26.25">
      <c r="T4454" s="62" ph="1"/>
    </row>
    <row r="4455" spans="20:20" ht="26.25">
      <c r="T4455" s="62" ph="1"/>
    </row>
    <row r="4456" spans="20:20" ht="26.25">
      <c r="T4456" s="62" ph="1"/>
    </row>
    <row r="4457" spans="20:20" ht="26.25">
      <c r="T4457" s="62" ph="1"/>
    </row>
    <row r="4458" spans="20:20" ht="26.25">
      <c r="T4458" s="62" ph="1"/>
    </row>
    <row r="4459" spans="20:20" ht="26.25">
      <c r="T4459" s="62" ph="1"/>
    </row>
    <row r="4460" spans="20:20" ht="26.25">
      <c r="T4460" s="62" ph="1"/>
    </row>
    <row r="4461" spans="20:20" ht="26.25">
      <c r="T4461" s="62" ph="1"/>
    </row>
    <row r="4462" spans="20:20" ht="26.25">
      <c r="T4462" s="62" ph="1"/>
    </row>
    <row r="4463" spans="20:20" ht="26.25">
      <c r="T4463" s="62" ph="1"/>
    </row>
    <row r="4464" spans="20:20" ht="26.25">
      <c r="T4464" s="62" ph="1"/>
    </row>
    <row r="4465" spans="20:20" ht="26.25">
      <c r="T4465" s="62" ph="1"/>
    </row>
    <row r="4466" spans="20:20" ht="26.25">
      <c r="T4466" s="62" ph="1"/>
    </row>
    <row r="4467" spans="20:20" ht="26.25">
      <c r="T4467" s="62" ph="1"/>
    </row>
    <row r="4468" spans="20:20" ht="26.25">
      <c r="T4468" s="62" ph="1"/>
    </row>
    <row r="4469" spans="20:20" ht="26.25">
      <c r="T4469" s="62" ph="1"/>
    </row>
    <row r="4470" spans="20:20" ht="26.25">
      <c r="T4470" s="62" ph="1"/>
    </row>
    <row r="4471" spans="20:20" ht="26.25">
      <c r="T4471" s="62" ph="1"/>
    </row>
    <row r="4472" spans="20:20" ht="26.25">
      <c r="T4472" s="62" ph="1"/>
    </row>
    <row r="4473" spans="20:20" ht="26.25">
      <c r="T4473" s="62" ph="1"/>
    </row>
    <row r="4474" spans="20:20" ht="26.25">
      <c r="T4474" s="62" ph="1"/>
    </row>
    <row r="4475" spans="20:20" ht="26.25">
      <c r="T4475" s="62" ph="1"/>
    </row>
    <row r="4476" spans="20:20" ht="26.25">
      <c r="T4476" s="62" ph="1"/>
    </row>
    <row r="4477" spans="20:20" ht="26.25">
      <c r="T4477" s="62" ph="1"/>
    </row>
    <row r="4478" spans="20:20" ht="26.25">
      <c r="T4478" s="62" ph="1"/>
    </row>
    <row r="4479" spans="20:20" ht="26.25">
      <c r="T4479" s="62" ph="1"/>
    </row>
    <row r="4480" spans="20:20" ht="26.25">
      <c r="T4480" s="62" ph="1"/>
    </row>
    <row r="4481" spans="20:20" ht="26.25">
      <c r="T4481" s="62" ph="1"/>
    </row>
    <row r="4482" spans="20:20" ht="26.25">
      <c r="T4482" s="62" ph="1"/>
    </row>
    <row r="4483" spans="20:20" ht="26.25">
      <c r="T4483" s="62" ph="1"/>
    </row>
    <row r="4484" spans="20:20" ht="26.25">
      <c r="T4484" s="62" ph="1"/>
    </row>
    <row r="4485" spans="20:20" ht="26.25">
      <c r="T4485" s="62" ph="1"/>
    </row>
    <row r="4486" spans="20:20" ht="26.25">
      <c r="T4486" s="62" ph="1"/>
    </row>
    <row r="4487" spans="20:20" ht="26.25">
      <c r="T4487" s="62" ph="1"/>
    </row>
    <row r="4488" spans="20:20" ht="26.25">
      <c r="T4488" s="62" ph="1"/>
    </row>
    <row r="4489" spans="20:20" ht="26.25">
      <c r="T4489" s="62" ph="1"/>
    </row>
    <row r="4490" spans="20:20" ht="26.25">
      <c r="T4490" s="62" ph="1"/>
    </row>
    <row r="4491" spans="20:20" ht="26.25">
      <c r="T4491" s="62" ph="1"/>
    </row>
    <row r="4492" spans="20:20" ht="26.25">
      <c r="T4492" s="62" ph="1"/>
    </row>
    <row r="4493" spans="20:20" ht="26.25">
      <c r="T4493" s="62" ph="1"/>
    </row>
    <row r="4494" spans="20:20" ht="26.25">
      <c r="T4494" s="62" ph="1"/>
    </row>
    <row r="4495" spans="20:20" ht="26.25">
      <c r="T4495" s="62" ph="1"/>
    </row>
    <row r="4496" spans="20:20" ht="26.25">
      <c r="T4496" s="62" ph="1"/>
    </row>
    <row r="4497" spans="20:20" ht="26.25">
      <c r="T4497" s="62" ph="1"/>
    </row>
    <row r="4498" spans="20:20" ht="26.25">
      <c r="T4498" s="62" ph="1"/>
    </row>
    <row r="4499" spans="20:20" ht="26.25">
      <c r="T4499" s="62" ph="1"/>
    </row>
    <row r="4500" spans="20:20" ht="26.25">
      <c r="T4500" s="62" ph="1"/>
    </row>
    <row r="4501" spans="20:20" ht="26.25">
      <c r="T4501" s="62" ph="1"/>
    </row>
    <row r="4502" spans="20:20" ht="26.25">
      <c r="T4502" s="62" ph="1"/>
    </row>
    <row r="4503" spans="20:20" ht="26.25">
      <c r="T4503" s="62" ph="1"/>
    </row>
    <row r="4504" spans="20:20" ht="26.25">
      <c r="T4504" s="62" ph="1"/>
    </row>
    <row r="4505" spans="20:20" ht="26.25">
      <c r="T4505" s="62" ph="1"/>
    </row>
    <row r="4506" spans="20:20" ht="26.25">
      <c r="T4506" s="62" ph="1"/>
    </row>
    <row r="4507" spans="20:20" ht="26.25">
      <c r="T4507" s="62" ph="1"/>
    </row>
    <row r="4508" spans="20:20" ht="26.25">
      <c r="T4508" s="62" ph="1"/>
    </row>
    <row r="4509" spans="20:20" ht="26.25">
      <c r="T4509" s="62" ph="1"/>
    </row>
    <row r="4510" spans="20:20" ht="26.25">
      <c r="T4510" s="62" ph="1"/>
    </row>
    <row r="4511" spans="20:20" ht="26.25">
      <c r="T4511" s="62" ph="1"/>
    </row>
    <row r="4512" spans="20:20" ht="26.25">
      <c r="T4512" s="62" ph="1"/>
    </row>
    <row r="4513" spans="20:20" ht="26.25">
      <c r="T4513" s="62" ph="1"/>
    </row>
    <row r="4514" spans="20:20" ht="26.25">
      <c r="T4514" s="62" ph="1"/>
    </row>
    <row r="4515" spans="20:20" ht="26.25">
      <c r="T4515" s="62" ph="1"/>
    </row>
    <row r="4516" spans="20:20" ht="26.25">
      <c r="T4516" s="62" ph="1"/>
    </row>
    <row r="4517" spans="20:20" ht="26.25">
      <c r="T4517" s="62" ph="1"/>
    </row>
    <row r="4518" spans="20:20" ht="26.25">
      <c r="T4518" s="62" ph="1"/>
    </row>
    <row r="4519" spans="20:20" ht="26.25">
      <c r="T4519" s="62" ph="1"/>
    </row>
    <row r="4520" spans="20:20" ht="26.25">
      <c r="T4520" s="62" ph="1"/>
    </row>
    <row r="4521" spans="20:20" ht="26.25">
      <c r="T4521" s="62" ph="1"/>
    </row>
    <row r="4522" spans="20:20" ht="26.25">
      <c r="T4522" s="62" ph="1"/>
    </row>
    <row r="4523" spans="20:20" ht="26.25">
      <c r="T4523" s="62" ph="1"/>
    </row>
    <row r="4524" spans="20:20" ht="26.25">
      <c r="T4524" s="62" ph="1"/>
    </row>
    <row r="4525" spans="20:20" ht="26.25">
      <c r="T4525" s="62" ph="1"/>
    </row>
    <row r="4526" spans="20:20" ht="26.25">
      <c r="T4526" s="62" ph="1"/>
    </row>
    <row r="4527" spans="20:20" ht="26.25">
      <c r="T4527" s="62" ph="1"/>
    </row>
    <row r="4528" spans="20:20" ht="26.25">
      <c r="T4528" s="62" ph="1"/>
    </row>
    <row r="4529" spans="20:20" ht="26.25">
      <c r="T4529" s="62" ph="1"/>
    </row>
    <row r="4530" spans="20:20" ht="26.25">
      <c r="T4530" s="62" ph="1"/>
    </row>
    <row r="4531" spans="20:20" ht="26.25">
      <c r="T4531" s="62" ph="1"/>
    </row>
    <row r="4532" spans="20:20" ht="26.25">
      <c r="T4532" s="62" ph="1"/>
    </row>
    <row r="4533" spans="20:20" ht="26.25">
      <c r="T4533" s="62" ph="1"/>
    </row>
    <row r="4534" spans="20:20" ht="26.25">
      <c r="T4534" s="62" ph="1"/>
    </row>
    <row r="4535" spans="20:20" ht="26.25">
      <c r="T4535" s="62" ph="1"/>
    </row>
    <row r="4536" spans="20:20" ht="26.25">
      <c r="T4536" s="62" ph="1"/>
    </row>
    <row r="4537" spans="20:20" ht="26.25">
      <c r="T4537" s="62" ph="1"/>
    </row>
    <row r="4538" spans="20:20" ht="26.25">
      <c r="T4538" s="62" ph="1"/>
    </row>
    <row r="4539" spans="20:20" ht="26.25">
      <c r="T4539" s="62" ph="1"/>
    </row>
    <row r="4540" spans="20:20" ht="26.25">
      <c r="T4540" s="62" ph="1"/>
    </row>
    <row r="4541" spans="20:20" ht="26.25">
      <c r="T4541" s="62" ph="1"/>
    </row>
    <row r="4542" spans="20:20" ht="26.25">
      <c r="T4542" s="62" ph="1"/>
    </row>
    <row r="4543" spans="20:20" ht="26.25">
      <c r="T4543" s="62" ph="1"/>
    </row>
    <row r="4544" spans="20:20" ht="26.25">
      <c r="T4544" s="62" ph="1"/>
    </row>
    <row r="4545" spans="20:20" ht="26.25">
      <c r="T4545" s="62" ph="1"/>
    </row>
    <row r="4546" spans="20:20" ht="26.25">
      <c r="T4546" s="62" ph="1"/>
    </row>
    <row r="4547" spans="20:20" ht="26.25">
      <c r="T4547" s="62" ph="1"/>
    </row>
    <row r="4548" spans="20:20" ht="26.25">
      <c r="T4548" s="62" ph="1"/>
    </row>
    <row r="4549" spans="20:20" ht="26.25">
      <c r="T4549" s="62" ph="1"/>
    </row>
    <row r="4550" spans="20:20" ht="26.25">
      <c r="T4550" s="62" ph="1"/>
    </row>
    <row r="4551" spans="20:20" ht="26.25">
      <c r="T4551" s="62" ph="1"/>
    </row>
    <row r="4552" spans="20:20" ht="26.25">
      <c r="T4552" s="62" ph="1"/>
    </row>
    <row r="4553" spans="20:20" ht="26.25">
      <c r="T4553" s="62" ph="1"/>
    </row>
    <row r="4554" spans="20:20" ht="26.25">
      <c r="T4554" s="62" ph="1"/>
    </row>
    <row r="4555" spans="20:20" ht="26.25">
      <c r="T4555" s="62" ph="1"/>
    </row>
    <row r="4556" spans="20:20" ht="26.25">
      <c r="T4556" s="62" ph="1"/>
    </row>
    <row r="4557" spans="20:20" ht="26.25">
      <c r="T4557" s="62" ph="1"/>
    </row>
    <row r="4558" spans="20:20" ht="26.25">
      <c r="T4558" s="62" ph="1"/>
    </row>
    <row r="4559" spans="20:20" ht="26.25">
      <c r="T4559" s="62" ph="1"/>
    </row>
    <row r="4560" spans="20:20" ht="26.25">
      <c r="T4560" s="62" ph="1"/>
    </row>
    <row r="4561" spans="20:20" ht="26.25">
      <c r="T4561" s="62" ph="1"/>
    </row>
    <row r="4562" spans="20:20" ht="26.25">
      <c r="T4562" s="62" ph="1"/>
    </row>
    <row r="4563" spans="20:20" ht="26.25">
      <c r="T4563" s="62" ph="1"/>
    </row>
    <row r="4564" spans="20:20" ht="26.25">
      <c r="T4564" s="62" ph="1"/>
    </row>
    <row r="4565" spans="20:20" ht="26.25">
      <c r="T4565" s="62" ph="1"/>
    </row>
    <row r="4566" spans="20:20" ht="26.25">
      <c r="T4566" s="62" ph="1"/>
    </row>
    <row r="4567" spans="20:20" ht="26.25">
      <c r="T4567" s="62" ph="1"/>
    </row>
    <row r="4568" spans="20:20" ht="26.25">
      <c r="T4568" s="62" ph="1"/>
    </row>
    <row r="4569" spans="20:20" ht="26.25">
      <c r="T4569" s="62" ph="1"/>
    </row>
    <row r="4570" spans="20:20" ht="26.25">
      <c r="T4570" s="62" ph="1"/>
    </row>
    <row r="4571" spans="20:20" ht="26.25">
      <c r="T4571" s="62" ph="1"/>
    </row>
    <row r="4572" spans="20:20" ht="26.25">
      <c r="T4572" s="62" ph="1"/>
    </row>
    <row r="4573" spans="20:20" ht="26.25">
      <c r="T4573" s="62" ph="1"/>
    </row>
    <row r="4574" spans="20:20" ht="26.25">
      <c r="T4574" s="62" ph="1"/>
    </row>
    <row r="4575" spans="20:20" ht="26.25">
      <c r="T4575" s="62" ph="1"/>
    </row>
    <row r="4576" spans="20:20" ht="26.25">
      <c r="T4576" s="62" ph="1"/>
    </row>
    <row r="4577" spans="20:20" ht="26.25">
      <c r="T4577" s="62" ph="1"/>
    </row>
    <row r="4578" spans="20:20" ht="26.25">
      <c r="T4578" s="62" ph="1"/>
    </row>
    <row r="4579" spans="20:20" ht="26.25">
      <c r="T4579" s="62" ph="1"/>
    </row>
    <row r="4580" spans="20:20" ht="26.25">
      <c r="T4580" s="62" ph="1"/>
    </row>
    <row r="4581" spans="20:20" ht="26.25">
      <c r="T4581" s="62" ph="1"/>
    </row>
    <row r="4582" spans="20:20" ht="26.25">
      <c r="T4582" s="62" ph="1"/>
    </row>
    <row r="4583" spans="20:20" ht="26.25">
      <c r="T4583" s="62" ph="1"/>
    </row>
    <row r="4584" spans="20:20" ht="26.25">
      <c r="T4584" s="62" ph="1"/>
    </row>
    <row r="4585" spans="20:20" ht="26.25">
      <c r="T4585" s="62" ph="1"/>
    </row>
    <row r="4586" spans="20:20" ht="26.25">
      <c r="T4586" s="62" ph="1"/>
    </row>
    <row r="4587" spans="20:20" ht="26.25">
      <c r="T4587" s="62" ph="1"/>
    </row>
    <row r="4588" spans="20:20" ht="26.25">
      <c r="T4588" s="62" ph="1"/>
    </row>
    <row r="4589" spans="20:20" ht="26.25">
      <c r="T4589" s="62" ph="1"/>
    </row>
    <row r="4590" spans="20:20" ht="26.25">
      <c r="T4590" s="62" ph="1"/>
    </row>
    <row r="4591" spans="20:20" ht="26.25">
      <c r="T4591" s="62" ph="1"/>
    </row>
    <row r="4592" spans="20:20" ht="26.25">
      <c r="T4592" s="62" ph="1"/>
    </row>
    <row r="4593" spans="20:20" ht="26.25">
      <c r="T4593" s="62" ph="1"/>
    </row>
    <row r="4594" spans="20:20" ht="26.25">
      <c r="T4594" s="62" ph="1"/>
    </row>
    <row r="4595" spans="20:20" ht="26.25">
      <c r="T4595" s="62" ph="1"/>
    </row>
    <row r="4596" spans="20:20" ht="26.25">
      <c r="T4596" s="62" ph="1"/>
    </row>
    <row r="4597" spans="20:20" ht="26.25">
      <c r="T4597" s="62" ph="1"/>
    </row>
    <row r="4598" spans="20:20" ht="26.25">
      <c r="T4598" s="62" ph="1"/>
    </row>
    <row r="4599" spans="20:20" ht="26.25">
      <c r="T4599" s="62" ph="1"/>
    </row>
    <row r="4600" spans="20:20" ht="26.25">
      <c r="T4600" s="62" ph="1"/>
    </row>
    <row r="4601" spans="20:20" ht="26.25">
      <c r="T4601" s="62" ph="1"/>
    </row>
    <row r="4602" spans="20:20" ht="26.25">
      <c r="T4602" s="62" ph="1"/>
    </row>
    <row r="4603" spans="20:20" ht="26.25">
      <c r="T4603" s="62" ph="1"/>
    </row>
    <row r="4604" spans="20:20" ht="26.25">
      <c r="T4604" s="62" ph="1"/>
    </row>
    <row r="4605" spans="20:20" ht="26.25">
      <c r="T4605" s="62" ph="1"/>
    </row>
    <row r="4606" spans="20:20" ht="26.25">
      <c r="T4606" s="62" ph="1"/>
    </row>
    <row r="4607" spans="20:20" ht="26.25">
      <c r="T4607" s="62" ph="1"/>
    </row>
    <row r="4608" spans="20:20" ht="26.25">
      <c r="T4608" s="62" ph="1"/>
    </row>
    <row r="4609" spans="20:20" ht="26.25">
      <c r="T4609" s="62" ph="1"/>
    </row>
    <row r="4610" spans="20:20" ht="26.25">
      <c r="T4610" s="62" ph="1"/>
    </row>
    <row r="4611" spans="20:20" ht="26.25">
      <c r="T4611" s="62" ph="1"/>
    </row>
    <row r="4612" spans="20:20" ht="26.25">
      <c r="T4612" s="62" ph="1"/>
    </row>
    <row r="4613" spans="20:20" ht="26.25">
      <c r="T4613" s="62" ph="1"/>
    </row>
    <row r="4614" spans="20:20" ht="26.25">
      <c r="T4614" s="62" ph="1"/>
    </row>
    <row r="4615" spans="20:20" ht="26.25">
      <c r="T4615" s="62" ph="1"/>
    </row>
    <row r="4616" spans="20:20" ht="26.25">
      <c r="T4616" s="62" ph="1"/>
    </row>
    <row r="4617" spans="20:20" ht="26.25">
      <c r="T4617" s="62" ph="1"/>
    </row>
    <row r="4618" spans="20:20" ht="26.25">
      <c r="T4618" s="62" ph="1"/>
    </row>
    <row r="4619" spans="20:20" ht="26.25">
      <c r="T4619" s="62" ph="1"/>
    </row>
    <row r="4620" spans="20:20" ht="26.25">
      <c r="T4620" s="62" ph="1"/>
    </row>
    <row r="4621" spans="20:20" ht="26.25">
      <c r="T4621" s="62" ph="1"/>
    </row>
    <row r="4622" spans="20:20" ht="26.25">
      <c r="T4622" s="62" ph="1"/>
    </row>
    <row r="4623" spans="20:20" ht="26.25">
      <c r="T4623" s="62" ph="1"/>
    </row>
    <row r="4624" spans="20:20" ht="26.25">
      <c r="T4624" s="62" ph="1"/>
    </row>
    <row r="4625" spans="20:20" ht="26.25">
      <c r="T4625" s="62" ph="1"/>
    </row>
    <row r="4626" spans="20:20" ht="26.25">
      <c r="T4626" s="62" ph="1"/>
    </row>
    <row r="4627" spans="20:20" ht="26.25">
      <c r="T4627" s="62" ph="1"/>
    </row>
    <row r="4628" spans="20:20" ht="26.25">
      <c r="T4628" s="62" ph="1"/>
    </row>
    <row r="4629" spans="20:20" ht="26.25">
      <c r="T4629" s="62" ph="1"/>
    </row>
    <row r="4630" spans="20:20" ht="26.25">
      <c r="T4630" s="62" ph="1"/>
    </row>
    <row r="4631" spans="20:20" ht="26.25">
      <c r="T4631" s="62" ph="1"/>
    </row>
    <row r="4632" spans="20:20" ht="26.25">
      <c r="T4632" s="62" ph="1"/>
    </row>
    <row r="4633" spans="20:20" ht="26.25">
      <c r="T4633" s="62" ph="1"/>
    </row>
    <row r="4634" spans="20:20" ht="26.25">
      <c r="T4634" s="62" ph="1"/>
    </row>
    <row r="4635" spans="20:20" ht="26.25">
      <c r="T4635" s="62" ph="1"/>
    </row>
    <row r="4636" spans="20:20" ht="26.25">
      <c r="T4636" s="62" ph="1"/>
    </row>
    <row r="4637" spans="20:20" ht="26.25">
      <c r="T4637" s="62" ph="1"/>
    </row>
    <row r="4638" spans="20:20" ht="26.25">
      <c r="T4638" s="62" ph="1"/>
    </row>
    <row r="4639" spans="20:20" ht="26.25">
      <c r="T4639" s="62" ph="1"/>
    </row>
    <row r="4640" spans="20:20" ht="26.25">
      <c r="T4640" s="62" ph="1"/>
    </row>
    <row r="4641" spans="20:20" ht="26.25">
      <c r="T4641" s="62" ph="1"/>
    </row>
    <row r="4642" spans="20:20" ht="26.25">
      <c r="T4642" s="62" ph="1"/>
    </row>
    <row r="4643" spans="20:20" ht="26.25">
      <c r="T4643" s="62" ph="1"/>
    </row>
    <row r="4644" spans="20:20" ht="26.25">
      <c r="T4644" s="62" ph="1"/>
    </row>
    <row r="4645" spans="20:20" ht="26.25">
      <c r="T4645" s="62" ph="1"/>
    </row>
    <row r="4646" spans="20:20" ht="26.25">
      <c r="T4646" s="62" ph="1"/>
    </row>
    <row r="4647" spans="20:20" ht="26.25">
      <c r="T4647" s="62" ph="1"/>
    </row>
    <row r="4648" spans="20:20" ht="26.25">
      <c r="T4648" s="62" ph="1"/>
    </row>
    <row r="4649" spans="20:20" ht="26.25">
      <c r="T4649" s="62" ph="1"/>
    </row>
    <row r="4650" spans="20:20" ht="26.25">
      <c r="T4650" s="62" ph="1"/>
    </row>
    <row r="4651" spans="20:20" ht="26.25">
      <c r="T4651" s="62" ph="1"/>
    </row>
    <row r="4652" spans="20:20" ht="26.25">
      <c r="T4652" s="62" ph="1"/>
    </row>
    <row r="4653" spans="20:20" ht="26.25">
      <c r="T4653" s="62" ph="1"/>
    </row>
    <row r="4654" spans="20:20" ht="26.25">
      <c r="T4654" s="62" ph="1"/>
    </row>
    <row r="4655" spans="20:20" ht="26.25">
      <c r="T4655" s="62" ph="1"/>
    </row>
    <row r="4656" spans="20:20" ht="26.25">
      <c r="T4656" s="62" ph="1"/>
    </row>
    <row r="4657" spans="20:20" ht="26.25">
      <c r="T4657" s="62" ph="1"/>
    </row>
    <row r="4658" spans="20:20" ht="26.25">
      <c r="T4658" s="62" ph="1"/>
    </row>
    <row r="4659" spans="20:20" ht="26.25">
      <c r="T4659" s="62" ph="1"/>
    </row>
    <row r="4660" spans="20:20" ht="26.25">
      <c r="T4660" s="62" ph="1"/>
    </row>
    <row r="4661" spans="20:20" ht="26.25">
      <c r="T4661" s="62" ph="1"/>
    </row>
    <row r="4662" spans="20:20" ht="26.25">
      <c r="T4662" s="62" ph="1"/>
    </row>
    <row r="4663" spans="20:20" ht="26.25">
      <c r="T4663" s="62" ph="1"/>
    </row>
    <row r="4664" spans="20:20" ht="26.25">
      <c r="T4664" s="62" ph="1"/>
    </row>
    <row r="4665" spans="20:20" ht="26.25">
      <c r="T4665" s="62" ph="1"/>
    </row>
    <row r="4666" spans="20:20" ht="26.25">
      <c r="T4666" s="62" ph="1"/>
    </row>
    <row r="4667" spans="20:20" ht="26.25">
      <c r="T4667" s="62" ph="1"/>
    </row>
    <row r="4668" spans="20:20" ht="26.25">
      <c r="T4668" s="62" ph="1"/>
    </row>
    <row r="4669" spans="20:20" ht="26.25">
      <c r="T4669" s="62" ph="1"/>
    </row>
    <row r="4670" spans="20:20" ht="26.25">
      <c r="T4670" s="62" ph="1"/>
    </row>
    <row r="4671" spans="20:20" ht="26.25">
      <c r="T4671" s="62" ph="1"/>
    </row>
    <row r="4672" spans="20:20" ht="26.25">
      <c r="T4672" s="62" ph="1"/>
    </row>
    <row r="4673" spans="20:20" ht="26.25">
      <c r="T4673" s="62" ph="1"/>
    </row>
    <row r="4674" spans="20:20" ht="26.25">
      <c r="T4674" s="62" ph="1"/>
    </row>
    <row r="4675" spans="20:20" ht="26.25">
      <c r="T4675" s="62" ph="1"/>
    </row>
    <row r="4676" spans="20:20" ht="26.25">
      <c r="T4676" s="62" ph="1"/>
    </row>
    <row r="4677" spans="20:20" ht="26.25">
      <c r="T4677" s="62" ph="1"/>
    </row>
    <row r="4678" spans="20:20" ht="26.25">
      <c r="T4678" s="62" ph="1"/>
    </row>
    <row r="4679" spans="20:20" ht="26.25">
      <c r="T4679" s="62" ph="1"/>
    </row>
    <row r="4680" spans="20:20" ht="26.25">
      <c r="T4680" s="62" ph="1"/>
    </row>
    <row r="4681" spans="20:20" ht="26.25">
      <c r="T4681" s="62" ph="1"/>
    </row>
    <row r="4682" spans="20:20" ht="26.25">
      <c r="T4682" s="62" ph="1"/>
    </row>
    <row r="4683" spans="20:20" ht="26.25">
      <c r="T4683" s="62" ph="1"/>
    </row>
    <row r="4684" spans="20:20" ht="26.25">
      <c r="T4684" s="62" ph="1"/>
    </row>
    <row r="4685" spans="20:20" ht="26.25">
      <c r="T4685" s="62" ph="1"/>
    </row>
    <row r="4686" spans="20:20" ht="26.25">
      <c r="T4686" s="62" ph="1"/>
    </row>
    <row r="4687" spans="20:20" ht="26.25">
      <c r="T4687" s="62" ph="1"/>
    </row>
    <row r="4688" spans="20:20" ht="26.25">
      <c r="T4688" s="62" ph="1"/>
    </row>
    <row r="4689" spans="20:20" ht="26.25">
      <c r="T4689" s="62" ph="1"/>
    </row>
    <row r="4690" spans="20:20" ht="26.25">
      <c r="T4690" s="62" ph="1"/>
    </row>
    <row r="4691" spans="20:20" ht="26.25">
      <c r="T4691" s="62" ph="1"/>
    </row>
    <row r="4692" spans="20:20" ht="26.25">
      <c r="T4692" s="62" ph="1"/>
    </row>
    <row r="4693" spans="20:20" ht="26.25">
      <c r="T4693" s="62" ph="1"/>
    </row>
    <row r="4694" spans="20:20" ht="26.25">
      <c r="T4694" s="62" ph="1"/>
    </row>
    <row r="4695" spans="20:20" ht="26.25">
      <c r="T4695" s="62" ph="1"/>
    </row>
    <row r="4696" spans="20:20" ht="26.25">
      <c r="T4696" s="62" ph="1"/>
    </row>
    <row r="4697" spans="20:20" ht="26.25">
      <c r="T4697" s="62" ph="1"/>
    </row>
    <row r="4698" spans="20:20" ht="26.25">
      <c r="T4698" s="62" ph="1"/>
    </row>
    <row r="4699" spans="20:20" ht="26.25">
      <c r="T4699" s="62" ph="1"/>
    </row>
    <row r="4700" spans="20:20" ht="26.25">
      <c r="T4700" s="62" ph="1"/>
    </row>
    <row r="4701" spans="20:20" ht="26.25">
      <c r="T4701" s="62" ph="1"/>
    </row>
    <row r="4702" spans="20:20" ht="26.25">
      <c r="T4702" s="62" ph="1"/>
    </row>
    <row r="4703" spans="20:20" ht="26.25">
      <c r="T4703" s="62" ph="1"/>
    </row>
    <row r="4704" spans="20:20" ht="26.25">
      <c r="T4704" s="62" ph="1"/>
    </row>
    <row r="4705" spans="20:20" ht="26.25">
      <c r="T4705" s="62" ph="1"/>
    </row>
    <row r="4706" spans="20:20" ht="26.25">
      <c r="T4706" s="62" ph="1"/>
    </row>
    <row r="4707" spans="20:20" ht="26.25">
      <c r="T4707" s="62" ph="1"/>
    </row>
    <row r="4708" spans="20:20" ht="26.25">
      <c r="T4708" s="62" ph="1"/>
    </row>
    <row r="4709" spans="20:20" ht="26.25">
      <c r="T4709" s="62" ph="1"/>
    </row>
    <row r="4710" spans="20:20" ht="26.25">
      <c r="T4710" s="62" ph="1"/>
    </row>
    <row r="4711" spans="20:20" ht="26.25">
      <c r="T4711" s="62" ph="1"/>
    </row>
    <row r="4712" spans="20:20" ht="26.25">
      <c r="T4712" s="62" ph="1"/>
    </row>
    <row r="4713" spans="20:20" ht="26.25">
      <c r="T4713" s="62" ph="1"/>
    </row>
    <row r="4714" spans="20:20" ht="26.25">
      <c r="T4714" s="62" ph="1"/>
    </row>
    <row r="4715" spans="20:20" ht="26.25">
      <c r="T4715" s="62" ph="1"/>
    </row>
    <row r="4716" spans="20:20" ht="26.25">
      <c r="T4716" s="62" ph="1"/>
    </row>
    <row r="4717" spans="20:20" ht="26.25">
      <c r="T4717" s="62" ph="1"/>
    </row>
    <row r="4718" spans="20:20" ht="26.25">
      <c r="T4718" s="62" ph="1"/>
    </row>
    <row r="4719" spans="20:20" ht="26.25">
      <c r="T4719" s="62" ph="1"/>
    </row>
    <row r="4720" spans="20:20" ht="26.25">
      <c r="T4720" s="62" ph="1"/>
    </row>
    <row r="4721" spans="20:20" ht="26.25">
      <c r="T4721" s="62" ph="1"/>
    </row>
    <row r="4722" spans="20:20" ht="26.25">
      <c r="T4722" s="62" ph="1"/>
    </row>
    <row r="4723" spans="20:20" ht="26.25">
      <c r="T4723" s="62" ph="1"/>
    </row>
    <row r="4724" spans="20:20" ht="26.25">
      <c r="T4724" s="62" ph="1"/>
    </row>
    <row r="4725" spans="20:20" ht="26.25">
      <c r="T4725" s="62" ph="1"/>
    </row>
    <row r="4726" spans="20:20" ht="26.25">
      <c r="T4726" s="62" ph="1"/>
    </row>
    <row r="4727" spans="20:20" ht="26.25">
      <c r="T4727" s="62" ph="1"/>
    </row>
    <row r="4728" spans="20:20" ht="26.25">
      <c r="T4728" s="62" ph="1"/>
    </row>
    <row r="4729" spans="20:20" ht="26.25">
      <c r="T4729" s="62" ph="1"/>
    </row>
    <row r="4730" spans="20:20" ht="26.25">
      <c r="T4730" s="62" ph="1"/>
    </row>
    <row r="4731" spans="20:20" ht="26.25">
      <c r="T4731" s="62" ph="1"/>
    </row>
    <row r="4732" spans="20:20" ht="26.25">
      <c r="T4732" s="62" ph="1"/>
    </row>
    <row r="4733" spans="20:20" ht="26.25">
      <c r="T4733" s="62" ph="1"/>
    </row>
    <row r="4734" spans="20:20" ht="26.25">
      <c r="T4734" s="62" ph="1"/>
    </row>
    <row r="4735" spans="20:20" ht="26.25">
      <c r="T4735" s="62" ph="1"/>
    </row>
    <row r="4736" spans="20:20" ht="26.25">
      <c r="T4736" s="62" ph="1"/>
    </row>
    <row r="4737" spans="20:20" ht="26.25">
      <c r="T4737" s="62" ph="1"/>
    </row>
    <row r="4738" spans="20:20" ht="26.25">
      <c r="T4738" s="62" ph="1"/>
    </row>
    <row r="4739" spans="20:20" ht="26.25">
      <c r="T4739" s="62" ph="1"/>
    </row>
    <row r="4740" spans="20:20" ht="26.25">
      <c r="T4740" s="62" ph="1"/>
    </row>
    <row r="4741" spans="20:20" ht="26.25">
      <c r="T4741" s="62" ph="1"/>
    </row>
    <row r="4742" spans="20:20" ht="26.25">
      <c r="T4742" s="62" ph="1"/>
    </row>
    <row r="4743" spans="20:20" ht="26.25">
      <c r="T4743" s="62" ph="1"/>
    </row>
    <row r="4744" spans="20:20" ht="26.25">
      <c r="T4744" s="62" ph="1"/>
    </row>
    <row r="4745" spans="20:20" ht="26.25">
      <c r="T4745" s="62" ph="1"/>
    </row>
    <row r="4746" spans="20:20" ht="26.25">
      <c r="T4746" s="62" ph="1"/>
    </row>
    <row r="4747" spans="20:20" ht="26.25">
      <c r="T4747" s="62" ph="1"/>
    </row>
    <row r="4748" spans="20:20" ht="26.25">
      <c r="T4748" s="62" ph="1"/>
    </row>
    <row r="4749" spans="20:20" ht="26.25">
      <c r="T4749" s="62" ph="1"/>
    </row>
    <row r="4750" spans="20:20" ht="26.25">
      <c r="T4750" s="62" ph="1"/>
    </row>
    <row r="4751" spans="20:20" ht="26.25">
      <c r="T4751" s="62" ph="1"/>
    </row>
    <row r="4752" spans="20:20" ht="26.25">
      <c r="T4752" s="62" ph="1"/>
    </row>
    <row r="4753" spans="20:20" ht="26.25">
      <c r="T4753" s="62" ph="1"/>
    </row>
    <row r="4754" spans="20:20" ht="26.25">
      <c r="T4754" s="62" ph="1"/>
    </row>
    <row r="4755" spans="20:20" ht="26.25">
      <c r="T4755" s="62" ph="1"/>
    </row>
    <row r="4756" spans="20:20" ht="26.25">
      <c r="T4756" s="62" ph="1"/>
    </row>
    <row r="4757" spans="20:20" ht="26.25">
      <c r="T4757" s="62" ph="1"/>
    </row>
    <row r="4758" spans="20:20" ht="26.25">
      <c r="T4758" s="62" ph="1"/>
    </row>
    <row r="4759" spans="20:20" ht="26.25">
      <c r="T4759" s="62" ph="1"/>
    </row>
    <row r="4760" spans="20:20" ht="26.25">
      <c r="T4760" s="62" ph="1"/>
    </row>
    <row r="4761" spans="20:20" ht="26.25">
      <c r="T4761" s="62" ph="1"/>
    </row>
    <row r="4762" spans="20:20" ht="26.25">
      <c r="T4762" s="62" ph="1"/>
    </row>
    <row r="4763" spans="20:20" ht="26.25">
      <c r="T4763" s="62" ph="1"/>
    </row>
    <row r="4764" spans="20:20" ht="26.25">
      <c r="T4764" s="62" ph="1"/>
    </row>
    <row r="4765" spans="20:20" ht="26.25">
      <c r="T4765" s="62" ph="1"/>
    </row>
    <row r="4766" spans="20:20" ht="26.25">
      <c r="T4766" s="62" ph="1"/>
    </row>
    <row r="4767" spans="20:20" ht="26.25">
      <c r="T4767" s="62" ph="1"/>
    </row>
    <row r="4768" spans="20:20" ht="26.25">
      <c r="T4768" s="62" ph="1"/>
    </row>
    <row r="4769" spans="20:20" ht="26.25">
      <c r="T4769" s="62" ph="1"/>
    </row>
    <row r="4770" spans="20:20" ht="26.25">
      <c r="T4770" s="62" ph="1"/>
    </row>
    <row r="4771" spans="20:20" ht="26.25">
      <c r="T4771" s="62" ph="1"/>
    </row>
    <row r="4772" spans="20:20" ht="26.25">
      <c r="T4772" s="62" ph="1"/>
    </row>
    <row r="4773" spans="20:20" ht="26.25">
      <c r="T4773" s="62" ph="1"/>
    </row>
    <row r="4774" spans="20:20" ht="26.25">
      <c r="T4774" s="62" ph="1"/>
    </row>
    <row r="4775" spans="20:20" ht="26.25">
      <c r="T4775" s="62" ph="1"/>
    </row>
    <row r="4776" spans="20:20" ht="26.25">
      <c r="T4776" s="62" ph="1"/>
    </row>
    <row r="4777" spans="20:20" ht="26.25">
      <c r="T4777" s="62" ph="1"/>
    </row>
    <row r="4778" spans="20:20" ht="26.25">
      <c r="T4778" s="62" ph="1"/>
    </row>
    <row r="4779" spans="20:20" ht="26.25">
      <c r="T4779" s="62" ph="1"/>
    </row>
    <row r="4780" spans="20:20" ht="26.25">
      <c r="T4780" s="62" ph="1"/>
    </row>
    <row r="4781" spans="20:20" ht="26.25">
      <c r="T4781" s="62" ph="1"/>
    </row>
    <row r="4782" spans="20:20" ht="26.25">
      <c r="T4782" s="62" ph="1"/>
    </row>
    <row r="4783" spans="20:20" ht="26.25">
      <c r="T4783" s="62" ph="1"/>
    </row>
    <row r="4784" spans="20:20" ht="26.25">
      <c r="T4784" s="62" ph="1"/>
    </row>
    <row r="4785" spans="20:20" ht="26.25">
      <c r="T4785" s="62" ph="1"/>
    </row>
    <row r="4786" spans="20:20" ht="26.25">
      <c r="T4786" s="62" ph="1"/>
    </row>
    <row r="4787" spans="20:20" ht="26.25">
      <c r="T4787" s="62" ph="1"/>
    </row>
    <row r="4788" spans="20:20" ht="26.25">
      <c r="T4788" s="62" ph="1"/>
    </row>
    <row r="4789" spans="20:20" ht="26.25">
      <c r="T4789" s="62" ph="1"/>
    </row>
    <row r="4790" spans="20:20" ht="26.25">
      <c r="T4790" s="62" ph="1"/>
    </row>
    <row r="4791" spans="20:20" ht="26.25">
      <c r="T4791" s="62" ph="1"/>
    </row>
    <row r="4792" spans="20:20" ht="26.25">
      <c r="T4792" s="62" ph="1"/>
    </row>
    <row r="4793" spans="20:20" ht="26.25">
      <c r="T4793" s="62" ph="1"/>
    </row>
    <row r="4794" spans="20:20" ht="26.25">
      <c r="T4794" s="62" ph="1"/>
    </row>
    <row r="4795" spans="20:20" ht="26.25">
      <c r="T4795" s="62" ph="1"/>
    </row>
    <row r="4796" spans="20:20" ht="26.25">
      <c r="T4796" s="62" ph="1"/>
    </row>
    <row r="4797" spans="20:20" ht="26.25">
      <c r="T4797" s="62" ph="1"/>
    </row>
    <row r="4798" spans="20:20" ht="26.25">
      <c r="T4798" s="62" ph="1"/>
    </row>
    <row r="4799" spans="20:20" ht="26.25">
      <c r="T4799" s="62" ph="1"/>
    </row>
    <row r="4800" spans="20:20" ht="26.25">
      <c r="T4800" s="62" ph="1"/>
    </row>
    <row r="4801" spans="20:20" ht="26.25">
      <c r="T4801" s="62" ph="1"/>
    </row>
    <row r="4802" spans="20:20" ht="26.25">
      <c r="T4802" s="62" ph="1"/>
    </row>
    <row r="4803" spans="20:20" ht="26.25">
      <c r="T4803" s="62" ph="1"/>
    </row>
    <row r="4804" spans="20:20" ht="26.25">
      <c r="T4804" s="62" ph="1"/>
    </row>
    <row r="4805" spans="20:20" ht="26.25">
      <c r="T4805" s="62" ph="1"/>
    </row>
    <row r="4806" spans="20:20" ht="26.25">
      <c r="T4806" s="62" ph="1"/>
    </row>
    <row r="4807" spans="20:20" ht="26.25">
      <c r="T4807" s="62" ph="1"/>
    </row>
    <row r="4808" spans="20:20" ht="26.25">
      <c r="T4808" s="62" ph="1"/>
    </row>
    <row r="4809" spans="20:20" ht="26.25">
      <c r="T4809" s="62" ph="1"/>
    </row>
    <row r="4810" spans="20:20" ht="26.25">
      <c r="T4810" s="62" ph="1"/>
    </row>
    <row r="4811" spans="20:20" ht="26.25">
      <c r="T4811" s="62" ph="1"/>
    </row>
    <row r="4812" spans="20:20" ht="26.25">
      <c r="T4812" s="62" ph="1"/>
    </row>
    <row r="4813" spans="20:20" ht="26.25">
      <c r="T4813" s="62" ph="1"/>
    </row>
    <row r="4814" spans="20:20" ht="26.25">
      <c r="T4814" s="62" ph="1"/>
    </row>
    <row r="4815" spans="20:20" ht="26.25">
      <c r="T4815" s="62" ph="1"/>
    </row>
    <row r="4816" spans="20:20" ht="26.25">
      <c r="T4816" s="62" ph="1"/>
    </row>
    <row r="4817" spans="20:20" ht="26.25">
      <c r="T4817" s="62" ph="1"/>
    </row>
    <row r="4818" spans="20:20" ht="26.25">
      <c r="T4818" s="62" ph="1"/>
    </row>
    <row r="4819" spans="20:20" ht="26.25">
      <c r="T4819" s="62" ph="1"/>
    </row>
    <row r="4820" spans="20:20" ht="26.25">
      <c r="T4820" s="62" ph="1"/>
    </row>
    <row r="4821" spans="20:20" ht="26.25">
      <c r="T4821" s="62" ph="1"/>
    </row>
    <row r="4822" spans="20:20" ht="26.25">
      <c r="T4822" s="62" ph="1"/>
    </row>
    <row r="4823" spans="20:20" ht="26.25">
      <c r="T4823" s="62" ph="1"/>
    </row>
    <row r="4824" spans="20:20" ht="26.25">
      <c r="T4824" s="62" ph="1"/>
    </row>
    <row r="4825" spans="20:20" ht="26.25">
      <c r="T4825" s="62" ph="1"/>
    </row>
    <row r="4826" spans="20:20" ht="26.25">
      <c r="T4826" s="62" ph="1"/>
    </row>
    <row r="4827" spans="20:20" ht="26.25">
      <c r="T4827" s="62" ph="1"/>
    </row>
    <row r="4828" spans="20:20" ht="26.25">
      <c r="T4828" s="62" ph="1"/>
    </row>
    <row r="4829" spans="20:20" ht="26.25">
      <c r="T4829" s="62" ph="1"/>
    </row>
    <row r="4830" spans="20:20" ht="26.25">
      <c r="T4830" s="62" ph="1"/>
    </row>
    <row r="4831" spans="20:20" ht="26.25">
      <c r="T4831" s="62" ph="1"/>
    </row>
    <row r="4832" spans="20:20" ht="26.25">
      <c r="T4832" s="62" ph="1"/>
    </row>
    <row r="4833" spans="20:20" ht="26.25">
      <c r="T4833" s="62" ph="1"/>
    </row>
    <row r="4834" spans="20:20" ht="26.25">
      <c r="T4834" s="62" ph="1"/>
    </row>
    <row r="4835" spans="20:20" ht="26.25">
      <c r="T4835" s="62" ph="1"/>
    </row>
    <row r="4836" spans="20:20" ht="26.25">
      <c r="T4836" s="62" ph="1"/>
    </row>
    <row r="4837" spans="20:20" ht="26.25">
      <c r="T4837" s="62" ph="1"/>
    </row>
    <row r="4838" spans="20:20" ht="26.25">
      <c r="T4838" s="62" ph="1"/>
    </row>
    <row r="4839" spans="20:20" ht="26.25">
      <c r="T4839" s="62" ph="1"/>
    </row>
    <row r="4840" spans="20:20" ht="26.25">
      <c r="T4840" s="62" ph="1"/>
    </row>
    <row r="4841" spans="20:20" ht="26.25">
      <c r="T4841" s="62" ph="1"/>
    </row>
    <row r="4842" spans="20:20" ht="26.25">
      <c r="T4842" s="62" ph="1"/>
    </row>
    <row r="4843" spans="20:20" ht="26.25">
      <c r="T4843" s="62" ph="1"/>
    </row>
    <row r="4844" spans="20:20" ht="26.25">
      <c r="T4844" s="62" ph="1"/>
    </row>
    <row r="4845" spans="20:20" ht="26.25">
      <c r="T4845" s="62" ph="1"/>
    </row>
    <row r="4846" spans="20:20" ht="26.25">
      <c r="T4846" s="62" ph="1"/>
    </row>
    <row r="4847" spans="20:20" ht="26.25">
      <c r="T4847" s="62" ph="1"/>
    </row>
    <row r="4848" spans="20:20" ht="26.25">
      <c r="T4848" s="62" ph="1"/>
    </row>
    <row r="4849" spans="20:20" ht="26.25">
      <c r="T4849" s="62" ph="1"/>
    </row>
    <row r="4850" spans="20:20" ht="26.25">
      <c r="T4850" s="62" ph="1"/>
    </row>
    <row r="4851" spans="20:20" ht="26.25">
      <c r="T4851" s="62" ph="1"/>
    </row>
    <row r="4852" spans="20:20" ht="26.25">
      <c r="T4852" s="62" ph="1"/>
    </row>
    <row r="4853" spans="20:20" ht="26.25">
      <c r="T4853" s="62" ph="1"/>
    </row>
    <row r="4854" spans="20:20" ht="26.25">
      <c r="T4854" s="62" ph="1"/>
    </row>
    <row r="4855" spans="20:20" ht="26.25">
      <c r="T4855" s="62" ph="1"/>
    </row>
    <row r="4856" spans="20:20" ht="26.25">
      <c r="T4856" s="62" ph="1"/>
    </row>
    <row r="4857" spans="20:20" ht="26.25">
      <c r="T4857" s="62" ph="1"/>
    </row>
    <row r="4858" spans="20:20" ht="26.25">
      <c r="T4858" s="62" ph="1"/>
    </row>
    <row r="4859" spans="20:20" ht="26.25">
      <c r="T4859" s="62" ph="1"/>
    </row>
    <row r="4860" spans="20:20" ht="26.25">
      <c r="T4860" s="62" ph="1"/>
    </row>
    <row r="4861" spans="20:20" ht="26.25">
      <c r="T4861" s="62" ph="1"/>
    </row>
    <row r="4862" spans="20:20" ht="26.25">
      <c r="T4862" s="62" ph="1"/>
    </row>
    <row r="4863" spans="20:20" ht="26.25">
      <c r="T4863" s="62" ph="1"/>
    </row>
    <row r="4864" spans="20:20" ht="26.25">
      <c r="T4864" s="62" ph="1"/>
    </row>
    <row r="4865" spans="20:20" ht="26.25">
      <c r="T4865" s="62" ph="1"/>
    </row>
    <row r="4866" spans="20:20" ht="26.25">
      <c r="T4866" s="62" ph="1"/>
    </row>
    <row r="4867" spans="20:20" ht="26.25">
      <c r="T4867" s="62" ph="1"/>
    </row>
    <row r="4868" spans="20:20" ht="26.25">
      <c r="T4868" s="62" ph="1"/>
    </row>
    <row r="4869" spans="20:20" ht="26.25">
      <c r="T4869" s="62" ph="1"/>
    </row>
    <row r="4870" spans="20:20" ht="26.25">
      <c r="T4870" s="62" ph="1"/>
    </row>
    <row r="4871" spans="20:20" ht="26.25">
      <c r="T4871" s="62" ph="1"/>
    </row>
    <row r="4872" spans="20:20" ht="26.25">
      <c r="T4872" s="62" ph="1"/>
    </row>
    <row r="4873" spans="20:20" ht="26.25">
      <c r="T4873" s="62" ph="1"/>
    </row>
    <row r="4874" spans="20:20" ht="26.25">
      <c r="T4874" s="62" ph="1"/>
    </row>
    <row r="4875" spans="20:20" ht="26.25">
      <c r="T4875" s="62" ph="1"/>
    </row>
    <row r="4876" spans="20:20" ht="26.25">
      <c r="T4876" s="62" ph="1"/>
    </row>
    <row r="4877" spans="20:20" ht="26.25">
      <c r="T4877" s="62" ph="1"/>
    </row>
    <row r="4878" spans="20:20" ht="26.25">
      <c r="T4878" s="62" ph="1"/>
    </row>
    <row r="4879" spans="20:20" ht="26.25">
      <c r="T4879" s="62" ph="1"/>
    </row>
    <row r="4880" spans="20:20" ht="26.25">
      <c r="T4880" s="62" ph="1"/>
    </row>
    <row r="4881" spans="20:20" ht="26.25">
      <c r="T4881" s="62" ph="1"/>
    </row>
    <row r="4882" spans="20:20" ht="26.25">
      <c r="T4882" s="62" ph="1"/>
    </row>
    <row r="4883" spans="20:20" ht="26.25">
      <c r="T4883" s="62" ph="1"/>
    </row>
    <row r="4884" spans="20:20" ht="26.25">
      <c r="T4884" s="62" ph="1"/>
    </row>
    <row r="4885" spans="20:20" ht="26.25">
      <c r="T4885" s="62" ph="1"/>
    </row>
    <row r="4886" spans="20:20" ht="26.25">
      <c r="T4886" s="62" ph="1"/>
    </row>
    <row r="4887" spans="20:20" ht="26.25">
      <c r="T4887" s="62" ph="1"/>
    </row>
    <row r="4888" spans="20:20" ht="26.25">
      <c r="T4888" s="62" ph="1"/>
    </row>
    <row r="4889" spans="20:20" ht="26.25">
      <c r="T4889" s="62" ph="1"/>
    </row>
    <row r="4890" spans="20:20" ht="26.25">
      <c r="T4890" s="62" ph="1"/>
    </row>
    <row r="4891" spans="20:20" ht="26.25">
      <c r="T4891" s="62" ph="1"/>
    </row>
    <row r="4892" spans="20:20" ht="26.25">
      <c r="T4892" s="62" ph="1"/>
    </row>
    <row r="4893" spans="20:20" ht="26.25">
      <c r="T4893" s="62" ph="1"/>
    </row>
    <row r="4894" spans="20:20" ht="26.25">
      <c r="T4894" s="62" ph="1"/>
    </row>
    <row r="4895" spans="20:20" ht="26.25">
      <c r="T4895" s="62" ph="1"/>
    </row>
    <row r="4896" spans="20:20" ht="26.25">
      <c r="T4896" s="62" ph="1"/>
    </row>
    <row r="4897" spans="20:20" ht="26.25">
      <c r="T4897" s="62" ph="1"/>
    </row>
    <row r="4898" spans="20:20" ht="26.25">
      <c r="T4898" s="62" ph="1"/>
    </row>
    <row r="4899" spans="20:20" ht="26.25">
      <c r="T4899" s="62" ph="1"/>
    </row>
    <row r="4900" spans="20:20" ht="26.25">
      <c r="T4900" s="62" ph="1"/>
    </row>
    <row r="4901" spans="20:20" ht="26.25">
      <c r="T4901" s="62" ph="1"/>
    </row>
    <row r="4902" spans="20:20" ht="26.25">
      <c r="T4902" s="62" ph="1"/>
    </row>
    <row r="4903" spans="20:20" ht="26.25">
      <c r="T4903" s="62" ph="1"/>
    </row>
    <row r="4904" spans="20:20" ht="26.25">
      <c r="T4904" s="62" ph="1"/>
    </row>
    <row r="4905" spans="20:20" ht="26.25">
      <c r="T4905" s="62" ph="1"/>
    </row>
    <row r="4906" spans="20:20" ht="26.25">
      <c r="T4906" s="62" ph="1"/>
    </row>
    <row r="4907" spans="20:20" ht="26.25">
      <c r="T4907" s="62" ph="1"/>
    </row>
    <row r="4908" spans="20:20" ht="26.25">
      <c r="T4908" s="62" ph="1"/>
    </row>
    <row r="4909" spans="20:20" ht="26.25">
      <c r="T4909" s="62" ph="1"/>
    </row>
    <row r="4910" spans="20:20" ht="26.25">
      <c r="T4910" s="62" ph="1"/>
    </row>
    <row r="4911" spans="20:20" ht="26.25">
      <c r="T4911" s="62" ph="1"/>
    </row>
    <row r="4912" spans="20:20" ht="26.25">
      <c r="T4912" s="62" ph="1"/>
    </row>
    <row r="4913" spans="20:20" ht="26.25">
      <c r="T4913" s="62" ph="1"/>
    </row>
    <row r="4914" spans="20:20" ht="26.25">
      <c r="T4914" s="62" ph="1"/>
    </row>
    <row r="4915" spans="20:20" ht="26.25">
      <c r="T4915" s="62" ph="1"/>
    </row>
    <row r="4916" spans="20:20" ht="26.25">
      <c r="T4916" s="62" ph="1"/>
    </row>
    <row r="4917" spans="20:20" ht="26.25">
      <c r="T4917" s="62" ph="1"/>
    </row>
    <row r="4918" spans="20:20" ht="26.25">
      <c r="T4918" s="62" ph="1"/>
    </row>
    <row r="4919" spans="20:20" ht="26.25">
      <c r="T4919" s="62" ph="1"/>
    </row>
    <row r="4920" spans="20:20" ht="26.25">
      <c r="T4920" s="62" ph="1"/>
    </row>
    <row r="4921" spans="20:20" ht="26.25">
      <c r="T4921" s="62" ph="1"/>
    </row>
    <row r="4922" spans="20:20" ht="26.25">
      <c r="T4922" s="62" ph="1"/>
    </row>
    <row r="4923" spans="20:20" ht="26.25">
      <c r="T4923" s="62" ph="1"/>
    </row>
    <row r="4924" spans="20:20" ht="26.25">
      <c r="T4924" s="62" ph="1"/>
    </row>
    <row r="4925" spans="20:20" ht="26.25">
      <c r="T4925" s="62" ph="1"/>
    </row>
    <row r="4926" spans="20:20" ht="26.25">
      <c r="T4926" s="62" ph="1"/>
    </row>
    <row r="4927" spans="20:20" ht="26.25">
      <c r="T4927" s="62" ph="1"/>
    </row>
    <row r="4928" spans="20:20" ht="26.25">
      <c r="T4928" s="62" ph="1"/>
    </row>
    <row r="4929" spans="20:20" ht="26.25">
      <c r="T4929" s="62" ph="1"/>
    </row>
    <row r="4930" spans="20:20" ht="26.25">
      <c r="T4930" s="62" ph="1"/>
    </row>
    <row r="4931" spans="20:20" ht="26.25">
      <c r="T4931" s="62" ph="1"/>
    </row>
    <row r="4932" spans="20:20" ht="26.25">
      <c r="T4932" s="62" ph="1"/>
    </row>
    <row r="4933" spans="20:20" ht="26.25">
      <c r="T4933" s="62" ph="1"/>
    </row>
    <row r="4934" spans="20:20" ht="26.25">
      <c r="T4934" s="62" ph="1"/>
    </row>
    <row r="4935" spans="20:20" ht="26.25">
      <c r="T4935" s="62" ph="1"/>
    </row>
    <row r="4936" spans="20:20" ht="26.25">
      <c r="T4936" s="62" ph="1"/>
    </row>
    <row r="4937" spans="20:20" ht="26.25">
      <c r="T4937" s="62" ph="1"/>
    </row>
    <row r="4938" spans="20:20" ht="26.25">
      <c r="T4938" s="62" ph="1"/>
    </row>
    <row r="4939" spans="20:20" ht="26.25">
      <c r="T4939" s="62" ph="1"/>
    </row>
    <row r="4940" spans="20:20" ht="26.25">
      <c r="T4940" s="62" ph="1"/>
    </row>
    <row r="4941" spans="20:20" ht="26.25">
      <c r="T4941" s="62" ph="1"/>
    </row>
    <row r="4942" spans="20:20" ht="26.25">
      <c r="T4942" s="62" ph="1"/>
    </row>
    <row r="4943" spans="20:20" ht="26.25">
      <c r="T4943" s="62" ph="1"/>
    </row>
    <row r="4944" spans="20:20" ht="26.25">
      <c r="T4944" s="62" ph="1"/>
    </row>
    <row r="4945" spans="20:20" ht="26.25">
      <c r="T4945" s="62" ph="1"/>
    </row>
    <row r="4946" spans="20:20" ht="26.25">
      <c r="T4946" s="62" ph="1"/>
    </row>
    <row r="4947" spans="20:20" ht="26.25">
      <c r="T4947" s="62" ph="1"/>
    </row>
    <row r="4948" spans="20:20" ht="26.25">
      <c r="T4948" s="62" ph="1"/>
    </row>
    <row r="4949" spans="20:20" ht="26.25">
      <c r="T4949" s="62" ph="1"/>
    </row>
    <row r="4950" spans="20:20" ht="26.25">
      <c r="T4950" s="62" ph="1"/>
    </row>
    <row r="4951" spans="20:20" ht="26.25">
      <c r="T4951" s="62" ph="1"/>
    </row>
    <row r="4952" spans="20:20" ht="26.25">
      <c r="T4952" s="62" ph="1"/>
    </row>
    <row r="4953" spans="20:20" ht="26.25">
      <c r="T4953" s="62" ph="1"/>
    </row>
    <row r="4954" spans="20:20" ht="26.25">
      <c r="T4954" s="62" ph="1"/>
    </row>
    <row r="4955" spans="20:20" ht="26.25">
      <c r="T4955" s="62" ph="1"/>
    </row>
    <row r="4956" spans="20:20" ht="26.25">
      <c r="T4956" s="62" ph="1"/>
    </row>
    <row r="4957" spans="20:20" ht="26.25">
      <c r="T4957" s="62" ph="1"/>
    </row>
    <row r="4958" spans="20:20" ht="26.25">
      <c r="T4958" s="62" ph="1"/>
    </row>
    <row r="4959" spans="20:20" ht="26.25">
      <c r="T4959" s="62" ph="1"/>
    </row>
    <row r="4960" spans="20:20" ht="26.25">
      <c r="T4960" s="62" ph="1"/>
    </row>
    <row r="4961" spans="20:20" ht="26.25">
      <c r="T4961" s="62" ph="1"/>
    </row>
    <row r="4962" spans="20:20" ht="26.25">
      <c r="T4962" s="62" ph="1"/>
    </row>
    <row r="4963" spans="20:20" ht="26.25">
      <c r="T4963" s="62" ph="1"/>
    </row>
    <row r="4964" spans="20:20" ht="26.25">
      <c r="T4964" s="62" ph="1"/>
    </row>
    <row r="4965" spans="20:20" ht="26.25">
      <c r="T4965" s="62" ph="1"/>
    </row>
    <row r="4966" spans="20:20" ht="26.25">
      <c r="T4966" s="62" ph="1"/>
    </row>
    <row r="4967" spans="20:20" ht="26.25">
      <c r="T4967" s="62" ph="1"/>
    </row>
    <row r="4968" spans="20:20" ht="26.25">
      <c r="T4968" s="62" ph="1"/>
    </row>
    <row r="4969" spans="20:20" ht="26.25">
      <c r="T4969" s="62" ph="1"/>
    </row>
    <row r="4970" spans="20:20" ht="26.25">
      <c r="T4970" s="62" ph="1"/>
    </row>
    <row r="4971" spans="20:20" ht="26.25">
      <c r="T4971" s="62" ph="1"/>
    </row>
    <row r="4972" spans="20:20" ht="26.25">
      <c r="T4972" s="62" ph="1"/>
    </row>
    <row r="4973" spans="20:20" ht="26.25">
      <c r="T4973" s="62" ph="1"/>
    </row>
    <row r="4974" spans="20:20" ht="26.25">
      <c r="T4974" s="62" ph="1"/>
    </row>
    <row r="4975" spans="20:20" ht="26.25">
      <c r="T4975" s="62" ph="1"/>
    </row>
    <row r="4976" spans="20:20" ht="26.25">
      <c r="T4976" s="62" ph="1"/>
    </row>
    <row r="4977" spans="20:20" ht="26.25">
      <c r="T4977" s="62" ph="1"/>
    </row>
    <row r="4978" spans="20:20" ht="26.25">
      <c r="T4978" s="62" ph="1"/>
    </row>
    <row r="4979" spans="20:20" ht="26.25">
      <c r="T4979" s="62" ph="1"/>
    </row>
    <row r="4980" spans="20:20" ht="26.25">
      <c r="T4980" s="62" ph="1"/>
    </row>
    <row r="4981" spans="20:20" ht="26.25">
      <c r="T4981" s="62" ph="1"/>
    </row>
    <row r="4982" spans="20:20" ht="26.25">
      <c r="T4982" s="62" ph="1"/>
    </row>
    <row r="4983" spans="20:20" ht="26.25">
      <c r="T4983" s="62" ph="1"/>
    </row>
    <row r="4984" spans="20:20" ht="26.25">
      <c r="T4984" s="62" ph="1"/>
    </row>
    <row r="4985" spans="20:20" ht="26.25">
      <c r="T4985" s="62" ph="1"/>
    </row>
    <row r="4986" spans="20:20" ht="26.25">
      <c r="T4986" s="62" ph="1"/>
    </row>
    <row r="4987" spans="20:20" ht="26.25">
      <c r="T4987" s="62" ph="1"/>
    </row>
    <row r="4988" spans="20:20" ht="26.25">
      <c r="T4988" s="62" ph="1"/>
    </row>
    <row r="4989" spans="20:20" ht="26.25">
      <c r="T4989" s="62" ph="1"/>
    </row>
    <row r="4990" spans="20:20" ht="26.25">
      <c r="T4990" s="62" ph="1"/>
    </row>
    <row r="4991" spans="20:20" ht="26.25">
      <c r="T4991" s="62" ph="1"/>
    </row>
    <row r="4992" spans="20:20" ht="26.25">
      <c r="T4992" s="62" ph="1"/>
    </row>
    <row r="4993" spans="20:20" ht="26.25">
      <c r="T4993" s="62" ph="1"/>
    </row>
    <row r="4994" spans="20:20" ht="26.25">
      <c r="T4994" s="62" ph="1"/>
    </row>
    <row r="4995" spans="20:20" ht="26.25">
      <c r="T4995" s="62" ph="1"/>
    </row>
    <row r="4996" spans="20:20" ht="26.25">
      <c r="T4996" s="62" ph="1"/>
    </row>
    <row r="4997" spans="20:20" ht="26.25">
      <c r="T4997" s="62" ph="1"/>
    </row>
    <row r="4998" spans="20:20" ht="26.25">
      <c r="T4998" s="62" ph="1"/>
    </row>
    <row r="4999" spans="20:20" ht="26.25">
      <c r="T4999" s="62" ph="1"/>
    </row>
    <row r="5000" spans="20:20" ht="26.25">
      <c r="T5000" s="62" ph="1"/>
    </row>
    <row r="5001" spans="20:20" ht="26.25">
      <c r="T5001" s="62" ph="1"/>
    </row>
    <row r="5002" spans="20:20" ht="26.25">
      <c r="T5002" s="62" ph="1"/>
    </row>
    <row r="5003" spans="20:20" ht="26.25">
      <c r="T5003" s="62" ph="1"/>
    </row>
    <row r="5004" spans="20:20" ht="26.25">
      <c r="T5004" s="62" ph="1"/>
    </row>
    <row r="5005" spans="20:20" ht="26.25">
      <c r="T5005" s="62" ph="1"/>
    </row>
    <row r="5006" spans="20:20" ht="26.25">
      <c r="T5006" s="62" ph="1"/>
    </row>
    <row r="5007" spans="20:20" ht="26.25">
      <c r="T5007" s="62" ph="1"/>
    </row>
    <row r="5008" spans="20:20" ht="26.25">
      <c r="T5008" s="62" ph="1"/>
    </row>
    <row r="5009" spans="20:20" ht="26.25">
      <c r="T5009" s="62" ph="1"/>
    </row>
    <row r="5010" spans="20:20" ht="26.25">
      <c r="T5010" s="62" ph="1"/>
    </row>
    <row r="5011" spans="20:20" ht="26.25">
      <c r="T5011" s="62" ph="1"/>
    </row>
    <row r="5012" spans="20:20" ht="26.25">
      <c r="T5012" s="62" ph="1"/>
    </row>
    <row r="5013" spans="20:20" ht="26.25">
      <c r="T5013" s="62" ph="1"/>
    </row>
    <row r="5014" spans="20:20" ht="26.25">
      <c r="T5014" s="62" ph="1"/>
    </row>
    <row r="5015" spans="20:20" ht="26.25">
      <c r="T5015" s="62" ph="1"/>
    </row>
    <row r="5016" spans="20:20" ht="26.25">
      <c r="T5016" s="62" ph="1"/>
    </row>
    <row r="5017" spans="20:20" ht="26.25">
      <c r="T5017" s="62" ph="1"/>
    </row>
    <row r="5018" spans="20:20" ht="26.25">
      <c r="T5018" s="62" ph="1"/>
    </row>
    <row r="5019" spans="20:20" ht="26.25">
      <c r="T5019" s="62" ph="1"/>
    </row>
    <row r="5020" spans="20:20" ht="26.25">
      <c r="T5020" s="62" ph="1"/>
    </row>
    <row r="5021" spans="20:20" ht="26.25">
      <c r="T5021" s="62" ph="1"/>
    </row>
    <row r="5022" spans="20:20" ht="26.25">
      <c r="T5022" s="62" ph="1"/>
    </row>
    <row r="5023" spans="20:20" ht="26.25">
      <c r="T5023" s="62" ph="1"/>
    </row>
    <row r="5024" spans="20:20" ht="26.25">
      <c r="T5024" s="62" ph="1"/>
    </row>
    <row r="5025" spans="20:20" ht="26.25">
      <c r="T5025" s="62" ph="1"/>
    </row>
    <row r="5026" spans="20:20" ht="26.25">
      <c r="T5026" s="62" ph="1"/>
    </row>
    <row r="5027" spans="20:20" ht="26.25">
      <c r="T5027" s="62" ph="1"/>
    </row>
    <row r="5028" spans="20:20" ht="26.25">
      <c r="T5028" s="62" ph="1"/>
    </row>
    <row r="5029" spans="20:20" ht="26.25">
      <c r="T5029" s="62" ph="1"/>
    </row>
    <row r="5030" spans="20:20" ht="26.25">
      <c r="T5030" s="62" ph="1"/>
    </row>
    <row r="5031" spans="20:20" ht="26.25">
      <c r="T5031" s="62" ph="1"/>
    </row>
    <row r="5032" spans="20:20" ht="26.25">
      <c r="T5032" s="62" ph="1"/>
    </row>
    <row r="5033" spans="20:20" ht="26.25">
      <c r="T5033" s="62" ph="1"/>
    </row>
    <row r="5034" spans="20:20" ht="26.25">
      <c r="T5034" s="62" ph="1"/>
    </row>
    <row r="5035" spans="20:20" ht="26.25">
      <c r="T5035" s="62" ph="1"/>
    </row>
    <row r="5036" spans="20:20" ht="26.25">
      <c r="T5036" s="62" ph="1"/>
    </row>
    <row r="5037" spans="20:20" ht="26.25">
      <c r="T5037" s="62" ph="1"/>
    </row>
    <row r="5038" spans="20:20" ht="26.25">
      <c r="T5038" s="62" ph="1"/>
    </row>
    <row r="5039" spans="20:20" ht="26.25">
      <c r="T5039" s="62" ph="1"/>
    </row>
    <row r="5040" spans="20:20" ht="26.25">
      <c r="T5040" s="62" ph="1"/>
    </row>
    <row r="5041" spans="20:20" ht="26.25">
      <c r="T5041" s="62" ph="1"/>
    </row>
    <row r="5042" spans="20:20" ht="26.25">
      <c r="T5042" s="62" ph="1"/>
    </row>
    <row r="5043" spans="20:20" ht="26.25">
      <c r="T5043" s="62" ph="1"/>
    </row>
    <row r="5044" spans="20:20" ht="26.25">
      <c r="T5044" s="62" ph="1"/>
    </row>
    <row r="5045" spans="20:20" ht="26.25">
      <c r="T5045" s="62" ph="1"/>
    </row>
    <row r="5046" spans="20:20" ht="26.25">
      <c r="T5046" s="62" ph="1"/>
    </row>
    <row r="5047" spans="20:20" ht="26.25">
      <c r="T5047" s="62" ph="1"/>
    </row>
    <row r="5048" spans="20:20" ht="26.25">
      <c r="T5048" s="62" ph="1"/>
    </row>
    <row r="5049" spans="20:20" ht="26.25">
      <c r="T5049" s="62" ph="1"/>
    </row>
    <row r="5050" spans="20:20" ht="26.25">
      <c r="T5050" s="62" ph="1"/>
    </row>
    <row r="5051" spans="20:20" ht="26.25">
      <c r="T5051" s="62" ph="1"/>
    </row>
    <row r="5052" spans="20:20" ht="26.25">
      <c r="T5052" s="62" ph="1"/>
    </row>
    <row r="5053" spans="20:20" ht="26.25">
      <c r="T5053" s="62" ph="1"/>
    </row>
    <row r="5054" spans="20:20" ht="26.25">
      <c r="T5054" s="62" ph="1"/>
    </row>
    <row r="5055" spans="20:20" ht="26.25">
      <c r="T5055" s="62" ph="1"/>
    </row>
    <row r="5056" spans="20:20" ht="26.25">
      <c r="T5056" s="62" ph="1"/>
    </row>
    <row r="5057" spans="20:20" ht="26.25">
      <c r="T5057" s="62" ph="1"/>
    </row>
    <row r="5058" spans="20:20" ht="26.25">
      <c r="T5058" s="62" ph="1"/>
    </row>
    <row r="5059" spans="20:20" ht="26.25">
      <c r="T5059" s="62" ph="1"/>
    </row>
    <row r="5060" spans="20:20" ht="26.25">
      <c r="T5060" s="62" ph="1"/>
    </row>
    <row r="5061" spans="20:20" ht="26.25">
      <c r="T5061" s="62" ph="1"/>
    </row>
    <row r="5062" spans="20:20" ht="26.25">
      <c r="T5062" s="62" ph="1"/>
    </row>
    <row r="5063" spans="20:20" ht="26.25">
      <c r="T5063" s="62" ph="1"/>
    </row>
    <row r="5064" spans="20:20" ht="26.25">
      <c r="T5064" s="62" ph="1"/>
    </row>
    <row r="5065" spans="20:20" ht="26.25">
      <c r="T5065" s="62" ph="1"/>
    </row>
    <row r="5066" spans="20:20" ht="26.25">
      <c r="T5066" s="62" ph="1"/>
    </row>
    <row r="5067" spans="20:20" ht="26.25">
      <c r="T5067" s="62" ph="1"/>
    </row>
    <row r="5068" spans="20:20" ht="26.25">
      <c r="T5068" s="62" ph="1"/>
    </row>
    <row r="5069" spans="20:20" ht="26.25">
      <c r="T5069" s="62" ph="1"/>
    </row>
    <row r="5070" spans="20:20" ht="26.25">
      <c r="T5070" s="62" ph="1"/>
    </row>
    <row r="5071" spans="20:20" ht="26.25">
      <c r="T5071" s="62" ph="1"/>
    </row>
    <row r="5072" spans="20:20" ht="26.25">
      <c r="T5072" s="62" ph="1"/>
    </row>
    <row r="5073" spans="20:20" ht="26.25">
      <c r="T5073" s="62" ph="1"/>
    </row>
    <row r="5074" spans="20:20" ht="26.25">
      <c r="T5074" s="62" ph="1"/>
    </row>
    <row r="5075" spans="20:20" ht="26.25">
      <c r="T5075" s="62" ph="1"/>
    </row>
    <row r="5076" spans="20:20" ht="26.25">
      <c r="T5076" s="62" ph="1"/>
    </row>
    <row r="5077" spans="20:20" ht="26.25">
      <c r="T5077" s="62" ph="1"/>
    </row>
    <row r="5078" spans="20:20" ht="26.25">
      <c r="T5078" s="62" ph="1"/>
    </row>
    <row r="5079" spans="20:20" ht="26.25">
      <c r="T5079" s="62" ph="1"/>
    </row>
    <row r="5080" spans="20:20" ht="26.25">
      <c r="T5080" s="62" ph="1"/>
    </row>
    <row r="5081" spans="20:20" ht="26.25">
      <c r="T5081" s="62" ph="1"/>
    </row>
    <row r="5082" spans="20:20" ht="26.25">
      <c r="T5082" s="62" ph="1"/>
    </row>
    <row r="5083" spans="20:20" ht="26.25">
      <c r="T5083" s="62" ph="1"/>
    </row>
    <row r="5084" spans="20:20" ht="26.25">
      <c r="T5084" s="62" ph="1"/>
    </row>
    <row r="5085" spans="20:20" ht="26.25">
      <c r="T5085" s="62" ph="1"/>
    </row>
    <row r="5086" spans="20:20" ht="26.25">
      <c r="T5086" s="62" ph="1"/>
    </row>
    <row r="5087" spans="20:20" ht="26.25">
      <c r="T5087" s="62" ph="1"/>
    </row>
    <row r="5088" spans="20:20" ht="26.25">
      <c r="T5088" s="62" ph="1"/>
    </row>
    <row r="5089" spans="20:20" ht="26.25">
      <c r="T5089" s="62" ph="1"/>
    </row>
    <row r="5090" spans="20:20" ht="26.25">
      <c r="T5090" s="62" ph="1"/>
    </row>
    <row r="5091" spans="20:20" ht="26.25">
      <c r="T5091" s="62" ph="1"/>
    </row>
    <row r="5092" spans="20:20" ht="26.25">
      <c r="T5092" s="62" ph="1"/>
    </row>
    <row r="5093" spans="20:20" ht="26.25">
      <c r="T5093" s="62" ph="1"/>
    </row>
    <row r="5094" spans="20:20" ht="26.25">
      <c r="T5094" s="62" ph="1"/>
    </row>
    <row r="5095" spans="20:20" ht="26.25">
      <c r="T5095" s="62" ph="1"/>
    </row>
    <row r="5096" spans="20:20" ht="26.25">
      <c r="T5096" s="62" ph="1"/>
    </row>
    <row r="5097" spans="20:20" ht="26.25">
      <c r="T5097" s="62" ph="1"/>
    </row>
    <row r="5098" spans="20:20" ht="26.25">
      <c r="T5098" s="62" ph="1"/>
    </row>
    <row r="5099" spans="20:20" ht="26.25">
      <c r="T5099" s="62" ph="1"/>
    </row>
    <row r="5100" spans="20:20" ht="26.25">
      <c r="T5100" s="62" ph="1"/>
    </row>
    <row r="5101" spans="20:20" ht="26.25">
      <c r="T5101" s="62" ph="1"/>
    </row>
    <row r="5102" spans="20:20" ht="26.25">
      <c r="T5102" s="62" ph="1"/>
    </row>
    <row r="5103" spans="20:20" ht="26.25">
      <c r="T5103" s="62" ph="1"/>
    </row>
    <row r="5104" spans="20:20" ht="26.25">
      <c r="T5104" s="62" ph="1"/>
    </row>
    <row r="5105" spans="20:20" ht="26.25">
      <c r="T5105" s="62" ph="1"/>
    </row>
    <row r="5106" spans="20:20" ht="26.25">
      <c r="T5106" s="62" ph="1"/>
    </row>
    <row r="5107" spans="20:20" ht="26.25">
      <c r="T5107" s="62" ph="1"/>
    </row>
    <row r="5108" spans="20:20" ht="26.25">
      <c r="T5108" s="62" ph="1"/>
    </row>
    <row r="5109" spans="20:20" ht="26.25">
      <c r="T5109" s="62" ph="1"/>
    </row>
    <row r="5110" spans="20:20" ht="26.25">
      <c r="T5110" s="62" ph="1"/>
    </row>
    <row r="5111" spans="20:20" ht="26.25">
      <c r="T5111" s="62" ph="1"/>
    </row>
    <row r="5112" spans="20:20" ht="26.25">
      <c r="T5112" s="62" ph="1"/>
    </row>
    <row r="5113" spans="20:20" ht="26.25">
      <c r="T5113" s="62" ph="1"/>
    </row>
    <row r="5114" spans="20:20" ht="26.25">
      <c r="T5114" s="62" ph="1"/>
    </row>
    <row r="5115" spans="20:20" ht="26.25">
      <c r="T5115" s="62" ph="1"/>
    </row>
    <row r="5116" spans="20:20" ht="26.25">
      <c r="T5116" s="62" ph="1"/>
    </row>
    <row r="5117" spans="20:20" ht="26.25">
      <c r="T5117" s="62" ph="1"/>
    </row>
    <row r="5118" spans="20:20" ht="26.25">
      <c r="T5118" s="62" ph="1"/>
    </row>
    <row r="5119" spans="20:20" ht="26.25">
      <c r="T5119" s="62" ph="1"/>
    </row>
    <row r="5120" spans="20:20" ht="26.25">
      <c r="T5120" s="62" ph="1"/>
    </row>
    <row r="5121" spans="20:20" ht="26.25">
      <c r="T5121" s="62" ph="1"/>
    </row>
    <row r="5122" spans="20:20" ht="26.25">
      <c r="T5122" s="62" ph="1"/>
    </row>
    <row r="5123" spans="20:20" ht="26.25">
      <c r="T5123" s="62" ph="1"/>
    </row>
    <row r="5124" spans="20:20" ht="26.25">
      <c r="T5124" s="62" ph="1"/>
    </row>
    <row r="5125" spans="20:20" ht="26.25">
      <c r="T5125" s="62" ph="1"/>
    </row>
    <row r="5126" spans="20:20" ht="26.25">
      <c r="T5126" s="62" ph="1"/>
    </row>
    <row r="5127" spans="20:20" ht="26.25">
      <c r="T5127" s="62" ph="1"/>
    </row>
    <row r="5128" spans="20:20" ht="26.25">
      <c r="T5128" s="62" ph="1"/>
    </row>
    <row r="5129" spans="20:20" ht="26.25">
      <c r="T5129" s="62" ph="1"/>
    </row>
    <row r="5130" spans="20:20" ht="26.25">
      <c r="T5130" s="62" ph="1"/>
    </row>
    <row r="5131" spans="20:20" ht="26.25">
      <c r="T5131" s="62" ph="1"/>
    </row>
    <row r="5132" spans="20:20" ht="26.25">
      <c r="T5132" s="62" ph="1"/>
    </row>
    <row r="5133" spans="20:20" ht="26.25">
      <c r="T5133" s="62" ph="1"/>
    </row>
    <row r="5134" spans="20:20" ht="26.25">
      <c r="T5134" s="62" ph="1"/>
    </row>
    <row r="5135" spans="20:20" ht="26.25">
      <c r="T5135" s="62" ph="1"/>
    </row>
    <row r="5136" spans="20:20" ht="26.25">
      <c r="T5136" s="62" ph="1"/>
    </row>
    <row r="5137" spans="20:20" ht="26.25">
      <c r="T5137" s="62" ph="1"/>
    </row>
    <row r="5138" spans="20:20" ht="26.25">
      <c r="T5138" s="62" ph="1"/>
    </row>
    <row r="5139" spans="20:20" ht="26.25">
      <c r="T5139" s="62" ph="1"/>
    </row>
    <row r="5140" spans="20:20" ht="26.25">
      <c r="T5140" s="62" ph="1"/>
    </row>
    <row r="5141" spans="20:20" ht="26.25">
      <c r="T5141" s="62" ph="1"/>
    </row>
    <row r="5142" spans="20:20" ht="26.25">
      <c r="T5142" s="62" ph="1"/>
    </row>
    <row r="5143" spans="20:20" ht="26.25">
      <c r="T5143" s="62" ph="1"/>
    </row>
    <row r="5144" spans="20:20" ht="26.25">
      <c r="T5144" s="62" ph="1"/>
    </row>
    <row r="5145" spans="20:20" ht="26.25">
      <c r="T5145" s="62" ph="1"/>
    </row>
    <row r="5146" spans="20:20" ht="26.25">
      <c r="T5146" s="62" ph="1"/>
    </row>
    <row r="5147" spans="20:20" ht="26.25">
      <c r="T5147" s="62" ph="1"/>
    </row>
    <row r="5148" spans="20:20" ht="26.25">
      <c r="T5148" s="62" ph="1"/>
    </row>
    <row r="5149" spans="20:20" ht="26.25">
      <c r="T5149" s="62" ph="1"/>
    </row>
    <row r="5150" spans="20:20" ht="26.25">
      <c r="T5150" s="62" ph="1"/>
    </row>
    <row r="5151" spans="20:20" ht="26.25">
      <c r="T5151" s="62" ph="1"/>
    </row>
    <row r="5152" spans="20:20" ht="26.25">
      <c r="T5152" s="62" ph="1"/>
    </row>
    <row r="5153" spans="20:20" ht="26.25">
      <c r="T5153" s="62" ph="1"/>
    </row>
    <row r="5154" spans="20:20" ht="26.25">
      <c r="T5154" s="62" ph="1"/>
    </row>
    <row r="5155" spans="20:20" ht="26.25">
      <c r="T5155" s="62" ph="1"/>
    </row>
    <row r="5156" spans="20:20" ht="26.25">
      <c r="T5156" s="62" ph="1"/>
    </row>
    <row r="5157" spans="20:20" ht="26.25">
      <c r="T5157" s="62" ph="1"/>
    </row>
    <row r="5158" spans="20:20" ht="26.25">
      <c r="T5158" s="62" ph="1"/>
    </row>
    <row r="5159" spans="20:20" ht="26.25">
      <c r="T5159" s="62" ph="1"/>
    </row>
    <row r="5160" spans="20:20" ht="26.25">
      <c r="T5160" s="62" ph="1"/>
    </row>
    <row r="5161" spans="20:20" ht="26.25">
      <c r="T5161" s="62" ph="1"/>
    </row>
    <row r="5162" spans="20:20" ht="26.25">
      <c r="T5162" s="62" ph="1"/>
    </row>
    <row r="5163" spans="20:20" ht="26.25">
      <c r="T5163" s="62" ph="1"/>
    </row>
    <row r="5164" spans="20:20" ht="26.25">
      <c r="T5164" s="62" ph="1"/>
    </row>
    <row r="5165" spans="20:20" ht="26.25">
      <c r="T5165" s="62" ph="1"/>
    </row>
    <row r="5166" spans="20:20" ht="26.25">
      <c r="T5166" s="62" ph="1"/>
    </row>
    <row r="5167" spans="20:20" ht="26.25">
      <c r="T5167" s="62" ph="1"/>
    </row>
    <row r="5168" spans="20:20" ht="26.25">
      <c r="T5168" s="62" ph="1"/>
    </row>
    <row r="5169" spans="20:20" ht="26.25">
      <c r="T5169" s="62" ph="1"/>
    </row>
    <row r="5170" spans="20:20" ht="26.25">
      <c r="T5170" s="62" ph="1"/>
    </row>
    <row r="5171" spans="20:20" ht="26.25">
      <c r="T5171" s="62" ph="1"/>
    </row>
    <row r="5172" spans="20:20" ht="26.25">
      <c r="T5172" s="62" ph="1"/>
    </row>
    <row r="5173" spans="20:20" ht="26.25">
      <c r="T5173" s="62" ph="1"/>
    </row>
    <row r="5174" spans="20:20" ht="26.25">
      <c r="T5174" s="62" ph="1"/>
    </row>
    <row r="5175" spans="20:20" ht="26.25">
      <c r="T5175" s="62" ph="1"/>
    </row>
    <row r="5176" spans="20:20" ht="26.25">
      <c r="T5176" s="62" ph="1"/>
    </row>
    <row r="5177" spans="20:20" ht="26.25">
      <c r="T5177" s="62" ph="1"/>
    </row>
    <row r="5178" spans="20:20" ht="26.25">
      <c r="T5178" s="62" ph="1"/>
    </row>
    <row r="5179" spans="20:20" ht="26.25">
      <c r="T5179" s="62" ph="1"/>
    </row>
    <row r="5180" spans="20:20" ht="26.25">
      <c r="T5180" s="62" ph="1"/>
    </row>
    <row r="5181" spans="20:20" ht="26.25">
      <c r="T5181" s="62" ph="1"/>
    </row>
    <row r="5182" spans="20:20" ht="26.25">
      <c r="T5182" s="62" ph="1"/>
    </row>
    <row r="5183" spans="20:20" ht="26.25">
      <c r="T5183" s="62" ph="1"/>
    </row>
    <row r="5184" spans="20:20" ht="26.25">
      <c r="T5184" s="62" ph="1"/>
    </row>
    <row r="5185" spans="20:20" ht="26.25">
      <c r="T5185" s="62" ph="1"/>
    </row>
    <row r="5186" spans="20:20" ht="26.25">
      <c r="T5186" s="62" ph="1"/>
    </row>
    <row r="5187" spans="20:20" ht="26.25">
      <c r="T5187" s="62" ph="1"/>
    </row>
    <row r="5188" spans="20:20" ht="26.25">
      <c r="T5188" s="62" ph="1"/>
    </row>
    <row r="5189" spans="20:20" ht="26.25">
      <c r="T5189" s="62" ph="1"/>
    </row>
    <row r="5190" spans="20:20" ht="26.25">
      <c r="T5190" s="62" ph="1"/>
    </row>
    <row r="5191" spans="20:20" ht="26.25">
      <c r="T5191" s="62" ph="1"/>
    </row>
    <row r="5192" spans="20:20" ht="26.25">
      <c r="T5192" s="62" ph="1"/>
    </row>
    <row r="5193" spans="20:20" ht="26.25">
      <c r="T5193" s="62" ph="1"/>
    </row>
    <row r="5194" spans="20:20" ht="26.25">
      <c r="T5194" s="62" ph="1"/>
    </row>
    <row r="5195" spans="20:20" ht="26.25">
      <c r="T5195" s="62" ph="1"/>
    </row>
    <row r="5196" spans="20:20" ht="26.25">
      <c r="T5196" s="62" ph="1"/>
    </row>
    <row r="5197" spans="20:20" ht="26.25">
      <c r="T5197" s="62" ph="1"/>
    </row>
    <row r="5198" spans="20:20" ht="26.25">
      <c r="T5198" s="62" ph="1"/>
    </row>
    <row r="5199" spans="20:20" ht="26.25">
      <c r="T5199" s="62" ph="1"/>
    </row>
    <row r="5200" spans="20:20" ht="26.25">
      <c r="T5200" s="62" ph="1"/>
    </row>
    <row r="5201" spans="20:20" ht="26.25">
      <c r="T5201" s="62" ph="1"/>
    </row>
    <row r="5202" spans="20:20" ht="26.25">
      <c r="T5202" s="62" ph="1"/>
    </row>
    <row r="5203" spans="20:20" ht="26.25">
      <c r="T5203" s="62" ph="1"/>
    </row>
    <row r="5204" spans="20:20" ht="26.25">
      <c r="T5204" s="62" ph="1"/>
    </row>
    <row r="5205" spans="20:20" ht="26.25">
      <c r="T5205" s="62" ph="1"/>
    </row>
    <row r="5206" spans="20:20" ht="26.25">
      <c r="T5206" s="62" ph="1"/>
    </row>
    <row r="5207" spans="20:20" ht="26.25">
      <c r="T5207" s="62" ph="1"/>
    </row>
    <row r="5208" spans="20:20" ht="26.25">
      <c r="T5208" s="62" ph="1"/>
    </row>
    <row r="5209" spans="20:20" ht="26.25">
      <c r="T5209" s="62" ph="1"/>
    </row>
    <row r="5210" spans="20:20" ht="26.25">
      <c r="T5210" s="62" ph="1"/>
    </row>
    <row r="5211" spans="20:20" ht="26.25">
      <c r="T5211" s="62" ph="1"/>
    </row>
    <row r="5212" spans="20:20" ht="26.25">
      <c r="T5212" s="62" ph="1"/>
    </row>
    <row r="5213" spans="20:20" ht="26.25">
      <c r="T5213" s="62" ph="1"/>
    </row>
    <row r="5214" spans="20:20" ht="26.25">
      <c r="T5214" s="62" ph="1"/>
    </row>
    <row r="5215" spans="20:20" ht="26.25">
      <c r="T5215" s="62" ph="1"/>
    </row>
    <row r="5216" spans="20:20" ht="26.25">
      <c r="T5216" s="62" ph="1"/>
    </row>
    <row r="5217" spans="20:20" ht="26.25">
      <c r="T5217" s="62" ph="1"/>
    </row>
    <row r="5218" spans="20:20" ht="26.25">
      <c r="T5218" s="62" ph="1"/>
    </row>
    <row r="5219" spans="20:20" ht="26.25">
      <c r="T5219" s="62" ph="1"/>
    </row>
    <row r="5220" spans="20:20" ht="26.25">
      <c r="T5220" s="62" ph="1"/>
    </row>
    <row r="5221" spans="20:20" ht="26.25">
      <c r="T5221" s="62" ph="1"/>
    </row>
    <row r="5222" spans="20:20" ht="26.25">
      <c r="T5222" s="62" ph="1"/>
    </row>
    <row r="5223" spans="20:20" ht="26.25">
      <c r="T5223" s="62" ph="1"/>
    </row>
    <row r="5224" spans="20:20" ht="26.25">
      <c r="T5224" s="62" ph="1"/>
    </row>
    <row r="5225" spans="20:20" ht="26.25">
      <c r="T5225" s="62" ph="1"/>
    </row>
    <row r="5226" spans="20:20" ht="26.25">
      <c r="T5226" s="62" ph="1"/>
    </row>
    <row r="5227" spans="20:20" ht="26.25">
      <c r="T5227" s="62" ph="1"/>
    </row>
    <row r="5228" spans="20:20" ht="26.25">
      <c r="T5228" s="62" ph="1"/>
    </row>
    <row r="5229" spans="20:20" ht="26.25">
      <c r="T5229" s="62" ph="1"/>
    </row>
    <row r="5230" spans="20:20" ht="26.25">
      <c r="T5230" s="62" ph="1"/>
    </row>
    <row r="5231" spans="20:20" ht="26.25">
      <c r="T5231" s="62" ph="1"/>
    </row>
    <row r="5232" spans="20:20" ht="26.25">
      <c r="T5232" s="62" ph="1"/>
    </row>
    <row r="5233" spans="20:20" ht="26.25">
      <c r="T5233" s="62" ph="1"/>
    </row>
    <row r="5234" spans="20:20" ht="26.25">
      <c r="T5234" s="62" ph="1"/>
    </row>
    <row r="5235" spans="20:20" ht="26.25">
      <c r="T5235" s="62" ph="1"/>
    </row>
    <row r="5236" spans="20:20" ht="26.25">
      <c r="T5236" s="62" ph="1"/>
    </row>
    <row r="5237" spans="20:20" ht="26.25">
      <c r="T5237" s="62" ph="1"/>
    </row>
    <row r="5238" spans="20:20" ht="26.25">
      <c r="T5238" s="62" ph="1"/>
    </row>
    <row r="5239" spans="20:20" ht="26.25">
      <c r="T5239" s="62" ph="1"/>
    </row>
    <row r="5240" spans="20:20" ht="26.25">
      <c r="T5240" s="62" ph="1"/>
    </row>
    <row r="5241" spans="20:20" ht="26.25">
      <c r="T5241" s="62" ph="1"/>
    </row>
    <row r="5242" spans="20:20" ht="26.25">
      <c r="T5242" s="62" ph="1"/>
    </row>
    <row r="5243" spans="20:20" ht="26.25">
      <c r="T5243" s="62" ph="1"/>
    </row>
    <row r="5244" spans="20:20" ht="26.25">
      <c r="T5244" s="62" ph="1"/>
    </row>
    <row r="5245" spans="20:20" ht="26.25">
      <c r="T5245" s="62" ph="1"/>
    </row>
    <row r="5246" spans="20:20" ht="26.25">
      <c r="T5246" s="62" ph="1"/>
    </row>
    <row r="5247" spans="20:20" ht="26.25">
      <c r="T5247" s="62" ph="1"/>
    </row>
    <row r="5248" spans="20:20" ht="26.25">
      <c r="T5248" s="62" ph="1"/>
    </row>
    <row r="5249" spans="20:20" ht="26.25">
      <c r="T5249" s="62" ph="1"/>
    </row>
    <row r="5250" spans="20:20" ht="26.25">
      <c r="T5250" s="62" ph="1"/>
    </row>
    <row r="5251" spans="20:20" ht="26.25">
      <c r="T5251" s="62" ph="1"/>
    </row>
    <row r="5252" spans="20:20" ht="26.25">
      <c r="T5252" s="62" ph="1"/>
    </row>
    <row r="5253" spans="20:20" ht="26.25">
      <c r="T5253" s="62" ph="1"/>
    </row>
    <row r="5254" spans="20:20" ht="26.25">
      <c r="T5254" s="62" ph="1"/>
    </row>
    <row r="5255" spans="20:20" ht="26.25">
      <c r="T5255" s="62" ph="1"/>
    </row>
    <row r="5256" spans="20:20" ht="26.25">
      <c r="T5256" s="62" ph="1"/>
    </row>
    <row r="5257" spans="20:20" ht="26.25">
      <c r="T5257" s="62" ph="1"/>
    </row>
    <row r="5258" spans="20:20" ht="26.25">
      <c r="T5258" s="62" ph="1"/>
    </row>
    <row r="5259" spans="20:20" ht="26.25">
      <c r="T5259" s="62" ph="1"/>
    </row>
    <row r="5260" spans="20:20" ht="26.25">
      <c r="T5260" s="62" ph="1"/>
    </row>
    <row r="5261" spans="20:20" ht="26.25">
      <c r="T5261" s="62" ph="1"/>
    </row>
    <row r="5262" spans="20:20" ht="26.25">
      <c r="T5262" s="62" ph="1"/>
    </row>
    <row r="5263" spans="20:20" ht="26.25">
      <c r="T5263" s="62" ph="1"/>
    </row>
    <row r="5264" spans="20:20" ht="26.25">
      <c r="T5264" s="62" ph="1"/>
    </row>
    <row r="5265" spans="20:20" ht="26.25">
      <c r="T5265" s="62" ph="1"/>
    </row>
    <row r="5266" spans="20:20" ht="26.25">
      <c r="T5266" s="62" ph="1"/>
    </row>
    <row r="5267" spans="20:20" ht="26.25">
      <c r="T5267" s="62" ph="1"/>
    </row>
    <row r="5268" spans="20:20" ht="26.25">
      <c r="T5268" s="62" ph="1"/>
    </row>
    <row r="5269" spans="20:20" ht="26.25">
      <c r="T5269" s="62" ph="1"/>
    </row>
    <row r="5270" spans="20:20" ht="26.25">
      <c r="T5270" s="62" ph="1"/>
    </row>
    <row r="5271" spans="20:20" ht="26.25">
      <c r="T5271" s="62" ph="1"/>
    </row>
    <row r="5272" spans="20:20" ht="26.25">
      <c r="T5272" s="62" ph="1"/>
    </row>
    <row r="5273" spans="20:20" ht="26.25">
      <c r="T5273" s="62" ph="1"/>
    </row>
    <row r="5274" spans="20:20" ht="26.25">
      <c r="T5274" s="62" ph="1"/>
    </row>
    <row r="5275" spans="20:20" ht="26.25">
      <c r="T5275" s="62" ph="1"/>
    </row>
    <row r="5276" spans="20:20" ht="26.25">
      <c r="T5276" s="62" ph="1"/>
    </row>
    <row r="5277" spans="20:20" ht="26.25">
      <c r="T5277" s="62" ph="1"/>
    </row>
    <row r="5278" spans="20:20" ht="26.25">
      <c r="T5278" s="62" ph="1"/>
    </row>
    <row r="5279" spans="20:20" ht="26.25">
      <c r="T5279" s="62" ph="1"/>
    </row>
    <row r="5280" spans="20:20" ht="26.25">
      <c r="T5280" s="62" ph="1"/>
    </row>
    <row r="5281" spans="20:20" ht="26.25">
      <c r="T5281" s="62" ph="1"/>
    </row>
    <row r="5282" spans="20:20" ht="26.25">
      <c r="T5282" s="62" ph="1"/>
    </row>
    <row r="5283" spans="20:20" ht="26.25">
      <c r="T5283" s="62" ph="1"/>
    </row>
    <row r="5284" spans="20:20" ht="26.25">
      <c r="T5284" s="62" ph="1"/>
    </row>
    <row r="5285" spans="20:20" ht="26.25">
      <c r="T5285" s="62" ph="1"/>
    </row>
    <row r="5286" spans="20:20" ht="26.25">
      <c r="T5286" s="62" ph="1"/>
    </row>
    <row r="5287" spans="20:20" ht="26.25">
      <c r="T5287" s="62" ph="1"/>
    </row>
    <row r="5288" spans="20:20" ht="26.25">
      <c r="T5288" s="62" ph="1"/>
    </row>
    <row r="5289" spans="20:20" ht="26.25">
      <c r="T5289" s="62" ph="1"/>
    </row>
    <row r="5290" spans="20:20" ht="26.25">
      <c r="T5290" s="62" ph="1"/>
    </row>
    <row r="5291" spans="20:20" ht="26.25">
      <c r="T5291" s="62" ph="1"/>
    </row>
    <row r="5292" spans="20:20" ht="26.25">
      <c r="T5292" s="62" ph="1"/>
    </row>
    <row r="5293" spans="20:20" ht="26.25">
      <c r="T5293" s="62" ph="1"/>
    </row>
    <row r="5294" spans="20:20" ht="26.25">
      <c r="T5294" s="62" ph="1"/>
    </row>
    <row r="5295" spans="20:20" ht="26.25">
      <c r="T5295" s="62" ph="1"/>
    </row>
    <row r="5296" spans="20:20" ht="26.25">
      <c r="T5296" s="62" ph="1"/>
    </row>
    <row r="5297" spans="20:20" ht="26.25">
      <c r="T5297" s="62" ph="1"/>
    </row>
    <row r="5298" spans="20:20" ht="26.25">
      <c r="T5298" s="62" ph="1"/>
    </row>
    <row r="5299" spans="20:20" ht="26.25">
      <c r="T5299" s="62" ph="1"/>
    </row>
    <row r="5300" spans="20:20" ht="26.25">
      <c r="T5300" s="62" ph="1"/>
    </row>
    <row r="5301" spans="20:20" ht="26.25">
      <c r="T5301" s="62" ph="1"/>
    </row>
    <row r="5302" spans="20:20" ht="26.25">
      <c r="T5302" s="62" ph="1"/>
    </row>
    <row r="5303" spans="20:20" ht="26.25">
      <c r="T5303" s="62" ph="1"/>
    </row>
    <row r="5304" spans="20:20" ht="26.25">
      <c r="T5304" s="62" ph="1"/>
    </row>
    <row r="5305" spans="20:20" ht="26.25">
      <c r="T5305" s="62" ph="1"/>
    </row>
    <row r="5306" spans="20:20" ht="26.25">
      <c r="T5306" s="62" ph="1"/>
    </row>
    <row r="5307" spans="20:20" ht="26.25">
      <c r="T5307" s="62" ph="1"/>
    </row>
    <row r="5308" spans="20:20" ht="26.25">
      <c r="T5308" s="62" ph="1"/>
    </row>
    <row r="5309" spans="20:20" ht="26.25">
      <c r="T5309" s="62" ph="1"/>
    </row>
    <row r="5310" spans="20:20" ht="26.25">
      <c r="T5310" s="62" ph="1"/>
    </row>
    <row r="5311" spans="20:20" ht="26.25">
      <c r="T5311" s="62" ph="1"/>
    </row>
    <row r="5312" spans="20:20" ht="26.25">
      <c r="T5312" s="62" ph="1"/>
    </row>
    <row r="5313" spans="20:20" ht="26.25">
      <c r="T5313" s="62" ph="1"/>
    </row>
    <row r="5314" spans="20:20" ht="26.25">
      <c r="T5314" s="62" ph="1"/>
    </row>
    <row r="5315" spans="20:20" ht="26.25">
      <c r="T5315" s="62" ph="1"/>
    </row>
    <row r="5316" spans="20:20" ht="26.25">
      <c r="T5316" s="62" ph="1"/>
    </row>
    <row r="5317" spans="20:20" ht="26.25">
      <c r="T5317" s="62" ph="1"/>
    </row>
    <row r="5318" spans="20:20" ht="26.25">
      <c r="T5318" s="62" ph="1"/>
    </row>
    <row r="5319" spans="20:20" ht="26.25">
      <c r="T5319" s="62" ph="1"/>
    </row>
    <row r="5320" spans="20:20" ht="26.25">
      <c r="T5320" s="62" ph="1"/>
    </row>
    <row r="5321" spans="20:20" ht="26.25">
      <c r="T5321" s="62" ph="1"/>
    </row>
    <row r="5322" spans="20:20" ht="26.25">
      <c r="T5322" s="62" ph="1"/>
    </row>
    <row r="5323" spans="20:20" ht="26.25">
      <c r="T5323" s="62" ph="1"/>
    </row>
    <row r="5324" spans="20:20" ht="26.25">
      <c r="T5324" s="62" ph="1"/>
    </row>
    <row r="5325" spans="20:20" ht="26.25">
      <c r="T5325" s="62" ph="1"/>
    </row>
    <row r="5326" spans="20:20" ht="26.25">
      <c r="T5326" s="62" ph="1"/>
    </row>
    <row r="5327" spans="20:20" ht="26.25">
      <c r="T5327" s="62" ph="1"/>
    </row>
    <row r="5328" spans="20:20" ht="26.25">
      <c r="T5328" s="62" ph="1"/>
    </row>
    <row r="5329" spans="20:20" ht="26.25">
      <c r="T5329" s="62" ph="1"/>
    </row>
    <row r="5330" spans="20:20" ht="26.25">
      <c r="T5330" s="62" ph="1"/>
    </row>
    <row r="5331" spans="20:20" ht="26.25">
      <c r="T5331" s="62" ph="1"/>
    </row>
    <row r="5332" spans="20:20" ht="26.25">
      <c r="T5332" s="62" ph="1"/>
    </row>
    <row r="5333" spans="20:20" ht="26.25">
      <c r="T5333" s="62" ph="1"/>
    </row>
    <row r="5334" spans="20:20" ht="26.25">
      <c r="T5334" s="62" ph="1"/>
    </row>
    <row r="5335" spans="20:20" ht="26.25">
      <c r="T5335" s="62" ph="1"/>
    </row>
    <row r="5336" spans="20:20" ht="26.25">
      <c r="T5336" s="62" ph="1"/>
    </row>
    <row r="5337" spans="20:20" ht="26.25">
      <c r="T5337" s="62" ph="1"/>
    </row>
    <row r="5338" spans="20:20" ht="26.25">
      <c r="T5338" s="62" ph="1"/>
    </row>
    <row r="5339" spans="20:20" ht="26.25">
      <c r="T5339" s="62" ph="1"/>
    </row>
    <row r="5340" spans="20:20" ht="26.25">
      <c r="T5340" s="62" ph="1"/>
    </row>
    <row r="5341" spans="20:20" ht="26.25">
      <c r="T5341" s="62" ph="1"/>
    </row>
    <row r="5342" spans="20:20" ht="26.25">
      <c r="T5342" s="62" ph="1"/>
    </row>
    <row r="5343" spans="20:20" ht="26.25">
      <c r="T5343" s="62" ph="1"/>
    </row>
    <row r="5344" spans="20:20" ht="26.25">
      <c r="T5344" s="62" ph="1"/>
    </row>
    <row r="5345" spans="20:20" ht="26.25">
      <c r="T5345" s="62" ph="1"/>
    </row>
    <row r="5346" spans="20:20" ht="26.25">
      <c r="T5346" s="62" ph="1"/>
    </row>
    <row r="5347" spans="20:20" ht="26.25">
      <c r="T5347" s="62" ph="1"/>
    </row>
    <row r="5348" spans="20:20" ht="26.25">
      <c r="T5348" s="62" ph="1"/>
    </row>
    <row r="5349" spans="20:20" ht="26.25">
      <c r="T5349" s="62" ph="1"/>
    </row>
    <row r="5350" spans="20:20" ht="26.25">
      <c r="T5350" s="62" ph="1"/>
    </row>
    <row r="5351" spans="20:20" ht="26.25">
      <c r="T5351" s="62" ph="1"/>
    </row>
    <row r="5352" spans="20:20" ht="26.25">
      <c r="T5352" s="62" ph="1"/>
    </row>
    <row r="5353" spans="20:20" ht="26.25">
      <c r="T5353" s="62" ph="1"/>
    </row>
    <row r="5354" spans="20:20" ht="26.25">
      <c r="T5354" s="62" ph="1"/>
    </row>
    <row r="5355" spans="20:20" ht="26.25">
      <c r="T5355" s="62" ph="1"/>
    </row>
    <row r="5356" spans="20:20" ht="26.25">
      <c r="T5356" s="62" ph="1"/>
    </row>
    <row r="5357" spans="20:20" ht="26.25">
      <c r="T5357" s="62" ph="1"/>
    </row>
    <row r="5358" spans="20:20" ht="26.25">
      <c r="T5358" s="62" ph="1"/>
    </row>
    <row r="5359" spans="20:20" ht="26.25">
      <c r="T5359" s="62" ph="1"/>
    </row>
    <row r="5360" spans="20:20" ht="26.25">
      <c r="T5360" s="62" ph="1"/>
    </row>
    <row r="5361" spans="20:20" ht="26.25">
      <c r="T5361" s="62" ph="1"/>
    </row>
    <row r="5362" spans="20:20" ht="26.25">
      <c r="T5362" s="62" ph="1"/>
    </row>
    <row r="5363" spans="20:20" ht="26.25">
      <c r="T5363" s="62" ph="1"/>
    </row>
    <row r="5364" spans="20:20" ht="26.25">
      <c r="T5364" s="62" ph="1"/>
    </row>
    <row r="5365" spans="20:20" ht="26.25">
      <c r="T5365" s="62" ph="1"/>
    </row>
    <row r="5366" spans="20:20" ht="26.25">
      <c r="T5366" s="62" ph="1"/>
    </row>
    <row r="5367" spans="20:20" ht="26.25">
      <c r="T5367" s="62" ph="1"/>
    </row>
    <row r="5368" spans="20:20" ht="26.25">
      <c r="T5368" s="62" ph="1"/>
    </row>
    <row r="5369" spans="20:20" ht="26.25">
      <c r="T5369" s="62" ph="1"/>
    </row>
    <row r="5370" spans="20:20" ht="26.25">
      <c r="T5370" s="62" ph="1"/>
    </row>
    <row r="5371" spans="20:20" ht="26.25">
      <c r="T5371" s="62" ph="1"/>
    </row>
    <row r="5372" spans="20:20" ht="26.25">
      <c r="T5372" s="62" ph="1"/>
    </row>
    <row r="5373" spans="20:20" ht="26.25">
      <c r="T5373" s="62" ph="1"/>
    </row>
    <row r="5374" spans="20:20" ht="26.25">
      <c r="T5374" s="62" ph="1"/>
    </row>
    <row r="5375" spans="20:20" ht="26.25">
      <c r="T5375" s="62" ph="1"/>
    </row>
    <row r="5376" spans="20:20" ht="26.25">
      <c r="T5376" s="62" ph="1"/>
    </row>
    <row r="5377" spans="20:20" ht="26.25">
      <c r="T5377" s="62" ph="1"/>
    </row>
    <row r="5378" spans="20:20" ht="26.25">
      <c r="T5378" s="62" ph="1"/>
    </row>
    <row r="5379" spans="20:20" ht="26.25">
      <c r="T5379" s="62" ph="1"/>
    </row>
    <row r="5380" spans="20:20" ht="26.25">
      <c r="T5380" s="62" ph="1"/>
    </row>
    <row r="5381" spans="20:20" ht="26.25">
      <c r="T5381" s="62" ph="1"/>
    </row>
    <row r="5382" spans="20:20" ht="26.25">
      <c r="T5382" s="62" ph="1"/>
    </row>
    <row r="5383" spans="20:20" ht="26.25">
      <c r="T5383" s="62" ph="1"/>
    </row>
    <row r="5384" spans="20:20" ht="26.25">
      <c r="T5384" s="62" ph="1"/>
    </row>
    <row r="5385" spans="20:20" ht="26.25">
      <c r="T5385" s="62" ph="1"/>
    </row>
    <row r="5386" spans="20:20" ht="26.25">
      <c r="T5386" s="62" ph="1"/>
    </row>
    <row r="5387" spans="20:20" ht="26.25">
      <c r="T5387" s="62" ph="1"/>
    </row>
    <row r="5388" spans="20:20" ht="26.25">
      <c r="T5388" s="62" ph="1"/>
    </row>
    <row r="5389" spans="20:20" ht="26.25">
      <c r="T5389" s="62" ph="1"/>
    </row>
    <row r="5390" spans="20:20" ht="26.25">
      <c r="T5390" s="62" ph="1"/>
    </row>
    <row r="5391" spans="20:20" ht="26.25">
      <c r="T5391" s="62" ph="1"/>
    </row>
    <row r="5392" spans="20:20" ht="26.25">
      <c r="T5392" s="62" ph="1"/>
    </row>
    <row r="5393" spans="20:20" ht="26.25">
      <c r="T5393" s="62" ph="1"/>
    </row>
    <row r="5394" spans="20:20" ht="26.25">
      <c r="T5394" s="62" ph="1"/>
    </row>
    <row r="5395" spans="20:20" ht="26.25">
      <c r="T5395" s="62" ph="1"/>
    </row>
    <row r="5396" spans="20:20" ht="26.25">
      <c r="T5396" s="62" ph="1"/>
    </row>
    <row r="5397" spans="20:20" ht="26.25">
      <c r="T5397" s="62" ph="1"/>
    </row>
    <row r="5398" spans="20:20" ht="26.25">
      <c r="T5398" s="62" ph="1"/>
    </row>
    <row r="5399" spans="20:20" ht="26.25">
      <c r="T5399" s="62" ph="1"/>
    </row>
    <row r="5400" spans="20:20" ht="26.25">
      <c r="T5400" s="62" ph="1"/>
    </row>
    <row r="5401" spans="20:20" ht="26.25">
      <c r="T5401" s="62" ph="1"/>
    </row>
    <row r="5402" spans="20:20" ht="26.25">
      <c r="T5402" s="62" ph="1"/>
    </row>
    <row r="5403" spans="20:20" ht="26.25">
      <c r="T5403" s="62" ph="1"/>
    </row>
    <row r="5404" spans="20:20" ht="26.25">
      <c r="T5404" s="62" ph="1"/>
    </row>
    <row r="5405" spans="20:20" ht="26.25">
      <c r="T5405" s="62" ph="1"/>
    </row>
    <row r="5406" spans="20:20" ht="26.25">
      <c r="T5406" s="62" ph="1"/>
    </row>
    <row r="5407" spans="20:20" ht="26.25">
      <c r="T5407" s="62" ph="1"/>
    </row>
    <row r="5408" spans="20:20" ht="26.25">
      <c r="T5408" s="62" ph="1"/>
    </row>
    <row r="5409" spans="20:20" ht="26.25">
      <c r="T5409" s="62" ph="1"/>
    </row>
    <row r="5410" spans="20:20" ht="26.25">
      <c r="T5410" s="62" ph="1"/>
    </row>
    <row r="5411" spans="20:20" ht="26.25">
      <c r="T5411" s="62" ph="1"/>
    </row>
    <row r="5412" spans="20:20" ht="26.25">
      <c r="T5412" s="62" ph="1"/>
    </row>
    <row r="5413" spans="20:20" ht="26.25">
      <c r="T5413" s="62" ph="1"/>
    </row>
    <row r="5414" spans="20:20" ht="26.25">
      <c r="T5414" s="62" ph="1"/>
    </row>
    <row r="5415" spans="20:20" ht="26.25">
      <c r="T5415" s="62" ph="1"/>
    </row>
    <row r="5416" spans="20:20" ht="26.25">
      <c r="T5416" s="62" ph="1"/>
    </row>
    <row r="5417" spans="20:20" ht="26.25">
      <c r="T5417" s="62" ph="1"/>
    </row>
    <row r="5418" spans="20:20" ht="26.25">
      <c r="T5418" s="62" ph="1"/>
    </row>
    <row r="5419" spans="20:20" ht="26.25">
      <c r="T5419" s="62" ph="1"/>
    </row>
    <row r="5420" spans="20:20" ht="26.25">
      <c r="T5420" s="62" ph="1"/>
    </row>
    <row r="5421" spans="20:20" ht="26.25">
      <c r="T5421" s="62" ph="1"/>
    </row>
    <row r="5422" spans="20:20" ht="26.25">
      <c r="T5422" s="62" ph="1"/>
    </row>
    <row r="5423" spans="20:20" ht="26.25">
      <c r="T5423" s="62" ph="1"/>
    </row>
    <row r="5424" spans="20:20" ht="26.25">
      <c r="T5424" s="62" ph="1"/>
    </row>
    <row r="5425" spans="20:20" ht="26.25">
      <c r="T5425" s="62" ph="1"/>
    </row>
    <row r="5426" spans="20:20" ht="26.25">
      <c r="T5426" s="62" ph="1"/>
    </row>
    <row r="5427" spans="20:20" ht="26.25">
      <c r="T5427" s="62" ph="1"/>
    </row>
    <row r="5428" spans="20:20" ht="26.25">
      <c r="T5428" s="62" ph="1"/>
    </row>
    <row r="5429" spans="20:20" ht="26.25">
      <c r="T5429" s="62" ph="1"/>
    </row>
    <row r="5430" spans="20:20" ht="26.25">
      <c r="T5430" s="62" ph="1"/>
    </row>
    <row r="5431" spans="20:20" ht="26.25">
      <c r="T5431" s="62" ph="1"/>
    </row>
    <row r="5432" spans="20:20" ht="26.25">
      <c r="T5432" s="62" ph="1"/>
    </row>
    <row r="5433" spans="20:20" ht="26.25">
      <c r="T5433" s="62" ph="1"/>
    </row>
    <row r="5434" spans="20:20" ht="26.25">
      <c r="T5434" s="62" ph="1"/>
    </row>
    <row r="5435" spans="20:20" ht="26.25">
      <c r="T5435" s="62" ph="1"/>
    </row>
    <row r="5436" spans="20:20" ht="26.25">
      <c r="T5436" s="62" ph="1"/>
    </row>
    <row r="5437" spans="20:20" ht="26.25">
      <c r="T5437" s="62" ph="1"/>
    </row>
    <row r="5438" spans="20:20" ht="26.25">
      <c r="T5438" s="62" ph="1"/>
    </row>
    <row r="5439" spans="20:20" ht="26.25">
      <c r="T5439" s="62" ph="1"/>
    </row>
    <row r="5440" spans="20:20" ht="26.25">
      <c r="T5440" s="62" ph="1"/>
    </row>
    <row r="5441" spans="20:20" ht="26.25">
      <c r="T5441" s="62" ph="1"/>
    </row>
    <row r="5442" spans="20:20" ht="26.25">
      <c r="T5442" s="62" ph="1"/>
    </row>
    <row r="5443" spans="20:20" ht="26.25">
      <c r="T5443" s="62" ph="1"/>
    </row>
    <row r="5444" spans="20:20" ht="26.25">
      <c r="T5444" s="62" ph="1"/>
    </row>
    <row r="5445" spans="20:20" ht="26.25">
      <c r="T5445" s="62" ph="1"/>
    </row>
    <row r="5446" spans="20:20" ht="26.25">
      <c r="T5446" s="62" ph="1"/>
    </row>
    <row r="5447" spans="20:20" ht="26.25">
      <c r="T5447" s="62" ph="1"/>
    </row>
    <row r="5448" spans="20:20" ht="26.25">
      <c r="T5448" s="62" ph="1"/>
    </row>
    <row r="5449" spans="20:20" ht="26.25">
      <c r="T5449" s="62" ph="1"/>
    </row>
    <row r="5450" spans="20:20" ht="26.25">
      <c r="T5450" s="62" ph="1"/>
    </row>
    <row r="5451" spans="20:20" ht="26.25">
      <c r="T5451" s="62" ph="1"/>
    </row>
    <row r="5452" spans="20:20" ht="26.25">
      <c r="T5452" s="62" ph="1"/>
    </row>
    <row r="5453" spans="20:20" ht="26.25">
      <c r="T5453" s="62" ph="1"/>
    </row>
    <row r="5454" spans="20:20" ht="26.25">
      <c r="T5454" s="62" ph="1"/>
    </row>
    <row r="5455" spans="20:20" ht="26.25">
      <c r="T5455" s="62" ph="1"/>
    </row>
    <row r="5456" spans="20:20" ht="26.25">
      <c r="T5456" s="62" ph="1"/>
    </row>
    <row r="5457" spans="20:20" ht="26.25">
      <c r="T5457" s="62" ph="1"/>
    </row>
    <row r="5458" spans="20:20" ht="26.25">
      <c r="T5458" s="62" ph="1"/>
    </row>
    <row r="5459" spans="20:20" ht="26.25">
      <c r="T5459" s="62" ph="1"/>
    </row>
    <row r="5460" spans="20:20" ht="26.25">
      <c r="T5460" s="62" ph="1"/>
    </row>
    <row r="5461" spans="20:20" ht="26.25">
      <c r="T5461" s="62" ph="1"/>
    </row>
    <row r="5462" spans="20:20" ht="26.25">
      <c r="T5462" s="62" ph="1"/>
    </row>
    <row r="5463" spans="20:20" ht="26.25">
      <c r="T5463" s="62" ph="1"/>
    </row>
    <row r="5464" spans="20:20" ht="26.25">
      <c r="T5464" s="62" ph="1"/>
    </row>
    <row r="5465" spans="20:20" ht="26.25">
      <c r="T5465" s="62" ph="1"/>
    </row>
    <row r="5466" spans="20:20" ht="26.25">
      <c r="T5466" s="62" ph="1"/>
    </row>
    <row r="5467" spans="20:20" ht="26.25">
      <c r="T5467" s="62" ph="1"/>
    </row>
    <row r="5468" spans="20:20" ht="26.25">
      <c r="T5468" s="62" ph="1"/>
    </row>
    <row r="5469" spans="20:20" ht="26.25">
      <c r="T5469" s="62" ph="1"/>
    </row>
    <row r="5470" spans="20:20" ht="26.25">
      <c r="T5470" s="62" ph="1"/>
    </row>
    <row r="5471" spans="20:20" ht="26.25">
      <c r="T5471" s="62" ph="1"/>
    </row>
    <row r="5472" spans="20:20" ht="26.25">
      <c r="T5472" s="62" ph="1"/>
    </row>
    <row r="5473" spans="20:20" ht="26.25">
      <c r="T5473" s="62" ph="1"/>
    </row>
    <row r="5474" spans="20:20" ht="26.25">
      <c r="T5474" s="62" ph="1"/>
    </row>
    <row r="5475" spans="20:20" ht="26.25">
      <c r="T5475" s="62" ph="1"/>
    </row>
    <row r="5476" spans="20:20" ht="26.25">
      <c r="T5476" s="62" ph="1"/>
    </row>
    <row r="5477" spans="20:20" ht="26.25">
      <c r="T5477" s="62" ph="1"/>
    </row>
    <row r="5478" spans="20:20" ht="26.25">
      <c r="T5478" s="62" ph="1"/>
    </row>
    <row r="5479" spans="20:20" ht="26.25">
      <c r="T5479" s="62" ph="1"/>
    </row>
    <row r="5480" spans="20:20" ht="26.25">
      <c r="T5480" s="62" ph="1"/>
    </row>
    <row r="5481" spans="20:20" ht="26.25">
      <c r="T5481" s="62" ph="1"/>
    </row>
    <row r="5482" spans="20:20" ht="26.25">
      <c r="T5482" s="62" ph="1"/>
    </row>
    <row r="5483" spans="20:20" ht="26.25">
      <c r="T5483" s="62" ph="1"/>
    </row>
    <row r="5484" spans="20:20" ht="26.25">
      <c r="T5484" s="62" ph="1"/>
    </row>
    <row r="5485" spans="20:20" ht="26.25">
      <c r="T5485" s="62" ph="1"/>
    </row>
    <row r="5486" spans="20:20" ht="26.25">
      <c r="T5486" s="62" ph="1"/>
    </row>
    <row r="5487" spans="20:20" ht="26.25">
      <c r="T5487" s="62" ph="1"/>
    </row>
    <row r="5488" spans="20:20" ht="26.25">
      <c r="T5488" s="62" ph="1"/>
    </row>
    <row r="5489" spans="20:20" ht="26.25">
      <c r="T5489" s="62" ph="1"/>
    </row>
    <row r="5490" spans="20:20" ht="26.25">
      <c r="T5490" s="62" ph="1"/>
    </row>
    <row r="5491" spans="20:20" ht="26.25">
      <c r="T5491" s="62" ph="1"/>
    </row>
    <row r="5492" spans="20:20" ht="26.25">
      <c r="T5492" s="62" ph="1"/>
    </row>
    <row r="5493" spans="20:20" ht="26.25">
      <c r="T5493" s="62" ph="1"/>
    </row>
    <row r="5494" spans="20:20" ht="26.25">
      <c r="T5494" s="62" ph="1"/>
    </row>
    <row r="5495" spans="20:20" ht="26.25">
      <c r="T5495" s="62" ph="1"/>
    </row>
    <row r="5496" spans="20:20" ht="26.25">
      <c r="T5496" s="62" ph="1"/>
    </row>
    <row r="5497" spans="20:20" ht="26.25">
      <c r="T5497" s="62" ph="1"/>
    </row>
    <row r="5498" spans="20:20" ht="26.25">
      <c r="T5498" s="62" ph="1"/>
    </row>
    <row r="5499" spans="20:20" ht="26.25">
      <c r="T5499" s="62" ph="1"/>
    </row>
    <row r="5500" spans="20:20" ht="26.25">
      <c r="T5500" s="62" ph="1"/>
    </row>
    <row r="5501" spans="20:20" ht="26.25">
      <c r="T5501" s="62" ph="1"/>
    </row>
    <row r="5502" spans="20:20" ht="26.25">
      <c r="T5502" s="62" ph="1"/>
    </row>
    <row r="5503" spans="20:20" ht="26.25">
      <c r="T5503" s="62" ph="1"/>
    </row>
    <row r="5504" spans="20:20" ht="26.25">
      <c r="T5504" s="62" ph="1"/>
    </row>
    <row r="5505" spans="20:20" ht="26.25">
      <c r="T5505" s="62" ph="1"/>
    </row>
    <row r="5506" spans="20:20" ht="26.25">
      <c r="T5506" s="62" ph="1"/>
    </row>
    <row r="5507" spans="20:20" ht="26.25">
      <c r="T5507" s="62" ph="1"/>
    </row>
    <row r="5508" spans="20:20" ht="26.25">
      <c r="T5508" s="62" ph="1"/>
    </row>
    <row r="5509" spans="20:20" ht="26.25">
      <c r="T5509" s="62" ph="1"/>
    </row>
    <row r="5510" spans="20:20" ht="26.25">
      <c r="T5510" s="62" ph="1"/>
    </row>
    <row r="5511" spans="20:20" ht="26.25">
      <c r="T5511" s="62" ph="1"/>
    </row>
    <row r="5512" spans="20:20" ht="26.25">
      <c r="T5512" s="62" ph="1"/>
    </row>
    <row r="5513" spans="20:20" ht="26.25">
      <c r="T5513" s="62" ph="1"/>
    </row>
    <row r="5514" spans="20:20" ht="26.25">
      <c r="T5514" s="62" ph="1"/>
    </row>
    <row r="5515" spans="20:20" ht="26.25">
      <c r="T5515" s="62" ph="1"/>
    </row>
    <row r="5516" spans="20:20" ht="26.25">
      <c r="T5516" s="62" ph="1"/>
    </row>
    <row r="5517" spans="20:20" ht="26.25">
      <c r="T5517" s="62" ph="1"/>
    </row>
    <row r="5518" spans="20:20" ht="26.25">
      <c r="T5518" s="62" ph="1"/>
    </row>
    <row r="5519" spans="20:20" ht="26.25">
      <c r="T5519" s="62" ph="1"/>
    </row>
    <row r="5520" spans="20:20" ht="26.25">
      <c r="T5520" s="62" ph="1"/>
    </row>
    <row r="5521" spans="20:20" ht="26.25">
      <c r="T5521" s="62" ph="1"/>
    </row>
    <row r="5522" spans="20:20" ht="26.25">
      <c r="T5522" s="62" ph="1"/>
    </row>
    <row r="5523" spans="20:20" ht="26.25">
      <c r="T5523" s="62" ph="1"/>
    </row>
    <row r="5524" spans="20:20" ht="26.25">
      <c r="T5524" s="62" ph="1"/>
    </row>
    <row r="5525" spans="20:20" ht="26.25">
      <c r="T5525" s="62" ph="1"/>
    </row>
    <row r="5526" spans="20:20" ht="26.25">
      <c r="T5526" s="62" ph="1"/>
    </row>
    <row r="5527" spans="20:20" ht="26.25">
      <c r="T5527" s="62" ph="1"/>
    </row>
    <row r="5528" spans="20:20" ht="26.25">
      <c r="T5528" s="62" ph="1"/>
    </row>
    <row r="5529" spans="20:20" ht="26.25">
      <c r="T5529" s="62" ph="1"/>
    </row>
    <row r="5530" spans="20:20" ht="26.25">
      <c r="T5530" s="62" ph="1"/>
    </row>
    <row r="5531" spans="20:20" ht="26.25">
      <c r="T5531" s="62" ph="1"/>
    </row>
    <row r="5532" spans="20:20" ht="26.25">
      <c r="T5532" s="62" ph="1"/>
    </row>
    <row r="5533" spans="20:20" ht="26.25">
      <c r="T5533" s="62" ph="1"/>
    </row>
    <row r="5534" spans="20:20" ht="26.25">
      <c r="T5534" s="62" ph="1"/>
    </row>
    <row r="5535" spans="20:20" ht="26.25">
      <c r="T5535" s="62" ph="1"/>
    </row>
    <row r="5536" spans="20:20" ht="26.25">
      <c r="T5536" s="62" ph="1"/>
    </row>
    <row r="5537" spans="20:20" ht="26.25">
      <c r="T5537" s="62" ph="1"/>
    </row>
    <row r="5538" spans="20:20" ht="26.25">
      <c r="T5538" s="62" ph="1"/>
    </row>
    <row r="5539" spans="20:20" ht="26.25">
      <c r="T5539" s="62" ph="1"/>
    </row>
    <row r="5540" spans="20:20" ht="26.25">
      <c r="T5540" s="62" ph="1"/>
    </row>
    <row r="5541" spans="20:20" ht="26.25">
      <c r="T5541" s="62" ph="1"/>
    </row>
    <row r="5542" spans="20:20" ht="26.25">
      <c r="T5542" s="62" ph="1"/>
    </row>
    <row r="5543" spans="20:20" ht="26.25">
      <c r="T5543" s="62" ph="1"/>
    </row>
    <row r="5544" spans="20:20" ht="26.25">
      <c r="T5544" s="62" ph="1"/>
    </row>
    <row r="5545" spans="20:20" ht="26.25">
      <c r="T5545" s="62" ph="1"/>
    </row>
    <row r="5546" spans="20:20" ht="26.25">
      <c r="T5546" s="62" ph="1"/>
    </row>
    <row r="5547" spans="20:20" ht="26.25">
      <c r="T5547" s="62" ph="1"/>
    </row>
    <row r="5548" spans="20:20" ht="26.25">
      <c r="T5548" s="62" ph="1"/>
    </row>
    <row r="5549" spans="20:20" ht="26.25">
      <c r="T5549" s="62" ph="1"/>
    </row>
    <row r="5550" spans="20:20" ht="26.25">
      <c r="T5550" s="62" ph="1"/>
    </row>
    <row r="5551" spans="20:20" ht="26.25">
      <c r="T5551" s="62" ph="1"/>
    </row>
    <row r="5552" spans="20:20" ht="26.25">
      <c r="T5552" s="62" ph="1"/>
    </row>
    <row r="5553" spans="20:20" ht="26.25">
      <c r="T5553" s="62" ph="1"/>
    </row>
    <row r="5554" spans="20:20" ht="26.25">
      <c r="T5554" s="62" ph="1"/>
    </row>
    <row r="5555" spans="20:20" ht="26.25">
      <c r="T5555" s="62" ph="1"/>
    </row>
    <row r="5556" spans="20:20" ht="26.25">
      <c r="T5556" s="62" ph="1"/>
    </row>
    <row r="5557" spans="20:20" ht="26.25">
      <c r="T5557" s="62" ph="1"/>
    </row>
    <row r="5558" spans="20:20" ht="26.25">
      <c r="T5558" s="62" ph="1"/>
    </row>
    <row r="5559" spans="20:20" ht="26.25">
      <c r="T5559" s="62" ph="1"/>
    </row>
    <row r="5560" spans="20:20" ht="26.25">
      <c r="T5560" s="62" ph="1"/>
    </row>
    <row r="5561" spans="20:20" ht="26.25">
      <c r="T5561" s="62" ph="1"/>
    </row>
    <row r="5562" spans="20:20" ht="26.25">
      <c r="T5562" s="62" ph="1"/>
    </row>
    <row r="5563" spans="20:20" ht="26.25">
      <c r="T5563" s="62" ph="1"/>
    </row>
    <row r="5564" spans="20:20" ht="26.25">
      <c r="T5564" s="62" ph="1"/>
    </row>
    <row r="5565" spans="20:20" ht="26.25">
      <c r="T5565" s="62" ph="1"/>
    </row>
    <row r="5566" spans="20:20" ht="26.25">
      <c r="T5566" s="62" ph="1"/>
    </row>
    <row r="5567" spans="20:20" ht="26.25">
      <c r="T5567" s="62" ph="1"/>
    </row>
    <row r="5568" spans="20:20" ht="26.25">
      <c r="T5568" s="62" ph="1"/>
    </row>
    <row r="5569" spans="20:20" ht="26.25">
      <c r="T5569" s="62" ph="1"/>
    </row>
    <row r="5570" spans="20:20" ht="26.25">
      <c r="T5570" s="62" ph="1"/>
    </row>
    <row r="5571" spans="20:20" ht="26.25">
      <c r="T5571" s="62" ph="1"/>
    </row>
    <row r="5572" spans="20:20" ht="26.25">
      <c r="T5572" s="62" ph="1"/>
    </row>
    <row r="5573" spans="20:20" ht="26.25">
      <c r="T5573" s="62" ph="1"/>
    </row>
    <row r="5574" spans="20:20" ht="26.25">
      <c r="T5574" s="62" ph="1"/>
    </row>
    <row r="5575" spans="20:20" ht="26.25">
      <c r="T5575" s="62" ph="1"/>
    </row>
    <row r="5576" spans="20:20" ht="26.25">
      <c r="T5576" s="62" ph="1"/>
    </row>
    <row r="5577" spans="20:20" ht="26.25">
      <c r="T5577" s="62" ph="1"/>
    </row>
    <row r="5578" spans="20:20" ht="26.25">
      <c r="T5578" s="62" ph="1"/>
    </row>
    <row r="5579" spans="20:20" ht="26.25">
      <c r="T5579" s="62" ph="1"/>
    </row>
    <row r="5580" spans="20:20" ht="26.25">
      <c r="T5580" s="62" ph="1"/>
    </row>
    <row r="5581" spans="20:20" ht="26.25">
      <c r="T5581" s="62" ph="1"/>
    </row>
    <row r="5582" spans="20:20" ht="26.25">
      <c r="T5582" s="62" ph="1"/>
    </row>
    <row r="5583" spans="20:20" ht="26.25">
      <c r="T5583" s="62" ph="1"/>
    </row>
    <row r="5584" spans="20:20" ht="26.25">
      <c r="T5584" s="62" ph="1"/>
    </row>
    <row r="5585" spans="20:20" ht="26.25">
      <c r="T5585" s="62" ph="1"/>
    </row>
    <row r="5586" spans="20:20" ht="26.25">
      <c r="T5586" s="62" ph="1"/>
    </row>
    <row r="5587" spans="20:20" ht="26.25">
      <c r="T5587" s="62" ph="1"/>
    </row>
    <row r="5588" spans="20:20" ht="26.25">
      <c r="T5588" s="62" ph="1"/>
    </row>
    <row r="5589" spans="20:20" ht="26.25">
      <c r="T5589" s="62" ph="1"/>
    </row>
    <row r="5590" spans="20:20" ht="26.25">
      <c r="T5590" s="62" ph="1"/>
    </row>
    <row r="5591" spans="20:20" ht="26.25">
      <c r="T5591" s="62" ph="1"/>
    </row>
    <row r="5592" spans="20:20" ht="26.25">
      <c r="T5592" s="62" ph="1"/>
    </row>
    <row r="5593" spans="20:20" ht="26.25">
      <c r="T5593" s="62" ph="1"/>
    </row>
    <row r="5594" spans="20:20" ht="26.25">
      <c r="T5594" s="62" ph="1"/>
    </row>
    <row r="5595" spans="20:20" ht="26.25">
      <c r="T5595" s="62" ph="1"/>
    </row>
    <row r="5596" spans="20:20" ht="26.25">
      <c r="T5596" s="62" ph="1"/>
    </row>
    <row r="5597" spans="20:20" ht="26.25">
      <c r="T5597" s="62" ph="1"/>
    </row>
    <row r="5598" spans="20:20" ht="26.25">
      <c r="T5598" s="62" ph="1"/>
    </row>
    <row r="5599" spans="20:20" ht="26.25">
      <c r="T5599" s="62" ph="1"/>
    </row>
    <row r="5600" spans="20:20" ht="26.25">
      <c r="T5600" s="62" ph="1"/>
    </row>
    <row r="5601" spans="20:20" ht="26.25">
      <c r="T5601" s="62" ph="1"/>
    </row>
    <row r="5602" spans="20:20" ht="26.25">
      <c r="T5602" s="62" ph="1"/>
    </row>
    <row r="5603" spans="20:20" ht="26.25">
      <c r="T5603" s="62" ph="1"/>
    </row>
    <row r="5604" spans="20:20" ht="26.25">
      <c r="T5604" s="62" ph="1"/>
    </row>
    <row r="5605" spans="20:20" ht="26.25">
      <c r="T5605" s="62" ph="1"/>
    </row>
    <row r="5606" spans="20:20" ht="26.25">
      <c r="T5606" s="62" ph="1"/>
    </row>
    <row r="5607" spans="20:20" ht="26.25">
      <c r="T5607" s="62" ph="1"/>
    </row>
    <row r="5608" spans="20:20" ht="26.25">
      <c r="T5608" s="62" ph="1"/>
    </row>
    <row r="5609" spans="20:20" ht="26.25">
      <c r="T5609" s="62" ph="1"/>
    </row>
    <row r="5610" spans="20:20" ht="26.25">
      <c r="T5610" s="62" ph="1"/>
    </row>
    <row r="5611" spans="20:20" ht="26.25">
      <c r="T5611" s="62" ph="1"/>
    </row>
    <row r="5612" spans="20:20" ht="26.25">
      <c r="T5612" s="62" ph="1"/>
    </row>
    <row r="5613" spans="20:20" ht="26.25">
      <c r="T5613" s="62" ph="1"/>
    </row>
    <row r="5614" spans="20:20" ht="26.25">
      <c r="T5614" s="62" ph="1"/>
    </row>
    <row r="5615" spans="20:20" ht="26.25">
      <c r="T5615" s="62" ph="1"/>
    </row>
    <row r="5616" spans="20:20" ht="26.25">
      <c r="T5616" s="62" ph="1"/>
    </row>
    <row r="5617" spans="20:20" ht="26.25">
      <c r="T5617" s="62" ph="1"/>
    </row>
    <row r="5618" spans="20:20" ht="26.25">
      <c r="T5618" s="62" ph="1"/>
    </row>
    <row r="5619" spans="20:20" ht="26.25">
      <c r="T5619" s="62" ph="1"/>
    </row>
    <row r="5620" spans="20:20" ht="26.25">
      <c r="T5620" s="62" ph="1"/>
    </row>
    <row r="5621" spans="20:20" ht="26.25">
      <c r="T5621" s="62" ph="1"/>
    </row>
    <row r="5622" spans="20:20" ht="26.25">
      <c r="T5622" s="62" ph="1"/>
    </row>
    <row r="5623" spans="20:20" ht="26.25">
      <c r="T5623" s="62" ph="1"/>
    </row>
    <row r="5624" spans="20:20" ht="26.25">
      <c r="T5624" s="62" ph="1"/>
    </row>
    <row r="5625" spans="20:20" ht="26.25">
      <c r="T5625" s="62" ph="1"/>
    </row>
    <row r="5626" spans="20:20" ht="26.25">
      <c r="T5626" s="62" ph="1"/>
    </row>
    <row r="5627" spans="20:20" ht="26.25">
      <c r="T5627" s="62" ph="1"/>
    </row>
    <row r="5628" spans="20:20" ht="26.25">
      <c r="T5628" s="62" ph="1"/>
    </row>
    <row r="5629" spans="20:20" ht="26.25">
      <c r="T5629" s="62" ph="1"/>
    </row>
    <row r="5630" spans="20:20" ht="26.25">
      <c r="T5630" s="62" ph="1"/>
    </row>
    <row r="5631" spans="20:20" ht="26.25">
      <c r="T5631" s="62" ph="1"/>
    </row>
    <row r="5632" spans="20:20" ht="26.25">
      <c r="T5632" s="62" ph="1"/>
    </row>
    <row r="5633" spans="20:20" ht="26.25">
      <c r="T5633" s="62" ph="1"/>
    </row>
    <row r="5634" spans="20:20" ht="26.25">
      <c r="T5634" s="62" ph="1"/>
    </row>
    <row r="5635" spans="20:20" ht="26.25">
      <c r="T5635" s="62" ph="1"/>
    </row>
    <row r="5636" spans="20:20" ht="26.25">
      <c r="T5636" s="62" ph="1"/>
    </row>
    <row r="5637" spans="20:20" ht="26.25">
      <c r="T5637" s="62" ph="1"/>
    </row>
    <row r="5638" spans="20:20" ht="26.25">
      <c r="T5638" s="62" ph="1"/>
    </row>
    <row r="5639" spans="20:20" ht="26.25">
      <c r="T5639" s="62" ph="1"/>
    </row>
    <row r="5640" spans="20:20" ht="26.25">
      <c r="T5640" s="62" ph="1"/>
    </row>
    <row r="5641" spans="20:20" ht="26.25">
      <c r="T5641" s="62" ph="1"/>
    </row>
    <row r="5642" spans="20:20" ht="26.25">
      <c r="T5642" s="62" ph="1"/>
    </row>
    <row r="5643" spans="20:20" ht="26.25">
      <c r="T5643" s="62" ph="1"/>
    </row>
    <row r="5644" spans="20:20" ht="26.25">
      <c r="T5644" s="62" ph="1"/>
    </row>
    <row r="5645" spans="20:20" ht="26.25">
      <c r="T5645" s="62" ph="1"/>
    </row>
    <row r="5646" spans="20:20" ht="26.25">
      <c r="T5646" s="62" ph="1"/>
    </row>
    <row r="5647" spans="20:20" ht="26.25">
      <c r="T5647" s="62" ph="1"/>
    </row>
    <row r="5648" spans="20:20" ht="26.25">
      <c r="T5648" s="62" ph="1"/>
    </row>
    <row r="5649" spans="20:20" ht="26.25">
      <c r="T5649" s="62" ph="1"/>
    </row>
    <row r="5650" spans="20:20" ht="26.25">
      <c r="T5650" s="62" ph="1"/>
    </row>
    <row r="5651" spans="20:20" ht="26.25">
      <c r="T5651" s="62" ph="1"/>
    </row>
    <row r="5652" spans="20:20" ht="26.25">
      <c r="T5652" s="62" ph="1"/>
    </row>
    <row r="5653" spans="20:20" ht="26.25">
      <c r="T5653" s="62" ph="1"/>
    </row>
    <row r="5654" spans="20:20" ht="26.25">
      <c r="T5654" s="62" ph="1"/>
    </row>
    <row r="5655" spans="20:20" ht="26.25">
      <c r="T5655" s="62" ph="1"/>
    </row>
    <row r="5656" spans="20:20" ht="26.25">
      <c r="T5656" s="62" ph="1"/>
    </row>
    <row r="5657" spans="20:20" ht="26.25">
      <c r="T5657" s="62" ph="1"/>
    </row>
    <row r="5658" spans="20:20" ht="26.25">
      <c r="T5658" s="62" ph="1"/>
    </row>
    <row r="5659" spans="20:20" ht="26.25">
      <c r="T5659" s="62" ph="1"/>
    </row>
    <row r="5660" spans="20:20" ht="26.25">
      <c r="T5660" s="62" ph="1"/>
    </row>
    <row r="5661" spans="20:20" ht="26.25">
      <c r="T5661" s="62" ph="1"/>
    </row>
    <row r="5662" spans="20:20" ht="26.25">
      <c r="T5662" s="62" ph="1"/>
    </row>
    <row r="5663" spans="20:20" ht="26.25">
      <c r="T5663" s="62" ph="1"/>
    </row>
    <row r="5664" spans="20:20" ht="26.25">
      <c r="T5664" s="62" ph="1"/>
    </row>
    <row r="5665" spans="20:20" ht="26.25">
      <c r="T5665" s="62" ph="1"/>
    </row>
    <row r="5666" spans="20:20" ht="26.25">
      <c r="T5666" s="62" ph="1"/>
    </row>
    <row r="5667" spans="20:20" ht="26.25">
      <c r="T5667" s="62" ph="1"/>
    </row>
    <row r="5668" spans="20:20" ht="26.25">
      <c r="T5668" s="62" ph="1"/>
    </row>
    <row r="5669" spans="20:20" ht="26.25">
      <c r="T5669" s="62" ph="1"/>
    </row>
    <row r="5670" spans="20:20" ht="26.25">
      <c r="T5670" s="62" ph="1"/>
    </row>
    <row r="5671" spans="20:20" ht="26.25">
      <c r="T5671" s="62" ph="1"/>
    </row>
    <row r="5672" spans="20:20" ht="26.25">
      <c r="T5672" s="62" ph="1"/>
    </row>
    <row r="5673" spans="20:20" ht="26.25">
      <c r="T5673" s="62" ph="1"/>
    </row>
    <row r="5674" spans="20:20" ht="26.25">
      <c r="T5674" s="62" ph="1"/>
    </row>
    <row r="5675" spans="20:20" ht="26.25">
      <c r="T5675" s="62" ph="1"/>
    </row>
    <row r="5676" spans="20:20" ht="26.25">
      <c r="T5676" s="62" ph="1"/>
    </row>
    <row r="5677" spans="20:20" ht="26.25">
      <c r="T5677" s="62" ph="1"/>
    </row>
    <row r="5678" spans="20:20" ht="26.25">
      <c r="T5678" s="62" ph="1"/>
    </row>
    <row r="5679" spans="20:20" ht="26.25">
      <c r="T5679" s="62" ph="1"/>
    </row>
    <row r="5680" spans="20:20" ht="26.25">
      <c r="T5680" s="62" ph="1"/>
    </row>
    <row r="5681" spans="20:20" ht="26.25">
      <c r="T5681" s="62" ph="1"/>
    </row>
    <row r="5682" spans="20:20" ht="26.25">
      <c r="T5682" s="62" ph="1"/>
    </row>
    <row r="5683" spans="20:20" ht="26.25">
      <c r="T5683" s="62" ph="1"/>
    </row>
    <row r="5684" spans="20:20" ht="26.25">
      <c r="T5684" s="62" ph="1"/>
    </row>
    <row r="5685" spans="20:20" ht="26.25">
      <c r="T5685" s="62" ph="1"/>
    </row>
    <row r="5686" spans="20:20" ht="26.25">
      <c r="T5686" s="62" ph="1"/>
    </row>
    <row r="5687" spans="20:20" ht="26.25">
      <c r="T5687" s="62" ph="1"/>
    </row>
    <row r="5688" spans="20:20" ht="26.25">
      <c r="T5688" s="62" ph="1"/>
    </row>
    <row r="5689" spans="20:20" ht="26.25">
      <c r="T5689" s="62" ph="1"/>
    </row>
    <row r="5690" spans="20:20" ht="26.25">
      <c r="T5690" s="62" ph="1"/>
    </row>
    <row r="5691" spans="20:20" ht="26.25">
      <c r="T5691" s="62" ph="1"/>
    </row>
    <row r="5692" spans="20:20" ht="26.25">
      <c r="T5692" s="62" ph="1"/>
    </row>
    <row r="5693" spans="20:20" ht="26.25">
      <c r="T5693" s="62" ph="1"/>
    </row>
    <row r="5694" spans="20:20" ht="26.25">
      <c r="T5694" s="62" ph="1"/>
    </row>
    <row r="5695" spans="20:20" ht="26.25">
      <c r="T5695" s="62" ph="1"/>
    </row>
    <row r="5696" spans="20:20" ht="26.25">
      <c r="T5696" s="62" ph="1"/>
    </row>
    <row r="5697" spans="20:20" ht="26.25">
      <c r="T5697" s="62" ph="1"/>
    </row>
    <row r="5698" spans="20:20" ht="26.25">
      <c r="T5698" s="62" ph="1"/>
    </row>
    <row r="5699" spans="20:20" ht="26.25">
      <c r="T5699" s="62" ph="1"/>
    </row>
    <row r="5700" spans="20:20" ht="26.25">
      <c r="T5700" s="62" ph="1"/>
    </row>
    <row r="5701" spans="20:20" ht="26.25">
      <c r="T5701" s="62" ph="1"/>
    </row>
    <row r="5702" spans="20:20" ht="26.25">
      <c r="T5702" s="62" ph="1"/>
    </row>
    <row r="5703" spans="20:20" ht="26.25">
      <c r="T5703" s="62" ph="1"/>
    </row>
    <row r="5704" spans="20:20" ht="26.25">
      <c r="T5704" s="62" ph="1"/>
    </row>
    <row r="5705" spans="20:20" ht="26.25">
      <c r="T5705" s="62" ph="1"/>
    </row>
    <row r="5706" spans="20:20" ht="26.25">
      <c r="T5706" s="62" ph="1"/>
    </row>
    <row r="5707" spans="20:20" ht="26.25">
      <c r="T5707" s="62" ph="1"/>
    </row>
    <row r="5708" spans="20:20" ht="26.25">
      <c r="T5708" s="62" ph="1"/>
    </row>
    <row r="5709" spans="20:20" ht="26.25">
      <c r="T5709" s="62" ph="1"/>
    </row>
    <row r="5710" spans="20:20" ht="26.25">
      <c r="T5710" s="62" ph="1"/>
    </row>
    <row r="5711" spans="20:20" ht="26.25">
      <c r="T5711" s="62" ph="1"/>
    </row>
    <row r="5712" spans="20:20" ht="26.25">
      <c r="T5712" s="62" ph="1"/>
    </row>
    <row r="5713" spans="20:20" ht="26.25">
      <c r="T5713" s="62" ph="1"/>
    </row>
    <row r="5714" spans="20:20" ht="26.25">
      <c r="T5714" s="62" ph="1"/>
    </row>
    <row r="5715" spans="20:20" ht="26.25">
      <c r="T5715" s="62" ph="1"/>
    </row>
    <row r="5716" spans="20:20" ht="26.25">
      <c r="T5716" s="62" ph="1"/>
    </row>
    <row r="5717" spans="20:20" ht="26.25">
      <c r="T5717" s="62" ph="1"/>
    </row>
    <row r="5718" spans="20:20" ht="26.25">
      <c r="T5718" s="62" ph="1"/>
    </row>
    <row r="5719" spans="20:20" ht="26.25">
      <c r="T5719" s="62" ph="1"/>
    </row>
    <row r="5720" spans="20:20" ht="26.25">
      <c r="T5720" s="62" ph="1"/>
    </row>
    <row r="5721" spans="20:20" ht="26.25">
      <c r="T5721" s="62" ph="1"/>
    </row>
    <row r="5722" spans="20:20" ht="26.25">
      <c r="T5722" s="62" ph="1"/>
    </row>
    <row r="5723" spans="20:20" ht="26.25">
      <c r="T5723" s="62" ph="1"/>
    </row>
    <row r="5724" spans="20:20" ht="26.25">
      <c r="T5724" s="62" ph="1"/>
    </row>
    <row r="5725" spans="20:20" ht="26.25">
      <c r="T5725" s="62" ph="1"/>
    </row>
    <row r="5726" spans="20:20" ht="26.25">
      <c r="T5726" s="62" ph="1"/>
    </row>
    <row r="5727" spans="20:20" ht="26.25">
      <c r="T5727" s="62" ph="1"/>
    </row>
    <row r="5728" spans="20:20" ht="26.25">
      <c r="T5728" s="62" ph="1"/>
    </row>
    <row r="5729" spans="20:20" ht="26.25">
      <c r="T5729" s="62" ph="1"/>
    </row>
    <row r="5730" spans="20:20" ht="26.25">
      <c r="T5730" s="62" ph="1"/>
    </row>
    <row r="5731" spans="20:20" ht="26.25">
      <c r="T5731" s="62" ph="1"/>
    </row>
    <row r="5732" spans="20:20" ht="26.25">
      <c r="T5732" s="62" ph="1"/>
    </row>
    <row r="5733" spans="20:20" ht="26.25">
      <c r="T5733" s="62" ph="1"/>
    </row>
    <row r="5734" spans="20:20" ht="26.25">
      <c r="T5734" s="62" ph="1"/>
    </row>
    <row r="5735" spans="20:20" ht="26.25">
      <c r="T5735" s="62" ph="1"/>
    </row>
    <row r="5736" spans="20:20" ht="26.25">
      <c r="T5736" s="62" ph="1"/>
    </row>
    <row r="5737" spans="20:20" ht="26.25">
      <c r="T5737" s="62" ph="1"/>
    </row>
    <row r="5738" spans="20:20" ht="26.25">
      <c r="T5738" s="62" ph="1"/>
    </row>
    <row r="5739" spans="20:20" ht="26.25">
      <c r="T5739" s="62" ph="1"/>
    </row>
    <row r="5740" spans="20:20" ht="26.25">
      <c r="T5740" s="62" ph="1"/>
    </row>
    <row r="5741" spans="20:20" ht="26.25">
      <c r="T5741" s="62" ph="1"/>
    </row>
    <row r="5742" spans="20:20" ht="26.25">
      <c r="T5742" s="62" ph="1"/>
    </row>
    <row r="5743" spans="20:20" ht="26.25">
      <c r="T5743" s="62" ph="1"/>
    </row>
    <row r="5744" spans="20:20" ht="26.25">
      <c r="T5744" s="62" ph="1"/>
    </row>
    <row r="5745" spans="20:20" ht="26.25">
      <c r="T5745" s="62" ph="1"/>
    </row>
    <row r="5746" spans="20:20" ht="26.25">
      <c r="T5746" s="62" ph="1"/>
    </row>
    <row r="5747" spans="20:20" ht="26.25">
      <c r="T5747" s="62" ph="1"/>
    </row>
    <row r="5748" spans="20:20" ht="26.25">
      <c r="T5748" s="62" ph="1"/>
    </row>
    <row r="5749" spans="20:20" ht="26.25">
      <c r="T5749" s="62" ph="1"/>
    </row>
    <row r="5750" spans="20:20" ht="26.25">
      <c r="T5750" s="62" ph="1"/>
    </row>
    <row r="5751" spans="20:20" ht="26.25">
      <c r="T5751" s="62" ph="1"/>
    </row>
    <row r="5752" spans="20:20" ht="26.25">
      <c r="T5752" s="62" ph="1"/>
    </row>
    <row r="5753" spans="20:20" ht="26.25">
      <c r="T5753" s="62" ph="1"/>
    </row>
    <row r="5754" spans="20:20" ht="26.25">
      <c r="T5754" s="62" ph="1"/>
    </row>
    <row r="5755" spans="20:20" ht="26.25">
      <c r="T5755" s="62" ph="1"/>
    </row>
    <row r="5756" spans="20:20" ht="26.25">
      <c r="T5756" s="62" ph="1"/>
    </row>
    <row r="5757" spans="20:20" ht="26.25">
      <c r="T5757" s="62" ph="1"/>
    </row>
    <row r="5758" spans="20:20" ht="26.25">
      <c r="T5758" s="62" ph="1"/>
    </row>
    <row r="5759" spans="20:20" ht="26.25">
      <c r="T5759" s="62" ph="1"/>
    </row>
    <row r="5760" spans="20:20" ht="26.25">
      <c r="T5760" s="62" ph="1"/>
    </row>
    <row r="5761" spans="20:20" ht="26.25">
      <c r="T5761" s="62" ph="1"/>
    </row>
    <row r="5762" spans="20:20" ht="26.25">
      <c r="T5762" s="62" ph="1"/>
    </row>
    <row r="5763" spans="20:20" ht="26.25">
      <c r="T5763" s="62" ph="1"/>
    </row>
    <row r="5764" spans="20:20" ht="26.25">
      <c r="T5764" s="62" ph="1"/>
    </row>
    <row r="5765" spans="20:20" ht="26.25">
      <c r="T5765" s="62" ph="1"/>
    </row>
    <row r="5766" spans="20:20" ht="26.25">
      <c r="T5766" s="62" ph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AM1853"/>
  <sheetViews>
    <sheetView topLeftCell="A576" workbookViewId="0">
      <selection activeCell="Q603" sqref="Q603"/>
    </sheetView>
  </sheetViews>
  <sheetFormatPr defaultRowHeight="16.5"/>
  <cols>
    <col min="1" max="1" width="5.7109375" style="132" customWidth="1"/>
    <col min="2" max="5" width="5.7109375" style="94" customWidth="1"/>
    <col min="6" max="6" width="8.7109375" style="64" customWidth="1"/>
    <col min="7" max="7" width="7.7109375" style="41" customWidth="1"/>
    <col min="8" max="8" width="5.7109375" style="42" customWidth="1"/>
    <col min="9" max="9" width="8.7109375" style="9" customWidth="1"/>
    <col min="10" max="10" width="6.7109375" style="31" customWidth="1"/>
    <col min="11" max="11" width="6.7109375" style="327" customWidth="1"/>
    <col min="12" max="12" width="6.7109375" style="75" customWidth="1"/>
    <col min="13" max="13" width="6.7109375" style="325" customWidth="1"/>
    <col min="14" max="14" width="7.7109375" style="327" customWidth="1"/>
    <col min="15" max="15" width="4.7109375" style="387" customWidth="1"/>
    <col min="16" max="16" width="4.7109375" style="323" customWidth="1"/>
    <col min="17" max="17" width="4.7109375" style="381" customWidth="1"/>
    <col min="18" max="18" width="2.7109375" style="308" customWidth="1"/>
    <col min="19" max="19" width="6.7109375" style="330" customWidth="1"/>
    <col min="20" max="20" width="7.7109375" style="87" customWidth="1"/>
    <col min="21" max="21" width="6.7109375" style="367" customWidth="1"/>
    <col min="22" max="22" width="7.7109375" style="231" customWidth="1"/>
    <col min="23" max="23" width="9.7109375" style="205" customWidth="1"/>
    <col min="24" max="24" width="9.7109375" style="202" customWidth="1"/>
    <col min="25" max="25" width="9.7109375" style="59" customWidth="1"/>
    <col min="26" max="26" width="8.7109375" style="11" customWidth="1"/>
    <col min="27" max="27" width="6.7109375" style="174" customWidth="1"/>
    <col min="28" max="28" width="8.7109375" style="9" customWidth="1"/>
    <col min="29" max="29" width="11.7109375" style="86" customWidth="1"/>
    <col min="30" max="30" width="11.7109375" style="85" customWidth="1"/>
    <col min="31" max="31" width="4.7109375" style="80" customWidth="1"/>
    <col min="32" max="32" width="14.7109375" style="124" customWidth="1"/>
    <col min="33" max="33" width="2.7109375" style="126" customWidth="1"/>
    <col min="34" max="34" width="2.7109375" style="254" customWidth="1"/>
    <col min="35" max="35" width="7.7109375" style="286" customWidth="1"/>
    <col min="36" max="36" width="7.7109375" style="276" customWidth="1"/>
    <col min="37" max="37" width="7.7109375" style="353" customWidth="1"/>
    <col min="38" max="38" width="2.7109375" style="308" customWidth="1"/>
    <col min="39" max="16384" width="9.140625" style="269"/>
  </cols>
  <sheetData>
    <row r="1" spans="1:38">
      <c r="B1" s="81"/>
      <c r="C1" s="81"/>
      <c r="D1" s="81"/>
      <c r="E1" s="81"/>
      <c r="F1" s="58"/>
      <c r="G1" s="41" t="s">
        <v>4285</v>
      </c>
      <c r="H1" s="17"/>
      <c r="I1" s="22" t="s">
        <v>4286</v>
      </c>
      <c r="J1" s="203">
        <v>55.11</v>
      </c>
      <c r="K1" s="330">
        <v>35.979999999999997</v>
      </c>
      <c r="L1" s="75">
        <v>0.41</v>
      </c>
      <c r="N1" s="325">
        <f>J1+K1+L1+M1</f>
        <v>91.5</v>
      </c>
      <c r="O1" s="27"/>
      <c r="P1" s="56"/>
      <c r="Q1" s="26"/>
      <c r="S1" s="330">
        <v>7.78</v>
      </c>
      <c r="T1" s="200">
        <v>0.35</v>
      </c>
      <c r="U1" s="365"/>
      <c r="V1" s="58"/>
      <c r="W1" s="13">
        <f>RTD("money.excel",,"0050","Price")</f>
        <v>134.4</v>
      </c>
      <c r="X1" s="66"/>
      <c r="Y1" s="15">
        <f>W1-X1</f>
        <v>134.4</v>
      </c>
      <c r="Z1" s="3" t="e">
        <f>Y1/X1</f>
        <v>#DIV/0!</v>
      </c>
      <c r="AB1" s="22" t="s">
        <v>4286</v>
      </c>
      <c r="AE1" s="33">
        <f>AD1-AC1</f>
        <v>0</v>
      </c>
      <c r="AF1" s="43"/>
      <c r="AG1" s="269"/>
      <c r="AI1" s="316"/>
      <c r="AJ1" s="273"/>
      <c r="AK1" s="348"/>
    </row>
    <row r="2" spans="1:38">
      <c r="B2" s="81"/>
      <c r="C2" s="81"/>
      <c r="D2" s="81"/>
      <c r="E2" s="81"/>
      <c r="F2" s="58"/>
      <c r="H2" s="17"/>
      <c r="I2" s="22"/>
      <c r="J2" s="203"/>
      <c r="K2" s="330"/>
      <c r="N2" s="325"/>
      <c r="O2" s="27"/>
      <c r="P2" s="56"/>
      <c r="Q2" s="26"/>
      <c r="T2" s="200"/>
      <c r="U2" s="365"/>
      <c r="V2" s="58"/>
      <c r="W2" s="13"/>
      <c r="X2" s="66"/>
      <c r="Y2" s="15"/>
      <c r="Z2" s="3"/>
      <c r="AB2" s="22"/>
      <c r="AE2" s="33"/>
      <c r="AF2" s="43"/>
      <c r="AG2" s="269"/>
      <c r="AI2" s="316"/>
      <c r="AJ2" s="273"/>
      <c r="AK2" s="348"/>
    </row>
    <row r="3" spans="1:38">
      <c r="A3" s="132" t="s">
        <v>1854</v>
      </c>
      <c r="B3" s="93" t="s">
        <v>1657</v>
      </c>
      <c r="C3" s="93" t="s">
        <v>1658</v>
      </c>
      <c r="D3" s="93" t="s">
        <v>1659</v>
      </c>
      <c r="E3" s="93" t="s">
        <v>1660</v>
      </c>
      <c r="F3" s="8" t="s">
        <v>1122</v>
      </c>
      <c r="G3" s="27" t="s">
        <v>908</v>
      </c>
      <c r="H3" s="55" t="s">
        <v>342</v>
      </c>
      <c r="I3" s="8" t="s">
        <v>4449</v>
      </c>
      <c r="J3" s="324" t="s">
        <v>1529</v>
      </c>
      <c r="K3" s="324" t="s">
        <v>1217</v>
      </c>
      <c r="L3" s="324" t="s">
        <v>298</v>
      </c>
      <c r="M3" s="324" t="s">
        <v>1115</v>
      </c>
      <c r="N3" s="324" t="s">
        <v>6091</v>
      </c>
      <c r="O3" s="27" t="s">
        <v>6253</v>
      </c>
      <c r="P3" s="56" t="s">
        <v>6219</v>
      </c>
      <c r="Q3" s="26" t="s">
        <v>6313</v>
      </c>
      <c r="R3" s="309" t="s">
        <v>4371</v>
      </c>
      <c r="S3" s="335" t="s">
        <v>4398</v>
      </c>
      <c r="T3" s="10" t="s">
        <v>75</v>
      </c>
      <c r="U3" s="364" t="s">
        <v>6152</v>
      </c>
      <c r="V3" s="69" t="s">
        <v>4022</v>
      </c>
      <c r="W3" s="28" t="s">
        <v>2</v>
      </c>
      <c r="X3" s="17" t="s">
        <v>1465</v>
      </c>
      <c r="Y3" s="14" t="s">
        <v>5</v>
      </c>
      <c r="Z3" s="21" t="s">
        <v>3</v>
      </c>
      <c r="AA3" s="322" t="s">
        <v>117</v>
      </c>
      <c r="AB3" s="8" t="s">
        <v>4449</v>
      </c>
      <c r="AC3" s="73" t="s">
        <v>1466</v>
      </c>
      <c r="AD3" s="74" t="s">
        <v>1223</v>
      </c>
      <c r="AE3" s="32" t="s">
        <v>1224</v>
      </c>
      <c r="AF3" s="25" t="s">
        <v>6192</v>
      </c>
      <c r="AG3" s="269"/>
      <c r="AI3" s="8" t="s">
        <v>4414</v>
      </c>
      <c r="AJ3" s="50" t="s">
        <v>4121</v>
      </c>
      <c r="AK3" s="348" t="s">
        <v>6074</v>
      </c>
    </row>
    <row r="4" spans="1:38">
      <c r="A4" s="132" t="s">
        <v>4291</v>
      </c>
      <c r="B4" s="82">
        <v>-21</v>
      </c>
      <c r="C4" s="82">
        <v>-33</v>
      </c>
      <c r="D4" s="82">
        <v>-1</v>
      </c>
      <c r="E4" s="81">
        <v>1</v>
      </c>
      <c r="F4" s="58">
        <v>19.64</v>
      </c>
      <c r="G4" s="81">
        <v>1101</v>
      </c>
      <c r="H4" s="8" t="s">
        <v>309</v>
      </c>
      <c r="I4" s="160" t="s">
        <v>290</v>
      </c>
      <c r="J4" s="330">
        <v>68.58</v>
      </c>
      <c r="K4" s="75">
        <v>25.73</v>
      </c>
      <c r="L4" s="330">
        <v>0.46</v>
      </c>
      <c r="N4" s="325">
        <f t="shared" ref="N4" si="0">J4+K4+L4+M4</f>
        <v>94.77</v>
      </c>
      <c r="O4" s="27"/>
      <c r="P4" s="56"/>
      <c r="Q4" s="26"/>
      <c r="R4" s="308" t="s">
        <v>4375</v>
      </c>
      <c r="S4" s="330">
        <v>1.56</v>
      </c>
      <c r="T4" s="66">
        <v>3.37</v>
      </c>
      <c r="U4" s="366">
        <f t="shared" ref="U4:U10" si="1">T4/W4</f>
        <v>7.102212855637513E-2</v>
      </c>
      <c r="V4" s="58">
        <v>4.28</v>
      </c>
      <c r="W4" s="36">
        <f>RTD("money.excel",,$G4,"Price")</f>
        <v>47.45</v>
      </c>
      <c r="X4" s="67"/>
      <c r="Y4" s="15">
        <f t="shared" ref="Y4:Y10" si="2">W4-X4</f>
        <v>47.45</v>
      </c>
      <c r="Z4" s="3" t="e">
        <v>#DIV/0!</v>
      </c>
      <c r="AA4" s="174" t="s">
        <v>2185</v>
      </c>
      <c r="AB4" s="22" t="s">
        <v>290</v>
      </c>
      <c r="AE4" s="33">
        <v>0</v>
      </c>
      <c r="AF4" s="122" t="s">
        <v>4012</v>
      </c>
      <c r="AG4" s="128"/>
      <c r="AI4" s="64">
        <f t="shared" ref="AI4:AI10" si="3">AJ4/(A4*10000)</f>
        <v>1.0740196078431372E-3</v>
      </c>
      <c r="AJ4" s="313">
        <f>RTD("money.excel",,$G4,"PredictVolume")</f>
        <v>6573</v>
      </c>
      <c r="AK4" s="348"/>
    </row>
    <row r="5" spans="1:38">
      <c r="A5" s="132" t="s">
        <v>4301</v>
      </c>
      <c r="B5" s="81">
        <v>0</v>
      </c>
      <c r="C5" s="82">
        <v>-4</v>
      </c>
      <c r="D5" s="81">
        <v>20</v>
      </c>
      <c r="E5" s="81">
        <v>27</v>
      </c>
      <c r="F5" s="58">
        <v>19.13</v>
      </c>
      <c r="G5" s="81">
        <v>1102</v>
      </c>
      <c r="H5" s="8" t="s">
        <v>309</v>
      </c>
      <c r="I5" s="22" t="s">
        <v>19</v>
      </c>
      <c r="J5" s="330">
        <v>78.87</v>
      </c>
      <c r="K5" s="330">
        <v>22.18</v>
      </c>
      <c r="L5" s="330">
        <v>0.32</v>
      </c>
      <c r="N5" s="325">
        <f t="shared" ref="N5:N10" si="4">J5+K5+L5+M5</f>
        <v>101.37</v>
      </c>
      <c r="O5" s="27"/>
      <c r="P5" s="56"/>
      <c r="Q5" s="26"/>
      <c r="S5" s="330">
        <v>6.59</v>
      </c>
      <c r="T5" s="67">
        <v>3.46</v>
      </c>
      <c r="U5" s="366">
        <f t="shared" si="1"/>
        <v>7.4089935760171297E-2</v>
      </c>
      <c r="V5" s="58">
        <v>4.8899999999999997</v>
      </c>
      <c r="W5" s="36">
        <f>RTD("money.excel",,$G5,"Price")</f>
        <v>46.7</v>
      </c>
      <c r="X5" s="67"/>
      <c r="Y5" s="15">
        <f t="shared" si="2"/>
        <v>46.7</v>
      </c>
      <c r="Z5" s="3" t="e">
        <v>#DIV/0!</v>
      </c>
      <c r="AA5" s="174" t="s">
        <v>2185</v>
      </c>
      <c r="AB5" s="22" t="s">
        <v>19</v>
      </c>
      <c r="AE5" s="33">
        <v>0</v>
      </c>
      <c r="AF5" s="122" t="s">
        <v>4013</v>
      </c>
      <c r="AG5" s="128"/>
      <c r="AI5" s="64">
        <f t="shared" si="3"/>
        <v>1.4710306406685238E-3</v>
      </c>
      <c r="AJ5" s="313">
        <f>RTD("money.excel",,$G5,"PredictVolume")</f>
        <v>5281</v>
      </c>
      <c r="AK5" s="348"/>
    </row>
    <row r="6" spans="1:38">
      <c r="A6" s="148" t="s">
        <v>2424</v>
      </c>
      <c r="B6" s="82">
        <v>-106</v>
      </c>
      <c r="C6" s="82">
        <v>-176</v>
      </c>
      <c r="D6" s="82">
        <v>-11</v>
      </c>
      <c r="E6" s="82">
        <v>-6</v>
      </c>
      <c r="F6" s="6">
        <v>-31.99</v>
      </c>
      <c r="G6" s="81">
        <v>1103</v>
      </c>
      <c r="H6" s="8" t="s">
        <v>309</v>
      </c>
      <c r="I6" s="22" t="s">
        <v>909</v>
      </c>
      <c r="J6" s="330">
        <v>80.23</v>
      </c>
      <c r="K6" s="330">
        <v>5.1100000000000003</v>
      </c>
      <c r="L6" s="330">
        <v>1.17</v>
      </c>
      <c r="N6" s="325">
        <f t="shared" si="4"/>
        <v>86.51</v>
      </c>
      <c r="O6" s="27"/>
      <c r="P6" s="56"/>
      <c r="Q6" s="26"/>
      <c r="S6" s="330">
        <v>0.02</v>
      </c>
      <c r="T6" s="34">
        <v>1.4</v>
      </c>
      <c r="U6" s="366">
        <f t="shared" si="1"/>
        <v>6.9306930693069299E-2</v>
      </c>
      <c r="V6" s="97">
        <v>2.74</v>
      </c>
      <c r="W6" s="36">
        <f>RTD("money.excel",,$G6,"Price")</f>
        <v>20.2</v>
      </c>
      <c r="X6" s="67"/>
      <c r="Y6" s="15">
        <f t="shared" si="2"/>
        <v>20.2</v>
      </c>
      <c r="Z6" s="3" t="e">
        <v>#DIV/0!</v>
      </c>
      <c r="AA6" s="174" t="s">
        <v>1943</v>
      </c>
      <c r="AB6" s="22" t="s">
        <v>909</v>
      </c>
      <c r="AE6" s="33">
        <v>0</v>
      </c>
      <c r="AF6" s="43" t="s">
        <v>2425</v>
      </c>
      <c r="AG6" s="128"/>
      <c r="AI6" s="64">
        <f t="shared" si="3"/>
        <v>7.0671834625322992E-4</v>
      </c>
      <c r="AJ6" s="313">
        <f>RTD("money.excel",,$G6,"PredictVolume")</f>
        <v>547</v>
      </c>
      <c r="AK6" s="348"/>
    </row>
    <row r="7" spans="1:38">
      <c r="A7" s="148" t="s">
        <v>2148</v>
      </c>
      <c r="B7" s="81">
        <v>5</v>
      </c>
      <c r="C7" s="81">
        <v>523</v>
      </c>
      <c r="D7" s="81">
        <v>5</v>
      </c>
      <c r="E7" s="81">
        <v>19</v>
      </c>
      <c r="F7" s="6">
        <v>7.05</v>
      </c>
      <c r="G7" s="81">
        <v>1104</v>
      </c>
      <c r="H7" s="8" t="s">
        <v>309</v>
      </c>
      <c r="I7" s="22" t="s">
        <v>910</v>
      </c>
      <c r="J7" s="75">
        <v>75.510000000000005</v>
      </c>
      <c r="K7" s="75">
        <v>11.92</v>
      </c>
      <c r="L7" s="75">
        <v>0.6</v>
      </c>
      <c r="N7" s="325">
        <f t="shared" si="4"/>
        <v>88.03</v>
      </c>
      <c r="O7" s="27"/>
      <c r="P7" s="56"/>
      <c r="Q7" s="26"/>
      <c r="S7" s="330">
        <v>0.01</v>
      </c>
      <c r="T7" s="34">
        <v>1.1000000000000001</v>
      </c>
      <c r="U7" s="366">
        <f t="shared" si="1"/>
        <v>5.2380952380952382E-2</v>
      </c>
      <c r="V7" s="97">
        <v>1.91</v>
      </c>
      <c r="W7" s="36">
        <f>RTD("money.excel",,$G7,"Price")</f>
        <v>21</v>
      </c>
      <c r="X7" s="67"/>
      <c r="Y7" s="15">
        <f t="shared" si="2"/>
        <v>21</v>
      </c>
      <c r="Z7" s="3" t="e">
        <v>#DIV/0!</v>
      </c>
      <c r="AA7" s="174" t="s">
        <v>1943</v>
      </c>
      <c r="AB7" s="22" t="s">
        <v>910</v>
      </c>
      <c r="AE7" s="33">
        <v>0</v>
      </c>
      <c r="AF7" s="43" t="s">
        <v>4014</v>
      </c>
      <c r="AG7" s="128"/>
      <c r="AI7" s="64">
        <f t="shared" si="3"/>
        <v>2.6799387442572742E-4</v>
      </c>
      <c r="AJ7" s="313">
        <f>RTD("money.excel",,$G7,"PredictVolume")</f>
        <v>175</v>
      </c>
      <c r="AK7" s="348"/>
    </row>
    <row r="8" spans="1:38">
      <c r="A8" s="148" t="s">
        <v>3712</v>
      </c>
      <c r="B8" s="208">
        <v>36473</v>
      </c>
      <c r="C8" s="142">
        <v>1774</v>
      </c>
      <c r="D8" s="93">
        <v>7</v>
      </c>
      <c r="E8" s="93">
        <v>40</v>
      </c>
      <c r="F8" s="6">
        <v>3.26</v>
      </c>
      <c r="G8" s="81">
        <v>1108</v>
      </c>
      <c r="H8" s="8" t="s">
        <v>309</v>
      </c>
      <c r="I8" s="22" t="s">
        <v>911</v>
      </c>
      <c r="J8" s="75">
        <v>82.69</v>
      </c>
      <c r="K8" s="75">
        <v>2.15</v>
      </c>
      <c r="L8" s="75">
        <v>0.99</v>
      </c>
      <c r="N8" s="325">
        <f t="shared" si="4"/>
        <v>85.83</v>
      </c>
      <c r="O8" s="27"/>
      <c r="P8" s="56"/>
      <c r="Q8" s="26"/>
      <c r="S8" s="330">
        <v>13.48</v>
      </c>
      <c r="T8" s="34">
        <v>0.7</v>
      </c>
      <c r="U8" s="366">
        <f t="shared" si="1"/>
        <v>6.0606060606060601E-2</v>
      </c>
      <c r="V8" s="97">
        <v>0.97</v>
      </c>
      <c r="W8" s="36">
        <f>RTD("money.excel",,$G8,"Price")</f>
        <v>11.55</v>
      </c>
      <c r="X8" s="67"/>
      <c r="Y8" s="15">
        <f t="shared" si="2"/>
        <v>11.55</v>
      </c>
      <c r="Z8" s="3" t="e">
        <v>#DIV/0!</v>
      </c>
      <c r="AB8" s="22" t="s">
        <v>911</v>
      </c>
      <c r="AE8" s="33">
        <v>0</v>
      </c>
      <c r="AF8" s="43" t="s">
        <v>309</v>
      </c>
      <c r="AG8" s="128"/>
      <c r="AI8" s="64">
        <f t="shared" si="3"/>
        <v>5.7178217821782175E-4</v>
      </c>
      <c r="AJ8" s="313">
        <f>RTD("money.excel",,$G8,"PredictVolume")</f>
        <v>231</v>
      </c>
      <c r="AK8" s="348"/>
    </row>
    <row r="9" spans="1:38">
      <c r="A9" s="132" t="s">
        <v>2031</v>
      </c>
      <c r="B9" s="81">
        <v>31</v>
      </c>
      <c r="C9" s="81">
        <v>32</v>
      </c>
      <c r="D9" s="81">
        <v>36</v>
      </c>
      <c r="E9" s="81">
        <v>59</v>
      </c>
      <c r="F9" s="58">
        <v>26.61</v>
      </c>
      <c r="G9" s="81">
        <v>1109</v>
      </c>
      <c r="H9" s="8" t="s">
        <v>309</v>
      </c>
      <c r="I9" s="22" t="s">
        <v>912</v>
      </c>
      <c r="J9" s="330">
        <v>87.64</v>
      </c>
      <c r="K9" s="75">
        <v>3.73</v>
      </c>
      <c r="L9" s="75">
        <v>6.5</v>
      </c>
      <c r="N9" s="325">
        <f t="shared" si="4"/>
        <v>97.87</v>
      </c>
      <c r="O9" s="27"/>
      <c r="P9" s="56"/>
      <c r="Q9" s="26"/>
      <c r="S9" s="330">
        <v>45.18</v>
      </c>
      <c r="T9" s="34">
        <v>1.5</v>
      </c>
      <c r="U9" s="366">
        <f t="shared" si="1"/>
        <v>7.5566750629722915E-2</v>
      </c>
      <c r="V9" s="58">
        <v>2.94</v>
      </c>
      <c r="W9" s="36">
        <f>RTD("money.excel",,$G9,"Price")</f>
        <v>19.850000000000001</v>
      </c>
      <c r="X9" s="67"/>
      <c r="Y9" s="15">
        <f t="shared" si="2"/>
        <v>19.850000000000001</v>
      </c>
      <c r="Z9" s="3" t="e">
        <v>#DIV/0!</v>
      </c>
      <c r="AA9" s="174" t="s">
        <v>1943</v>
      </c>
      <c r="AB9" s="22" t="s">
        <v>912</v>
      </c>
      <c r="AE9" s="33">
        <v>0</v>
      </c>
      <c r="AF9" s="43" t="s">
        <v>309</v>
      </c>
      <c r="AG9" s="128"/>
      <c r="AI9" s="64">
        <f t="shared" si="3"/>
        <v>8.4502923976608184E-4</v>
      </c>
      <c r="AJ9" s="313">
        <f>RTD("money.excel",,$G9,"PredictVolume")</f>
        <v>289</v>
      </c>
      <c r="AK9" s="348"/>
    </row>
    <row r="10" spans="1:38">
      <c r="A10" s="148" t="s">
        <v>3411</v>
      </c>
      <c r="B10" s="93">
        <v>-94</v>
      </c>
      <c r="C10" s="93">
        <v>-107</v>
      </c>
      <c r="D10" s="93">
        <v>-14</v>
      </c>
      <c r="E10" s="93">
        <v>9</v>
      </c>
      <c r="F10" s="6">
        <v>-2.66</v>
      </c>
      <c r="G10" s="81">
        <v>1110</v>
      </c>
      <c r="H10" s="8" t="s">
        <v>309</v>
      </c>
      <c r="I10" s="22" t="s">
        <v>913</v>
      </c>
      <c r="J10" s="75">
        <v>95.04</v>
      </c>
      <c r="K10" s="75">
        <v>8.33</v>
      </c>
      <c r="L10" s="75">
        <v>0.5</v>
      </c>
      <c r="N10" s="325">
        <f t="shared" si="4"/>
        <v>103.87</v>
      </c>
      <c r="O10" s="27"/>
      <c r="P10" s="56"/>
      <c r="Q10" s="26"/>
      <c r="S10" s="330">
        <v>30.63</v>
      </c>
      <c r="T10" s="34">
        <v>0.1</v>
      </c>
      <c r="U10" s="366">
        <f t="shared" si="1"/>
        <v>5.0125313283208026E-3</v>
      </c>
      <c r="V10" s="97">
        <v>0.04</v>
      </c>
      <c r="W10" s="36">
        <f>RTD("money.excel",,$G10,"Price")</f>
        <v>19.95</v>
      </c>
      <c r="X10" s="67"/>
      <c r="Y10" s="15">
        <f t="shared" si="2"/>
        <v>19.95</v>
      </c>
      <c r="Z10" s="3" t="e">
        <v>#DIV/0!</v>
      </c>
      <c r="AA10" s="174" t="s">
        <v>1943</v>
      </c>
      <c r="AB10" s="22" t="s">
        <v>913</v>
      </c>
      <c r="AE10" s="33">
        <v>0</v>
      </c>
      <c r="AF10" s="43" t="s">
        <v>309</v>
      </c>
      <c r="AG10" s="128"/>
      <c r="AI10" s="64">
        <f t="shared" si="3"/>
        <v>2.9195804195804195E-4</v>
      </c>
      <c r="AJ10" s="313">
        <f>RTD("money.excel",,$G10,"PredictVolume")</f>
        <v>167</v>
      </c>
      <c r="AK10" s="348"/>
    </row>
    <row r="11" spans="1:38">
      <c r="A11" s="148"/>
      <c r="B11" s="93"/>
      <c r="C11" s="93"/>
      <c r="D11" s="93"/>
      <c r="E11" s="93"/>
      <c r="F11" s="6"/>
      <c r="G11" s="81"/>
      <c r="H11" s="8"/>
      <c r="I11" s="22"/>
      <c r="J11" s="75"/>
      <c r="K11" s="75"/>
      <c r="N11" s="325"/>
      <c r="T11" s="34"/>
      <c r="U11" s="366"/>
      <c r="V11" s="97"/>
      <c r="W11" s="13"/>
      <c r="X11" s="67"/>
      <c r="Y11" s="15"/>
      <c r="Z11" s="3"/>
      <c r="AB11" s="22"/>
      <c r="AE11" s="33"/>
      <c r="AF11" s="43"/>
      <c r="AG11" s="128"/>
      <c r="AI11" s="64"/>
      <c r="AJ11" s="313"/>
      <c r="AK11" s="348"/>
    </row>
    <row r="12" spans="1:38">
      <c r="A12" s="132" t="s">
        <v>1854</v>
      </c>
      <c r="B12" s="93" t="s">
        <v>1657</v>
      </c>
      <c r="C12" s="93" t="s">
        <v>1658</v>
      </c>
      <c r="D12" s="93" t="s">
        <v>1659</v>
      </c>
      <c r="E12" s="93" t="s">
        <v>1660</v>
      </c>
      <c r="F12" s="8" t="s">
        <v>1122</v>
      </c>
      <c r="G12" s="27" t="s">
        <v>820</v>
      </c>
      <c r="H12" s="55" t="s">
        <v>342</v>
      </c>
      <c r="I12" s="50" t="s">
        <v>4450</v>
      </c>
      <c r="J12" s="324" t="s">
        <v>1529</v>
      </c>
      <c r="K12" s="324" t="s">
        <v>265</v>
      </c>
      <c r="L12" s="324" t="s">
        <v>298</v>
      </c>
      <c r="M12" s="324" t="s">
        <v>1115</v>
      </c>
      <c r="N12" s="324" t="s">
        <v>6091</v>
      </c>
      <c r="O12" s="27" t="s">
        <v>6253</v>
      </c>
      <c r="P12" s="56" t="s">
        <v>6219</v>
      </c>
      <c r="Q12" s="26" t="s">
        <v>6313</v>
      </c>
      <c r="R12" s="309" t="s">
        <v>4371</v>
      </c>
      <c r="S12" s="335" t="s">
        <v>4398</v>
      </c>
      <c r="T12" s="10" t="s">
        <v>75</v>
      </c>
      <c r="U12" s="364" t="s">
        <v>6152</v>
      </c>
      <c r="V12" s="69" t="s">
        <v>4022</v>
      </c>
      <c r="W12" s="28" t="s">
        <v>2</v>
      </c>
      <c r="X12" s="17" t="s">
        <v>1465</v>
      </c>
      <c r="Y12" s="14" t="s">
        <v>5</v>
      </c>
      <c r="Z12" s="21" t="s">
        <v>3</v>
      </c>
      <c r="AA12" s="322" t="s">
        <v>117</v>
      </c>
      <c r="AB12" s="50" t="s">
        <v>4450</v>
      </c>
      <c r="AC12" s="73" t="s">
        <v>1466</v>
      </c>
      <c r="AD12" s="74" t="s">
        <v>1223</v>
      </c>
      <c r="AE12" s="32" t="s">
        <v>1224</v>
      </c>
      <c r="AF12" s="43"/>
      <c r="AG12" s="128"/>
      <c r="AI12" s="8" t="s">
        <v>4414</v>
      </c>
      <c r="AJ12" s="50" t="s">
        <v>4121</v>
      </c>
      <c r="AK12" s="348" t="s">
        <v>6074</v>
      </c>
    </row>
    <row r="13" spans="1:38">
      <c r="A13" s="148" t="s">
        <v>3610</v>
      </c>
      <c r="B13" s="93">
        <v>-74</v>
      </c>
      <c r="C13" s="93">
        <v>-2</v>
      </c>
      <c r="D13" s="93">
        <v>-7</v>
      </c>
      <c r="E13" s="93">
        <v>-1</v>
      </c>
      <c r="F13" s="6">
        <v>3.47</v>
      </c>
      <c r="G13" s="81">
        <v>1201</v>
      </c>
      <c r="H13" s="8" t="s">
        <v>310</v>
      </c>
      <c r="I13" s="22" t="s">
        <v>98</v>
      </c>
      <c r="J13" s="75">
        <v>64.959999999999994</v>
      </c>
      <c r="K13" s="75">
        <v>10.06</v>
      </c>
      <c r="L13" s="75">
        <v>3.55</v>
      </c>
      <c r="N13" s="325">
        <f t="shared" ref="N13:N39" si="5">J13+K13+L13+M13</f>
        <v>78.569999999999993</v>
      </c>
      <c r="O13" s="27"/>
      <c r="P13" s="56"/>
      <c r="Q13" s="26"/>
      <c r="S13" s="330">
        <v>14.56</v>
      </c>
      <c r="T13" s="34">
        <v>0.53</v>
      </c>
      <c r="U13" s="366">
        <f t="shared" ref="U13:U39" si="6">T13/W13</f>
        <v>2.4593967517401394E-2</v>
      </c>
      <c r="V13" s="97">
        <v>1.06</v>
      </c>
      <c r="W13" s="36">
        <f>RTD("money.excel",,$G13,"Price")</f>
        <v>21.55</v>
      </c>
      <c r="X13" s="67"/>
      <c r="Y13" s="15">
        <f t="shared" ref="Y13:Y39" si="7">W13-X13</f>
        <v>21.55</v>
      </c>
      <c r="Z13" s="3" t="e">
        <v>#DIV/0!</v>
      </c>
      <c r="AB13" s="22" t="s">
        <v>98</v>
      </c>
      <c r="AE13" s="33">
        <v>0</v>
      </c>
      <c r="AF13" s="122" t="s">
        <v>310</v>
      </c>
      <c r="AG13" s="128"/>
      <c r="AI13" s="64">
        <f t="shared" ref="AI13:AI39" si="8">AJ13/(A13*10000)</f>
        <v>4.5454545454545455E-4</v>
      </c>
      <c r="AJ13" s="313">
        <f>RTD("money.excel",,$G13,"PredictVolume")</f>
        <v>230</v>
      </c>
      <c r="AK13" s="348"/>
    </row>
    <row r="14" spans="1:38">
      <c r="A14" s="132" t="s">
        <v>3661</v>
      </c>
      <c r="B14" s="93">
        <v>5</v>
      </c>
      <c r="C14" s="93">
        <v>7</v>
      </c>
      <c r="D14" s="93">
        <v>5</v>
      </c>
      <c r="E14" s="93">
        <v>5</v>
      </c>
      <c r="F14" s="58">
        <v>16.09</v>
      </c>
      <c r="G14" s="81">
        <v>1203</v>
      </c>
      <c r="H14" s="8" t="s">
        <v>310</v>
      </c>
      <c r="I14" s="22" t="s">
        <v>824</v>
      </c>
      <c r="J14" s="75">
        <v>84.59</v>
      </c>
      <c r="K14" s="75">
        <v>2.2400000000000002</v>
      </c>
      <c r="L14" s="75">
        <v>0.97</v>
      </c>
      <c r="N14" s="325">
        <f t="shared" si="5"/>
        <v>87.8</v>
      </c>
      <c r="O14" s="27"/>
      <c r="P14" s="56"/>
      <c r="Q14" s="26"/>
      <c r="S14" s="330">
        <v>29.26</v>
      </c>
      <c r="T14" s="34">
        <v>1.1000000000000001</v>
      </c>
      <c r="U14" s="366">
        <f t="shared" si="6"/>
        <v>3.3485540334855401E-2</v>
      </c>
      <c r="V14" s="97">
        <v>1.81</v>
      </c>
      <c r="W14" s="36">
        <f>RTD("money.excel",,$G14,"Price")</f>
        <v>32.85</v>
      </c>
      <c r="X14" s="67"/>
      <c r="Y14" s="15">
        <f t="shared" si="7"/>
        <v>32.85</v>
      </c>
      <c r="Z14" s="3" t="e">
        <v>#DIV/0!</v>
      </c>
      <c r="AB14" s="22" t="s">
        <v>824</v>
      </c>
      <c r="AE14" s="33">
        <v>0</v>
      </c>
      <c r="AF14" s="43" t="s">
        <v>3129</v>
      </c>
      <c r="AG14" s="128"/>
      <c r="AI14" s="64">
        <f t="shared" si="8"/>
        <v>3.7499999999999997E-5</v>
      </c>
      <c r="AJ14" s="313">
        <f>RTD("money.excel",,$G14,"PredictVolume")</f>
        <v>9</v>
      </c>
      <c r="AK14" s="348"/>
      <c r="AL14" s="309"/>
    </row>
    <row r="15" spans="1:38">
      <c r="A15" s="148" t="s">
        <v>2314</v>
      </c>
      <c r="B15" s="81">
        <v>37</v>
      </c>
      <c r="C15" s="81">
        <v>24</v>
      </c>
      <c r="D15" s="82">
        <v>10</v>
      </c>
      <c r="E15" s="81">
        <v>37</v>
      </c>
      <c r="F15" s="6">
        <v>5.6</v>
      </c>
      <c r="G15" s="81">
        <v>1210</v>
      </c>
      <c r="H15" s="8" t="s">
        <v>310</v>
      </c>
      <c r="I15" s="22" t="s">
        <v>825</v>
      </c>
      <c r="J15" s="330">
        <v>64.05</v>
      </c>
      <c r="K15" s="75">
        <v>13.83</v>
      </c>
      <c r="L15" s="75">
        <v>1.67</v>
      </c>
      <c r="N15" s="325">
        <f t="shared" si="5"/>
        <v>79.55</v>
      </c>
      <c r="O15" s="27"/>
      <c r="P15" s="56"/>
      <c r="Q15" s="26"/>
      <c r="S15" s="330">
        <v>0.03</v>
      </c>
      <c r="T15" s="67">
        <v>3</v>
      </c>
      <c r="U15" s="366">
        <f t="shared" si="6"/>
        <v>5.5762081784386623E-2</v>
      </c>
      <c r="V15" s="97">
        <v>3.99</v>
      </c>
      <c r="W15" s="36">
        <f>RTD("money.excel",,$G15,"Price")</f>
        <v>53.8</v>
      </c>
      <c r="X15" s="67"/>
      <c r="Y15" s="15">
        <f t="shared" si="7"/>
        <v>53.8</v>
      </c>
      <c r="Z15" s="3" t="e">
        <v>#DIV/0!</v>
      </c>
      <c r="AA15" s="174" t="s">
        <v>2185</v>
      </c>
      <c r="AB15" s="22" t="s">
        <v>825</v>
      </c>
      <c r="AE15" s="33">
        <v>0</v>
      </c>
      <c r="AF15" s="43" t="s">
        <v>3130</v>
      </c>
      <c r="AG15" s="128"/>
      <c r="AI15" s="64">
        <f t="shared" si="8"/>
        <v>1.781136638452237E-3</v>
      </c>
      <c r="AJ15" s="313">
        <f>RTD("money.excel",,$G15,"PredictVolume")</f>
        <v>1473</v>
      </c>
      <c r="AK15" s="348"/>
    </row>
    <row r="16" spans="1:38">
      <c r="A16" s="148" t="s">
        <v>3702</v>
      </c>
      <c r="B16" s="93">
        <v>72</v>
      </c>
      <c r="C16" s="93">
        <v>-48</v>
      </c>
      <c r="D16" s="93">
        <v>4</v>
      </c>
      <c r="E16" s="93">
        <v>2</v>
      </c>
      <c r="F16" s="6">
        <v>-12.4</v>
      </c>
      <c r="G16" s="81">
        <v>1213</v>
      </c>
      <c r="H16" s="8" t="s">
        <v>310</v>
      </c>
      <c r="I16" s="22" t="s">
        <v>827</v>
      </c>
      <c r="J16" s="75">
        <v>72.84</v>
      </c>
      <c r="K16" s="75">
        <v>0.09</v>
      </c>
      <c r="L16" s="75">
        <v>1.1299999999999999</v>
      </c>
      <c r="N16" s="325">
        <f t="shared" si="5"/>
        <v>74.06</v>
      </c>
      <c r="O16" s="27"/>
      <c r="P16" s="56"/>
      <c r="Q16" s="26"/>
      <c r="S16" s="330">
        <v>13.66</v>
      </c>
      <c r="T16" s="34">
        <v>0</v>
      </c>
      <c r="U16" s="368" t="e">
        <f t="shared" si="6"/>
        <v>#VALUE!</v>
      </c>
      <c r="V16" s="97">
        <v>-0.48</v>
      </c>
      <c r="W16" s="36" t="str">
        <f>RTD("money.excel",,$G16,"Price")</f>
        <v>無資料</v>
      </c>
      <c r="X16" s="67"/>
      <c r="Y16" s="15" t="e">
        <f t="shared" si="7"/>
        <v>#VALUE!</v>
      </c>
      <c r="Z16" s="3" t="e">
        <v>#DIV/0!</v>
      </c>
      <c r="AB16" s="22" t="s">
        <v>827</v>
      </c>
      <c r="AE16" s="33">
        <v>0</v>
      </c>
      <c r="AF16" s="43" t="s">
        <v>1608</v>
      </c>
      <c r="AG16" s="128"/>
      <c r="AI16" s="64">
        <f t="shared" si="8"/>
        <v>0</v>
      </c>
      <c r="AJ16" s="313">
        <f>RTD("money.excel",,$G16,"PredictVolume")</f>
        <v>0</v>
      </c>
      <c r="AK16" s="348"/>
    </row>
    <row r="17" spans="1:37">
      <c r="A17" s="148" t="s">
        <v>2209</v>
      </c>
      <c r="B17" s="81">
        <v>6</v>
      </c>
      <c r="C17" s="82">
        <v>-6</v>
      </c>
      <c r="D17" s="81">
        <v>0</v>
      </c>
      <c r="E17" s="81">
        <v>3</v>
      </c>
      <c r="F17" s="6">
        <v>8.57</v>
      </c>
      <c r="G17" s="81">
        <v>1215</v>
      </c>
      <c r="H17" s="8" t="s">
        <v>310</v>
      </c>
      <c r="I17" s="22" t="s">
        <v>828</v>
      </c>
      <c r="J17" s="330">
        <v>66.849999999999994</v>
      </c>
      <c r="K17" s="330">
        <v>41.28</v>
      </c>
      <c r="L17" s="330">
        <v>1.25</v>
      </c>
      <c r="N17" s="325">
        <f t="shared" si="5"/>
        <v>109.38</v>
      </c>
      <c r="O17" s="27"/>
      <c r="P17" s="56"/>
      <c r="Q17" s="26"/>
      <c r="S17" s="330">
        <v>0.02</v>
      </c>
      <c r="T17" s="67">
        <v>4</v>
      </c>
      <c r="U17" s="366">
        <f t="shared" si="6"/>
        <v>4.7789725209080043E-2</v>
      </c>
      <c r="V17" s="97">
        <v>6.18</v>
      </c>
      <c r="W17" s="36">
        <f>RTD("money.excel",,$G17,"Price")</f>
        <v>83.7</v>
      </c>
      <c r="X17" s="67"/>
      <c r="Y17" s="15">
        <f t="shared" si="7"/>
        <v>83.7</v>
      </c>
      <c r="Z17" s="3" t="e">
        <v>#DIV/0!</v>
      </c>
      <c r="AA17" s="174" t="s">
        <v>2185</v>
      </c>
      <c r="AB17" s="22" t="s">
        <v>828</v>
      </c>
      <c r="AE17" s="33">
        <v>0</v>
      </c>
      <c r="AF17" s="43" t="s">
        <v>3130</v>
      </c>
      <c r="AG17" s="128"/>
      <c r="AI17" s="64">
        <f t="shared" si="8"/>
        <v>1.1828358208955225E-3</v>
      </c>
      <c r="AJ17" s="313">
        <f>RTD("money.excel",,$G17,"PredictVolume")</f>
        <v>317</v>
      </c>
      <c r="AK17" s="348"/>
    </row>
    <row r="18" spans="1:37">
      <c r="A18" s="148" t="s">
        <v>1756</v>
      </c>
      <c r="B18" s="82">
        <v>-8</v>
      </c>
      <c r="C18" s="82">
        <v>-9</v>
      </c>
      <c r="D18" s="82">
        <v>-4</v>
      </c>
      <c r="E18" s="81">
        <v>7</v>
      </c>
      <c r="F18" s="6">
        <v>6.47</v>
      </c>
      <c r="G18" s="81">
        <v>1216</v>
      </c>
      <c r="H18" s="8" t="s">
        <v>310</v>
      </c>
      <c r="I18" s="160" t="s">
        <v>10</v>
      </c>
      <c r="J18" s="330">
        <v>86.06</v>
      </c>
      <c r="K18" s="330">
        <v>45.16</v>
      </c>
      <c r="L18" s="75">
        <v>0.09</v>
      </c>
      <c r="N18" s="325">
        <f t="shared" si="5"/>
        <v>131.31</v>
      </c>
      <c r="O18" s="27"/>
      <c r="P18" s="56"/>
      <c r="Q18" s="26"/>
      <c r="S18" s="330">
        <v>2.27</v>
      </c>
      <c r="T18" s="199">
        <v>2.7</v>
      </c>
      <c r="U18" s="366">
        <f t="shared" si="6"/>
        <v>4.072398190045249E-2</v>
      </c>
      <c r="V18" s="58">
        <v>3.53</v>
      </c>
      <c r="W18" s="36">
        <f>RTD("money.excel",,$G18,"Price")</f>
        <v>66.3</v>
      </c>
      <c r="X18" s="67"/>
      <c r="Y18" s="15">
        <f t="shared" si="7"/>
        <v>66.3</v>
      </c>
      <c r="Z18" s="3" t="e">
        <v>#DIV/0!</v>
      </c>
      <c r="AA18" s="174" t="s">
        <v>1943</v>
      </c>
      <c r="AB18" s="160" t="s">
        <v>10</v>
      </c>
      <c r="AE18" s="33">
        <v>0</v>
      </c>
      <c r="AF18" s="122" t="s">
        <v>310</v>
      </c>
      <c r="AG18" s="128"/>
      <c r="AI18" s="64">
        <f t="shared" si="8"/>
        <v>9.9612676056338024E-4</v>
      </c>
      <c r="AJ18" s="313">
        <f>RTD("money.excel",,$G18,"PredictVolume")</f>
        <v>5658</v>
      </c>
      <c r="AK18" s="348"/>
    </row>
    <row r="19" spans="1:37">
      <c r="A19" s="148" t="s">
        <v>3646</v>
      </c>
      <c r="B19" s="93">
        <v>139</v>
      </c>
      <c r="C19" s="93">
        <v>75</v>
      </c>
      <c r="D19" s="93">
        <v>-1</v>
      </c>
      <c r="E19" s="93">
        <v>-4</v>
      </c>
      <c r="F19" s="6">
        <v>7.13</v>
      </c>
      <c r="G19" s="81">
        <v>1217</v>
      </c>
      <c r="H19" s="8" t="s">
        <v>310</v>
      </c>
      <c r="I19" s="22" t="s">
        <v>829</v>
      </c>
      <c r="J19" s="75">
        <v>47.75</v>
      </c>
      <c r="K19" s="75">
        <v>8.07</v>
      </c>
      <c r="L19" s="75">
        <v>5.53</v>
      </c>
      <c r="N19" s="325">
        <f t="shared" si="5"/>
        <v>61.35</v>
      </c>
      <c r="O19" s="27"/>
      <c r="P19" s="56"/>
      <c r="Q19" s="26"/>
      <c r="S19" s="330">
        <v>11.32</v>
      </c>
      <c r="T19" s="34">
        <v>0</v>
      </c>
      <c r="U19" s="366">
        <f t="shared" si="6"/>
        <v>0</v>
      </c>
      <c r="V19" s="97">
        <v>0.47</v>
      </c>
      <c r="W19" s="36">
        <f>RTD("money.excel",,$G19,"Price")</f>
        <v>10.7</v>
      </c>
      <c r="X19" s="67"/>
      <c r="Y19" s="15">
        <f t="shared" si="7"/>
        <v>10.7</v>
      </c>
      <c r="Z19" s="3" t="e">
        <v>#DIV/0!</v>
      </c>
      <c r="AB19" s="22" t="s">
        <v>829</v>
      </c>
      <c r="AE19" s="33">
        <v>0</v>
      </c>
      <c r="AF19" s="43" t="s">
        <v>1609</v>
      </c>
      <c r="AG19" s="128"/>
      <c r="AI19" s="64">
        <f t="shared" si="8"/>
        <v>1.6012145748987854E-3</v>
      </c>
      <c r="AJ19" s="313">
        <f>RTD("money.excel",,$G19,"PredictVolume")</f>
        <v>791</v>
      </c>
      <c r="AK19" s="348"/>
    </row>
    <row r="20" spans="1:37">
      <c r="A20" s="148" t="s">
        <v>3704</v>
      </c>
      <c r="B20" s="93">
        <v>37</v>
      </c>
      <c r="C20" s="93">
        <v>67</v>
      </c>
      <c r="D20" s="93">
        <v>21</v>
      </c>
      <c r="E20" s="93">
        <v>14</v>
      </c>
      <c r="F20" s="6">
        <v>4.9400000000000004</v>
      </c>
      <c r="G20" s="81">
        <v>1218</v>
      </c>
      <c r="H20" s="8" t="s">
        <v>310</v>
      </c>
      <c r="I20" s="22" t="s">
        <v>830</v>
      </c>
      <c r="J20" s="330">
        <v>76.459999999999994</v>
      </c>
      <c r="K20" s="330">
        <v>1.79</v>
      </c>
      <c r="L20" s="330">
        <v>7.62</v>
      </c>
      <c r="N20" s="325">
        <f t="shared" si="5"/>
        <v>85.87</v>
      </c>
      <c r="O20" s="27"/>
      <c r="P20" s="56"/>
      <c r="Q20" s="26"/>
      <c r="S20" s="330">
        <v>3.51</v>
      </c>
      <c r="T20" s="34">
        <v>1.4</v>
      </c>
      <c r="U20" s="366">
        <f t="shared" si="6"/>
        <v>5.1660516605166046E-2</v>
      </c>
      <c r="V20" s="97">
        <v>1.75</v>
      </c>
      <c r="W20" s="36">
        <f>RTD("money.excel",,$G20,"Price")</f>
        <v>27.1</v>
      </c>
      <c r="X20" s="67"/>
      <c r="Y20" s="15">
        <f t="shared" si="7"/>
        <v>27.1</v>
      </c>
      <c r="Z20" s="3" t="e">
        <v>#DIV/0!</v>
      </c>
      <c r="AA20" s="174" t="s">
        <v>1943</v>
      </c>
      <c r="AB20" s="22" t="s">
        <v>830</v>
      </c>
      <c r="AE20" s="33">
        <v>0</v>
      </c>
      <c r="AF20" s="43" t="s">
        <v>3131</v>
      </c>
      <c r="AG20" s="128"/>
      <c r="AI20" s="64">
        <f t="shared" si="8"/>
        <v>2.34E-4</v>
      </c>
      <c r="AJ20" s="313">
        <f>RTD("money.excel",,$G20,"PredictVolume")</f>
        <v>117</v>
      </c>
      <c r="AK20" s="348"/>
    </row>
    <row r="21" spans="1:37">
      <c r="A21" s="148" t="s">
        <v>3703</v>
      </c>
      <c r="B21" s="82">
        <v>-15</v>
      </c>
      <c r="C21" s="81">
        <v>267</v>
      </c>
      <c r="D21" s="81">
        <v>23</v>
      </c>
      <c r="E21" s="81">
        <v>28</v>
      </c>
      <c r="F21" s="6">
        <v>3.95</v>
      </c>
      <c r="G21" s="81">
        <v>1219</v>
      </c>
      <c r="H21" s="8" t="s">
        <v>310</v>
      </c>
      <c r="I21" s="22" t="s">
        <v>831</v>
      </c>
      <c r="J21" s="330">
        <v>71.45</v>
      </c>
      <c r="K21" s="330">
        <v>3.7</v>
      </c>
      <c r="L21" s="75">
        <v>4.3099999999999996</v>
      </c>
      <c r="N21" s="325">
        <f t="shared" si="5"/>
        <v>79.460000000000008</v>
      </c>
      <c r="O21" s="27"/>
      <c r="P21" s="56"/>
      <c r="Q21" s="26"/>
      <c r="S21" s="330">
        <v>0.12</v>
      </c>
      <c r="T21" s="34">
        <v>1</v>
      </c>
      <c r="U21" s="366">
        <f t="shared" si="6"/>
        <v>4.9751243781094523E-2</v>
      </c>
      <c r="V21" s="58">
        <v>1.74</v>
      </c>
      <c r="W21" s="36">
        <f>RTD("money.excel",,$G21,"Price")</f>
        <v>20.100000000000001</v>
      </c>
      <c r="X21" s="67"/>
      <c r="Y21" s="15">
        <f t="shared" si="7"/>
        <v>20.100000000000001</v>
      </c>
      <c r="Z21" s="3" t="e">
        <v>#DIV/0!</v>
      </c>
      <c r="AA21" s="174" t="s">
        <v>1943</v>
      </c>
      <c r="AB21" s="22" t="s">
        <v>831</v>
      </c>
      <c r="AE21" s="33">
        <v>0</v>
      </c>
      <c r="AF21" s="43" t="s">
        <v>3132</v>
      </c>
      <c r="AG21" s="128"/>
      <c r="AI21" s="64">
        <f t="shared" si="8"/>
        <v>2.2383900928792571E-3</v>
      </c>
      <c r="AJ21" s="313">
        <f>RTD("money.excel",,$G21,"PredictVolume")</f>
        <v>723</v>
      </c>
      <c r="AK21" s="348"/>
    </row>
    <row r="22" spans="1:37">
      <c r="A22" s="148" t="s">
        <v>2454</v>
      </c>
      <c r="B22" s="93">
        <v>40</v>
      </c>
      <c r="C22" s="93">
        <v>25</v>
      </c>
      <c r="D22" s="93">
        <v>1</v>
      </c>
      <c r="E22" s="93">
        <v>30</v>
      </c>
      <c r="F22" s="6">
        <v>7.28</v>
      </c>
      <c r="G22" s="81">
        <v>1220</v>
      </c>
      <c r="H22" s="8" t="s">
        <v>310</v>
      </c>
      <c r="I22" s="22" t="s">
        <v>832</v>
      </c>
      <c r="J22" s="75">
        <v>81.040000000000006</v>
      </c>
      <c r="K22" s="75">
        <v>9.2799999999999994</v>
      </c>
      <c r="L22" s="75">
        <v>3.35</v>
      </c>
      <c r="N22" s="325">
        <f t="shared" si="5"/>
        <v>93.67</v>
      </c>
      <c r="O22" s="27"/>
      <c r="P22" s="56"/>
      <c r="Q22" s="26"/>
      <c r="S22" s="330">
        <v>25.08</v>
      </c>
      <c r="T22" s="34">
        <v>1</v>
      </c>
      <c r="U22" s="366">
        <f t="shared" si="6"/>
        <v>6.0975609756097567E-2</v>
      </c>
      <c r="V22" s="97">
        <v>1.02</v>
      </c>
      <c r="W22" s="36">
        <f>RTD("money.excel",,$G22,"Price")</f>
        <v>16.399999999999999</v>
      </c>
      <c r="X22" s="67"/>
      <c r="Y22" s="15">
        <f t="shared" si="7"/>
        <v>16.399999999999999</v>
      </c>
      <c r="Z22" s="3" t="e">
        <v>#DIV/0!</v>
      </c>
      <c r="AB22" s="22" t="s">
        <v>832</v>
      </c>
      <c r="AE22" s="33">
        <v>0</v>
      </c>
      <c r="AF22" s="43" t="s">
        <v>3133</v>
      </c>
      <c r="AG22" s="128"/>
      <c r="AI22" s="64">
        <f t="shared" si="8"/>
        <v>1.3163841807909604E-3</v>
      </c>
      <c r="AJ22" s="313">
        <f>RTD("money.excel",,$G22,"PredictVolume")</f>
        <v>233</v>
      </c>
      <c r="AK22" s="348"/>
    </row>
    <row r="23" spans="1:37">
      <c r="A23" s="148" t="s">
        <v>3464</v>
      </c>
      <c r="B23" s="93">
        <v>-9</v>
      </c>
      <c r="C23" s="93">
        <v>2</v>
      </c>
      <c r="D23" s="93">
        <v>6</v>
      </c>
      <c r="E23" s="93">
        <v>26</v>
      </c>
      <c r="F23" s="6">
        <v>2.67</v>
      </c>
      <c r="G23" s="81">
        <v>1225</v>
      </c>
      <c r="H23" s="8" t="s">
        <v>310</v>
      </c>
      <c r="I23" s="22" t="s">
        <v>833</v>
      </c>
      <c r="J23" s="75">
        <v>95.36</v>
      </c>
      <c r="K23" s="75">
        <v>0.81</v>
      </c>
      <c r="L23" s="75">
        <v>19.68</v>
      </c>
      <c r="N23" s="325">
        <f t="shared" si="5"/>
        <v>115.85</v>
      </c>
      <c r="O23" s="27"/>
      <c r="P23" s="56"/>
      <c r="Q23" s="26"/>
      <c r="S23" s="330">
        <v>16.89</v>
      </c>
      <c r="T23" s="34">
        <v>1.4</v>
      </c>
      <c r="U23" s="366">
        <f t="shared" si="6"/>
        <v>2.3972602739726026E-2</v>
      </c>
      <c r="V23" s="97">
        <v>1.72</v>
      </c>
      <c r="W23" s="36">
        <f>RTD("money.excel",,$G23,"Price")</f>
        <v>58.4</v>
      </c>
      <c r="X23" s="67"/>
      <c r="Y23" s="15">
        <f t="shared" si="7"/>
        <v>58.4</v>
      </c>
      <c r="Z23" s="3" t="e">
        <v>#DIV/0!</v>
      </c>
      <c r="AA23" s="174" t="s">
        <v>1943</v>
      </c>
      <c r="AB23" s="22" t="s">
        <v>833</v>
      </c>
      <c r="AE23" s="33">
        <v>0</v>
      </c>
      <c r="AF23" s="43" t="s">
        <v>3134</v>
      </c>
      <c r="AG23" s="128"/>
      <c r="AI23" s="64">
        <f t="shared" si="8"/>
        <v>2.4770642201834864E-4</v>
      </c>
      <c r="AJ23" s="313">
        <f>RTD("money.excel",,$G23,"PredictVolume")</f>
        <v>54</v>
      </c>
      <c r="AK23" s="348"/>
    </row>
    <row r="24" spans="1:37">
      <c r="A24" s="132" t="s">
        <v>2428</v>
      </c>
      <c r="B24" s="82">
        <v>-5</v>
      </c>
      <c r="C24" s="82">
        <v>-8</v>
      </c>
      <c r="D24" s="81">
        <v>20</v>
      </c>
      <c r="E24" s="82">
        <v>-21</v>
      </c>
      <c r="F24" s="58">
        <v>11.73</v>
      </c>
      <c r="G24" s="81">
        <v>1227</v>
      </c>
      <c r="H24" s="8" t="s">
        <v>310</v>
      </c>
      <c r="I24" s="22" t="s">
        <v>4451</v>
      </c>
      <c r="J24" s="330">
        <v>69.930000000000007</v>
      </c>
      <c r="K24" s="75">
        <v>7.3</v>
      </c>
      <c r="L24" s="330">
        <v>0.95</v>
      </c>
      <c r="N24" s="325">
        <f t="shared" si="5"/>
        <v>78.180000000000007</v>
      </c>
      <c r="O24" s="27"/>
      <c r="P24" s="56"/>
      <c r="Q24" s="26"/>
      <c r="S24" s="330">
        <v>0.05</v>
      </c>
      <c r="T24" s="34">
        <v>2.5</v>
      </c>
      <c r="U24" s="366">
        <f t="shared" si="6"/>
        <v>5.181347150259067E-2</v>
      </c>
      <c r="V24" s="58">
        <v>3.54</v>
      </c>
      <c r="W24" s="36">
        <f>RTD("money.excel",,$G24,"Price")</f>
        <v>48.25</v>
      </c>
      <c r="X24" s="67"/>
      <c r="Y24" s="15">
        <f t="shared" si="7"/>
        <v>48.25</v>
      </c>
      <c r="Z24" s="3" t="e">
        <v>#DIV/0!</v>
      </c>
      <c r="AB24" s="22" t="s">
        <v>4451</v>
      </c>
      <c r="AE24" s="33">
        <v>0</v>
      </c>
      <c r="AF24" s="122" t="s">
        <v>3135</v>
      </c>
      <c r="AG24" s="128"/>
      <c r="AI24" s="64">
        <f t="shared" si="8"/>
        <v>1.1868852459016393E-3</v>
      </c>
      <c r="AJ24" s="313">
        <f>RTD("money.excel",,$G24,"PredictVolume")</f>
        <v>1086</v>
      </c>
      <c r="AK24" s="348"/>
    </row>
    <row r="25" spans="1:37">
      <c r="A25" s="132" t="s">
        <v>2427</v>
      </c>
      <c r="B25" s="81">
        <v>0</v>
      </c>
      <c r="C25" s="81">
        <v>19</v>
      </c>
      <c r="D25" s="82">
        <v>-13</v>
      </c>
      <c r="E25" s="81">
        <v>8</v>
      </c>
      <c r="F25" s="58">
        <v>14.3</v>
      </c>
      <c r="G25" s="81">
        <v>1229</v>
      </c>
      <c r="H25" s="8" t="s">
        <v>310</v>
      </c>
      <c r="I25" s="22" t="s">
        <v>834</v>
      </c>
      <c r="J25" s="75">
        <v>64.28</v>
      </c>
      <c r="K25" s="330">
        <v>11.57</v>
      </c>
      <c r="L25" s="330">
        <v>0.37</v>
      </c>
      <c r="N25" s="325">
        <f t="shared" si="5"/>
        <v>76.22</v>
      </c>
      <c r="O25" s="27"/>
      <c r="P25" s="56"/>
      <c r="Q25" s="26"/>
      <c r="S25" s="330">
        <v>0.02</v>
      </c>
      <c r="T25" s="34">
        <v>2.7</v>
      </c>
      <c r="U25" s="366">
        <f t="shared" si="6"/>
        <v>4.245283018867925E-2</v>
      </c>
      <c r="V25" s="97">
        <v>2.61</v>
      </c>
      <c r="W25" s="36">
        <f>RTD("money.excel",,$G25,"Price")</f>
        <v>63.6</v>
      </c>
      <c r="X25" s="67"/>
      <c r="Y25" s="15">
        <f t="shared" si="7"/>
        <v>63.6</v>
      </c>
      <c r="Z25" s="3" t="e">
        <v>#DIV/0!</v>
      </c>
      <c r="AA25" s="174" t="s">
        <v>1943</v>
      </c>
      <c r="AB25" s="22" t="s">
        <v>834</v>
      </c>
      <c r="AE25" s="33">
        <v>0</v>
      </c>
      <c r="AF25" s="43" t="s">
        <v>3136</v>
      </c>
      <c r="AG25" s="128"/>
      <c r="AI25" s="64">
        <f t="shared" si="8"/>
        <v>6.4640625000000002E-3</v>
      </c>
      <c r="AJ25" s="313">
        <f>RTD("money.excel",,$G25,"PredictVolume")</f>
        <v>8274</v>
      </c>
      <c r="AK25" s="348"/>
    </row>
    <row r="26" spans="1:37">
      <c r="A26" s="148" t="s">
        <v>3535</v>
      </c>
      <c r="B26" s="93">
        <v>1</v>
      </c>
      <c r="C26" s="93">
        <v>-2</v>
      </c>
      <c r="D26" s="93">
        <v>-25</v>
      </c>
      <c r="E26" s="93">
        <v>-13</v>
      </c>
      <c r="F26" s="6">
        <v>5.15</v>
      </c>
      <c r="G26" s="81">
        <v>1231</v>
      </c>
      <c r="H26" s="8" t="s">
        <v>310</v>
      </c>
      <c r="I26" s="22" t="s">
        <v>835</v>
      </c>
      <c r="J26" s="75">
        <v>69.02</v>
      </c>
      <c r="K26" s="75">
        <v>4.4400000000000004</v>
      </c>
      <c r="L26" s="75">
        <v>0.41</v>
      </c>
      <c r="N26" s="325">
        <f t="shared" si="5"/>
        <v>73.86999999999999</v>
      </c>
      <c r="O26" s="27"/>
      <c r="P26" s="56"/>
      <c r="Q26" s="26"/>
      <c r="S26" s="330">
        <v>24.87</v>
      </c>
      <c r="T26" s="34">
        <v>2.6</v>
      </c>
      <c r="U26" s="366">
        <f t="shared" si="6"/>
        <v>3.1100478468899524E-2</v>
      </c>
      <c r="V26" s="97">
        <v>3.78</v>
      </c>
      <c r="W26" s="36">
        <f>RTD("money.excel",,$G26,"Price")</f>
        <v>83.6</v>
      </c>
      <c r="X26" s="67"/>
      <c r="Y26" s="15">
        <f t="shared" si="7"/>
        <v>83.6</v>
      </c>
      <c r="Z26" s="3" t="e">
        <v>#DIV/0!</v>
      </c>
      <c r="AA26" s="174" t="s">
        <v>1943</v>
      </c>
      <c r="AB26" s="22" t="s">
        <v>835</v>
      </c>
      <c r="AE26" s="33">
        <v>0</v>
      </c>
      <c r="AF26" s="43" t="s">
        <v>3137</v>
      </c>
      <c r="AG26" s="128"/>
      <c r="AI26" s="64">
        <f t="shared" si="8"/>
        <v>9.0382513661202181E-3</v>
      </c>
      <c r="AJ26" s="313">
        <f>RTD("money.excel",,$G26,"PredictVolume")</f>
        <v>1654</v>
      </c>
      <c r="AK26" s="348"/>
    </row>
    <row r="27" spans="1:37">
      <c r="A27" s="148" t="s">
        <v>2631</v>
      </c>
      <c r="B27" s="81">
        <v>17</v>
      </c>
      <c r="C27" s="81">
        <v>18</v>
      </c>
      <c r="D27" s="81">
        <v>5</v>
      </c>
      <c r="E27" s="81">
        <v>10</v>
      </c>
      <c r="F27" s="6">
        <v>8.7200000000000006</v>
      </c>
      <c r="G27" s="81">
        <v>1232</v>
      </c>
      <c r="H27" s="8" t="s">
        <v>310</v>
      </c>
      <c r="I27" s="22" t="s">
        <v>836</v>
      </c>
      <c r="J27" s="330">
        <v>76.86</v>
      </c>
      <c r="K27" s="330">
        <v>1.63</v>
      </c>
      <c r="L27" s="330">
        <v>0.17</v>
      </c>
      <c r="N27" s="325">
        <f t="shared" si="5"/>
        <v>78.66</v>
      </c>
      <c r="O27" s="27"/>
      <c r="P27" s="56"/>
      <c r="Q27" s="26"/>
      <c r="S27" s="330">
        <v>0</v>
      </c>
      <c r="T27" s="67">
        <v>6</v>
      </c>
      <c r="U27" s="366">
        <f t="shared" si="6"/>
        <v>3.8585209003215437E-2</v>
      </c>
      <c r="V27" s="97">
        <v>8.08</v>
      </c>
      <c r="W27" s="36">
        <f>RTD("money.excel",,$G27,"Price")</f>
        <v>155.5</v>
      </c>
      <c r="X27" s="67"/>
      <c r="Y27" s="15">
        <f t="shared" si="7"/>
        <v>155.5</v>
      </c>
      <c r="Z27" s="3" t="e">
        <v>#DIV/0!</v>
      </c>
      <c r="AA27" s="174" t="s">
        <v>2185</v>
      </c>
      <c r="AB27" s="22" t="s">
        <v>836</v>
      </c>
      <c r="AE27" s="33">
        <v>0</v>
      </c>
      <c r="AF27" s="43" t="s">
        <v>3138</v>
      </c>
      <c r="AG27" s="128"/>
      <c r="AI27" s="64">
        <f t="shared" si="8"/>
        <v>2.3125000000000001E-4</v>
      </c>
      <c r="AJ27" s="313">
        <f>RTD("money.excel",,$G27,"PredictVolume")</f>
        <v>37</v>
      </c>
      <c r="AK27" s="348"/>
    </row>
    <row r="28" spans="1:37">
      <c r="A28" s="148" t="s">
        <v>3701</v>
      </c>
      <c r="B28" s="93">
        <v>-70</v>
      </c>
      <c r="C28" s="93">
        <v>-72</v>
      </c>
      <c r="D28" s="93">
        <v>-1</v>
      </c>
      <c r="E28" s="93">
        <v>-23</v>
      </c>
      <c r="F28" s="6">
        <v>2.66</v>
      </c>
      <c r="G28" s="81">
        <v>1233</v>
      </c>
      <c r="H28" s="8" t="s">
        <v>310</v>
      </c>
      <c r="I28" s="22" t="s">
        <v>837</v>
      </c>
      <c r="J28" s="75">
        <v>68.430000000000007</v>
      </c>
      <c r="K28" s="75">
        <v>5.36</v>
      </c>
      <c r="L28" s="75">
        <v>0.06</v>
      </c>
      <c r="N28" s="325">
        <f t="shared" si="5"/>
        <v>73.850000000000009</v>
      </c>
      <c r="O28" s="27"/>
      <c r="P28" s="56"/>
      <c r="Q28" s="26"/>
      <c r="S28" s="330">
        <v>21.36</v>
      </c>
      <c r="T28" s="34">
        <v>0.8</v>
      </c>
      <c r="U28" s="366">
        <f t="shared" si="6"/>
        <v>2.4060150375939851E-2</v>
      </c>
      <c r="V28" s="97">
        <v>0.63</v>
      </c>
      <c r="W28" s="36">
        <f>RTD("money.excel",,$G28,"Price")</f>
        <v>33.25</v>
      </c>
      <c r="X28" s="67"/>
      <c r="Y28" s="15">
        <f t="shared" si="7"/>
        <v>33.25</v>
      </c>
      <c r="Z28" s="3" t="e">
        <v>#DIV/0!</v>
      </c>
      <c r="AB28" s="22" t="s">
        <v>837</v>
      </c>
      <c r="AE28" s="33">
        <v>0</v>
      </c>
      <c r="AF28" s="43" t="s">
        <v>2658</v>
      </c>
      <c r="AG28" s="128"/>
      <c r="AI28" s="64">
        <f t="shared" si="8"/>
        <v>1.2141280353200883E-4</v>
      </c>
      <c r="AJ28" s="313">
        <f>RTD("money.excel",,$G28,"PredictVolume")</f>
        <v>11</v>
      </c>
      <c r="AK28" s="348"/>
    </row>
    <row r="29" spans="1:37">
      <c r="A29" s="148" t="s">
        <v>2618</v>
      </c>
      <c r="B29" s="81">
        <v>4</v>
      </c>
      <c r="C29" s="81">
        <v>45</v>
      </c>
      <c r="D29" s="82">
        <v>-2</v>
      </c>
      <c r="E29" s="82">
        <v>-1</v>
      </c>
      <c r="F29" s="6">
        <v>7.2</v>
      </c>
      <c r="G29" s="81">
        <v>1234</v>
      </c>
      <c r="H29" s="8" t="s">
        <v>310</v>
      </c>
      <c r="I29" s="22" t="s">
        <v>838</v>
      </c>
      <c r="J29" s="75">
        <v>80.17</v>
      </c>
      <c r="K29" s="75">
        <v>4.2</v>
      </c>
      <c r="L29" s="75">
        <v>0.19</v>
      </c>
      <c r="N29" s="325">
        <f t="shared" si="5"/>
        <v>84.56</v>
      </c>
      <c r="O29" s="27"/>
      <c r="P29" s="56"/>
      <c r="Q29" s="26"/>
      <c r="S29" s="330">
        <v>0</v>
      </c>
      <c r="T29" s="34">
        <v>1.8</v>
      </c>
      <c r="U29" s="366">
        <f t="shared" si="6"/>
        <v>5.1428571428571428E-2</v>
      </c>
      <c r="V29" s="97">
        <v>2.2200000000000002</v>
      </c>
      <c r="W29" s="36">
        <f>RTD("money.excel",,$G29,"Price")</f>
        <v>35</v>
      </c>
      <c r="X29" s="67"/>
      <c r="Y29" s="15">
        <f t="shared" si="7"/>
        <v>35</v>
      </c>
      <c r="Z29" s="3" t="e">
        <v>#DIV/0!</v>
      </c>
      <c r="AA29" s="174" t="s">
        <v>1943</v>
      </c>
      <c r="AB29" s="22" t="s">
        <v>838</v>
      </c>
      <c r="AE29" s="33">
        <v>0</v>
      </c>
      <c r="AF29" s="43" t="s">
        <v>2619</v>
      </c>
      <c r="AG29" s="128"/>
      <c r="AI29" s="64">
        <f t="shared" si="8"/>
        <v>2.2443890274314216E-4</v>
      </c>
      <c r="AJ29" s="313">
        <f>RTD("money.excel",,$G29,"PredictVolume")</f>
        <v>90</v>
      </c>
      <c r="AK29" s="348"/>
    </row>
    <row r="30" spans="1:37">
      <c r="A30" s="132" t="s">
        <v>1922</v>
      </c>
      <c r="B30" s="93">
        <v>52</v>
      </c>
      <c r="C30" s="93">
        <v>116</v>
      </c>
      <c r="D30" s="93">
        <v>-78</v>
      </c>
      <c r="E30" s="93">
        <v>35</v>
      </c>
      <c r="F30" s="58">
        <v>47.38</v>
      </c>
      <c r="G30" s="81">
        <v>1235</v>
      </c>
      <c r="H30" s="8" t="s">
        <v>310</v>
      </c>
      <c r="I30" s="22" t="s">
        <v>839</v>
      </c>
      <c r="J30" s="75">
        <v>90.89</v>
      </c>
      <c r="K30" s="75">
        <v>0.21</v>
      </c>
      <c r="L30" s="75">
        <v>36.28</v>
      </c>
      <c r="N30" s="325">
        <f t="shared" si="5"/>
        <v>127.38</v>
      </c>
      <c r="O30" s="27"/>
      <c r="P30" s="56"/>
      <c r="Q30" s="26"/>
      <c r="S30" s="330">
        <v>45.1</v>
      </c>
      <c r="T30" s="34">
        <v>1.1000000000000001</v>
      </c>
      <c r="U30" s="366">
        <f t="shared" si="6"/>
        <v>2.5200458190148916E-2</v>
      </c>
      <c r="V30" s="97">
        <v>0.68</v>
      </c>
      <c r="W30" s="36">
        <f>RTD("money.excel",,$G30,"Price")</f>
        <v>43.65</v>
      </c>
      <c r="X30" s="67"/>
      <c r="Y30" s="15">
        <f t="shared" si="7"/>
        <v>43.65</v>
      </c>
      <c r="Z30" s="3" t="e">
        <v>#DIV/0!</v>
      </c>
      <c r="AB30" s="22" t="s">
        <v>839</v>
      </c>
      <c r="AE30" s="33">
        <v>0</v>
      </c>
      <c r="AF30" s="43" t="s">
        <v>3139</v>
      </c>
      <c r="AG30" s="128"/>
      <c r="AI30" s="64">
        <f t="shared" si="8"/>
        <v>6.5384615384615383E-4</v>
      </c>
      <c r="AJ30" s="313">
        <f>RTD("money.excel",,$G30,"PredictVolume")</f>
        <v>68</v>
      </c>
      <c r="AK30" s="348"/>
    </row>
    <row r="31" spans="1:37">
      <c r="A31" s="148" t="s">
        <v>1881</v>
      </c>
      <c r="B31" s="82">
        <v>-69</v>
      </c>
      <c r="C31" s="82">
        <v>-72</v>
      </c>
      <c r="D31" s="81">
        <v>23</v>
      </c>
      <c r="E31" s="81">
        <v>3</v>
      </c>
      <c r="F31" s="6">
        <v>-3.61</v>
      </c>
      <c r="G31" s="81">
        <v>1236</v>
      </c>
      <c r="H31" s="8" t="s">
        <v>310</v>
      </c>
      <c r="I31" s="22" t="s">
        <v>840</v>
      </c>
      <c r="J31" s="330">
        <v>80.97</v>
      </c>
      <c r="K31" s="75">
        <v>0.39</v>
      </c>
      <c r="L31" s="75">
        <v>9.34</v>
      </c>
      <c r="M31" s="75">
        <v>18.510000000000002</v>
      </c>
      <c r="N31" s="325">
        <f t="shared" si="5"/>
        <v>109.21000000000001</v>
      </c>
      <c r="O31" s="27"/>
      <c r="P31" s="56"/>
      <c r="Q31" s="26"/>
      <c r="R31" s="308" t="s">
        <v>4373</v>
      </c>
      <c r="S31" s="330">
        <v>1.1000000000000001</v>
      </c>
      <c r="T31" s="34">
        <v>0.2</v>
      </c>
      <c r="U31" s="366">
        <f t="shared" si="6"/>
        <v>7.4906367041198511E-3</v>
      </c>
      <c r="V31" s="58">
        <v>-0.1</v>
      </c>
      <c r="W31" s="36">
        <f>RTD("money.excel",,$G31,"Price")</f>
        <v>26.7</v>
      </c>
      <c r="X31" s="67"/>
      <c r="Y31" s="15">
        <f t="shared" si="7"/>
        <v>26.7</v>
      </c>
      <c r="Z31" s="3" t="e">
        <v>#DIV/0!</v>
      </c>
      <c r="AA31" s="174" t="s">
        <v>1943</v>
      </c>
      <c r="AB31" s="22" t="s">
        <v>840</v>
      </c>
      <c r="AE31" s="33">
        <v>0</v>
      </c>
      <c r="AF31" s="43" t="s">
        <v>3140</v>
      </c>
      <c r="AG31" s="128"/>
      <c r="AI31" s="64">
        <f t="shared" si="8"/>
        <v>1.2222222222222222E-3</v>
      </c>
      <c r="AJ31" s="313">
        <f>RTD("money.excel",,$G31,"PredictVolume")</f>
        <v>132</v>
      </c>
      <c r="AK31" s="348"/>
    </row>
    <row r="32" spans="1:37">
      <c r="A32" s="132" t="s">
        <v>1886</v>
      </c>
      <c r="B32" s="82">
        <v>33</v>
      </c>
      <c r="C32" s="82">
        <v>25</v>
      </c>
      <c r="D32" s="81">
        <v>61</v>
      </c>
      <c r="E32" s="82">
        <v>136</v>
      </c>
      <c r="F32" s="58">
        <v>29.29</v>
      </c>
      <c r="G32" s="81">
        <v>1256</v>
      </c>
      <c r="H32" s="8" t="s">
        <v>310</v>
      </c>
      <c r="I32" s="22" t="s">
        <v>842</v>
      </c>
      <c r="J32" s="75">
        <v>61.68</v>
      </c>
      <c r="K32" s="330">
        <v>4.0599999999999996</v>
      </c>
      <c r="L32" s="330">
        <v>1.61</v>
      </c>
      <c r="N32" s="325">
        <f t="shared" si="5"/>
        <v>67.349999999999994</v>
      </c>
      <c r="O32" s="27"/>
      <c r="P32" s="56"/>
      <c r="Q32" s="26"/>
      <c r="S32" s="330">
        <v>7.0000000000000007E-2</v>
      </c>
      <c r="T32" s="67">
        <v>12</v>
      </c>
      <c r="U32" s="366">
        <f t="shared" si="6"/>
        <v>4.0336134453781515E-2</v>
      </c>
      <c r="V32" s="97">
        <v>23</v>
      </c>
      <c r="W32" s="36">
        <f>RTD("money.excel",,$G32,"Price")</f>
        <v>297.5</v>
      </c>
      <c r="X32" s="67"/>
      <c r="Y32" s="15">
        <f t="shared" si="7"/>
        <v>297.5</v>
      </c>
      <c r="Z32" s="3" t="e">
        <v>#DIV/0!</v>
      </c>
      <c r="AA32" s="174" t="s">
        <v>2185</v>
      </c>
      <c r="AB32" s="22" t="s">
        <v>842</v>
      </c>
      <c r="AE32" s="33">
        <v>0</v>
      </c>
      <c r="AF32" s="43" t="s">
        <v>3141</v>
      </c>
      <c r="AG32" s="128"/>
      <c r="AI32" s="64">
        <f t="shared" si="8"/>
        <v>7.9881656804733729E-4</v>
      </c>
      <c r="AJ32" s="313">
        <f>RTD("money.excel",,$G32,"PredictVolume")</f>
        <v>27</v>
      </c>
      <c r="AK32" s="348"/>
    </row>
    <row r="33" spans="1:38">
      <c r="A33" s="148" t="s">
        <v>3537</v>
      </c>
      <c r="B33" s="93">
        <v>84</v>
      </c>
      <c r="C33" s="93">
        <v>115</v>
      </c>
      <c r="D33" s="93">
        <v>1</v>
      </c>
      <c r="E33" s="93">
        <v>-25</v>
      </c>
      <c r="F33" s="6">
        <v>0.49</v>
      </c>
      <c r="G33" s="81">
        <v>1258</v>
      </c>
      <c r="H33" s="8" t="s">
        <v>310</v>
      </c>
      <c r="I33" s="16" t="s">
        <v>149</v>
      </c>
      <c r="J33" s="330">
        <v>71.75</v>
      </c>
      <c r="K33" s="330">
        <v>72.930000000000007</v>
      </c>
      <c r="L33" s="330">
        <v>3.41</v>
      </c>
      <c r="N33" s="325">
        <f t="shared" si="5"/>
        <v>148.09</v>
      </c>
      <c r="O33" s="27"/>
      <c r="P33" s="56"/>
      <c r="Q33" s="26"/>
      <c r="S33" s="330">
        <v>44.43</v>
      </c>
      <c r="T33" s="34">
        <v>0</v>
      </c>
      <c r="U33" s="366">
        <f t="shared" si="6"/>
        <v>0</v>
      </c>
      <c r="V33" s="58">
        <v>-0.43</v>
      </c>
      <c r="W33" s="36">
        <f>RTD("money.excel",,$G33,"Price")</f>
        <v>19.350000000000001</v>
      </c>
      <c r="X33" s="67"/>
      <c r="Y33" s="15">
        <f t="shared" si="7"/>
        <v>19.350000000000001</v>
      </c>
      <c r="Z33" s="3" t="e">
        <v>#DIV/0!</v>
      </c>
      <c r="AB33" s="16" t="s">
        <v>149</v>
      </c>
      <c r="AE33" s="33">
        <v>0</v>
      </c>
      <c r="AF33" s="122" t="s">
        <v>3163</v>
      </c>
      <c r="AG33" s="128"/>
      <c r="AI33" s="64">
        <f t="shared" si="8"/>
        <v>5.9782608695652176E-3</v>
      </c>
      <c r="AJ33" s="313">
        <f>RTD("money.excel",,$G33,"PredictVolume")</f>
        <v>220</v>
      </c>
      <c r="AK33" s="348"/>
    </row>
    <row r="34" spans="1:38">
      <c r="A34" s="132" t="s">
        <v>1904</v>
      </c>
      <c r="B34" s="81">
        <v>7</v>
      </c>
      <c r="C34" s="81">
        <v>8</v>
      </c>
      <c r="D34" s="82">
        <v>-1</v>
      </c>
      <c r="E34" s="81">
        <v>44</v>
      </c>
      <c r="F34" s="58">
        <v>18.13</v>
      </c>
      <c r="G34" s="81">
        <v>1264</v>
      </c>
      <c r="H34" s="8" t="s">
        <v>310</v>
      </c>
      <c r="I34" s="16" t="s">
        <v>821</v>
      </c>
      <c r="J34" s="75">
        <v>24.8</v>
      </c>
      <c r="K34" s="75">
        <v>8.42</v>
      </c>
      <c r="L34" s="330">
        <v>0.12</v>
      </c>
      <c r="N34" s="325">
        <f t="shared" si="5"/>
        <v>33.339999999999996</v>
      </c>
      <c r="O34" s="27"/>
      <c r="P34" s="56"/>
      <c r="Q34" s="26"/>
      <c r="S34" s="330">
        <v>0</v>
      </c>
      <c r="T34" s="67">
        <v>12</v>
      </c>
      <c r="U34" s="366">
        <f t="shared" si="6"/>
        <v>4.2253521126760563E-2</v>
      </c>
      <c r="V34" s="97">
        <v>16</v>
      </c>
      <c r="W34" s="36">
        <f>RTD("money.excel",,$G34,"Price")</f>
        <v>284</v>
      </c>
      <c r="X34" s="67"/>
      <c r="Y34" s="15">
        <f t="shared" si="7"/>
        <v>284</v>
      </c>
      <c r="Z34" s="3" t="e">
        <v>#DIV/0!</v>
      </c>
      <c r="AA34" s="174" t="s">
        <v>2185</v>
      </c>
      <c r="AB34" s="16" t="s">
        <v>821</v>
      </c>
      <c r="AE34" s="33">
        <v>0</v>
      </c>
      <c r="AF34" s="43" t="s">
        <v>3164</v>
      </c>
      <c r="AG34" s="128"/>
      <c r="AI34" s="64">
        <f t="shared" si="8"/>
        <v>3.8575667655786351E-4</v>
      </c>
      <c r="AJ34" s="313">
        <f>RTD("money.excel",,$G34,"PredictVolume")</f>
        <v>13</v>
      </c>
      <c r="AK34" s="348"/>
    </row>
    <row r="35" spans="1:38">
      <c r="A35" s="148">
        <v>29.4</v>
      </c>
      <c r="B35" s="81">
        <v>32</v>
      </c>
      <c r="C35" s="81">
        <v>18</v>
      </c>
      <c r="D35" s="81">
        <v>24</v>
      </c>
      <c r="E35" s="81">
        <v>9</v>
      </c>
      <c r="F35" s="6">
        <v>9.16</v>
      </c>
      <c r="G35" s="81">
        <v>1702</v>
      </c>
      <c r="H35" s="17" t="s">
        <v>310</v>
      </c>
      <c r="I35" s="160" t="s">
        <v>6</v>
      </c>
      <c r="J35" s="330">
        <v>62.97</v>
      </c>
      <c r="K35" s="75">
        <v>15.33</v>
      </c>
      <c r="L35" s="330">
        <v>1.07</v>
      </c>
      <c r="M35" s="330">
        <v>35.76</v>
      </c>
      <c r="N35" s="325">
        <f t="shared" si="5"/>
        <v>115.13</v>
      </c>
      <c r="O35" s="27"/>
      <c r="P35" s="56"/>
      <c r="Q35" s="26"/>
      <c r="R35" s="309" t="s">
        <v>6256</v>
      </c>
      <c r="S35" s="330">
        <v>0.85</v>
      </c>
      <c r="T35" s="199">
        <v>2</v>
      </c>
      <c r="U35" s="366">
        <f t="shared" si="6"/>
        <v>4.1237113402061855E-2</v>
      </c>
      <c r="V35" s="97">
        <v>4.45</v>
      </c>
      <c r="W35" s="36">
        <f>RTD("money.excel",,"1702","Price")</f>
        <v>48.5</v>
      </c>
      <c r="X35" s="67"/>
      <c r="Y35" s="15">
        <f t="shared" si="7"/>
        <v>48.5</v>
      </c>
      <c r="Z35" s="3" t="e">
        <v>#DIV/0!</v>
      </c>
      <c r="AA35" s="174" t="s">
        <v>1943</v>
      </c>
      <c r="AB35" s="22" t="s">
        <v>6</v>
      </c>
      <c r="AE35" s="33">
        <v>0</v>
      </c>
      <c r="AF35" s="43" t="s">
        <v>3142</v>
      </c>
      <c r="AG35" s="128"/>
      <c r="AI35" s="64">
        <f t="shared" si="8"/>
        <v>5.204081632653061E-4</v>
      </c>
      <c r="AJ35" s="313">
        <f>RTD("money.excel",,$G35,"PredictVolume")</f>
        <v>153</v>
      </c>
      <c r="AK35" s="348">
        <v>2.6</v>
      </c>
    </row>
    <row r="36" spans="1:38">
      <c r="A36" s="132" t="s">
        <v>2350</v>
      </c>
      <c r="B36" s="82">
        <v>-20</v>
      </c>
      <c r="C36" s="82">
        <v>-6</v>
      </c>
      <c r="D36" s="82">
        <v>-10</v>
      </c>
      <c r="E36" s="82">
        <v>-4</v>
      </c>
      <c r="F36" s="58">
        <v>12.89</v>
      </c>
      <c r="G36" s="81">
        <v>1737</v>
      </c>
      <c r="H36" s="8" t="s">
        <v>310</v>
      </c>
      <c r="I36" s="22" t="s">
        <v>843</v>
      </c>
      <c r="J36" s="75">
        <v>60.16</v>
      </c>
      <c r="K36" s="75">
        <v>10.63</v>
      </c>
      <c r="L36" s="75">
        <v>0.46</v>
      </c>
      <c r="N36" s="325">
        <f t="shared" si="5"/>
        <v>71.249999999999986</v>
      </c>
      <c r="O36" s="27"/>
      <c r="P36" s="56"/>
      <c r="Q36" s="26"/>
      <c r="T36" s="34">
        <v>1.35</v>
      </c>
      <c r="U36" s="366">
        <f t="shared" si="6"/>
        <v>3.9764359351988215E-2</v>
      </c>
      <c r="V36" s="97">
        <v>1.83</v>
      </c>
      <c r="W36" s="36">
        <f>RTD("money.excel",,$G36,"Price")</f>
        <v>33.950000000000003</v>
      </c>
      <c r="X36" s="67"/>
      <c r="Y36" s="15">
        <f t="shared" si="7"/>
        <v>33.950000000000003</v>
      </c>
      <c r="Z36" s="3" t="e">
        <v>#DIV/0!</v>
      </c>
      <c r="AA36" s="174" t="s">
        <v>1943</v>
      </c>
      <c r="AB36" s="22" t="s">
        <v>843</v>
      </c>
      <c r="AE36" s="33">
        <v>0</v>
      </c>
      <c r="AF36" s="43" t="s">
        <v>3143</v>
      </c>
      <c r="AG36" s="128"/>
      <c r="AI36" s="64">
        <f t="shared" si="8"/>
        <v>1.74E-3</v>
      </c>
      <c r="AJ36" s="313">
        <f>RTD("money.excel",,$G36,"PredictVolume")</f>
        <v>348</v>
      </c>
      <c r="AK36" s="348"/>
    </row>
    <row r="37" spans="1:38">
      <c r="A37" s="148" t="s">
        <v>3540</v>
      </c>
      <c r="B37" s="93">
        <v>90</v>
      </c>
      <c r="C37" s="93">
        <v>150</v>
      </c>
      <c r="D37" s="93">
        <v>1</v>
      </c>
      <c r="E37" s="93">
        <v>73</v>
      </c>
      <c r="F37" s="6">
        <v>2.6</v>
      </c>
      <c r="G37" s="81">
        <v>1796</v>
      </c>
      <c r="H37" s="8" t="s">
        <v>310</v>
      </c>
      <c r="I37" s="16" t="s">
        <v>1180</v>
      </c>
      <c r="J37" s="75">
        <v>48.94</v>
      </c>
      <c r="K37" s="75">
        <v>0.72</v>
      </c>
      <c r="N37" s="325">
        <f t="shared" si="5"/>
        <v>49.66</v>
      </c>
      <c r="O37" s="27"/>
      <c r="P37" s="56"/>
      <c r="Q37" s="26"/>
      <c r="S37" s="330">
        <v>27.43</v>
      </c>
      <c r="T37" s="34">
        <v>0.08</v>
      </c>
      <c r="U37" s="366">
        <f t="shared" si="6"/>
        <v>1.7699115044247787E-3</v>
      </c>
      <c r="V37" s="97">
        <v>0.16</v>
      </c>
      <c r="W37" s="36">
        <f>RTD("money.excel",,$G37,"Price")</f>
        <v>45.2</v>
      </c>
      <c r="X37" s="67"/>
      <c r="Y37" s="15">
        <f t="shared" si="7"/>
        <v>45.2</v>
      </c>
      <c r="Z37" s="3" t="e">
        <v>#DIV/0!</v>
      </c>
      <c r="AB37" s="16" t="s">
        <v>1180</v>
      </c>
      <c r="AE37" s="33">
        <v>0</v>
      </c>
      <c r="AF37" s="43" t="s">
        <v>2972</v>
      </c>
      <c r="AG37" s="128"/>
      <c r="AI37" s="64">
        <f t="shared" si="8"/>
        <v>4.2606516290726818E-4</v>
      </c>
      <c r="AJ37" s="313">
        <f>RTD("money.excel",,$G37,"PredictVolume")</f>
        <v>17</v>
      </c>
      <c r="AK37" s="348"/>
    </row>
    <row r="38" spans="1:38">
      <c r="A38" s="132" t="s">
        <v>2278</v>
      </c>
      <c r="B38" s="93">
        <v>23</v>
      </c>
      <c r="C38" s="93">
        <v>20</v>
      </c>
      <c r="D38" s="93">
        <v>6</v>
      </c>
      <c r="E38" s="93">
        <v>-1</v>
      </c>
      <c r="F38" s="58">
        <v>25.34</v>
      </c>
      <c r="G38" s="81">
        <v>4205</v>
      </c>
      <c r="H38" s="8" t="s">
        <v>310</v>
      </c>
      <c r="I38" s="16" t="s">
        <v>822</v>
      </c>
      <c r="J38" s="75">
        <v>68.819999999999993</v>
      </c>
      <c r="K38" s="330">
        <v>0.2</v>
      </c>
      <c r="L38" s="75">
        <v>0.03</v>
      </c>
      <c r="N38" s="325">
        <f t="shared" si="5"/>
        <v>69.05</v>
      </c>
      <c r="O38" s="27"/>
      <c r="P38" s="56"/>
      <c r="Q38" s="26"/>
      <c r="S38" s="330">
        <v>33.81</v>
      </c>
      <c r="T38" s="67">
        <v>3</v>
      </c>
      <c r="U38" s="366">
        <f t="shared" si="6"/>
        <v>2.4590163934426229E-2</v>
      </c>
      <c r="V38" s="97">
        <v>4.21</v>
      </c>
      <c r="W38" s="36">
        <f>RTD("money.excel",,$G38,"Price")</f>
        <v>122</v>
      </c>
      <c r="X38" s="67"/>
      <c r="Y38" s="15">
        <f t="shared" si="7"/>
        <v>122</v>
      </c>
      <c r="Z38" s="3" t="e">
        <v>#DIV/0!</v>
      </c>
      <c r="AA38" s="174" t="s">
        <v>1986</v>
      </c>
      <c r="AB38" s="16" t="s">
        <v>822</v>
      </c>
      <c r="AE38" s="33">
        <v>0</v>
      </c>
      <c r="AF38" s="43" t="s">
        <v>3165</v>
      </c>
      <c r="AG38" s="128"/>
      <c r="AI38" s="64">
        <f t="shared" si="8"/>
        <v>8.6741016109045848E-5</v>
      </c>
      <c r="AJ38" s="313">
        <f>RTD("money.excel",,$G38,"PredictVolume")</f>
        <v>7</v>
      </c>
      <c r="AK38" s="348"/>
    </row>
    <row r="39" spans="1:38">
      <c r="A39" s="148" t="s">
        <v>1924</v>
      </c>
      <c r="B39" s="93">
        <v>140</v>
      </c>
      <c r="C39" s="93">
        <v>104</v>
      </c>
      <c r="D39" s="93">
        <v>9</v>
      </c>
      <c r="E39" s="93">
        <v>17</v>
      </c>
      <c r="F39" s="6">
        <v>8.7100000000000009</v>
      </c>
      <c r="G39" s="81">
        <v>4207</v>
      </c>
      <c r="H39" s="8" t="s">
        <v>310</v>
      </c>
      <c r="I39" s="16" t="s">
        <v>823</v>
      </c>
      <c r="J39" s="75">
        <v>65.260000000000005</v>
      </c>
      <c r="K39" s="75">
        <v>0.01</v>
      </c>
      <c r="L39" s="75">
        <v>4.2699999999999996</v>
      </c>
      <c r="N39" s="325">
        <f t="shared" si="5"/>
        <v>69.540000000000006</v>
      </c>
      <c r="O39" s="27"/>
      <c r="P39" s="56"/>
      <c r="Q39" s="26"/>
      <c r="S39" s="330">
        <v>30.98</v>
      </c>
      <c r="T39" s="34">
        <v>0.37</v>
      </c>
      <c r="U39" s="366">
        <f t="shared" si="6"/>
        <v>2.690909090909091E-2</v>
      </c>
      <c r="V39" s="97">
        <v>0.91</v>
      </c>
      <c r="W39" s="36">
        <f>RTD("money.excel",,$G39,"Price")</f>
        <v>13.75</v>
      </c>
      <c r="X39" s="67"/>
      <c r="Y39" s="15">
        <f t="shared" si="7"/>
        <v>13.75</v>
      </c>
      <c r="Z39" s="3" t="e">
        <v>#DIV/0!</v>
      </c>
      <c r="AB39" s="16" t="s">
        <v>823</v>
      </c>
      <c r="AE39" s="33">
        <v>0</v>
      </c>
      <c r="AF39" s="43" t="s">
        <v>3166</v>
      </c>
      <c r="AG39" s="128"/>
      <c r="AI39" s="64">
        <f t="shared" si="8"/>
        <v>1.1728395061728395E-4</v>
      </c>
      <c r="AJ39" s="313">
        <f>RTD("money.excel",,$G39,"PredictVolume")</f>
        <v>19</v>
      </c>
      <c r="AK39" s="348"/>
    </row>
    <row r="40" spans="1:38">
      <c r="A40" s="148"/>
      <c r="B40" s="93"/>
      <c r="C40" s="93"/>
      <c r="D40" s="93"/>
      <c r="E40" s="142"/>
      <c r="F40" s="75"/>
      <c r="G40" s="81"/>
      <c r="H40" s="8"/>
      <c r="I40" s="16"/>
      <c r="J40" s="75"/>
      <c r="K40" s="75"/>
      <c r="N40" s="325"/>
      <c r="O40" s="27"/>
      <c r="P40" s="56"/>
      <c r="Q40" s="26"/>
      <c r="T40" s="34"/>
      <c r="U40" s="364"/>
      <c r="V40" s="97"/>
      <c r="W40" s="13"/>
      <c r="X40" s="67"/>
      <c r="Y40" s="15"/>
      <c r="Z40" s="3"/>
      <c r="AB40" s="16"/>
      <c r="AE40" s="33"/>
      <c r="AF40" s="43"/>
      <c r="AG40" s="128"/>
      <c r="AI40" s="64"/>
      <c r="AJ40" s="313"/>
      <c r="AK40" s="348"/>
    </row>
    <row r="41" spans="1:38">
      <c r="A41" s="132" t="s">
        <v>1854</v>
      </c>
      <c r="B41" s="93" t="s">
        <v>1657</v>
      </c>
      <c r="C41" s="93" t="s">
        <v>1658</v>
      </c>
      <c r="D41" s="93" t="s">
        <v>1659</v>
      </c>
      <c r="E41" s="93" t="s">
        <v>1660</v>
      </c>
      <c r="F41" s="8" t="s">
        <v>1122</v>
      </c>
      <c r="G41" s="27" t="s">
        <v>623</v>
      </c>
      <c r="H41" s="55" t="s">
        <v>342</v>
      </c>
      <c r="I41" s="50" t="s">
        <v>4083</v>
      </c>
      <c r="J41" s="324" t="s">
        <v>1529</v>
      </c>
      <c r="K41" s="324" t="s">
        <v>1217</v>
      </c>
      <c r="L41" s="324" t="s">
        <v>298</v>
      </c>
      <c r="M41" s="324" t="s">
        <v>1115</v>
      </c>
      <c r="N41" s="324" t="s">
        <v>6091</v>
      </c>
      <c r="O41" s="27" t="s">
        <v>6253</v>
      </c>
      <c r="P41" s="56" t="s">
        <v>6219</v>
      </c>
      <c r="Q41" s="26" t="s">
        <v>6313</v>
      </c>
      <c r="R41" s="309" t="s">
        <v>4371</v>
      </c>
      <c r="S41" s="335" t="s">
        <v>4398</v>
      </c>
      <c r="T41" s="10" t="s">
        <v>75</v>
      </c>
      <c r="U41" s="364" t="s">
        <v>6152</v>
      </c>
      <c r="V41" s="69" t="s">
        <v>4022</v>
      </c>
      <c r="W41" s="28" t="s">
        <v>2</v>
      </c>
      <c r="X41" s="17" t="s">
        <v>1465</v>
      </c>
      <c r="Y41" s="14" t="s">
        <v>5</v>
      </c>
      <c r="Z41" s="21" t="s">
        <v>3</v>
      </c>
      <c r="AA41" s="322" t="s">
        <v>117</v>
      </c>
      <c r="AB41" s="50" t="s">
        <v>4083</v>
      </c>
      <c r="AC41" s="73" t="s">
        <v>1466</v>
      </c>
      <c r="AD41" s="74" t="s">
        <v>1223</v>
      </c>
      <c r="AE41" s="32" t="s">
        <v>1224</v>
      </c>
      <c r="AF41" s="43"/>
      <c r="AG41" s="128"/>
      <c r="AI41" s="8" t="s">
        <v>4414</v>
      </c>
      <c r="AJ41" s="50" t="s">
        <v>4121</v>
      </c>
      <c r="AK41" s="348" t="s">
        <v>6074</v>
      </c>
      <c r="AL41" s="309"/>
    </row>
    <row r="42" spans="1:38">
      <c r="A42" s="132" t="s">
        <v>1759</v>
      </c>
      <c r="B42" s="95">
        <v>3535</v>
      </c>
      <c r="C42" s="95">
        <v>537</v>
      </c>
      <c r="D42" s="81">
        <v>15</v>
      </c>
      <c r="E42" s="81">
        <v>47</v>
      </c>
      <c r="F42" s="58">
        <v>23.67</v>
      </c>
      <c r="G42" s="81">
        <v>1301</v>
      </c>
      <c r="H42" s="17" t="s">
        <v>4083</v>
      </c>
      <c r="I42" s="22" t="s">
        <v>76</v>
      </c>
      <c r="J42" s="333">
        <v>84.24</v>
      </c>
      <c r="K42" s="330">
        <v>39.53</v>
      </c>
      <c r="L42" s="330">
        <v>0.17</v>
      </c>
      <c r="N42" s="325">
        <f t="shared" ref="N42" si="9">J42+K42+L42+M42</f>
        <v>123.94</v>
      </c>
      <c r="O42" s="27"/>
      <c r="P42" s="56"/>
      <c r="Q42" s="26"/>
      <c r="S42" s="330">
        <v>3.28</v>
      </c>
      <c r="T42" s="200">
        <v>2.4</v>
      </c>
      <c r="U42" s="366">
        <f t="shared" ref="U42:U67" si="10">T42/W42</f>
        <v>2.2535211267605632E-2</v>
      </c>
      <c r="V42" s="58">
        <v>8.84</v>
      </c>
      <c r="W42" s="36">
        <f>RTD("money.excel",,$G42,"Price")</f>
        <v>106.5</v>
      </c>
      <c r="X42" s="66"/>
      <c r="Y42" s="15">
        <f t="shared" ref="Y42:Y67" si="11">W42-X42</f>
        <v>106.5</v>
      </c>
      <c r="Z42" s="3" t="e">
        <v>#DIV/0!</v>
      </c>
      <c r="AA42" s="174" t="s">
        <v>1943</v>
      </c>
      <c r="AB42" s="22" t="s">
        <v>76</v>
      </c>
      <c r="AE42" s="33">
        <v>0</v>
      </c>
      <c r="AF42" s="43" t="s">
        <v>4358</v>
      </c>
      <c r="AG42" s="128"/>
      <c r="AI42" s="64">
        <f t="shared" ref="AI42:AI67" si="12">AJ42/(A42*10000)</f>
        <v>2.8594339622641509E-3</v>
      </c>
      <c r="AJ42" s="313">
        <f>RTD("money.excel",,$G42,"PredictVolume")</f>
        <v>18186</v>
      </c>
      <c r="AK42" s="348"/>
      <c r="AL42" s="269"/>
    </row>
    <row r="43" spans="1:38">
      <c r="A43" s="132" t="s">
        <v>1760</v>
      </c>
      <c r="B43" s="95">
        <v>1053</v>
      </c>
      <c r="C43" s="81">
        <v>535</v>
      </c>
      <c r="D43" s="81">
        <v>4</v>
      </c>
      <c r="E43" s="81">
        <v>51</v>
      </c>
      <c r="F43" s="58">
        <v>20.25</v>
      </c>
      <c r="G43" s="81">
        <v>1303</v>
      </c>
      <c r="H43" s="17" t="s">
        <v>4083</v>
      </c>
      <c r="I43" s="22" t="s">
        <v>1120</v>
      </c>
      <c r="J43" s="333">
        <v>84.21</v>
      </c>
      <c r="K43" s="75">
        <v>33.93</v>
      </c>
      <c r="L43" s="75">
        <v>0.14000000000000001</v>
      </c>
      <c r="N43" s="325">
        <f t="shared" ref="N43:N67" si="13">J43+K43+L43+M43</f>
        <v>118.27999999999999</v>
      </c>
      <c r="O43" s="27"/>
      <c r="P43" s="56"/>
      <c r="Q43" s="26"/>
      <c r="S43" s="330">
        <v>2.78</v>
      </c>
      <c r="T43" s="200">
        <v>2.4</v>
      </c>
      <c r="U43" s="366">
        <f t="shared" si="10"/>
        <v>2.6726057906458798E-2</v>
      </c>
      <c r="V43" s="58">
        <v>7.97</v>
      </c>
      <c r="W43" s="36">
        <f>RTD("money.excel",,$G43,"Price")</f>
        <v>89.8</v>
      </c>
      <c r="X43" s="66"/>
      <c r="Y43" s="15">
        <f t="shared" si="11"/>
        <v>89.8</v>
      </c>
      <c r="Z43" s="3" t="e">
        <v>#DIV/0!</v>
      </c>
      <c r="AA43" s="174" t="s">
        <v>1943</v>
      </c>
      <c r="AB43" s="22" t="s">
        <v>1120</v>
      </c>
      <c r="AE43" s="33">
        <v>0</v>
      </c>
      <c r="AF43" s="43" t="s">
        <v>3121</v>
      </c>
      <c r="AI43" s="64">
        <f t="shared" si="12"/>
        <v>1.326860025220681E-3</v>
      </c>
      <c r="AJ43" s="313">
        <f>RTD("money.excel",,$G43,"PredictVolume")</f>
        <v>10522</v>
      </c>
      <c r="AK43" s="348"/>
      <c r="AL43" s="269"/>
    </row>
    <row r="44" spans="1:38">
      <c r="A44" s="132" t="s">
        <v>2156</v>
      </c>
      <c r="B44" s="81">
        <v>301</v>
      </c>
      <c r="C44" s="81">
        <v>268</v>
      </c>
      <c r="D44" s="82">
        <v>-1</v>
      </c>
      <c r="E44" s="81">
        <v>46</v>
      </c>
      <c r="F44" s="58">
        <v>18.739999999999998</v>
      </c>
      <c r="G44" s="81">
        <v>1304</v>
      </c>
      <c r="H44" s="210" t="s">
        <v>4083</v>
      </c>
      <c r="I44" s="22" t="s">
        <v>4452</v>
      </c>
      <c r="J44" s="75">
        <v>63.52</v>
      </c>
      <c r="K44" s="75">
        <v>36.159999999999997</v>
      </c>
      <c r="L44" s="330">
        <v>6.11</v>
      </c>
      <c r="N44" s="325">
        <f t="shared" si="13"/>
        <v>105.79</v>
      </c>
      <c r="O44" s="27"/>
      <c r="P44" s="56"/>
      <c r="Q44" s="26"/>
      <c r="S44" s="330">
        <v>1.68</v>
      </c>
      <c r="T44" s="34">
        <v>1</v>
      </c>
      <c r="U44" s="366">
        <f t="shared" si="10"/>
        <v>3.5026269702276708E-2</v>
      </c>
      <c r="V44" s="58">
        <v>4.1500000000000004</v>
      </c>
      <c r="W44" s="36">
        <f>RTD("money.excel",,$G44,"Price")</f>
        <v>28.55</v>
      </c>
      <c r="X44" s="67"/>
      <c r="Y44" s="15">
        <f t="shared" si="11"/>
        <v>28.55</v>
      </c>
      <c r="Z44" s="3" t="e">
        <v>#DIV/0!</v>
      </c>
      <c r="AA44" s="174" t="s">
        <v>1943</v>
      </c>
      <c r="AB44" s="22" t="s">
        <v>4452</v>
      </c>
      <c r="AE44" s="33">
        <v>0</v>
      </c>
      <c r="AF44" s="122" t="s">
        <v>3074</v>
      </c>
      <c r="AG44" s="128"/>
      <c r="AI44" s="64">
        <f t="shared" si="12"/>
        <v>8.0228813559322029E-3</v>
      </c>
      <c r="AJ44" s="313">
        <f>RTD("money.excel",,$G44,"PredictVolume")</f>
        <v>9467</v>
      </c>
      <c r="AK44" s="348"/>
      <c r="AL44" s="269"/>
    </row>
    <row r="45" spans="1:38">
      <c r="A45" s="132" t="s">
        <v>1898</v>
      </c>
      <c r="B45" s="81">
        <v>197</v>
      </c>
      <c r="C45" s="81">
        <v>226</v>
      </c>
      <c r="D45" s="81">
        <v>6</v>
      </c>
      <c r="E45" s="81">
        <v>50</v>
      </c>
      <c r="F45" s="58">
        <v>16.78</v>
      </c>
      <c r="G45" s="81">
        <v>1305</v>
      </c>
      <c r="H45" s="8" t="s">
        <v>4083</v>
      </c>
      <c r="I45" s="22" t="s">
        <v>629</v>
      </c>
      <c r="J45" s="330">
        <v>49.9</v>
      </c>
      <c r="K45" s="330">
        <v>12.08</v>
      </c>
      <c r="L45" s="75">
        <v>12.39</v>
      </c>
      <c r="N45" s="325">
        <f t="shared" si="13"/>
        <v>74.37</v>
      </c>
      <c r="O45" s="27"/>
      <c r="P45" s="56"/>
      <c r="Q45" s="26"/>
      <c r="S45" s="330">
        <v>0.73</v>
      </c>
      <c r="T45" s="34">
        <v>2.2999999999999998</v>
      </c>
      <c r="U45" s="366">
        <f t="shared" si="10"/>
        <v>6.7251461988304076E-2</v>
      </c>
      <c r="V45" s="58">
        <v>5.09</v>
      </c>
      <c r="W45" s="36">
        <f>RTD("money.excel",,$G45,"Price")</f>
        <v>34.200000000000003</v>
      </c>
      <c r="X45" s="67"/>
      <c r="Y45" s="15">
        <f t="shared" si="11"/>
        <v>34.200000000000003</v>
      </c>
      <c r="Z45" s="3" t="e">
        <v>#DIV/0!</v>
      </c>
      <c r="AA45" s="174" t="s">
        <v>1943</v>
      </c>
      <c r="AB45" s="22" t="s">
        <v>629</v>
      </c>
      <c r="AE45" s="33">
        <v>0</v>
      </c>
      <c r="AF45" s="43" t="s">
        <v>4359</v>
      </c>
      <c r="AG45" s="128"/>
      <c r="AI45" s="64">
        <f t="shared" si="12"/>
        <v>4.2099827882960414E-3</v>
      </c>
      <c r="AJ45" s="313">
        <f>RTD("money.excel",,$G45,"PredictVolume")</f>
        <v>2446</v>
      </c>
      <c r="AK45" s="348"/>
      <c r="AL45" s="269"/>
    </row>
    <row r="46" spans="1:38">
      <c r="A46" s="148" t="s">
        <v>1944</v>
      </c>
      <c r="B46" s="82">
        <v>-87</v>
      </c>
      <c r="C46" s="82">
        <v>-70</v>
      </c>
      <c r="D46" s="81">
        <v>23</v>
      </c>
      <c r="E46" s="82">
        <v>-8</v>
      </c>
      <c r="F46" s="6">
        <v>1.86</v>
      </c>
      <c r="G46" s="81">
        <v>1307</v>
      </c>
      <c r="H46" s="8" t="s">
        <v>4083</v>
      </c>
      <c r="I46" s="22" t="s">
        <v>630</v>
      </c>
      <c r="J46" s="75">
        <v>79.89</v>
      </c>
      <c r="K46" s="330">
        <v>11.16</v>
      </c>
      <c r="L46" s="330">
        <v>0.91</v>
      </c>
      <c r="N46" s="325">
        <f t="shared" si="13"/>
        <v>91.96</v>
      </c>
      <c r="O46" s="27"/>
      <c r="P46" s="56"/>
      <c r="Q46" s="26"/>
      <c r="S46" s="330">
        <v>0</v>
      </c>
      <c r="T46" s="34">
        <v>0.5</v>
      </c>
      <c r="U46" s="366">
        <f t="shared" si="10"/>
        <v>2.4813895781637719E-2</v>
      </c>
      <c r="V46" s="97">
        <v>0.55000000000000004</v>
      </c>
      <c r="W46" s="36">
        <f>RTD("money.excel",,$G46,"Price")</f>
        <v>20.149999999999999</v>
      </c>
      <c r="X46" s="67"/>
      <c r="Y46" s="15">
        <f t="shared" si="11"/>
        <v>20.149999999999999</v>
      </c>
      <c r="Z46" s="3" t="e">
        <v>#DIV/0!</v>
      </c>
      <c r="AA46" s="174" t="s">
        <v>1943</v>
      </c>
      <c r="AB46" s="22" t="s">
        <v>630</v>
      </c>
      <c r="AE46" s="33">
        <v>0</v>
      </c>
      <c r="AF46" s="43" t="s">
        <v>3075</v>
      </c>
      <c r="AG46" s="128"/>
      <c r="AI46" s="64">
        <f t="shared" si="12"/>
        <v>1.5365239294710327E-4</v>
      </c>
      <c r="AJ46" s="313">
        <f>RTD("money.excel",,$G46,"PredictVolume")</f>
        <v>61</v>
      </c>
      <c r="AK46" s="348"/>
      <c r="AL46" s="269"/>
    </row>
    <row r="47" spans="1:38">
      <c r="A47" s="132" t="s">
        <v>2388</v>
      </c>
      <c r="B47" s="81">
        <v>7</v>
      </c>
      <c r="C47" s="81">
        <v>9</v>
      </c>
      <c r="D47" s="82">
        <v>-5</v>
      </c>
      <c r="E47" s="82">
        <v>-22</v>
      </c>
      <c r="F47" s="58">
        <v>12.57</v>
      </c>
      <c r="G47" s="81">
        <v>1308</v>
      </c>
      <c r="H47" s="8" t="s">
        <v>4083</v>
      </c>
      <c r="I47" s="22" t="s">
        <v>121</v>
      </c>
      <c r="J47" s="75">
        <v>56.67</v>
      </c>
      <c r="K47" s="330">
        <v>4.59</v>
      </c>
      <c r="L47" s="330">
        <v>7.31</v>
      </c>
      <c r="N47" s="325">
        <f t="shared" si="13"/>
        <v>68.570000000000007</v>
      </c>
      <c r="O47" s="27"/>
      <c r="P47" s="56"/>
      <c r="Q47" s="26"/>
      <c r="S47" s="330">
        <v>0.1</v>
      </c>
      <c r="T47" s="34">
        <v>1.4</v>
      </c>
      <c r="U47" s="366">
        <f t="shared" si="10"/>
        <v>3.6842105263157891E-2</v>
      </c>
      <c r="V47" s="97">
        <v>1.92</v>
      </c>
      <c r="W47" s="36">
        <f>RTD("money.excel",,$G47,"Price")</f>
        <v>38</v>
      </c>
      <c r="X47" s="67"/>
      <c r="Y47" s="15">
        <f t="shared" si="11"/>
        <v>38</v>
      </c>
      <c r="Z47" s="3" t="e">
        <v>#DIV/0!</v>
      </c>
      <c r="AA47" s="174" t="s">
        <v>1943</v>
      </c>
      <c r="AB47" s="22" t="s">
        <v>121</v>
      </c>
      <c r="AE47" s="33">
        <v>0</v>
      </c>
      <c r="AF47" s="122" t="s">
        <v>3277</v>
      </c>
      <c r="AG47" s="128"/>
      <c r="AI47" s="64">
        <f t="shared" si="12"/>
        <v>1.4756013745704467E-2</v>
      </c>
      <c r="AJ47" s="313">
        <f>RTD("money.excel",,$G47,"PredictVolume")</f>
        <v>8588</v>
      </c>
      <c r="AK47" s="348"/>
      <c r="AL47" s="269"/>
    </row>
    <row r="48" spans="1:38">
      <c r="A48" s="132" t="s">
        <v>1955</v>
      </c>
      <c r="B48" s="81">
        <v>23</v>
      </c>
      <c r="C48" s="81">
        <v>22</v>
      </c>
      <c r="D48" s="81">
        <v>2</v>
      </c>
      <c r="E48" s="81">
        <v>30</v>
      </c>
      <c r="F48" s="58">
        <v>11.17</v>
      </c>
      <c r="G48" s="81">
        <v>1309</v>
      </c>
      <c r="H48" s="8" t="s">
        <v>4083</v>
      </c>
      <c r="I48" s="22" t="s">
        <v>4453</v>
      </c>
      <c r="J48" s="75">
        <v>42.24</v>
      </c>
      <c r="K48" s="330">
        <v>3.37</v>
      </c>
      <c r="L48" s="330">
        <v>8.84</v>
      </c>
      <c r="N48" s="325">
        <f t="shared" si="13"/>
        <v>54.45</v>
      </c>
      <c r="O48" s="27"/>
      <c r="P48" s="56"/>
      <c r="Q48" s="26"/>
      <c r="S48" s="330">
        <v>16.88</v>
      </c>
      <c r="T48" s="67">
        <v>3</v>
      </c>
      <c r="U48" s="366">
        <f t="shared" si="10"/>
        <v>8.9686098654708515E-2</v>
      </c>
      <c r="V48" s="97">
        <v>6.21</v>
      </c>
      <c r="W48" s="36">
        <f>RTD("money.excel",,$G48,"Price")</f>
        <v>33.450000000000003</v>
      </c>
      <c r="X48" s="67"/>
      <c r="Y48" s="15">
        <f t="shared" si="11"/>
        <v>33.450000000000003</v>
      </c>
      <c r="Z48" s="3" t="e">
        <v>#DIV/0!</v>
      </c>
      <c r="AA48" s="174" t="s">
        <v>2185</v>
      </c>
      <c r="AB48" s="22" t="s">
        <v>4453</v>
      </c>
      <c r="AE48" s="33">
        <v>0</v>
      </c>
      <c r="AF48" s="43" t="s">
        <v>4357</v>
      </c>
      <c r="AG48" s="128"/>
      <c r="AI48" s="64">
        <f t="shared" si="12"/>
        <v>3.7539682539682539E-3</v>
      </c>
      <c r="AJ48" s="313">
        <f>RTD("money.excel",,$G48,"PredictVolume")</f>
        <v>1419</v>
      </c>
      <c r="AK48" s="348"/>
      <c r="AL48" s="269"/>
    </row>
    <row r="49" spans="1:38">
      <c r="A49" s="148" t="s">
        <v>1761</v>
      </c>
      <c r="B49" s="82">
        <v>-126</v>
      </c>
      <c r="C49" s="82">
        <v>-141</v>
      </c>
      <c r="D49" s="82">
        <v>-1</v>
      </c>
      <c r="E49" s="82">
        <v>-35</v>
      </c>
      <c r="F49" s="6">
        <v>-8.2899999999999991</v>
      </c>
      <c r="G49" s="81">
        <v>1310</v>
      </c>
      <c r="H49" s="8" t="s">
        <v>4083</v>
      </c>
      <c r="I49" s="22" t="s">
        <v>631</v>
      </c>
      <c r="J49" s="75">
        <v>30.86</v>
      </c>
      <c r="K49" s="330">
        <v>9.76</v>
      </c>
      <c r="L49" s="330">
        <v>3.44</v>
      </c>
      <c r="N49" s="325">
        <f t="shared" si="13"/>
        <v>44.059999999999995</v>
      </c>
      <c r="O49" s="27"/>
      <c r="P49" s="56"/>
      <c r="Q49" s="26"/>
      <c r="S49" s="330">
        <v>0.19</v>
      </c>
      <c r="T49" s="34">
        <v>0.5</v>
      </c>
      <c r="U49" s="366">
        <f t="shared" si="10"/>
        <v>2.8818443804034581E-2</v>
      </c>
      <c r="V49" s="97">
        <v>0.55000000000000004</v>
      </c>
      <c r="W49" s="36">
        <f>RTD("money.excel",,$G49,"Price")</f>
        <v>17.350000000000001</v>
      </c>
      <c r="X49" s="67"/>
      <c r="Y49" s="15">
        <f t="shared" si="11"/>
        <v>17.350000000000001</v>
      </c>
      <c r="Z49" s="3" t="e">
        <v>#DIV/0!</v>
      </c>
      <c r="AA49" s="174" t="s">
        <v>1943</v>
      </c>
      <c r="AB49" s="22" t="s">
        <v>631</v>
      </c>
      <c r="AE49" s="33">
        <v>0</v>
      </c>
      <c r="AF49" s="43" t="s">
        <v>3278</v>
      </c>
      <c r="AG49" s="128"/>
      <c r="AI49" s="64">
        <f t="shared" si="12"/>
        <v>7.5711574952561675E-4</v>
      </c>
      <c r="AJ49" s="313">
        <f>RTD("money.excel",,$G49,"PredictVolume")</f>
        <v>399</v>
      </c>
      <c r="AK49" s="348"/>
      <c r="AL49" s="269"/>
    </row>
    <row r="50" spans="1:38">
      <c r="A50" s="148" t="s">
        <v>1857</v>
      </c>
      <c r="B50" s="82">
        <v>23</v>
      </c>
      <c r="C50" s="82">
        <v>-46</v>
      </c>
      <c r="D50" s="81">
        <v>7</v>
      </c>
      <c r="E50" s="82">
        <v>1</v>
      </c>
      <c r="F50" s="6">
        <v>5.94</v>
      </c>
      <c r="G50" s="81">
        <v>1312</v>
      </c>
      <c r="H50" s="8" t="s">
        <v>4083</v>
      </c>
      <c r="I50" s="22" t="s">
        <v>195</v>
      </c>
      <c r="J50" s="330">
        <v>61.4</v>
      </c>
      <c r="K50" s="330">
        <v>43.49</v>
      </c>
      <c r="L50" s="330">
        <v>11.62</v>
      </c>
      <c r="N50" s="325">
        <f t="shared" si="13"/>
        <v>116.51</v>
      </c>
      <c r="O50" s="27"/>
      <c r="P50" s="56"/>
      <c r="Q50" s="26"/>
      <c r="S50" s="330">
        <v>0.64</v>
      </c>
      <c r="T50" s="34">
        <v>0</v>
      </c>
      <c r="U50" s="366">
        <f t="shared" si="10"/>
        <v>0</v>
      </c>
      <c r="V50" s="97">
        <v>4.53</v>
      </c>
      <c r="W50" s="36">
        <f>RTD("money.excel",,$G50,"Price")</f>
        <v>26.25</v>
      </c>
      <c r="X50" s="67"/>
      <c r="Y50" s="15">
        <f t="shared" si="11"/>
        <v>26.25</v>
      </c>
      <c r="Z50" s="3" t="e">
        <v>#DIV/0!</v>
      </c>
      <c r="AA50" s="174" t="s">
        <v>1943</v>
      </c>
      <c r="AB50" s="22" t="s">
        <v>195</v>
      </c>
      <c r="AE50" s="33">
        <v>0</v>
      </c>
      <c r="AF50" s="43" t="s">
        <v>4360</v>
      </c>
      <c r="AG50" s="128"/>
      <c r="AI50" s="64">
        <f t="shared" si="12"/>
        <v>5.3344370860927155E-3</v>
      </c>
      <c r="AJ50" s="313">
        <f>RTD("money.excel",,$G50,"PredictVolume")</f>
        <v>4833</v>
      </c>
      <c r="AK50" s="348"/>
      <c r="AL50" s="269"/>
    </row>
    <row r="51" spans="1:38">
      <c r="A51" s="148" t="s">
        <v>1966</v>
      </c>
      <c r="B51" s="95">
        <v>1491</v>
      </c>
      <c r="C51" s="81">
        <v>284</v>
      </c>
      <c r="D51" s="82">
        <v>-2</v>
      </c>
      <c r="E51" s="81">
        <v>2</v>
      </c>
      <c r="F51" s="6">
        <v>2.09</v>
      </c>
      <c r="G51" s="81">
        <v>1313</v>
      </c>
      <c r="H51" s="8" t="s">
        <v>4083</v>
      </c>
      <c r="I51" s="22" t="s">
        <v>632</v>
      </c>
      <c r="J51" s="75">
        <v>71.83</v>
      </c>
      <c r="K51" s="75">
        <v>13.64</v>
      </c>
      <c r="L51" s="75">
        <v>6.17</v>
      </c>
      <c r="N51" s="325">
        <f t="shared" si="13"/>
        <v>91.64</v>
      </c>
      <c r="O51" s="27"/>
      <c r="P51" s="56"/>
      <c r="Q51" s="26"/>
      <c r="S51" s="330">
        <v>0.06</v>
      </c>
      <c r="T51" s="34">
        <v>1</v>
      </c>
      <c r="U51" s="366">
        <f t="shared" si="10"/>
        <v>5.2770448548812667E-2</v>
      </c>
      <c r="V51" s="97">
        <v>1.62</v>
      </c>
      <c r="W51" s="36">
        <f>RTD("money.excel",,$G51,"Price")</f>
        <v>18.95</v>
      </c>
      <c r="X51" s="67"/>
      <c r="Y51" s="15">
        <f t="shared" si="11"/>
        <v>18.95</v>
      </c>
      <c r="Z51" s="3" t="e">
        <v>#DIV/0!</v>
      </c>
      <c r="AA51" s="174" t="s">
        <v>1943</v>
      </c>
      <c r="AB51" s="22" t="s">
        <v>632</v>
      </c>
      <c r="AE51" s="33">
        <v>0</v>
      </c>
      <c r="AF51" s="43" t="s">
        <v>4361</v>
      </c>
      <c r="AG51" s="128"/>
      <c r="AI51" s="64">
        <f t="shared" si="12"/>
        <v>3.625563909774436E-3</v>
      </c>
      <c r="AJ51" s="313">
        <f>RTD("money.excel",,$G51,"PredictVolume")</f>
        <v>4822</v>
      </c>
      <c r="AK51" s="348"/>
      <c r="AL51" s="269"/>
    </row>
    <row r="52" spans="1:38">
      <c r="A52" s="148" t="s">
        <v>4389</v>
      </c>
      <c r="B52" s="95">
        <v>7219</v>
      </c>
      <c r="C52" s="81">
        <v>243</v>
      </c>
      <c r="D52" s="82">
        <v>-6</v>
      </c>
      <c r="E52" s="81">
        <v>114</v>
      </c>
      <c r="F52" s="6">
        <v>8.64</v>
      </c>
      <c r="G52" s="81">
        <v>1314</v>
      </c>
      <c r="H52" s="206" t="s">
        <v>4083</v>
      </c>
      <c r="I52" s="22" t="s">
        <v>136</v>
      </c>
      <c r="J52" s="75">
        <v>35.479999999999997</v>
      </c>
      <c r="K52" s="330">
        <v>11.17</v>
      </c>
      <c r="L52" s="75">
        <v>16.87</v>
      </c>
      <c r="M52" s="75">
        <v>2.4500000000000002</v>
      </c>
      <c r="N52" s="325">
        <f t="shared" ref="N52" si="14">K52+J52+L52+M52</f>
        <v>65.97</v>
      </c>
      <c r="O52" s="27"/>
      <c r="P52" s="56"/>
      <c r="Q52" s="26"/>
      <c r="R52" s="308" t="s">
        <v>6066</v>
      </c>
      <c r="S52" s="330">
        <v>4.4800000000000004</v>
      </c>
      <c r="T52" s="34">
        <v>0</v>
      </c>
      <c r="U52" s="366">
        <f t="shared" si="10"/>
        <v>0</v>
      </c>
      <c r="V52" s="97">
        <v>1.22</v>
      </c>
      <c r="W52" s="36">
        <f>RTD("money.excel",,$G52,"Price")</f>
        <v>11.9</v>
      </c>
      <c r="X52" s="67"/>
      <c r="Y52" s="15">
        <f t="shared" si="11"/>
        <v>11.9</v>
      </c>
      <c r="Z52" s="3" t="e">
        <v>#DIV/0!</v>
      </c>
      <c r="AA52" s="174" t="s">
        <v>1943</v>
      </c>
      <c r="AB52" s="22" t="s">
        <v>4454</v>
      </c>
      <c r="AE52" s="33">
        <v>0</v>
      </c>
      <c r="AF52" s="122" t="s">
        <v>3279</v>
      </c>
      <c r="AG52" s="128"/>
      <c r="AI52" s="64">
        <f t="shared" si="12"/>
        <v>2.0002645502645504E-3</v>
      </c>
      <c r="AJ52" s="313">
        <f>RTD("money.excel",,$G52,"PredictVolume")</f>
        <v>7561</v>
      </c>
      <c r="AK52" s="348"/>
      <c r="AL52" s="269"/>
    </row>
    <row r="53" spans="1:38">
      <c r="A53" s="148" t="s">
        <v>1853</v>
      </c>
      <c r="B53" s="82">
        <v>-104</v>
      </c>
      <c r="C53" s="81">
        <v>195</v>
      </c>
      <c r="D53" s="82">
        <v>-11</v>
      </c>
      <c r="E53" s="82">
        <v>-4</v>
      </c>
      <c r="F53" s="6">
        <v>0.83</v>
      </c>
      <c r="G53" s="81">
        <v>1315</v>
      </c>
      <c r="H53" s="8" t="s">
        <v>4083</v>
      </c>
      <c r="I53" s="22" t="s">
        <v>633</v>
      </c>
      <c r="J53" s="330">
        <v>71.88</v>
      </c>
      <c r="K53" s="330">
        <v>1.68</v>
      </c>
      <c r="L53" s="330">
        <v>1.47</v>
      </c>
      <c r="N53" s="325">
        <f t="shared" si="13"/>
        <v>75.03</v>
      </c>
      <c r="O53" s="27"/>
      <c r="P53" s="56"/>
      <c r="Q53" s="26"/>
      <c r="S53" s="330">
        <v>0</v>
      </c>
      <c r="T53" s="67">
        <v>4</v>
      </c>
      <c r="U53" s="366">
        <f t="shared" si="10"/>
        <v>4.7675804529201428E-2</v>
      </c>
      <c r="V53" s="58">
        <v>-0.28000000000000003</v>
      </c>
      <c r="W53" s="36">
        <f>RTD("money.excel",,$G53,"Price")</f>
        <v>83.9</v>
      </c>
      <c r="X53" s="67"/>
      <c r="Y53" s="15">
        <f t="shared" si="11"/>
        <v>83.9</v>
      </c>
      <c r="Z53" s="3" t="e">
        <v>#DIV/0!</v>
      </c>
      <c r="AA53" s="174" t="s">
        <v>1986</v>
      </c>
      <c r="AB53" s="22" t="s">
        <v>633</v>
      </c>
      <c r="AE53" s="33">
        <v>0</v>
      </c>
      <c r="AF53" s="43" t="s">
        <v>3280</v>
      </c>
      <c r="AG53" s="128"/>
      <c r="AI53" s="64">
        <f t="shared" si="12"/>
        <v>2.391304347826087E-4</v>
      </c>
      <c r="AJ53" s="313">
        <f>RTD("money.excel",,$G53,"PredictVolume")</f>
        <v>33</v>
      </c>
      <c r="AK53" s="348"/>
      <c r="AL53" s="269"/>
    </row>
    <row r="54" spans="1:38">
      <c r="A54" s="148" t="s">
        <v>2171</v>
      </c>
      <c r="B54" s="95">
        <v>4677</v>
      </c>
      <c r="C54" s="81">
        <v>177</v>
      </c>
      <c r="D54" s="82">
        <v>-1</v>
      </c>
      <c r="E54" s="81">
        <v>4</v>
      </c>
      <c r="F54" s="6">
        <v>1.84</v>
      </c>
      <c r="G54" s="81">
        <v>1321</v>
      </c>
      <c r="H54" s="8" t="s">
        <v>4083</v>
      </c>
      <c r="I54" s="22" t="s">
        <v>634</v>
      </c>
      <c r="J54" s="75">
        <v>73.38</v>
      </c>
      <c r="K54" s="75">
        <v>2.61</v>
      </c>
      <c r="L54" s="75">
        <v>5.8</v>
      </c>
      <c r="N54" s="325">
        <f t="shared" si="13"/>
        <v>81.789999999999992</v>
      </c>
      <c r="O54" s="27"/>
      <c r="P54" s="56"/>
      <c r="Q54" s="26"/>
      <c r="S54" s="330">
        <v>0.05</v>
      </c>
      <c r="T54" s="34">
        <v>1</v>
      </c>
      <c r="U54" s="366">
        <f t="shared" si="10"/>
        <v>2.9673590504451036E-2</v>
      </c>
      <c r="V54" s="97">
        <v>3.24</v>
      </c>
      <c r="W54" s="36">
        <f>RTD("money.excel",,$G54,"Price")</f>
        <v>33.700000000000003</v>
      </c>
      <c r="X54" s="67"/>
      <c r="Y54" s="15">
        <f t="shared" si="11"/>
        <v>33.700000000000003</v>
      </c>
      <c r="Z54" s="3" t="e">
        <v>#DIV/0!</v>
      </c>
      <c r="AA54" s="174" t="s">
        <v>1943</v>
      </c>
      <c r="AB54" s="22" t="s">
        <v>634</v>
      </c>
      <c r="AE54" s="33">
        <v>0</v>
      </c>
      <c r="AF54" s="43" t="s">
        <v>3281</v>
      </c>
      <c r="AG54" s="128"/>
      <c r="AI54" s="64">
        <f t="shared" si="12"/>
        <v>1.7621145374449341E-4</v>
      </c>
      <c r="AJ54" s="313">
        <f>RTD("money.excel",,$G54,"PredictVolume")</f>
        <v>40</v>
      </c>
      <c r="AK54" s="348"/>
      <c r="AL54" s="269"/>
    </row>
    <row r="55" spans="1:38">
      <c r="A55" s="132" t="s">
        <v>3676</v>
      </c>
      <c r="B55" s="93">
        <v>1</v>
      </c>
      <c r="C55" s="93">
        <v>7</v>
      </c>
      <c r="D55" s="93">
        <v>-3</v>
      </c>
      <c r="E55" s="93">
        <v>-7</v>
      </c>
      <c r="F55" s="58">
        <v>13.51</v>
      </c>
      <c r="G55" s="81">
        <v>1323</v>
      </c>
      <c r="H55" s="8" t="s">
        <v>4083</v>
      </c>
      <c r="I55" s="22" t="s">
        <v>635</v>
      </c>
      <c r="J55" s="75">
        <v>57.41</v>
      </c>
      <c r="K55" s="75">
        <v>3.74</v>
      </c>
      <c r="L55" s="75">
        <v>20.29</v>
      </c>
      <c r="N55" s="325">
        <f t="shared" si="13"/>
        <v>81.44</v>
      </c>
      <c r="O55" s="27"/>
      <c r="P55" s="56"/>
      <c r="Q55" s="26"/>
      <c r="S55" s="330">
        <v>12.45</v>
      </c>
      <c r="T55" s="34">
        <v>1.6</v>
      </c>
      <c r="U55" s="366">
        <f t="shared" si="10"/>
        <v>4.4137931034482762E-2</v>
      </c>
      <c r="V55" s="97">
        <v>3.2</v>
      </c>
      <c r="W55" s="36">
        <f>RTD("money.excel",,$G55,"Price")</f>
        <v>36.25</v>
      </c>
      <c r="X55" s="67"/>
      <c r="Y55" s="15">
        <f t="shared" si="11"/>
        <v>36.25</v>
      </c>
      <c r="Z55" s="3" t="e">
        <v>#DIV/0!</v>
      </c>
      <c r="AB55" s="22" t="s">
        <v>635</v>
      </c>
      <c r="AE55" s="33">
        <v>0</v>
      </c>
      <c r="AF55" s="43" t="s">
        <v>3282</v>
      </c>
      <c r="AG55" s="128"/>
      <c r="AI55" s="64">
        <f t="shared" si="12"/>
        <v>1.818181818181818E-3</v>
      </c>
      <c r="AJ55" s="313">
        <f>RTD("money.excel",,$G55,"PredictVolume")</f>
        <v>166</v>
      </c>
      <c r="AK55" s="348"/>
      <c r="AL55" s="269"/>
    </row>
    <row r="56" spans="1:38">
      <c r="A56" s="148" t="s">
        <v>3677</v>
      </c>
      <c r="B56" s="93">
        <v>759</v>
      </c>
      <c r="C56" s="93">
        <v>301</v>
      </c>
      <c r="D56" s="93">
        <v>-20</v>
      </c>
      <c r="E56" s="93">
        <v>7</v>
      </c>
      <c r="F56" s="6">
        <v>1.1399999999999999</v>
      </c>
      <c r="G56" s="81">
        <v>1324</v>
      </c>
      <c r="H56" s="8" t="s">
        <v>4083</v>
      </c>
      <c r="I56" s="22" t="s">
        <v>636</v>
      </c>
      <c r="J56" s="75">
        <v>72.09</v>
      </c>
      <c r="K56" s="75">
        <v>0.41</v>
      </c>
      <c r="L56" s="75">
        <v>16.07</v>
      </c>
      <c r="N56" s="325">
        <f t="shared" si="13"/>
        <v>88.57</v>
      </c>
      <c r="O56" s="27"/>
      <c r="P56" s="56"/>
      <c r="Q56" s="26"/>
      <c r="S56" s="330">
        <v>25</v>
      </c>
      <c r="T56" s="34">
        <v>0.3</v>
      </c>
      <c r="U56" s="366">
        <f t="shared" si="10"/>
        <v>2.643171806167401E-2</v>
      </c>
      <c r="V56" s="97">
        <v>0.22</v>
      </c>
      <c r="W56" s="36">
        <f>RTD("money.excel",,$G56,"Price")</f>
        <v>11.35</v>
      </c>
      <c r="X56" s="67"/>
      <c r="Y56" s="15">
        <f t="shared" si="11"/>
        <v>11.35</v>
      </c>
      <c r="Z56" s="3" t="e">
        <v>#DIV/0!</v>
      </c>
      <c r="AB56" s="22" t="s">
        <v>636</v>
      </c>
      <c r="AE56" s="33">
        <v>0</v>
      </c>
      <c r="AF56" s="43" t="s">
        <v>3283</v>
      </c>
      <c r="AG56" s="128"/>
      <c r="AI56" s="64">
        <f t="shared" si="12"/>
        <v>1.0785619174434088E-3</v>
      </c>
      <c r="AJ56" s="313">
        <f>RTD("money.excel",,$G56,"PredictVolume")</f>
        <v>81</v>
      </c>
      <c r="AK56" s="348"/>
      <c r="AL56" s="269"/>
    </row>
    <row r="57" spans="1:38">
      <c r="A57" s="132" t="s">
        <v>2186</v>
      </c>
      <c r="B57" s="82">
        <v>-81</v>
      </c>
      <c r="C57" s="82">
        <v>-79</v>
      </c>
      <c r="D57" s="81">
        <v>11</v>
      </c>
      <c r="E57" s="82">
        <v>-81</v>
      </c>
      <c r="F57" s="58">
        <v>35.44</v>
      </c>
      <c r="G57" s="81">
        <v>1325</v>
      </c>
      <c r="H57" s="8" t="s">
        <v>311</v>
      </c>
      <c r="I57" s="22" t="s">
        <v>638</v>
      </c>
      <c r="J57" s="330">
        <v>41.08</v>
      </c>
      <c r="K57" s="75">
        <v>8.82</v>
      </c>
      <c r="L57" s="330">
        <v>21.62</v>
      </c>
      <c r="M57" s="330">
        <v>32.61</v>
      </c>
      <c r="N57" s="325">
        <f t="shared" si="13"/>
        <v>104.13</v>
      </c>
      <c r="O57" s="27" t="s">
        <v>6102</v>
      </c>
      <c r="P57" s="56"/>
      <c r="Q57" s="26"/>
      <c r="R57" s="308" t="s">
        <v>4374</v>
      </c>
      <c r="S57" s="330">
        <v>6.05</v>
      </c>
      <c r="T57" s="67">
        <v>12</v>
      </c>
      <c r="U57" s="366">
        <f t="shared" si="10"/>
        <v>0.31168831168831168</v>
      </c>
      <c r="V57" s="97">
        <v>9.64</v>
      </c>
      <c r="W57" s="36">
        <f>RTD("money.excel",,$G57,"Price")</f>
        <v>38.5</v>
      </c>
      <c r="X57" s="67"/>
      <c r="Y57" s="15">
        <f t="shared" si="11"/>
        <v>38.5</v>
      </c>
      <c r="Z57" s="3" t="e">
        <v>#DIV/0!</v>
      </c>
      <c r="AA57" s="174" t="s">
        <v>2185</v>
      </c>
      <c r="AB57" s="22" t="s">
        <v>638</v>
      </c>
      <c r="AE57" s="33">
        <f t="shared" ref="AE57" si="15">AD57-AC57</f>
        <v>0</v>
      </c>
      <c r="AF57" s="43" t="s">
        <v>3057</v>
      </c>
      <c r="AG57" s="128"/>
      <c r="AI57" s="64">
        <f t="shared" si="12"/>
        <v>5.7327080890973037E-3</v>
      </c>
      <c r="AJ57" s="313">
        <f>RTD("money.excel",,$G57,"PredictVolume")</f>
        <v>489</v>
      </c>
      <c r="AK57" s="348">
        <v>54.39</v>
      </c>
      <c r="AL57" s="269"/>
    </row>
    <row r="58" spans="1:38">
      <c r="A58" s="132" t="s">
        <v>1762</v>
      </c>
      <c r="B58" s="95">
        <v>1201</v>
      </c>
      <c r="C58" s="95">
        <v>4035</v>
      </c>
      <c r="D58" s="82">
        <v>-1</v>
      </c>
      <c r="E58" s="81">
        <v>46</v>
      </c>
      <c r="F58" s="58">
        <v>14.3</v>
      </c>
      <c r="G58" s="81">
        <v>1326</v>
      </c>
      <c r="H58" s="17" t="s">
        <v>4083</v>
      </c>
      <c r="I58" s="22" t="s">
        <v>4455</v>
      </c>
      <c r="J58" s="333">
        <v>86.13</v>
      </c>
      <c r="K58" s="330">
        <v>36.340000000000003</v>
      </c>
      <c r="L58" s="75">
        <v>0.12</v>
      </c>
      <c r="N58" s="325">
        <f t="shared" si="13"/>
        <v>122.59</v>
      </c>
      <c r="O58" s="27"/>
      <c r="P58" s="56"/>
      <c r="Q58" s="26"/>
      <c r="S58" s="330">
        <v>0.41</v>
      </c>
      <c r="T58" s="200">
        <v>2.5</v>
      </c>
      <c r="U58" s="366">
        <f t="shared" si="10"/>
        <v>3.1565656565656568E-2</v>
      </c>
      <c r="V58" s="58">
        <v>8.26</v>
      </c>
      <c r="W58" s="36">
        <f>RTD("money.excel",,$G58,"Price")</f>
        <v>79.2</v>
      </c>
      <c r="X58" s="66"/>
      <c r="Y58" s="15">
        <f t="shared" si="11"/>
        <v>79.2</v>
      </c>
      <c r="Z58" s="3" t="e">
        <v>#DIV/0!</v>
      </c>
      <c r="AA58" s="174" t="s">
        <v>1943</v>
      </c>
      <c r="AB58" s="22" t="s">
        <v>4455</v>
      </c>
      <c r="AE58" s="33">
        <v>0</v>
      </c>
      <c r="AF58" s="43" t="s">
        <v>4362</v>
      </c>
      <c r="AG58" s="128"/>
      <c r="AI58" s="64">
        <f t="shared" si="12"/>
        <v>1.1761092150170648E-3</v>
      </c>
      <c r="AJ58" s="313">
        <f>RTD("money.excel",,$G58,"PredictVolume")</f>
        <v>6892</v>
      </c>
      <c r="AK58" s="348"/>
      <c r="AL58" s="269"/>
    </row>
    <row r="59" spans="1:38">
      <c r="A59" s="148" t="s">
        <v>1891</v>
      </c>
      <c r="B59" s="82">
        <v>-104</v>
      </c>
      <c r="C59" s="82">
        <v>-103</v>
      </c>
      <c r="D59" s="81">
        <v>84</v>
      </c>
      <c r="E59" s="81">
        <v>11</v>
      </c>
      <c r="F59" s="75">
        <v>-133.83000000000001</v>
      </c>
      <c r="G59" s="81">
        <v>1337</v>
      </c>
      <c r="H59" s="8" t="s">
        <v>4083</v>
      </c>
      <c r="I59" s="22" t="s">
        <v>639</v>
      </c>
      <c r="J59" s="330">
        <v>28.06</v>
      </c>
      <c r="K59" s="75">
        <v>23.84</v>
      </c>
      <c r="L59" s="75">
        <v>9.8699999999999992</v>
      </c>
      <c r="N59" s="325">
        <f t="shared" si="13"/>
        <v>61.769999999999996</v>
      </c>
      <c r="O59" s="27"/>
      <c r="P59" s="56"/>
      <c r="Q59" s="26"/>
      <c r="S59" s="330">
        <v>0</v>
      </c>
      <c r="T59" s="34">
        <v>0</v>
      </c>
      <c r="U59" s="366">
        <f t="shared" si="10"/>
        <v>0</v>
      </c>
      <c r="V59" s="97">
        <v>-4.88</v>
      </c>
      <c r="W59" s="36">
        <f>RTD("money.excel",,$G59,"Price")</f>
        <v>6.65</v>
      </c>
      <c r="X59" s="67"/>
      <c r="Y59" s="15">
        <f t="shared" si="11"/>
        <v>6.65</v>
      </c>
      <c r="Z59" s="3" t="e">
        <v>#DIV/0!</v>
      </c>
      <c r="AA59" s="174" t="s">
        <v>1943</v>
      </c>
      <c r="AB59" s="22" t="s">
        <v>639</v>
      </c>
      <c r="AE59" s="33">
        <v>0</v>
      </c>
      <c r="AF59" s="43" t="s">
        <v>3284</v>
      </c>
      <c r="AG59" s="269"/>
      <c r="AI59" s="64">
        <f t="shared" si="12"/>
        <v>7.3605947955390338E-4</v>
      </c>
      <c r="AJ59" s="313">
        <f>RTD("money.excel",,$G59,"PredictVolume")</f>
        <v>198</v>
      </c>
      <c r="AK59" s="348"/>
    </row>
    <row r="60" spans="1:38">
      <c r="A60" s="148" t="s">
        <v>3649</v>
      </c>
      <c r="B60" s="93">
        <v>-27</v>
      </c>
      <c r="C60" s="93">
        <v>-11</v>
      </c>
      <c r="D60" s="93">
        <v>22</v>
      </c>
      <c r="E60" s="93">
        <v>-3</v>
      </c>
      <c r="F60" s="6">
        <v>-58.64</v>
      </c>
      <c r="G60" s="81">
        <v>1340</v>
      </c>
      <c r="H60" s="8" t="s">
        <v>4083</v>
      </c>
      <c r="I60" s="22" t="s">
        <v>640</v>
      </c>
      <c r="J60" s="330">
        <v>40.479999999999997</v>
      </c>
      <c r="K60" s="330">
        <v>37.049999999999997</v>
      </c>
      <c r="L60" s="330">
        <v>8.08</v>
      </c>
      <c r="N60" s="325">
        <f t="shared" si="13"/>
        <v>85.61</v>
      </c>
      <c r="O60" s="27"/>
      <c r="P60" s="56"/>
      <c r="Q60" s="26"/>
      <c r="T60" s="34">
        <v>0</v>
      </c>
      <c r="U60" s="366">
        <f t="shared" si="10"/>
        <v>0</v>
      </c>
      <c r="V60" s="97">
        <v>-2.5499999999999998</v>
      </c>
      <c r="W60" s="36">
        <f>RTD("money.excel",,$G60,"Price")</f>
        <v>10.45</v>
      </c>
      <c r="X60" s="67"/>
      <c r="Y60" s="15">
        <f t="shared" si="11"/>
        <v>10.45</v>
      </c>
      <c r="Z60" s="3" t="e">
        <v>#DIV/0!</v>
      </c>
      <c r="AB60" s="22" t="s">
        <v>640</v>
      </c>
      <c r="AE60" s="33">
        <v>0</v>
      </c>
      <c r="AF60" s="43" t="s">
        <v>3008</v>
      </c>
      <c r="AG60" s="128"/>
      <c r="AI60" s="64">
        <f t="shared" si="12"/>
        <v>2.3026315789473684E-4</v>
      </c>
      <c r="AJ60" s="313">
        <f>RTD("money.excel",,$G60,"PredictVolume")</f>
        <v>35</v>
      </c>
      <c r="AK60" s="348"/>
    </row>
    <row r="61" spans="1:38">
      <c r="A61" s="132" t="s">
        <v>1765</v>
      </c>
      <c r="B61" s="81">
        <v>93</v>
      </c>
      <c r="C61" s="81">
        <v>90</v>
      </c>
      <c r="D61" s="82">
        <v>-28</v>
      </c>
      <c r="E61" s="82">
        <v>-33</v>
      </c>
      <c r="F61" s="58">
        <v>16.149999999999999</v>
      </c>
      <c r="G61" s="81">
        <v>1341</v>
      </c>
      <c r="H61" s="8" t="s">
        <v>4083</v>
      </c>
      <c r="I61" s="22" t="s">
        <v>2011</v>
      </c>
      <c r="J61" s="330">
        <v>79.67</v>
      </c>
      <c r="K61" s="330">
        <v>83.57</v>
      </c>
      <c r="L61" s="330"/>
      <c r="N61" s="325">
        <f t="shared" si="13"/>
        <v>163.24</v>
      </c>
      <c r="O61" s="27"/>
      <c r="P61" s="56"/>
      <c r="Q61" s="26"/>
      <c r="T61" s="67">
        <v>6</v>
      </c>
      <c r="U61" s="366">
        <f t="shared" si="10"/>
        <v>8.9955022488755615E-2</v>
      </c>
      <c r="V61" s="58">
        <v>8.19</v>
      </c>
      <c r="W61" s="36">
        <f>RTD("money.excel",,$G61,"Price")</f>
        <v>66.7</v>
      </c>
      <c r="X61" s="67"/>
      <c r="Y61" s="15">
        <f t="shared" si="11"/>
        <v>66.7</v>
      </c>
      <c r="Z61" s="3" t="e">
        <v>#DIV/0!</v>
      </c>
      <c r="AA61" s="174" t="s">
        <v>1986</v>
      </c>
      <c r="AB61" s="22" t="s">
        <v>2011</v>
      </c>
      <c r="AE61" s="33">
        <v>0</v>
      </c>
      <c r="AF61" s="43" t="s">
        <v>3285</v>
      </c>
      <c r="AG61" s="128"/>
      <c r="AI61" s="64">
        <f t="shared" si="12"/>
        <v>1.1904761904761905E-4</v>
      </c>
      <c r="AJ61" s="313">
        <f>RTD("money.excel",,$G61,"PredictVolume")</f>
        <v>6</v>
      </c>
      <c r="AK61" s="348"/>
    </row>
    <row r="62" spans="1:38">
      <c r="A62" s="148" t="s">
        <v>2482</v>
      </c>
      <c r="B62" s="93">
        <v>-135</v>
      </c>
      <c r="C62" s="93">
        <v>-13</v>
      </c>
      <c r="D62" s="93">
        <v>41</v>
      </c>
      <c r="E62" s="93">
        <v>40</v>
      </c>
      <c r="F62" s="6">
        <v>3.44</v>
      </c>
      <c r="G62" s="81">
        <v>4303</v>
      </c>
      <c r="H62" s="8" t="s">
        <v>4083</v>
      </c>
      <c r="I62" s="16" t="s">
        <v>624</v>
      </c>
      <c r="J62" s="75">
        <v>75.23</v>
      </c>
      <c r="K62" s="75">
        <v>0.05</v>
      </c>
      <c r="L62" s="75">
        <v>5.45</v>
      </c>
      <c r="N62" s="325">
        <f t="shared" si="13"/>
        <v>80.73</v>
      </c>
      <c r="O62" s="27"/>
      <c r="P62" s="56"/>
      <c r="Q62" s="26"/>
      <c r="S62" s="330">
        <v>20.97</v>
      </c>
      <c r="T62" s="34">
        <v>0.3</v>
      </c>
      <c r="U62" s="366">
        <f t="shared" si="10"/>
        <v>1.2195121951219511E-2</v>
      </c>
      <c r="V62" s="97">
        <v>-0.41</v>
      </c>
      <c r="W62" s="36">
        <f>RTD("money.excel",,$G62,"Price")</f>
        <v>24.6</v>
      </c>
      <c r="X62" s="67"/>
      <c r="Y62" s="15">
        <f t="shared" si="11"/>
        <v>24.6</v>
      </c>
      <c r="Z62" s="3" t="e">
        <v>#DIV/0!</v>
      </c>
      <c r="AB62" s="16" t="s">
        <v>624</v>
      </c>
      <c r="AE62" s="33">
        <v>0</v>
      </c>
      <c r="AF62" s="43" t="s">
        <v>3150</v>
      </c>
      <c r="AG62" s="128"/>
      <c r="AI62" s="64">
        <f t="shared" si="12"/>
        <v>1.7428571428571428E-3</v>
      </c>
      <c r="AJ62" s="313">
        <f>RTD("money.excel",,$G62,"PredictVolume")</f>
        <v>122</v>
      </c>
      <c r="AK62" s="348"/>
    </row>
    <row r="63" spans="1:38">
      <c r="A63" s="148" t="s">
        <v>3585</v>
      </c>
      <c r="B63" s="93">
        <v>-56</v>
      </c>
      <c r="C63" s="93">
        <v>-190</v>
      </c>
      <c r="D63" s="93">
        <v>-2</v>
      </c>
      <c r="E63" s="93">
        <v>50</v>
      </c>
      <c r="F63" s="6">
        <v>-9.68</v>
      </c>
      <c r="G63" s="81">
        <v>4304</v>
      </c>
      <c r="H63" s="8" t="s">
        <v>4083</v>
      </c>
      <c r="I63" s="16" t="s">
        <v>625</v>
      </c>
      <c r="J63" s="75">
        <v>70.47</v>
      </c>
      <c r="K63" s="75">
        <v>0</v>
      </c>
      <c r="L63" s="75">
        <v>0</v>
      </c>
      <c r="N63" s="325">
        <f t="shared" si="13"/>
        <v>70.47</v>
      </c>
      <c r="O63" s="27"/>
      <c r="P63" s="56"/>
      <c r="Q63" s="26"/>
      <c r="S63" s="330">
        <v>22.93</v>
      </c>
      <c r="T63" s="34">
        <v>0</v>
      </c>
      <c r="U63" s="366">
        <f t="shared" si="10"/>
        <v>0</v>
      </c>
      <c r="V63" s="97">
        <v>-1.1399999999999999</v>
      </c>
      <c r="W63" s="36">
        <f>RTD("money.excel",,$G63,"Price")</f>
        <v>13.85</v>
      </c>
      <c r="X63" s="67"/>
      <c r="Y63" s="15">
        <f t="shared" si="11"/>
        <v>13.85</v>
      </c>
      <c r="Z63" s="3" t="e">
        <v>#DIV/0!</v>
      </c>
      <c r="AB63" s="16" t="s">
        <v>625</v>
      </c>
      <c r="AE63" s="33">
        <v>0</v>
      </c>
      <c r="AF63" s="43" t="s">
        <v>3151</v>
      </c>
      <c r="AG63" s="128"/>
      <c r="AI63" s="64">
        <f t="shared" si="12"/>
        <v>9.7222222222222219E-4</v>
      </c>
      <c r="AJ63" s="313">
        <f>RTD("money.excel",,$G63,"PredictVolume")</f>
        <v>35</v>
      </c>
      <c r="AK63" s="348"/>
    </row>
    <row r="64" spans="1:38">
      <c r="A64" s="132" t="s">
        <v>3567</v>
      </c>
      <c r="B64" s="93">
        <v>-27</v>
      </c>
      <c r="C64" s="93">
        <v>-12</v>
      </c>
      <c r="D64" s="93">
        <v>-9</v>
      </c>
      <c r="E64" s="93">
        <v>22</v>
      </c>
      <c r="F64" s="58">
        <v>15.4</v>
      </c>
      <c r="G64" s="81">
        <v>4305</v>
      </c>
      <c r="H64" s="8" t="s">
        <v>4083</v>
      </c>
      <c r="I64" s="16" t="s">
        <v>626</v>
      </c>
      <c r="J64" s="75">
        <v>86.27</v>
      </c>
      <c r="K64" s="75">
        <v>0.01</v>
      </c>
      <c r="L64" s="75">
        <v>0.03</v>
      </c>
      <c r="N64" s="325">
        <f t="shared" si="13"/>
        <v>86.31</v>
      </c>
      <c r="O64" s="27"/>
      <c r="P64" s="56"/>
      <c r="Q64" s="26"/>
      <c r="S64" s="330">
        <v>27.75</v>
      </c>
      <c r="T64" s="34">
        <v>1.8</v>
      </c>
      <c r="U64" s="366" t="e">
        <f t="shared" si="10"/>
        <v>#VALUE!</v>
      </c>
      <c r="V64" s="97">
        <v>2.08</v>
      </c>
      <c r="W64" s="36" t="str">
        <f>RTD("money.excel",,$G64,"Price")</f>
        <v>無資料</v>
      </c>
      <c r="X64" s="67"/>
      <c r="Y64" s="15" t="e">
        <f t="shared" si="11"/>
        <v>#VALUE!</v>
      </c>
      <c r="Z64" s="3" t="e">
        <v>#DIV/0!</v>
      </c>
      <c r="AB64" s="16" t="s">
        <v>626</v>
      </c>
      <c r="AE64" s="33">
        <v>0</v>
      </c>
      <c r="AF64" s="43" t="s">
        <v>3152</v>
      </c>
      <c r="AG64" s="128"/>
      <c r="AI64" s="64">
        <f t="shared" si="12"/>
        <v>0</v>
      </c>
      <c r="AJ64" s="313">
        <f>RTD("money.excel",,$G64,"PredictVolume")</f>
        <v>0</v>
      </c>
      <c r="AK64" s="348"/>
    </row>
    <row r="65" spans="1:38">
      <c r="A65" s="148" t="s">
        <v>2050</v>
      </c>
      <c r="B65" s="82">
        <v>-89</v>
      </c>
      <c r="C65" s="82">
        <v>-73</v>
      </c>
      <c r="D65" s="82">
        <v>-5</v>
      </c>
      <c r="E65" s="82">
        <v>-17</v>
      </c>
      <c r="F65" s="6">
        <v>1.23</v>
      </c>
      <c r="G65" s="81">
        <v>4306</v>
      </c>
      <c r="H65" s="8" t="s">
        <v>4083</v>
      </c>
      <c r="I65" s="22" t="s">
        <v>641</v>
      </c>
      <c r="J65" s="75">
        <v>58.9</v>
      </c>
      <c r="K65" s="75">
        <v>6.39</v>
      </c>
      <c r="L65" s="75">
        <v>6.84</v>
      </c>
      <c r="N65" s="325">
        <f t="shared" si="13"/>
        <v>72.13</v>
      </c>
      <c r="O65" s="27"/>
      <c r="P65" s="56"/>
      <c r="Q65" s="26"/>
      <c r="S65" s="330">
        <v>21.85</v>
      </c>
      <c r="T65" s="34">
        <v>1.03</v>
      </c>
      <c r="U65" s="366">
        <f t="shared" si="10"/>
        <v>7.0307167235494877E-2</v>
      </c>
      <c r="V65" s="97">
        <v>1.51</v>
      </c>
      <c r="W65" s="36">
        <f>RTD("money.excel",,$G65,"Price")</f>
        <v>14.65</v>
      </c>
      <c r="X65" s="67"/>
      <c r="Y65" s="15">
        <f t="shared" si="11"/>
        <v>14.65</v>
      </c>
      <c r="Z65" s="3" t="e">
        <v>#DIV/0!</v>
      </c>
      <c r="AA65" s="174" t="s">
        <v>1943</v>
      </c>
      <c r="AB65" s="22" t="s">
        <v>641</v>
      </c>
      <c r="AE65" s="33">
        <v>0</v>
      </c>
      <c r="AF65" s="43" t="s">
        <v>3286</v>
      </c>
      <c r="AG65" s="128"/>
      <c r="AI65" s="64">
        <f t="shared" si="12"/>
        <v>1.2735042735042734E-3</v>
      </c>
      <c r="AJ65" s="313">
        <f>RTD("money.excel",,$G65,"PredictVolume")</f>
        <v>745</v>
      </c>
      <c r="AK65" s="348"/>
    </row>
    <row r="66" spans="1:38">
      <c r="A66" s="148" t="s">
        <v>3586</v>
      </c>
      <c r="B66" s="93">
        <v>-65</v>
      </c>
      <c r="C66" s="93">
        <v>297</v>
      </c>
      <c r="D66" s="93">
        <v>10</v>
      </c>
      <c r="E66" s="93">
        <v>45</v>
      </c>
      <c r="F66" s="6">
        <v>11.3</v>
      </c>
      <c r="G66" s="81">
        <v>8354</v>
      </c>
      <c r="H66" s="8" t="s">
        <v>4083</v>
      </c>
      <c r="I66" s="16" t="s">
        <v>627</v>
      </c>
      <c r="J66" s="75">
        <v>70.59</v>
      </c>
      <c r="K66" s="75">
        <v>0.19</v>
      </c>
      <c r="L66" s="75">
        <v>4.43</v>
      </c>
      <c r="N66" s="325">
        <f t="shared" si="13"/>
        <v>75.210000000000008</v>
      </c>
      <c r="O66" s="27"/>
      <c r="P66" s="56"/>
      <c r="Q66" s="26"/>
      <c r="S66" s="330">
        <v>18.55</v>
      </c>
      <c r="T66" s="34">
        <v>0.3</v>
      </c>
      <c r="U66" s="366">
        <f t="shared" si="10"/>
        <v>2.1126760563380281E-2</v>
      </c>
      <c r="V66" s="97">
        <v>0.48</v>
      </c>
      <c r="W66" s="36">
        <f>RTD("money.excel",,$G66,"Price")</f>
        <v>14.2</v>
      </c>
      <c r="X66" s="67"/>
      <c r="Y66" s="15">
        <f t="shared" si="11"/>
        <v>14.2</v>
      </c>
      <c r="Z66" s="3" t="e">
        <v>#DIV/0!</v>
      </c>
      <c r="AB66" s="16" t="s">
        <v>627</v>
      </c>
      <c r="AE66" s="33">
        <v>0</v>
      </c>
      <c r="AF66" s="43" t="s">
        <v>3153</v>
      </c>
      <c r="AG66" s="128"/>
      <c r="AI66" s="64">
        <f t="shared" si="12"/>
        <v>1.0191082802547771E-4</v>
      </c>
      <c r="AJ66" s="313">
        <f>RTD("money.excel",,$G66,"PredictVolume")</f>
        <v>8</v>
      </c>
      <c r="AK66" s="348"/>
    </row>
    <row r="67" spans="1:38">
      <c r="A67" s="148" t="s">
        <v>1799</v>
      </c>
      <c r="B67" s="93">
        <v>-127</v>
      </c>
      <c r="C67" s="93">
        <v>-99</v>
      </c>
      <c r="D67" s="93">
        <v>61</v>
      </c>
      <c r="E67" s="93">
        <v>-59</v>
      </c>
      <c r="F67" s="6">
        <v>-33.42</v>
      </c>
      <c r="G67" s="81">
        <v>9950</v>
      </c>
      <c r="H67" s="8" t="s">
        <v>4083</v>
      </c>
      <c r="I67" s="16" t="s">
        <v>628</v>
      </c>
      <c r="J67" s="75">
        <v>82.1</v>
      </c>
      <c r="K67" s="75">
        <v>0</v>
      </c>
      <c r="L67" s="75">
        <v>12.38</v>
      </c>
      <c r="N67" s="325">
        <f t="shared" si="13"/>
        <v>94.47999999999999</v>
      </c>
      <c r="O67" s="27"/>
      <c r="P67" s="56"/>
      <c r="Q67" s="26"/>
      <c r="S67" s="330">
        <v>43.99</v>
      </c>
      <c r="T67" s="34">
        <v>0</v>
      </c>
      <c r="U67" s="366">
        <f t="shared" si="10"/>
        <v>0</v>
      </c>
      <c r="V67" s="97">
        <v>-2.3199999999999998</v>
      </c>
      <c r="W67" s="36">
        <f>RTD("money.excel",,$G67,"Price")</f>
        <v>11.55</v>
      </c>
      <c r="X67" s="67"/>
      <c r="Y67" s="15">
        <f t="shared" si="11"/>
        <v>11.55</v>
      </c>
      <c r="Z67" s="3" t="e">
        <v>#DIV/0!</v>
      </c>
      <c r="AB67" s="16" t="s">
        <v>628</v>
      </c>
      <c r="AE67" s="33">
        <v>0</v>
      </c>
      <c r="AF67" s="43" t="s">
        <v>3154</v>
      </c>
      <c r="AG67" s="128"/>
      <c r="AI67" s="64">
        <f t="shared" si="12"/>
        <v>2.5850340136054423E-4</v>
      </c>
      <c r="AJ67" s="313">
        <f>RTD("money.excel",,$G67,"PredictVolume")</f>
        <v>38</v>
      </c>
      <c r="AK67" s="348"/>
      <c r="AL67" s="309"/>
    </row>
    <row r="68" spans="1:38">
      <c r="A68" s="148"/>
      <c r="B68" s="93"/>
      <c r="C68" s="93"/>
      <c r="D68" s="93"/>
      <c r="E68" s="93"/>
      <c r="F68" s="6"/>
      <c r="G68" s="81"/>
      <c r="H68" s="8"/>
      <c r="I68" s="16"/>
      <c r="J68" s="75"/>
      <c r="K68" s="75"/>
      <c r="N68" s="325"/>
      <c r="O68" s="27"/>
      <c r="P68" s="56"/>
      <c r="Q68" s="26"/>
      <c r="T68" s="34"/>
      <c r="U68" s="366"/>
      <c r="V68" s="97"/>
      <c r="W68" s="36"/>
      <c r="X68" s="67"/>
      <c r="Y68" s="15"/>
      <c r="Z68" s="3"/>
      <c r="AB68" s="16"/>
      <c r="AE68" s="33"/>
      <c r="AF68" s="43"/>
      <c r="AG68" s="128"/>
      <c r="AI68" s="64"/>
      <c r="AJ68" s="313"/>
      <c r="AK68" s="348"/>
      <c r="AL68" s="269"/>
    </row>
    <row r="69" spans="1:38">
      <c r="A69" s="132" t="s">
        <v>1854</v>
      </c>
      <c r="B69" s="93" t="s">
        <v>1657</v>
      </c>
      <c r="C69" s="93" t="s">
        <v>1658</v>
      </c>
      <c r="D69" s="93" t="s">
        <v>1659</v>
      </c>
      <c r="E69" s="93" t="s">
        <v>1660</v>
      </c>
      <c r="F69" s="8" t="s">
        <v>1122</v>
      </c>
      <c r="G69" s="27" t="s">
        <v>760</v>
      </c>
      <c r="H69" s="55" t="s">
        <v>342</v>
      </c>
      <c r="I69" s="50" t="s">
        <v>312</v>
      </c>
      <c r="J69" s="324" t="s">
        <v>1529</v>
      </c>
      <c r="K69" s="324" t="s">
        <v>1217</v>
      </c>
      <c r="L69" s="324" t="s">
        <v>298</v>
      </c>
      <c r="M69" s="324" t="s">
        <v>1115</v>
      </c>
      <c r="N69" s="324" t="s">
        <v>6091</v>
      </c>
      <c r="O69" s="27" t="s">
        <v>6253</v>
      </c>
      <c r="P69" s="56" t="s">
        <v>6219</v>
      </c>
      <c r="Q69" s="26" t="s">
        <v>6313</v>
      </c>
      <c r="R69" s="309" t="s">
        <v>4371</v>
      </c>
      <c r="S69" s="335" t="s">
        <v>4398</v>
      </c>
      <c r="T69" s="10" t="s">
        <v>75</v>
      </c>
      <c r="U69" s="364" t="s">
        <v>6152</v>
      </c>
      <c r="V69" s="69" t="s">
        <v>4022</v>
      </c>
      <c r="W69" s="28" t="s">
        <v>2</v>
      </c>
      <c r="X69" s="17" t="s">
        <v>1465</v>
      </c>
      <c r="Y69" s="14" t="s">
        <v>5</v>
      </c>
      <c r="Z69" s="21" t="s">
        <v>3</v>
      </c>
      <c r="AA69" s="322" t="s">
        <v>117</v>
      </c>
      <c r="AB69" s="50" t="s">
        <v>312</v>
      </c>
      <c r="AC69" s="73" t="s">
        <v>1466</v>
      </c>
      <c r="AD69" s="74" t="s">
        <v>1223</v>
      </c>
      <c r="AE69" s="32" t="s">
        <v>1224</v>
      </c>
      <c r="AF69" s="43"/>
      <c r="AG69" s="128"/>
      <c r="AI69" s="8" t="s">
        <v>4414</v>
      </c>
      <c r="AJ69" s="50" t="s">
        <v>4121</v>
      </c>
      <c r="AK69" s="348" t="s">
        <v>6074</v>
      </c>
      <c r="AL69" s="269"/>
    </row>
    <row r="70" spans="1:38">
      <c r="A70" s="148" t="s">
        <v>1763</v>
      </c>
      <c r="B70" s="82">
        <v>-19</v>
      </c>
      <c r="C70" s="82">
        <v>-35</v>
      </c>
      <c r="D70" s="81">
        <v>11</v>
      </c>
      <c r="E70" s="82">
        <v>-3</v>
      </c>
      <c r="F70" s="6">
        <v>4.93</v>
      </c>
      <c r="G70" s="81">
        <v>1402</v>
      </c>
      <c r="H70" s="8" t="s">
        <v>3910</v>
      </c>
      <c r="I70" s="22" t="s">
        <v>281</v>
      </c>
      <c r="J70" s="75">
        <v>87.43</v>
      </c>
      <c r="K70" s="75">
        <v>18.48</v>
      </c>
      <c r="L70" s="75">
        <v>0.35</v>
      </c>
      <c r="N70" s="325">
        <f t="shared" ref="N70" si="16">J70+K70+L70+M70</f>
        <v>106.26</v>
      </c>
      <c r="O70" s="27"/>
      <c r="P70" s="56"/>
      <c r="Q70" s="26"/>
      <c r="S70" s="330">
        <v>0.02</v>
      </c>
      <c r="T70" s="34">
        <v>1.35</v>
      </c>
      <c r="U70" s="366">
        <f t="shared" ref="U70:U101" si="17">T70/W70</f>
        <v>4.4701986754966894E-2</v>
      </c>
      <c r="V70" s="97">
        <v>1.62</v>
      </c>
      <c r="W70" s="36">
        <f>RTD("money.excel",,"1402","Price")</f>
        <v>30.2</v>
      </c>
      <c r="X70" s="67"/>
      <c r="Y70" s="15">
        <f t="shared" ref="Y70:Y125" si="18">W70-X70</f>
        <v>30.2</v>
      </c>
      <c r="Z70" s="3" t="e">
        <f t="shared" ref="Z70:Z125" si="19">Y70/X70</f>
        <v>#DIV/0!</v>
      </c>
      <c r="AA70" s="174" t="s">
        <v>1943</v>
      </c>
      <c r="AB70" s="22" t="s">
        <v>281</v>
      </c>
      <c r="AE70" s="33">
        <f t="shared" ref="AE70:AE125" si="20">AD70-AC70</f>
        <v>0</v>
      </c>
      <c r="AF70" s="122" t="s">
        <v>3288</v>
      </c>
      <c r="AG70" s="128"/>
      <c r="AI70" s="64">
        <f t="shared" ref="AI70:AI101" si="21">AJ70/(A70*10000)</f>
        <v>6.5009345794392521E-4</v>
      </c>
      <c r="AJ70" s="313">
        <f>RTD("money.excel",,$G70,"PredictVolume")</f>
        <v>3478</v>
      </c>
      <c r="AK70" s="348"/>
      <c r="AL70" s="269"/>
    </row>
    <row r="71" spans="1:38">
      <c r="A71" s="148" t="s">
        <v>2317</v>
      </c>
      <c r="B71" s="81">
        <v>76</v>
      </c>
      <c r="C71" s="82">
        <v>-9</v>
      </c>
      <c r="D71" s="81">
        <v>1</v>
      </c>
      <c r="E71" s="82">
        <v>-27</v>
      </c>
      <c r="F71" s="6">
        <v>8.48</v>
      </c>
      <c r="G71" s="81">
        <v>1409</v>
      </c>
      <c r="H71" s="8" t="s">
        <v>3910</v>
      </c>
      <c r="I71" s="22" t="s">
        <v>769</v>
      </c>
      <c r="J71" s="75">
        <v>76.19</v>
      </c>
      <c r="K71" s="75">
        <v>13.86</v>
      </c>
      <c r="L71" s="75">
        <v>2.02</v>
      </c>
      <c r="N71" s="325">
        <f t="shared" ref="N71:N125" si="22">J71+K71+L71+M71</f>
        <v>92.07</v>
      </c>
      <c r="O71" s="27"/>
      <c r="P71" s="56"/>
      <c r="Q71" s="26"/>
      <c r="S71" s="330">
        <v>0.03</v>
      </c>
      <c r="T71" s="34">
        <v>1.1000000000000001</v>
      </c>
      <c r="U71" s="366">
        <f t="shared" si="17"/>
        <v>5.365853658536586E-2</v>
      </c>
      <c r="V71" s="97">
        <v>1.79</v>
      </c>
      <c r="W71" s="36">
        <f>RTD("money.excel",,"1409","Price")</f>
        <v>20.5</v>
      </c>
      <c r="X71" s="67"/>
      <c r="Y71" s="15">
        <f t="shared" si="18"/>
        <v>20.5</v>
      </c>
      <c r="Z71" s="3" t="e">
        <f t="shared" si="19"/>
        <v>#DIV/0!</v>
      </c>
      <c r="AA71" s="174" t="s">
        <v>1943</v>
      </c>
      <c r="AB71" s="22" t="s">
        <v>769</v>
      </c>
      <c r="AE71" s="33">
        <f t="shared" si="20"/>
        <v>0</v>
      </c>
      <c r="AF71" s="43" t="s">
        <v>6225</v>
      </c>
      <c r="AG71" s="128"/>
      <c r="AI71" s="64">
        <f t="shared" si="21"/>
        <v>1.2975155279503106E-3</v>
      </c>
      <c r="AJ71" s="313">
        <f>RTD("money.excel",,$G71,"PredictVolume")</f>
        <v>2089</v>
      </c>
      <c r="AK71" s="348"/>
      <c r="AL71" s="269"/>
    </row>
    <row r="72" spans="1:38">
      <c r="A72" s="132" t="s">
        <v>3690</v>
      </c>
      <c r="B72" s="93">
        <v>-20</v>
      </c>
      <c r="C72" s="93">
        <v>11</v>
      </c>
      <c r="D72" s="93">
        <v>-14</v>
      </c>
      <c r="E72" s="93">
        <v>48</v>
      </c>
      <c r="F72" s="58">
        <v>19.350000000000001</v>
      </c>
      <c r="G72" s="81">
        <v>1410</v>
      </c>
      <c r="H72" s="8" t="s">
        <v>3910</v>
      </c>
      <c r="I72" s="22" t="s">
        <v>770</v>
      </c>
      <c r="J72" s="75">
        <v>72.89</v>
      </c>
      <c r="K72" s="75">
        <v>15.82</v>
      </c>
      <c r="L72" s="75">
        <v>1.44</v>
      </c>
      <c r="N72" s="325">
        <f t="shared" si="22"/>
        <v>90.15</v>
      </c>
      <c r="O72" s="27"/>
      <c r="P72" s="56"/>
      <c r="Q72" s="26"/>
      <c r="S72" s="330">
        <v>28.33</v>
      </c>
      <c r="T72" s="34">
        <v>0.9</v>
      </c>
      <c r="U72" s="366">
        <f t="shared" si="17"/>
        <v>2.4556616643929059E-2</v>
      </c>
      <c r="V72" s="97">
        <v>0.95</v>
      </c>
      <c r="W72" s="13">
        <f>RTD("money.excel",,"1410","Price")</f>
        <v>36.65</v>
      </c>
      <c r="X72" s="67"/>
      <c r="Y72" s="15">
        <f t="shared" si="18"/>
        <v>36.65</v>
      </c>
      <c r="Z72" s="3" t="e">
        <f t="shared" si="19"/>
        <v>#DIV/0!</v>
      </c>
      <c r="AB72" s="22" t="s">
        <v>770</v>
      </c>
      <c r="AE72" s="33">
        <f t="shared" si="20"/>
        <v>0</v>
      </c>
      <c r="AF72" s="43" t="s">
        <v>2909</v>
      </c>
      <c r="AG72" s="128"/>
      <c r="AI72" s="64">
        <f t="shared" si="21"/>
        <v>2.5396825396825396E-4</v>
      </c>
      <c r="AJ72" s="313">
        <f>RTD("money.excel",,$G72,"PredictVolume")</f>
        <v>16</v>
      </c>
      <c r="AK72" s="348"/>
      <c r="AL72" s="269"/>
    </row>
    <row r="73" spans="1:38">
      <c r="A73" s="148" t="s">
        <v>1852</v>
      </c>
      <c r="B73" s="82">
        <v>-53</v>
      </c>
      <c r="C73" s="82">
        <v>-52</v>
      </c>
      <c r="D73" s="81">
        <v>19</v>
      </c>
      <c r="E73" s="82">
        <v>-36</v>
      </c>
      <c r="F73" s="6">
        <v>3.04</v>
      </c>
      <c r="G73" s="81">
        <v>1413</v>
      </c>
      <c r="H73" s="8" t="s">
        <v>3910</v>
      </c>
      <c r="I73" s="22" t="s">
        <v>771</v>
      </c>
      <c r="J73" s="330">
        <v>66.38</v>
      </c>
      <c r="K73" s="330">
        <v>0.27</v>
      </c>
      <c r="L73" s="330"/>
      <c r="N73" s="325">
        <f t="shared" si="22"/>
        <v>66.649999999999991</v>
      </c>
      <c r="O73" s="27"/>
      <c r="P73" s="56"/>
      <c r="Q73" s="26"/>
      <c r="S73" s="330">
        <v>34.67</v>
      </c>
      <c r="T73" s="34">
        <v>0</v>
      </c>
      <c r="U73" s="366">
        <f t="shared" si="17"/>
        <v>0</v>
      </c>
      <c r="V73" s="97">
        <v>-1.23</v>
      </c>
      <c r="W73" s="36">
        <f>RTD("money.excel",,"1413","Price")</f>
        <v>10.7</v>
      </c>
      <c r="X73" s="67"/>
      <c r="Y73" s="15">
        <f t="shared" si="18"/>
        <v>10.7</v>
      </c>
      <c r="Z73" s="3" t="e">
        <f t="shared" si="19"/>
        <v>#DIV/0!</v>
      </c>
      <c r="AA73" s="174" t="s">
        <v>1943</v>
      </c>
      <c r="AB73" s="22" t="s">
        <v>771</v>
      </c>
      <c r="AE73" s="33">
        <f t="shared" si="20"/>
        <v>0</v>
      </c>
      <c r="AF73" s="43" t="s">
        <v>1602</v>
      </c>
      <c r="AG73" s="128"/>
      <c r="AI73" s="64">
        <f t="shared" si="21"/>
        <v>2.9772727272727273E-3</v>
      </c>
      <c r="AJ73" s="313">
        <f>RTD("money.excel",,$G73,"PredictVolume")</f>
        <v>393</v>
      </c>
      <c r="AK73" s="348"/>
      <c r="AL73" s="269"/>
    </row>
    <row r="74" spans="1:38">
      <c r="A74" s="148" t="s">
        <v>3691</v>
      </c>
      <c r="B74" s="93">
        <v>458</v>
      </c>
      <c r="C74" s="93">
        <v>55</v>
      </c>
      <c r="D74" s="93">
        <v>-20</v>
      </c>
      <c r="E74" s="93">
        <v>24</v>
      </c>
      <c r="F74" s="6">
        <v>-4.16</v>
      </c>
      <c r="G74" s="81">
        <v>1414</v>
      </c>
      <c r="H74" s="8" t="s">
        <v>3910</v>
      </c>
      <c r="I74" s="22" t="s">
        <v>772</v>
      </c>
      <c r="J74" s="75">
        <v>60.24</v>
      </c>
      <c r="K74" s="75">
        <v>1.1599999999999999</v>
      </c>
      <c r="L74" s="75">
        <v>4.6500000000000004</v>
      </c>
      <c r="N74" s="325">
        <f t="shared" si="22"/>
        <v>66.05</v>
      </c>
      <c r="O74" s="27"/>
      <c r="P74" s="56"/>
      <c r="Q74" s="26"/>
      <c r="S74" s="330">
        <v>20.12</v>
      </c>
      <c r="T74" s="34">
        <v>0.2</v>
      </c>
      <c r="U74" s="366">
        <f t="shared" si="17"/>
        <v>1.1267605633802818E-2</v>
      </c>
      <c r="V74" s="97">
        <v>0.27</v>
      </c>
      <c r="W74" s="13">
        <f>RTD("money.excel",,"1414","Price")</f>
        <v>17.75</v>
      </c>
      <c r="X74" s="67"/>
      <c r="Y74" s="15">
        <f t="shared" si="18"/>
        <v>17.75</v>
      </c>
      <c r="Z74" s="3" t="e">
        <f t="shared" si="19"/>
        <v>#DIV/0!</v>
      </c>
      <c r="AB74" s="22" t="s">
        <v>772</v>
      </c>
      <c r="AE74" s="33">
        <f t="shared" si="20"/>
        <v>0</v>
      </c>
      <c r="AF74" s="43" t="s">
        <v>3289</v>
      </c>
      <c r="AG74" s="128"/>
      <c r="AI74" s="64">
        <f t="shared" si="21"/>
        <v>1.5590909090909091E-3</v>
      </c>
      <c r="AJ74" s="313">
        <f>RTD("money.excel",,$G74,"PredictVolume")</f>
        <v>343</v>
      </c>
      <c r="AK74" s="348"/>
    </row>
    <row r="75" spans="1:38">
      <c r="A75" s="148" t="s">
        <v>1733</v>
      </c>
      <c r="B75" s="82">
        <v>-113</v>
      </c>
      <c r="C75" s="82">
        <v>-26</v>
      </c>
      <c r="D75" s="82">
        <v>-10</v>
      </c>
      <c r="E75" s="82">
        <v>-28</v>
      </c>
      <c r="F75" s="6">
        <v>-26.68</v>
      </c>
      <c r="G75" s="81">
        <v>1417</v>
      </c>
      <c r="H75" s="8" t="s">
        <v>3910</v>
      </c>
      <c r="I75" s="22" t="s">
        <v>774</v>
      </c>
      <c r="J75" s="75">
        <v>52.47</v>
      </c>
      <c r="K75" s="330">
        <v>2.82</v>
      </c>
      <c r="L75" s="75">
        <v>10.82</v>
      </c>
      <c r="N75" s="325">
        <f t="shared" si="22"/>
        <v>66.11</v>
      </c>
      <c r="O75" s="27"/>
      <c r="P75" s="56"/>
      <c r="Q75" s="26"/>
      <c r="S75" s="330">
        <v>0.33</v>
      </c>
      <c r="T75" s="34">
        <v>0.3</v>
      </c>
      <c r="U75" s="366">
        <f t="shared" si="17"/>
        <v>2.1660649819494584E-2</v>
      </c>
      <c r="V75" s="97">
        <v>-1.86</v>
      </c>
      <c r="W75" s="36">
        <f>RTD("money.excel",,"1417","Price")</f>
        <v>13.85</v>
      </c>
      <c r="X75" s="67"/>
      <c r="Y75" s="15">
        <f t="shared" si="18"/>
        <v>13.85</v>
      </c>
      <c r="Z75" s="3" t="e">
        <f t="shared" si="19"/>
        <v>#DIV/0!</v>
      </c>
      <c r="AA75" s="174" t="s">
        <v>1943</v>
      </c>
      <c r="AB75" s="22" t="s">
        <v>774</v>
      </c>
      <c r="AE75" s="33">
        <f t="shared" si="20"/>
        <v>0</v>
      </c>
      <c r="AF75" s="43" t="s">
        <v>1599</v>
      </c>
      <c r="AG75" s="128"/>
      <c r="AI75" s="64">
        <f t="shared" si="21"/>
        <v>5.0793650793650791E-4</v>
      </c>
      <c r="AJ75" s="313">
        <f>RTD("money.excel",,$G75,"PredictVolume")</f>
        <v>96</v>
      </c>
      <c r="AK75" s="348"/>
    </row>
    <row r="76" spans="1:38">
      <c r="A76" s="148" t="s">
        <v>2599</v>
      </c>
      <c r="B76" s="93">
        <v>-19</v>
      </c>
      <c r="C76" s="93">
        <v>-31</v>
      </c>
      <c r="D76" s="93">
        <v>-45</v>
      </c>
      <c r="E76" s="93">
        <v>-32</v>
      </c>
      <c r="F76" s="75">
        <v>-246.01</v>
      </c>
      <c r="G76" s="81">
        <v>1418</v>
      </c>
      <c r="H76" s="8" t="s">
        <v>3910</v>
      </c>
      <c r="I76" s="22" t="s">
        <v>775</v>
      </c>
      <c r="J76" s="75">
        <v>70.709999999999994</v>
      </c>
      <c r="K76" s="75">
        <v>0.61</v>
      </c>
      <c r="N76" s="325">
        <f t="shared" si="22"/>
        <v>71.319999999999993</v>
      </c>
      <c r="O76" s="27"/>
      <c r="P76" s="56"/>
      <c r="Q76" s="26"/>
      <c r="S76" s="330">
        <v>50.82</v>
      </c>
      <c r="T76" s="34">
        <v>0</v>
      </c>
      <c r="U76" s="366">
        <f t="shared" si="17"/>
        <v>0</v>
      </c>
      <c r="V76" s="97">
        <v>-4.2</v>
      </c>
      <c r="W76" s="13">
        <f>RTD("money.excel",,"1418","Price")</f>
        <v>15.95</v>
      </c>
      <c r="X76" s="67"/>
      <c r="Y76" s="15">
        <f t="shared" si="18"/>
        <v>15.95</v>
      </c>
      <c r="Z76" s="3" t="e">
        <f t="shared" si="19"/>
        <v>#DIV/0!</v>
      </c>
      <c r="AB76" s="22" t="s">
        <v>775</v>
      </c>
      <c r="AE76" s="33">
        <f t="shared" si="20"/>
        <v>0</v>
      </c>
      <c r="AF76" s="43" t="s">
        <v>3290</v>
      </c>
      <c r="AG76" s="128"/>
      <c r="AI76" s="64">
        <f t="shared" si="21"/>
        <v>1.0563380281690141E-4</v>
      </c>
      <c r="AJ76" s="313">
        <f>RTD("money.excel",,$G76,"PredictVolume")</f>
        <v>6</v>
      </c>
      <c r="AK76" s="348"/>
    </row>
    <row r="77" spans="1:38">
      <c r="A77" s="148" t="s">
        <v>2779</v>
      </c>
      <c r="B77" s="93">
        <v>-16</v>
      </c>
      <c r="C77" s="93">
        <v>81</v>
      </c>
      <c r="D77" s="93">
        <v>-17</v>
      </c>
      <c r="E77" s="93">
        <v>18</v>
      </c>
      <c r="F77" s="6">
        <v>4.6399999999999997</v>
      </c>
      <c r="G77" s="81">
        <v>1419</v>
      </c>
      <c r="H77" s="8" t="s">
        <v>3910</v>
      </c>
      <c r="I77" s="22" t="s">
        <v>776</v>
      </c>
      <c r="J77" s="75">
        <v>91.62</v>
      </c>
      <c r="K77" s="75">
        <v>2.04</v>
      </c>
      <c r="L77" s="75">
        <v>0.11</v>
      </c>
      <c r="N77" s="325">
        <f t="shared" si="22"/>
        <v>93.77000000000001</v>
      </c>
      <c r="O77" s="27"/>
      <c r="P77" s="56"/>
      <c r="Q77" s="26"/>
      <c r="S77" s="330">
        <v>6.57</v>
      </c>
      <c r="T77" s="34">
        <v>1</v>
      </c>
      <c r="U77" s="366">
        <f t="shared" si="17"/>
        <v>2.3752969121140142E-2</v>
      </c>
      <c r="V77" s="97">
        <v>1.22</v>
      </c>
      <c r="W77" s="13">
        <f>RTD("money.excel",,"1419","Price")</f>
        <v>42.1</v>
      </c>
      <c r="X77" s="67"/>
      <c r="Y77" s="15">
        <f t="shared" si="18"/>
        <v>42.1</v>
      </c>
      <c r="Z77" s="3" t="e">
        <f t="shared" si="19"/>
        <v>#DIV/0!</v>
      </c>
      <c r="AB77" s="22" t="s">
        <v>776</v>
      </c>
      <c r="AE77" s="33">
        <f t="shared" si="20"/>
        <v>0</v>
      </c>
      <c r="AF77" s="43" t="s">
        <v>3291</v>
      </c>
      <c r="AG77" s="128"/>
      <c r="AI77" s="64">
        <f t="shared" si="21"/>
        <v>1E-4</v>
      </c>
      <c r="AJ77" s="313">
        <f>RTD("money.excel",,$G77,"PredictVolume")</f>
        <v>30</v>
      </c>
      <c r="AK77" s="348"/>
      <c r="AL77" s="309"/>
    </row>
    <row r="78" spans="1:38">
      <c r="A78" s="148" t="s">
        <v>1853</v>
      </c>
      <c r="B78" s="93">
        <v>-300</v>
      </c>
      <c r="C78" s="93">
        <v>-153</v>
      </c>
      <c r="D78" s="93">
        <v>44</v>
      </c>
      <c r="E78" s="93">
        <v>44</v>
      </c>
      <c r="F78" s="6">
        <v>-99.87</v>
      </c>
      <c r="G78" s="81">
        <v>1423</v>
      </c>
      <c r="H78" s="8" t="s">
        <v>3910</v>
      </c>
      <c r="I78" s="22" t="s">
        <v>777</v>
      </c>
      <c r="J78" s="75">
        <v>68.91</v>
      </c>
      <c r="K78" s="75">
        <v>1.86</v>
      </c>
      <c r="L78" s="75">
        <v>17.5</v>
      </c>
      <c r="N78" s="325">
        <f t="shared" si="22"/>
        <v>88.27</v>
      </c>
      <c r="O78" s="27"/>
      <c r="P78" s="56"/>
      <c r="Q78" s="26"/>
      <c r="S78" s="330">
        <v>17.05</v>
      </c>
      <c r="T78" s="34">
        <v>1.8</v>
      </c>
      <c r="U78" s="366">
        <f t="shared" si="17"/>
        <v>9.0909090909090912E-2</v>
      </c>
      <c r="V78" s="97">
        <v>2.56</v>
      </c>
      <c r="W78" s="13">
        <f>RTD("money.excel",,"1423","Price")</f>
        <v>19.8</v>
      </c>
      <c r="X78" s="67"/>
      <c r="Y78" s="15">
        <f t="shared" si="18"/>
        <v>19.8</v>
      </c>
      <c r="Z78" s="3" t="e">
        <f t="shared" si="19"/>
        <v>#DIV/0!</v>
      </c>
      <c r="AB78" s="22" t="s">
        <v>777</v>
      </c>
      <c r="AE78" s="33">
        <f t="shared" si="20"/>
        <v>0</v>
      </c>
      <c r="AF78" s="43" t="s">
        <v>1600</v>
      </c>
      <c r="AG78" s="128"/>
      <c r="AI78" s="64">
        <f t="shared" si="21"/>
        <v>2.6086956521739128E-4</v>
      </c>
      <c r="AJ78" s="313">
        <f>RTD("money.excel",,$G78,"PredictVolume")</f>
        <v>36</v>
      </c>
      <c r="AK78" s="348"/>
    </row>
    <row r="79" spans="1:38">
      <c r="A79" s="148" t="s">
        <v>1863</v>
      </c>
      <c r="B79" s="82">
        <v>-52</v>
      </c>
      <c r="C79" s="82">
        <v>-83</v>
      </c>
      <c r="D79" s="81">
        <v>1</v>
      </c>
      <c r="E79" s="82">
        <v>-15</v>
      </c>
      <c r="F79" s="6">
        <v>1.59</v>
      </c>
      <c r="G79" s="81">
        <v>1434</v>
      </c>
      <c r="H79" s="8" t="s">
        <v>3910</v>
      </c>
      <c r="I79" s="22" t="s">
        <v>270</v>
      </c>
      <c r="J79" s="330">
        <v>79.150000000000006</v>
      </c>
      <c r="K79" s="330">
        <v>18.22</v>
      </c>
      <c r="L79" s="330">
        <v>0.5</v>
      </c>
      <c r="N79" s="325">
        <f t="shared" si="22"/>
        <v>97.87</v>
      </c>
      <c r="O79" s="27"/>
      <c r="P79" s="56"/>
      <c r="Q79" s="26"/>
      <c r="S79" s="330">
        <v>0.01</v>
      </c>
      <c r="T79" s="34">
        <v>1</v>
      </c>
      <c r="U79" s="366">
        <f t="shared" si="17"/>
        <v>3.5587188612099641E-2</v>
      </c>
      <c r="V79" s="97">
        <v>1.25</v>
      </c>
      <c r="W79" s="36">
        <f>RTD("money.excel",,"1434","Price")</f>
        <v>28.1</v>
      </c>
      <c r="X79" s="67"/>
      <c r="Y79" s="15">
        <f t="shared" si="18"/>
        <v>28.1</v>
      </c>
      <c r="Z79" s="3" t="e">
        <f t="shared" si="19"/>
        <v>#DIV/0!</v>
      </c>
      <c r="AA79" s="174" t="s">
        <v>1943</v>
      </c>
      <c r="AB79" s="22" t="s">
        <v>270</v>
      </c>
      <c r="AE79" s="33">
        <f t="shared" si="20"/>
        <v>0</v>
      </c>
      <c r="AF79" s="122" t="s">
        <v>3292</v>
      </c>
      <c r="AG79" s="128"/>
      <c r="AI79" s="64">
        <f t="shared" si="21"/>
        <v>1.0065476190476192E-3</v>
      </c>
      <c r="AJ79" s="313">
        <f>RTD("money.excel",,$G79,"PredictVolume")</f>
        <v>1691</v>
      </c>
      <c r="AK79" s="348"/>
    </row>
    <row r="80" spans="1:38">
      <c r="A80" s="148" t="s">
        <v>3692</v>
      </c>
      <c r="B80" s="95">
        <v>1497</v>
      </c>
      <c r="C80" s="81">
        <v>28</v>
      </c>
      <c r="D80" s="82">
        <v>-88</v>
      </c>
      <c r="E80" s="82">
        <v>-81</v>
      </c>
      <c r="F80" s="6">
        <v>-28.69</v>
      </c>
      <c r="G80" s="81">
        <v>1439</v>
      </c>
      <c r="H80" s="8" t="s">
        <v>3910</v>
      </c>
      <c r="I80" s="22" t="s">
        <v>778</v>
      </c>
      <c r="J80" s="330">
        <v>66.17</v>
      </c>
      <c r="K80" s="330">
        <v>1.49</v>
      </c>
      <c r="L80" s="330">
        <v>13.24</v>
      </c>
      <c r="N80" s="325">
        <f t="shared" si="22"/>
        <v>80.899999999999991</v>
      </c>
      <c r="O80" s="27"/>
      <c r="P80" s="56"/>
      <c r="Q80" s="26"/>
      <c r="S80" s="330">
        <v>2.91</v>
      </c>
      <c r="T80" s="34">
        <v>0</v>
      </c>
      <c r="U80" s="366">
        <f t="shared" si="17"/>
        <v>0</v>
      </c>
      <c r="V80" s="97">
        <v>-2.65</v>
      </c>
      <c r="W80" s="36">
        <f>RTD("money.excel",,"1439","Price")</f>
        <v>21.8</v>
      </c>
      <c r="X80" s="67"/>
      <c r="Y80" s="15">
        <f t="shared" si="18"/>
        <v>21.8</v>
      </c>
      <c r="Z80" s="3" t="e">
        <f t="shared" si="19"/>
        <v>#DIV/0!</v>
      </c>
      <c r="AB80" s="22" t="s">
        <v>778</v>
      </c>
      <c r="AE80" s="33">
        <f t="shared" si="20"/>
        <v>0</v>
      </c>
      <c r="AF80" s="43" t="s">
        <v>1600</v>
      </c>
      <c r="AG80" s="128"/>
      <c r="AI80" s="64">
        <f t="shared" si="21"/>
        <v>1.4130434782608694E-4</v>
      </c>
      <c r="AJ80" s="313">
        <f>RTD("money.excel",,$G80,"PredictVolume")</f>
        <v>13</v>
      </c>
      <c r="AK80" s="348"/>
    </row>
    <row r="81" spans="1:38">
      <c r="A81" s="148" t="s">
        <v>1969</v>
      </c>
      <c r="B81" s="95">
        <v>5603</v>
      </c>
      <c r="C81" s="81">
        <v>397</v>
      </c>
      <c r="D81" s="82">
        <v>-17</v>
      </c>
      <c r="E81" s="81">
        <v>14</v>
      </c>
      <c r="F81" s="6">
        <v>8.9700000000000006</v>
      </c>
      <c r="G81" s="81">
        <v>1440</v>
      </c>
      <c r="H81" s="8" t="s">
        <v>3910</v>
      </c>
      <c r="I81" s="22" t="s">
        <v>779</v>
      </c>
      <c r="J81" s="75">
        <v>73.22</v>
      </c>
      <c r="K81" s="330">
        <v>9.23</v>
      </c>
      <c r="L81" s="330">
        <v>4.78</v>
      </c>
      <c r="N81" s="325">
        <f t="shared" si="22"/>
        <v>87.23</v>
      </c>
      <c r="O81" s="27"/>
      <c r="P81" s="56"/>
      <c r="Q81" s="26"/>
      <c r="S81" s="330">
        <v>1.61</v>
      </c>
      <c r="T81" s="34">
        <v>0.35</v>
      </c>
      <c r="U81" s="366">
        <f t="shared" si="17"/>
        <v>1.5486725663716812E-2</v>
      </c>
      <c r="V81" s="58">
        <v>1.9</v>
      </c>
      <c r="W81" s="36">
        <f>RTD("money.excel",,"1440","Price")</f>
        <v>22.6</v>
      </c>
      <c r="X81" s="67"/>
      <c r="Y81" s="15">
        <f t="shared" si="18"/>
        <v>22.6</v>
      </c>
      <c r="Z81" s="3" t="e">
        <f t="shared" si="19"/>
        <v>#DIV/0!</v>
      </c>
      <c r="AA81" s="174" t="s">
        <v>1943</v>
      </c>
      <c r="AB81" s="22" t="s">
        <v>779</v>
      </c>
      <c r="AE81" s="33">
        <f t="shared" si="20"/>
        <v>0</v>
      </c>
      <c r="AF81" s="43" t="s">
        <v>3287</v>
      </c>
      <c r="AG81" s="128"/>
      <c r="AI81" s="64">
        <f t="shared" si="21"/>
        <v>8.7939393939393939E-4</v>
      </c>
      <c r="AJ81" s="313">
        <f>RTD("money.excel",,$G81,"PredictVolume")</f>
        <v>1451</v>
      </c>
      <c r="AK81" s="348"/>
    </row>
    <row r="82" spans="1:38">
      <c r="A82" s="148" t="s">
        <v>2385</v>
      </c>
      <c r="B82" s="82">
        <v>-123</v>
      </c>
      <c r="C82" s="82">
        <v>-43</v>
      </c>
      <c r="D82" s="81">
        <v>28</v>
      </c>
      <c r="E82" s="82">
        <v>-11</v>
      </c>
      <c r="F82" s="6">
        <v>-21.01</v>
      </c>
      <c r="G82" s="81">
        <v>1441</v>
      </c>
      <c r="H82" s="8" t="s">
        <v>3910</v>
      </c>
      <c r="I82" s="22" t="s">
        <v>780</v>
      </c>
      <c r="J82" s="75">
        <v>67.290000000000006</v>
      </c>
      <c r="K82" s="75">
        <v>1.44</v>
      </c>
      <c r="L82" s="330">
        <v>11.63</v>
      </c>
      <c r="N82" s="325">
        <f t="shared" si="22"/>
        <v>80.36</v>
      </c>
      <c r="O82" s="27"/>
      <c r="P82" s="56"/>
      <c r="Q82" s="26"/>
      <c r="S82" s="330">
        <v>27.39</v>
      </c>
      <c r="T82" s="34">
        <v>0</v>
      </c>
      <c r="U82" s="366">
        <f t="shared" si="17"/>
        <v>0</v>
      </c>
      <c r="V82" s="97">
        <v>-2.46</v>
      </c>
      <c r="W82" s="36">
        <f>RTD("money.excel",,"1441","Price")</f>
        <v>8.57</v>
      </c>
      <c r="X82" s="67"/>
      <c r="Y82" s="15">
        <f t="shared" si="18"/>
        <v>8.57</v>
      </c>
      <c r="Z82" s="3" t="e">
        <f t="shared" si="19"/>
        <v>#DIV/0!</v>
      </c>
      <c r="AA82" s="174" t="s">
        <v>1943</v>
      </c>
      <c r="AB82" s="22" t="s">
        <v>780</v>
      </c>
      <c r="AE82" s="33">
        <f t="shared" si="20"/>
        <v>0</v>
      </c>
      <c r="AF82" s="43" t="s">
        <v>1601</v>
      </c>
      <c r="AG82" s="128"/>
      <c r="AI82" s="64">
        <f t="shared" si="21"/>
        <v>1.1800000000000001E-3</v>
      </c>
      <c r="AJ82" s="313">
        <f>RTD("money.excel",,$G82,"PredictVolume")</f>
        <v>118</v>
      </c>
      <c r="AK82" s="348"/>
    </row>
    <row r="83" spans="1:38">
      <c r="A83" s="132" t="s">
        <v>1845</v>
      </c>
      <c r="B83" s="93">
        <v>-156</v>
      </c>
      <c r="C83" s="93">
        <v>-28</v>
      </c>
      <c r="D83" s="93">
        <v>15</v>
      </c>
      <c r="E83" s="93">
        <v>26</v>
      </c>
      <c r="F83" s="58">
        <v>13.5</v>
      </c>
      <c r="G83" s="81">
        <v>1443</v>
      </c>
      <c r="H83" s="8" t="s">
        <v>3910</v>
      </c>
      <c r="I83" s="22" t="s">
        <v>781</v>
      </c>
      <c r="J83" s="75">
        <v>77.95</v>
      </c>
      <c r="K83" s="75">
        <v>7.0000000000000007E-2</v>
      </c>
      <c r="N83" s="325">
        <f t="shared" si="22"/>
        <v>78.02</v>
      </c>
      <c r="O83" s="27"/>
      <c r="P83" s="56"/>
      <c r="Q83" s="26"/>
      <c r="S83" s="330">
        <v>14.45</v>
      </c>
      <c r="T83" s="34">
        <v>0</v>
      </c>
      <c r="U83" s="366">
        <f t="shared" si="17"/>
        <v>0</v>
      </c>
      <c r="V83" s="97">
        <v>-0.28999999999999998</v>
      </c>
      <c r="W83" s="13">
        <f>RTD("money.excel",,"1443","Price")</f>
        <v>15.5</v>
      </c>
      <c r="X83" s="67"/>
      <c r="Y83" s="15">
        <f t="shared" si="18"/>
        <v>15.5</v>
      </c>
      <c r="Z83" s="3" t="e">
        <f t="shared" si="19"/>
        <v>#DIV/0!</v>
      </c>
      <c r="AB83" s="22" t="s">
        <v>781</v>
      </c>
      <c r="AE83" s="33">
        <f t="shared" si="20"/>
        <v>0</v>
      </c>
      <c r="AF83" s="43" t="s">
        <v>3293</v>
      </c>
      <c r="AG83" s="128"/>
      <c r="AI83" s="64">
        <f t="shared" si="21"/>
        <v>4.4444444444444447E-5</v>
      </c>
      <c r="AJ83" s="313">
        <f>RTD("money.excel",,$G83,"PredictVolume")</f>
        <v>6</v>
      </c>
      <c r="AK83" s="348"/>
      <c r="AL83" s="309"/>
    </row>
    <row r="84" spans="1:38">
      <c r="A84" s="148" t="s">
        <v>2014</v>
      </c>
      <c r="B84" s="82">
        <v>-369</v>
      </c>
      <c r="C84" s="82">
        <v>-183</v>
      </c>
      <c r="D84" s="81">
        <v>27</v>
      </c>
      <c r="E84" s="82">
        <v>-33</v>
      </c>
      <c r="F84" s="6">
        <v>-2.48</v>
      </c>
      <c r="G84" s="81">
        <v>1444</v>
      </c>
      <c r="H84" s="8" t="s">
        <v>3910</v>
      </c>
      <c r="I84" s="22" t="s">
        <v>4456</v>
      </c>
      <c r="J84" s="330">
        <v>65.83</v>
      </c>
      <c r="K84" s="330">
        <v>7.79</v>
      </c>
      <c r="L84" s="330">
        <v>5.16</v>
      </c>
      <c r="N84" s="325">
        <f t="shared" si="22"/>
        <v>78.78</v>
      </c>
      <c r="O84" s="27"/>
      <c r="P84" s="56"/>
      <c r="Q84" s="26"/>
      <c r="S84" s="330">
        <v>1.49</v>
      </c>
      <c r="T84" s="34">
        <v>0</v>
      </c>
      <c r="U84" s="366">
        <f t="shared" si="17"/>
        <v>0</v>
      </c>
      <c r="V84" s="97">
        <v>-0.38</v>
      </c>
      <c r="W84" s="36">
        <f>RTD("money.excel",,"1444","Price")</f>
        <v>10.199999999999999</v>
      </c>
      <c r="X84" s="67"/>
      <c r="Y84" s="15">
        <f t="shared" si="18"/>
        <v>10.199999999999999</v>
      </c>
      <c r="Z84" s="3" t="e">
        <f t="shared" si="19"/>
        <v>#DIV/0!</v>
      </c>
      <c r="AA84" s="174" t="s">
        <v>1943</v>
      </c>
      <c r="AB84" s="22" t="s">
        <v>4456</v>
      </c>
      <c r="AE84" s="33">
        <f t="shared" si="20"/>
        <v>0</v>
      </c>
      <c r="AF84" s="124" t="s">
        <v>1602</v>
      </c>
      <c r="AG84" s="128"/>
      <c r="AI84" s="64">
        <f t="shared" si="21"/>
        <v>1.071055381400209E-3</v>
      </c>
      <c r="AJ84" s="313">
        <f>RTD("money.excel",,$G84,"PredictVolume")</f>
        <v>1025</v>
      </c>
      <c r="AK84" s="348"/>
    </row>
    <row r="85" spans="1:38">
      <c r="A85" s="148" t="s">
        <v>2328</v>
      </c>
      <c r="B85" s="82">
        <v>-43</v>
      </c>
      <c r="C85" s="82">
        <v>-102</v>
      </c>
      <c r="D85" s="81">
        <v>11</v>
      </c>
      <c r="E85" s="82">
        <v>-1</v>
      </c>
      <c r="F85" s="6">
        <v>-13.28</v>
      </c>
      <c r="G85" s="81">
        <v>1445</v>
      </c>
      <c r="H85" s="8" t="s">
        <v>3910</v>
      </c>
      <c r="I85" s="22" t="s">
        <v>782</v>
      </c>
      <c r="J85" s="330">
        <v>60.33</v>
      </c>
      <c r="K85" s="75">
        <v>1.91</v>
      </c>
      <c r="L85" s="75">
        <v>10.92</v>
      </c>
      <c r="N85" s="325">
        <f t="shared" si="22"/>
        <v>73.16</v>
      </c>
      <c r="O85" s="27"/>
      <c r="P85" s="56"/>
      <c r="Q85" s="26"/>
      <c r="S85" s="330">
        <v>0</v>
      </c>
      <c r="T85" s="34">
        <v>0.2</v>
      </c>
      <c r="U85" s="366">
        <f t="shared" si="17"/>
        <v>1.2383900928792572E-2</v>
      </c>
      <c r="V85" s="58">
        <v>-0.44</v>
      </c>
      <c r="W85" s="36">
        <f>RTD("money.excel",,"1445","Price")</f>
        <v>16.149999999999999</v>
      </c>
      <c r="X85" s="67"/>
      <c r="Y85" s="15">
        <f t="shared" si="18"/>
        <v>16.149999999999999</v>
      </c>
      <c r="Z85" s="3" t="e">
        <f t="shared" si="19"/>
        <v>#DIV/0!</v>
      </c>
      <c r="AB85" s="22" t="s">
        <v>782</v>
      </c>
      <c r="AE85" s="33">
        <f t="shared" si="20"/>
        <v>0</v>
      </c>
      <c r="AF85" s="43" t="s">
        <v>3294</v>
      </c>
      <c r="AG85" s="128"/>
      <c r="AI85" s="64">
        <f t="shared" si="21"/>
        <v>3.3076923076923078E-4</v>
      </c>
      <c r="AJ85" s="313">
        <f>RTD("money.excel",,$G85,"PredictVolume")</f>
        <v>43</v>
      </c>
      <c r="AK85" s="348"/>
    </row>
    <row r="86" spans="1:38">
      <c r="A86" s="148" t="s">
        <v>2506</v>
      </c>
      <c r="B86" s="93">
        <v>37</v>
      </c>
      <c r="C86" s="93">
        <v>48</v>
      </c>
      <c r="D86" s="93">
        <v>-1</v>
      </c>
      <c r="E86" s="93">
        <v>-14</v>
      </c>
      <c r="F86" s="6">
        <v>-4.4800000000000004</v>
      </c>
      <c r="G86" s="81">
        <v>1446</v>
      </c>
      <c r="H86" s="8" t="s">
        <v>3910</v>
      </c>
      <c r="I86" s="22" t="s">
        <v>783</v>
      </c>
      <c r="J86" s="75">
        <v>76.290000000000006</v>
      </c>
      <c r="K86" s="75">
        <v>1.25</v>
      </c>
      <c r="L86" s="75">
        <v>9.86</v>
      </c>
      <c r="N86" s="325">
        <f t="shared" si="22"/>
        <v>87.4</v>
      </c>
      <c r="O86" s="27"/>
      <c r="P86" s="56"/>
      <c r="Q86" s="26"/>
      <c r="S86" s="330">
        <v>14.27</v>
      </c>
      <c r="T86" s="34">
        <v>0.3</v>
      </c>
      <c r="U86" s="366">
        <f t="shared" si="17"/>
        <v>9.5238095238095229E-3</v>
      </c>
      <c r="V86" s="97">
        <v>-0.05</v>
      </c>
      <c r="W86" s="13">
        <f>RTD("money.excel",,"1446","Price")</f>
        <v>31.5</v>
      </c>
      <c r="X86" s="67"/>
      <c r="Y86" s="15">
        <f t="shared" si="18"/>
        <v>31.5</v>
      </c>
      <c r="Z86" s="3" t="e">
        <f t="shared" si="19"/>
        <v>#DIV/0!</v>
      </c>
      <c r="AB86" s="22" t="s">
        <v>783</v>
      </c>
      <c r="AE86" s="33">
        <f t="shared" si="20"/>
        <v>0</v>
      </c>
      <c r="AF86" s="43" t="s">
        <v>3295</v>
      </c>
      <c r="AG86" s="128"/>
      <c r="AI86" s="64">
        <f t="shared" si="21"/>
        <v>6.2773722627737223E-4</v>
      </c>
      <c r="AJ86" s="313">
        <f>RTD("money.excel",,$G86,"PredictVolume")</f>
        <v>86</v>
      </c>
      <c r="AK86" s="348"/>
    </row>
    <row r="87" spans="1:38">
      <c r="A87" s="148" t="s">
        <v>2727</v>
      </c>
      <c r="B87" s="82">
        <v>-369</v>
      </c>
      <c r="C87" s="82">
        <v>-247</v>
      </c>
      <c r="D87" s="82">
        <v>-7</v>
      </c>
      <c r="E87" s="81">
        <v>80</v>
      </c>
      <c r="F87" s="6">
        <v>-5.3</v>
      </c>
      <c r="G87" s="81">
        <v>1447</v>
      </c>
      <c r="H87" s="8" t="s">
        <v>3910</v>
      </c>
      <c r="I87" s="22" t="s">
        <v>784</v>
      </c>
      <c r="J87" s="75">
        <v>68.459999999999994</v>
      </c>
      <c r="K87" s="75">
        <v>7.71</v>
      </c>
      <c r="L87" s="75">
        <v>9.7899999999999991</v>
      </c>
      <c r="N87" s="325">
        <f t="shared" si="22"/>
        <v>85.95999999999998</v>
      </c>
      <c r="O87" s="27"/>
      <c r="P87" s="56"/>
      <c r="Q87" s="26"/>
      <c r="S87" s="330">
        <v>0.18</v>
      </c>
      <c r="T87" s="34">
        <v>0</v>
      </c>
      <c r="U87" s="366">
        <f t="shared" si="17"/>
        <v>0</v>
      </c>
      <c r="V87" s="97">
        <v>-0.48</v>
      </c>
      <c r="W87" s="36">
        <f>RTD("money.excel",,"1447","Price")</f>
        <v>9.19</v>
      </c>
      <c r="X87" s="67"/>
      <c r="Y87" s="15">
        <f t="shared" si="18"/>
        <v>9.19</v>
      </c>
      <c r="Z87" s="3" t="e">
        <f t="shared" si="19"/>
        <v>#DIV/0!</v>
      </c>
      <c r="AA87" s="174" t="s">
        <v>1943</v>
      </c>
      <c r="AB87" s="22" t="s">
        <v>784</v>
      </c>
      <c r="AE87" s="33">
        <f t="shared" si="20"/>
        <v>0</v>
      </c>
      <c r="AF87" s="43" t="s">
        <v>6226</v>
      </c>
      <c r="AG87" s="128"/>
      <c r="AI87" s="64">
        <f t="shared" si="21"/>
        <v>9.2013129102844638E-4</v>
      </c>
      <c r="AJ87" s="313">
        <f>RTD("money.excel",,$G87,"PredictVolume")</f>
        <v>841</v>
      </c>
      <c r="AK87" s="348"/>
    </row>
    <row r="88" spans="1:38">
      <c r="A88" s="148" t="s">
        <v>2463</v>
      </c>
      <c r="B88" s="81">
        <v>73</v>
      </c>
      <c r="C88" s="81">
        <v>61</v>
      </c>
      <c r="D88" s="81">
        <v>34</v>
      </c>
      <c r="E88" s="82">
        <v>-9</v>
      </c>
      <c r="F88" s="6">
        <v>-4.38</v>
      </c>
      <c r="G88" s="81">
        <v>1449</v>
      </c>
      <c r="H88" s="8" t="s">
        <v>3910</v>
      </c>
      <c r="I88" s="22" t="s">
        <v>785</v>
      </c>
      <c r="J88" s="75">
        <v>74.260000000000005</v>
      </c>
      <c r="K88" s="330">
        <v>10.32</v>
      </c>
      <c r="N88" s="325">
        <f t="shared" si="22"/>
        <v>84.580000000000013</v>
      </c>
      <c r="O88" s="27"/>
      <c r="P88" s="56"/>
      <c r="Q88" s="26"/>
      <c r="S88" s="330">
        <v>27.78</v>
      </c>
      <c r="T88" s="34">
        <v>0</v>
      </c>
      <c r="U88" s="366">
        <f t="shared" si="17"/>
        <v>0</v>
      </c>
      <c r="V88" s="97">
        <v>-0.95</v>
      </c>
      <c r="W88" s="36">
        <f>RTD("money.excel",,"1449","Price")</f>
        <v>12.95</v>
      </c>
      <c r="X88" s="67"/>
      <c r="Y88" s="15">
        <f t="shared" si="18"/>
        <v>12.95</v>
      </c>
      <c r="Z88" s="3" t="e">
        <f t="shared" si="19"/>
        <v>#DIV/0!</v>
      </c>
      <c r="AB88" s="22" t="s">
        <v>785</v>
      </c>
      <c r="AE88" s="33">
        <f t="shared" si="20"/>
        <v>0</v>
      </c>
      <c r="AF88" s="43" t="s">
        <v>2143</v>
      </c>
      <c r="AG88" s="128"/>
      <c r="AI88" s="64">
        <f t="shared" si="21"/>
        <v>5.6287425149700594E-4</v>
      </c>
      <c r="AJ88" s="313">
        <f>RTD("money.excel",,$G88,"PredictVolume")</f>
        <v>47</v>
      </c>
      <c r="AK88" s="348"/>
    </row>
    <row r="89" spans="1:38">
      <c r="A89" s="148" t="s">
        <v>2210</v>
      </c>
      <c r="B89" s="96">
        <v>-2381</v>
      </c>
      <c r="C89" s="82">
        <v>-380</v>
      </c>
      <c r="D89" s="82">
        <v>-5</v>
      </c>
      <c r="E89" s="82">
        <v>-6</v>
      </c>
      <c r="F89" s="6">
        <v>-6.91</v>
      </c>
      <c r="G89" s="81">
        <v>1451</v>
      </c>
      <c r="H89" s="8" t="s">
        <v>3910</v>
      </c>
      <c r="I89" s="22" t="s">
        <v>786</v>
      </c>
      <c r="J89" s="75">
        <v>60.04</v>
      </c>
      <c r="K89" s="75">
        <v>10.37</v>
      </c>
      <c r="L89" s="75">
        <v>0.72</v>
      </c>
      <c r="N89" s="325">
        <f t="shared" si="22"/>
        <v>71.13</v>
      </c>
      <c r="O89" s="27"/>
      <c r="P89" s="56"/>
      <c r="Q89" s="26"/>
      <c r="S89" s="330">
        <v>0</v>
      </c>
      <c r="T89" s="34">
        <v>0.6</v>
      </c>
      <c r="U89" s="366">
        <f t="shared" si="17"/>
        <v>3.0150753768844223E-2</v>
      </c>
      <c r="V89" s="97">
        <v>-2.14</v>
      </c>
      <c r="W89" s="36">
        <f>RTD("money.excel",,"1451","Price")</f>
        <v>19.899999999999999</v>
      </c>
      <c r="X89" s="67"/>
      <c r="Y89" s="15">
        <f t="shared" si="18"/>
        <v>19.899999999999999</v>
      </c>
      <c r="Z89" s="3" t="e">
        <f t="shared" si="19"/>
        <v>#DIV/0!</v>
      </c>
      <c r="AB89" s="22" t="s">
        <v>786</v>
      </c>
      <c r="AE89" s="33">
        <f t="shared" si="20"/>
        <v>0</v>
      </c>
      <c r="AF89" s="43" t="s">
        <v>2423</v>
      </c>
      <c r="AG89" s="128"/>
      <c r="AI89" s="64">
        <f t="shared" si="21"/>
        <v>4.2424242424242425E-4</v>
      </c>
      <c r="AJ89" s="313">
        <f>RTD("money.excel",,$G89,"PredictVolume")</f>
        <v>84</v>
      </c>
      <c r="AK89" s="348"/>
    </row>
    <row r="90" spans="1:38">
      <c r="A90" s="148" t="s">
        <v>1852</v>
      </c>
      <c r="B90" s="82">
        <v>-117</v>
      </c>
      <c r="C90" s="82">
        <v>-108</v>
      </c>
      <c r="D90" s="81">
        <v>6</v>
      </c>
      <c r="E90" s="82">
        <v>-1</v>
      </c>
      <c r="F90" s="6">
        <v>-1.79</v>
      </c>
      <c r="G90" s="81">
        <v>1452</v>
      </c>
      <c r="H90" s="8" t="s">
        <v>3910</v>
      </c>
      <c r="I90" s="22" t="s">
        <v>787</v>
      </c>
      <c r="J90" s="330">
        <v>25.6</v>
      </c>
      <c r="K90" s="75">
        <v>3.92</v>
      </c>
      <c r="L90" s="330">
        <v>2.0099999999999998</v>
      </c>
      <c r="N90" s="325">
        <f t="shared" si="22"/>
        <v>31.53</v>
      </c>
      <c r="O90" s="27"/>
      <c r="P90" s="56"/>
      <c r="Q90" s="26"/>
      <c r="S90" s="330">
        <v>0</v>
      </c>
      <c r="T90" s="34">
        <v>0.7</v>
      </c>
      <c r="U90" s="366">
        <f t="shared" si="17"/>
        <v>2.8397565922920892E-2</v>
      </c>
      <c r="V90" s="97">
        <v>0.74</v>
      </c>
      <c r="W90" s="36">
        <f>RTD("money.excel",,"1452","Price")</f>
        <v>24.65</v>
      </c>
      <c r="X90" s="67"/>
      <c r="Y90" s="15">
        <f t="shared" si="18"/>
        <v>24.65</v>
      </c>
      <c r="Z90" s="3" t="e">
        <f t="shared" si="19"/>
        <v>#DIV/0!</v>
      </c>
      <c r="AA90" s="174" t="s">
        <v>1943</v>
      </c>
      <c r="AB90" s="22" t="s">
        <v>787</v>
      </c>
      <c r="AE90" s="33">
        <f t="shared" si="20"/>
        <v>0</v>
      </c>
      <c r="AF90" s="43" t="s">
        <v>1602</v>
      </c>
      <c r="AG90" s="128"/>
      <c r="AI90" s="64">
        <f t="shared" si="21"/>
        <v>3.893939393939394E-3</v>
      </c>
      <c r="AJ90" s="313">
        <f>RTD("money.excel",,$G90,"PredictVolume")</f>
        <v>514</v>
      </c>
      <c r="AK90" s="348"/>
    </row>
    <row r="91" spans="1:38">
      <c r="A91" s="132" t="s">
        <v>2385</v>
      </c>
      <c r="B91" s="142">
        <v>1495</v>
      </c>
      <c r="C91" s="93">
        <v>211</v>
      </c>
      <c r="D91" s="142">
        <v>9356</v>
      </c>
      <c r="E91" s="93">
        <v>-21</v>
      </c>
      <c r="F91" s="58">
        <v>10.93</v>
      </c>
      <c r="G91" s="81">
        <v>1453</v>
      </c>
      <c r="H91" s="8" t="s">
        <v>3910</v>
      </c>
      <c r="I91" s="22" t="s">
        <v>788</v>
      </c>
      <c r="J91" s="75">
        <v>77.989999999999995</v>
      </c>
      <c r="K91" s="75">
        <v>0.08</v>
      </c>
      <c r="L91" s="75">
        <v>5.71</v>
      </c>
      <c r="N91" s="325">
        <f t="shared" si="22"/>
        <v>83.779999999999987</v>
      </c>
      <c r="O91" s="27"/>
      <c r="P91" s="56"/>
      <c r="Q91" s="26"/>
      <c r="S91" s="330">
        <v>28.68</v>
      </c>
      <c r="T91" s="34">
        <v>0</v>
      </c>
      <c r="U91" s="366">
        <f t="shared" si="17"/>
        <v>0</v>
      </c>
      <c r="V91" s="97">
        <v>0.15</v>
      </c>
      <c r="W91" s="13">
        <f>RTD("money.excel",,"1453","Price")</f>
        <v>8.44</v>
      </c>
      <c r="X91" s="67"/>
      <c r="Y91" s="15">
        <f t="shared" si="18"/>
        <v>8.44</v>
      </c>
      <c r="Z91" s="3" t="e">
        <f t="shared" si="19"/>
        <v>#DIV/0!</v>
      </c>
      <c r="AB91" s="22" t="s">
        <v>788</v>
      </c>
      <c r="AE91" s="33">
        <f t="shared" si="20"/>
        <v>0</v>
      </c>
      <c r="AF91" s="43" t="s">
        <v>3296</v>
      </c>
      <c r="AG91" s="128"/>
      <c r="AI91" s="64">
        <f t="shared" si="21"/>
        <v>5.1000000000000004E-4</v>
      </c>
      <c r="AJ91" s="313">
        <f>RTD("money.excel",,$G91,"PredictVolume")</f>
        <v>51</v>
      </c>
      <c r="AK91" s="348"/>
    </row>
    <row r="92" spans="1:38">
      <c r="A92" s="148" t="s">
        <v>1737</v>
      </c>
      <c r="B92" s="93">
        <v>-218</v>
      </c>
      <c r="C92" s="93">
        <v>-410</v>
      </c>
      <c r="D92" s="93">
        <v>-7</v>
      </c>
      <c r="E92" s="93">
        <v>1</v>
      </c>
      <c r="F92" s="6">
        <v>-9.39</v>
      </c>
      <c r="G92" s="81">
        <v>1454</v>
      </c>
      <c r="H92" s="8" t="s">
        <v>3910</v>
      </c>
      <c r="I92" s="22" t="s">
        <v>789</v>
      </c>
      <c r="J92" s="75">
        <v>74.92</v>
      </c>
      <c r="K92" s="75">
        <v>0.42</v>
      </c>
      <c r="L92" s="75">
        <v>9.7799999999999994</v>
      </c>
      <c r="N92" s="325">
        <f t="shared" si="22"/>
        <v>85.12</v>
      </c>
      <c r="O92" s="27"/>
      <c r="P92" s="56"/>
      <c r="Q92" s="26"/>
      <c r="S92" s="330">
        <v>12.64</v>
      </c>
      <c r="T92" s="34">
        <v>0.2</v>
      </c>
      <c r="U92" s="366">
        <f t="shared" si="17"/>
        <v>1.3377926421404684E-2</v>
      </c>
      <c r="V92" s="97">
        <v>-0.31</v>
      </c>
      <c r="W92" s="13">
        <f>RTD("money.excel",,"1454","Price")</f>
        <v>14.95</v>
      </c>
      <c r="X92" s="67"/>
      <c r="Y92" s="15">
        <f t="shared" si="18"/>
        <v>14.95</v>
      </c>
      <c r="Z92" s="3" t="e">
        <f t="shared" si="19"/>
        <v>#DIV/0!</v>
      </c>
      <c r="AB92" s="22" t="s">
        <v>789</v>
      </c>
      <c r="AE92" s="33">
        <f t="shared" si="20"/>
        <v>0</v>
      </c>
      <c r="AF92" s="43" t="s">
        <v>3297</v>
      </c>
      <c r="AG92" s="128"/>
      <c r="AI92" s="64">
        <f t="shared" si="21"/>
        <v>2.4883720930232557E-3</v>
      </c>
      <c r="AJ92" s="313">
        <f>RTD("money.excel",,$G92,"PredictVolume")</f>
        <v>321</v>
      </c>
      <c r="AK92" s="348"/>
    </row>
    <row r="93" spans="1:38">
      <c r="A93" s="148" t="s">
        <v>3693</v>
      </c>
      <c r="B93" s="81">
        <v>351</v>
      </c>
      <c r="C93" s="81">
        <v>214</v>
      </c>
      <c r="D93" s="82">
        <v>-2</v>
      </c>
      <c r="E93" s="81">
        <v>37</v>
      </c>
      <c r="F93" s="6">
        <v>8.9700000000000006</v>
      </c>
      <c r="G93" s="81">
        <v>1455</v>
      </c>
      <c r="H93" s="8" t="s">
        <v>3910</v>
      </c>
      <c r="I93" s="22" t="s">
        <v>182</v>
      </c>
      <c r="J93" s="75">
        <v>56.05</v>
      </c>
      <c r="K93" s="75">
        <v>8.93</v>
      </c>
      <c r="L93" s="330">
        <v>15.11</v>
      </c>
      <c r="N93" s="325">
        <f t="shared" si="22"/>
        <v>80.089999999999989</v>
      </c>
      <c r="O93" s="27"/>
      <c r="P93" s="56"/>
      <c r="Q93" s="26"/>
      <c r="S93" s="330">
        <v>2.2599999999999998</v>
      </c>
      <c r="T93" s="34">
        <v>0.3</v>
      </c>
      <c r="U93" s="366">
        <f t="shared" si="17"/>
        <v>1.9292604501607715E-2</v>
      </c>
      <c r="V93" s="58">
        <v>2.2599999999999998</v>
      </c>
      <c r="W93" s="36">
        <f>RTD("money.excel",,"1455","Price")</f>
        <v>15.55</v>
      </c>
      <c r="X93" s="67"/>
      <c r="Y93" s="15">
        <f t="shared" si="18"/>
        <v>15.55</v>
      </c>
      <c r="Z93" s="3" t="e">
        <f t="shared" si="19"/>
        <v>#DIV/0!</v>
      </c>
      <c r="AA93" s="174" t="s">
        <v>1943</v>
      </c>
      <c r="AB93" s="22" t="s">
        <v>182</v>
      </c>
      <c r="AE93" s="33">
        <f t="shared" si="20"/>
        <v>0</v>
      </c>
      <c r="AF93" s="122" t="s">
        <v>1602</v>
      </c>
      <c r="AG93" s="128"/>
      <c r="AI93" s="64">
        <f t="shared" si="21"/>
        <v>2.6026365348399247E-3</v>
      </c>
      <c r="AJ93" s="313">
        <f>RTD("money.excel",,$G93,"PredictVolume")</f>
        <v>1382</v>
      </c>
      <c r="AK93" s="348"/>
    </row>
    <row r="94" spans="1:38">
      <c r="A94" s="148" t="s">
        <v>3694</v>
      </c>
      <c r="B94" s="93">
        <v>-769</v>
      </c>
      <c r="C94" s="93">
        <v>-35</v>
      </c>
      <c r="D94" s="93">
        <v>-40</v>
      </c>
      <c r="E94" s="93">
        <v>14</v>
      </c>
      <c r="F94" s="6">
        <v>6.38</v>
      </c>
      <c r="G94" s="81">
        <v>1456</v>
      </c>
      <c r="H94" s="8" t="s">
        <v>3910</v>
      </c>
      <c r="I94" s="22" t="s">
        <v>790</v>
      </c>
      <c r="J94" s="75">
        <v>85.88</v>
      </c>
      <c r="K94" s="75">
        <v>0.16</v>
      </c>
      <c r="L94" s="75">
        <v>2.7</v>
      </c>
      <c r="N94" s="325">
        <f t="shared" si="22"/>
        <v>88.74</v>
      </c>
      <c r="O94" s="27"/>
      <c r="P94" s="56"/>
      <c r="Q94" s="26"/>
      <c r="S94" s="330">
        <v>29.76</v>
      </c>
      <c r="T94" s="34">
        <v>0</v>
      </c>
      <c r="U94" s="366">
        <f t="shared" si="17"/>
        <v>0</v>
      </c>
      <c r="V94" s="97">
        <v>0.73</v>
      </c>
      <c r="W94" s="13">
        <f>RTD("money.excel",,"1456","Price")</f>
        <v>20.2</v>
      </c>
      <c r="X94" s="67"/>
      <c r="Y94" s="15">
        <f t="shared" si="18"/>
        <v>20.2</v>
      </c>
      <c r="Z94" s="3" t="e">
        <f t="shared" si="19"/>
        <v>#DIV/0!</v>
      </c>
      <c r="AB94" s="22" t="s">
        <v>790</v>
      </c>
      <c r="AE94" s="33">
        <f t="shared" si="20"/>
        <v>0</v>
      </c>
      <c r="AF94" s="43" t="s">
        <v>3298</v>
      </c>
      <c r="AG94" s="128"/>
      <c r="AI94" s="64">
        <f t="shared" si="21"/>
        <v>5.9765208110992537E-4</v>
      </c>
      <c r="AJ94" s="313">
        <f>RTD("money.excel",,$G94,"PredictVolume")</f>
        <v>56</v>
      </c>
      <c r="AK94" s="348"/>
    </row>
    <row r="95" spans="1:38">
      <c r="A95" s="132" t="s">
        <v>2192</v>
      </c>
      <c r="B95" s="81">
        <v>10</v>
      </c>
      <c r="C95" s="81">
        <v>34</v>
      </c>
      <c r="D95" s="81">
        <v>9</v>
      </c>
      <c r="E95" s="82">
        <v>-11</v>
      </c>
      <c r="F95" s="58">
        <v>48.84</v>
      </c>
      <c r="G95" s="81">
        <v>1457</v>
      </c>
      <c r="H95" s="8" t="s">
        <v>3910</v>
      </c>
      <c r="I95" s="22" t="s">
        <v>791</v>
      </c>
      <c r="J95" s="75">
        <v>58.94</v>
      </c>
      <c r="K95" s="75">
        <v>2.19</v>
      </c>
      <c r="L95" s="75">
        <v>4.46</v>
      </c>
      <c r="N95" s="325">
        <f t="shared" si="22"/>
        <v>65.589999999999989</v>
      </c>
      <c r="O95" s="27"/>
      <c r="P95" s="56"/>
      <c r="Q95" s="26"/>
      <c r="S95" s="330">
        <v>0.01</v>
      </c>
      <c r="T95" s="34">
        <v>1</v>
      </c>
      <c r="U95" s="366">
        <f t="shared" si="17"/>
        <v>5.2770448548812667E-2</v>
      </c>
      <c r="V95" s="97">
        <v>2.89</v>
      </c>
      <c r="W95" s="36">
        <f>RTD("money.excel",,"1457","Price")</f>
        <v>18.95</v>
      </c>
      <c r="X95" s="67"/>
      <c r="Y95" s="15">
        <f t="shared" si="18"/>
        <v>18.95</v>
      </c>
      <c r="Z95" s="3" t="e">
        <f t="shared" si="19"/>
        <v>#DIV/0!</v>
      </c>
      <c r="AA95" s="174" t="s">
        <v>1943</v>
      </c>
      <c r="AB95" s="22" t="s">
        <v>791</v>
      </c>
      <c r="AE95" s="33">
        <f t="shared" si="20"/>
        <v>0</v>
      </c>
      <c r="AF95" s="43" t="s">
        <v>1602</v>
      </c>
      <c r="AG95" s="128"/>
      <c r="AI95" s="64">
        <f t="shared" si="21"/>
        <v>6.7109634551495013E-4</v>
      </c>
      <c r="AJ95" s="313">
        <f>RTD("money.excel",,$G95,"PredictVolume")</f>
        <v>202</v>
      </c>
      <c r="AK95" s="348"/>
    </row>
    <row r="96" spans="1:38">
      <c r="A96" s="148" t="s">
        <v>2370</v>
      </c>
      <c r="B96" s="96">
        <v>-2488</v>
      </c>
      <c r="C96" s="82">
        <v>-95</v>
      </c>
      <c r="D96" s="81">
        <v>14</v>
      </c>
      <c r="E96" s="82">
        <v>-41</v>
      </c>
      <c r="F96" s="6">
        <v>-16.96</v>
      </c>
      <c r="G96" s="81">
        <v>1459</v>
      </c>
      <c r="H96" s="8" t="s">
        <v>3910</v>
      </c>
      <c r="I96" s="22" t="s">
        <v>792</v>
      </c>
      <c r="J96" s="75">
        <v>82.9</v>
      </c>
      <c r="K96" s="75">
        <v>1.82</v>
      </c>
      <c r="L96" s="75">
        <v>0</v>
      </c>
      <c r="N96" s="325">
        <f t="shared" si="22"/>
        <v>84.72</v>
      </c>
      <c r="O96" s="27"/>
      <c r="P96" s="56"/>
      <c r="Q96" s="26"/>
      <c r="T96" s="34">
        <v>0</v>
      </c>
      <c r="U96" s="366">
        <f t="shared" si="17"/>
        <v>0</v>
      </c>
      <c r="V96" s="97">
        <v>-0.57999999999999996</v>
      </c>
      <c r="W96" s="36">
        <f>RTD("money.excel",,"1459","Price")</f>
        <v>11.45</v>
      </c>
      <c r="X96" s="67"/>
      <c r="Y96" s="15">
        <f t="shared" si="18"/>
        <v>11.45</v>
      </c>
      <c r="Z96" s="3" t="e">
        <f t="shared" si="19"/>
        <v>#DIV/0!</v>
      </c>
      <c r="AA96" s="174" t="s">
        <v>1943</v>
      </c>
      <c r="AB96" s="22" t="s">
        <v>792</v>
      </c>
      <c r="AE96" s="33">
        <f t="shared" si="20"/>
        <v>0</v>
      </c>
      <c r="AF96" s="43" t="s">
        <v>2371</v>
      </c>
      <c r="AG96" s="128"/>
      <c r="AI96" s="64">
        <f t="shared" si="21"/>
        <v>5.4469273743016754E-4</v>
      </c>
      <c r="AJ96" s="313">
        <f>RTD("money.excel",,$G96,"PredictVolume")</f>
        <v>195</v>
      </c>
      <c r="AK96" s="348"/>
    </row>
    <row r="97" spans="1:37">
      <c r="A97" s="148" t="s">
        <v>4209</v>
      </c>
      <c r="B97" s="81">
        <v>116</v>
      </c>
      <c r="C97" s="81">
        <v>140</v>
      </c>
      <c r="D97" s="81">
        <v>32</v>
      </c>
      <c r="E97" s="81">
        <v>53</v>
      </c>
      <c r="F97" s="6">
        <v>3.68</v>
      </c>
      <c r="G97" s="81">
        <v>1460</v>
      </c>
      <c r="H97" s="8" t="s">
        <v>3910</v>
      </c>
      <c r="I97" s="22" t="s">
        <v>793</v>
      </c>
      <c r="J97" s="330">
        <v>56.13</v>
      </c>
      <c r="K97" s="330">
        <v>3.3</v>
      </c>
      <c r="L97" s="330"/>
      <c r="N97" s="325">
        <f t="shared" si="22"/>
        <v>59.43</v>
      </c>
      <c r="O97" s="27"/>
      <c r="P97" s="56"/>
      <c r="Q97" s="26"/>
      <c r="T97" s="34">
        <v>0</v>
      </c>
      <c r="U97" s="366">
        <f t="shared" si="17"/>
        <v>0</v>
      </c>
      <c r="V97" s="58">
        <v>-1.1100000000000001</v>
      </c>
      <c r="W97" s="36">
        <f>RTD("money.excel",,"1460","Price")</f>
        <v>8.14</v>
      </c>
      <c r="X97" s="67"/>
      <c r="Y97" s="15">
        <f t="shared" si="18"/>
        <v>8.14</v>
      </c>
      <c r="Z97" s="3" t="e">
        <f t="shared" si="19"/>
        <v>#DIV/0!</v>
      </c>
      <c r="AA97" s="174" t="s">
        <v>1943</v>
      </c>
      <c r="AB97" s="22" t="s">
        <v>793</v>
      </c>
      <c r="AE97" s="33">
        <f t="shared" si="20"/>
        <v>0</v>
      </c>
      <c r="AF97" s="43" t="s">
        <v>4086</v>
      </c>
      <c r="AG97" s="128"/>
      <c r="AI97" s="64">
        <f t="shared" si="21"/>
        <v>1.3861671469740633E-3</v>
      </c>
      <c r="AJ97" s="313">
        <f>RTD("money.excel",,$G97,"PredictVolume")</f>
        <v>962</v>
      </c>
      <c r="AK97" s="348"/>
    </row>
    <row r="98" spans="1:37">
      <c r="A98" s="148" t="s">
        <v>3614</v>
      </c>
      <c r="B98" s="93">
        <v>-70</v>
      </c>
      <c r="C98" s="93">
        <v>-89</v>
      </c>
      <c r="D98" s="93">
        <v>13</v>
      </c>
      <c r="E98" s="93">
        <v>6</v>
      </c>
      <c r="F98" s="6">
        <v>1.05</v>
      </c>
      <c r="G98" s="81">
        <v>1463</v>
      </c>
      <c r="H98" s="8" t="s">
        <v>3910</v>
      </c>
      <c r="I98" s="22" t="s">
        <v>794</v>
      </c>
      <c r="J98" s="75">
        <v>51.56</v>
      </c>
      <c r="K98" s="330">
        <v>6.56</v>
      </c>
      <c r="L98" s="75">
        <v>5.59</v>
      </c>
      <c r="N98" s="325">
        <f t="shared" si="22"/>
        <v>63.710000000000008</v>
      </c>
      <c r="O98" s="27"/>
      <c r="P98" s="56"/>
      <c r="Q98" s="26"/>
      <c r="S98" s="330">
        <v>17.579999999999998</v>
      </c>
      <c r="T98" s="34">
        <v>0.3</v>
      </c>
      <c r="U98" s="366">
        <f t="shared" si="17"/>
        <v>2.2140221402214021E-2</v>
      </c>
      <c r="V98" s="97">
        <v>0.33</v>
      </c>
      <c r="W98" s="13">
        <f>RTD("money.excel",,"1463","Price")</f>
        <v>13.55</v>
      </c>
      <c r="X98" s="67"/>
      <c r="Y98" s="15">
        <f t="shared" si="18"/>
        <v>13.55</v>
      </c>
      <c r="Z98" s="3" t="e">
        <f t="shared" si="19"/>
        <v>#DIV/0!</v>
      </c>
      <c r="AB98" s="22" t="s">
        <v>794</v>
      </c>
      <c r="AE98" s="33">
        <f t="shared" si="20"/>
        <v>0</v>
      </c>
      <c r="AF98" s="43" t="s">
        <v>2909</v>
      </c>
      <c r="AG98" s="128"/>
      <c r="AI98" s="64">
        <f t="shared" si="21"/>
        <v>6.1849710982658963E-4</v>
      </c>
      <c r="AJ98" s="313">
        <f>RTD("money.excel",,$G98,"PredictVolume")</f>
        <v>107</v>
      </c>
      <c r="AK98" s="348"/>
    </row>
    <row r="99" spans="1:37">
      <c r="A99" s="148" t="s">
        <v>2421</v>
      </c>
      <c r="B99" s="82">
        <v>-124</v>
      </c>
      <c r="C99" s="82">
        <v>-112</v>
      </c>
      <c r="D99" s="82">
        <v>-2</v>
      </c>
      <c r="E99" s="82">
        <v>-25</v>
      </c>
      <c r="F99" s="6">
        <v>-1.03</v>
      </c>
      <c r="G99" s="81">
        <v>1464</v>
      </c>
      <c r="H99" s="8" t="s">
        <v>3910</v>
      </c>
      <c r="I99" s="22" t="s">
        <v>795</v>
      </c>
      <c r="J99" s="75">
        <v>56.21</v>
      </c>
      <c r="K99" s="75">
        <v>1.75</v>
      </c>
      <c r="L99" s="75">
        <v>1.99</v>
      </c>
      <c r="N99" s="325">
        <f t="shared" si="22"/>
        <v>59.95</v>
      </c>
      <c r="O99" s="27"/>
      <c r="P99" s="56"/>
      <c r="Q99" s="26"/>
      <c r="S99" s="330">
        <v>0.01</v>
      </c>
      <c r="T99" s="34">
        <v>0</v>
      </c>
      <c r="U99" s="366">
        <f t="shared" si="17"/>
        <v>0</v>
      </c>
      <c r="V99" s="97">
        <v>-0.54</v>
      </c>
      <c r="W99" s="36">
        <f>RTD("money.excel",,"1464","Price")</f>
        <v>15.25</v>
      </c>
      <c r="X99" s="67"/>
      <c r="Y99" s="15">
        <f t="shared" si="18"/>
        <v>15.25</v>
      </c>
      <c r="Z99" s="3" t="e">
        <f t="shared" si="19"/>
        <v>#DIV/0!</v>
      </c>
      <c r="AA99" s="174" t="s">
        <v>1943</v>
      </c>
      <c r="AB99" s="22" t="s">
        <v>795</v>
      </c>
      <c r="AE99" s="33">
        <f t="shared" si="20"/>
        <v>0</v>
      </c>
      <c r="AF99" s="43" t="s">
        <v>2422</v>
      </c>
      <c r="AG99" s="128"/>
      <c r="AI99" s="64">
        <f t="shared" si="21"/>
        <v>4.3229166666666665E-4</v>
      </c>
      <c r="AJ99" s="313">
        <f>RTD("money.excel",,$G99,"PredictVolume")</f>
        <v>166</v>
      </c>
      <c r="AK99" s="348"/>
    </row>
    <row r="100" spans="1:37">
      <c r="A100" s="148" t="s">
        <v>1856</v>
      </c>
      <c r="B100" s="93">
        <v>-102</v>
      </c>
      <c r="C100" s="93">
        <v>85</v>
      </c>
      <c r="D100" s="93">
        <v>-38</v>
      </c>
      <c r="E100" s="93">
        <v>-23</v>
      </c>
      <c r="F100" s="6">
        <v>-2.91</v>
      </c>
      <c r="G100" s="81">
        <v>1465</v>
      </c>
      <c r="H100" s="8" t="s">
        <v>3910</v>
      </c>
      <c r="I100" s="22" t="s">
        <v>796</v>
      </c>
      <c r="J100" s="75">
        <v>67.52</v>
      </c>
      <c r="K100" s="75">
        <v>0.16</v>
      </c>
      <c r="L100" s="75">
        <v>29.14</v>
      </c>
      <c r="N100" s="325">
        <f t="shared" si="22"/>
        <v>96.82</v>
      </c>
      <c r="O100" s="27"/>
      <c r="P100" s="56"/>
      <c r="Q100" s="26"/>
      <c r="S100" s="330">
        <v>20.75</v>
      </c>
      <c r="T100" s="34">
        <v>0.3</v>
      </c>
      <c r="U100" s="366">
        <f t="shared" si="17"/>
        <v>2.4291497975708502E-2</v>
      </c>
      <c r="V100" s="97">
        <v>-0.24</v>
      </c>
      <c r="W100" s="13">
        <f>RTD("money.excel",,"1465","Price")</f>
        <v>12.35</v>
      </c>
      <c r="X100" s="67"/>
      <c r="Y100" s="15">
        <f t="shared" si="18"/>
        <v>12.35</v>
      </c>
      <c r="Z100" s="3" t="e">
        <f t="shared" si="19"/>
        <v>#DIV/0!</v>
      </c>
      <c r="AB100" s="22" t="s">
        <v>796</v>
      </c>
      <c r="AE100" s="33">
        <f t="shared" si="20"/>
        <v>0</v>
      </c>
      <c r="AF100" s="43" t="s">
        <v>1603</v>
      </c>
      <c r="AG100" s="128"/>
      <c r="AI100" s="64">
        <f t="shared" si="21"/>
        <v>3.495145631067961E-4</v>
      </c>
      <c r="AJ100" s="313">
        <f>RTD("money.excel",,$G100,"PredictVolume")</f>
        <v>36</v>
      </c>
      <c r="AK100" s="348"/>
    </row>
    <row r="101" spans="1:37">
      <c r="A101" s="148" t="s">
        <v>1841</v>
      </c>
      <c r="B101" s="81">
        <v>287</v>
      </c>
      <c r="C101" s="81">
        <v>320</v>
      </c>
      <c r="D101" s="82">
        <v>-3</v>
      </c>
      <c r="E101" s="81">
        <v>60</v>
      </c>
      <c r="F101" s="6">
        <v>7.57</v>
      </c>
      <c r="G101" s="81">
        <v>1466</v>
      </c>
      <c r="H101" s="8" t="s">
        <v>3910</v>
      </c>
      <c r="I101" s="22" t="s">
        <v>797</v>
      </c>
      <c r="J101" s="75">
        <v>50.65</v>
      </c>
      <c r="K101" s="75">
        <v>0.97</v>
      </c>
      <c r="L101" s="330">
        <v>20.67</v>
      </c>
      <c r="N101" s="325">
        <f t="shared" si="22"/>
        <v>72.289999999999992</v>
      </c>
      <c r="O101" s="27"/>
      <c r="P101" s="56"/>
      <c r="Q101" s="26"/>
      <c r="S101" s="330">
        <v>8.11</v>
      </c>
      <c r="T101" s="34">
        <v>0</v>
      </c>
      <c r="U101" s="366">
        <f t="shared" si="17"/>
        <v>0</v>
      </c>
      <c r="V101" s="58">
        <v>1.7</v>
      </c>
      <c r="W101" s="36">
        <f>RTD("money.excel",,"1466","Price")</f>
        <v>14.85</v>
      </c>
      <c r="X101" s="67"/>
      <c r="Y101" s="15">
        <f t="shared" si="18"/>
        <v>14.85</v>
      </c>
      <c r="Z101" s="3" t="e">
        <f t="shared" si="19"/>
        <v>#DIV/0!</v>
      </c>
      <c r="AA101" s="174" t="s">
        <v>1943</v>
      </c>
      <c r="AB101" s="22" t="s">
        <v>797</v>
      </c>
      <c r="AE101" s="33">
        <f t="shared" si="20"/>
        <v>0</v>
      </c>
      <c r="AF101" s="43" t="s">
        <v>1602</v>
      </c>
      <c r="AG101" s="43"/>
      <c r="AI101" s="64">
        <f t="shared" si="21"/>
        <v>1.4954954954954954E-3</v>
      </c>
      <c r="AJ101" s="313">
        <f>RTD("money.excel",,$G101,"PredictVolume")</f>
        <v>166</v>
      </c>
      <c r="AK101" s="348"/>
    </row>
    <row r="102" spans="1:37">
      <c r="A102" s="148" t="s">
        <v>3695</v>
      </c>
      <c r="B102" s="81">
        <v>83</v>
      </c>
      <c r="C102" s="81">
        <v>114</v>
      </c>
      <c r="D102" s="82">
        <v>-6</v>
      </c>
      <c r="E102" s="82">
        <v>-53</v>
      </c>
      <c r="F102" s="6">
        <v>1.52</v>
      </c>
      <c r="G102" s="81">
        <v>1467</v>
      </c>
      <c r="H102" s="8" t="s">
        <v>3910</v>
      </c>
      <c r="I102" s="22" t="s">
        <v>798</v>
      </c>
      <c r="J102" s="330">
        <v>64.459999999999994</v>
      </c>
      <c r="K102" s="330">
        <v>18.850000000000001</v>
      </c>
      <c r="L102" s="75">
        <v>33.159999999999997</v>
      </c>
      <c r="N102" s="325">
        <f t="shared" si="22"/>
        <v>116.47</v>
      </c>
      <c r="O102" s="27"/>
      <c r="P102" s="56"/>
      <c r="Q102" s="26"/>
      <c r="S102" s="330">
        <v>0</v>
      </c>
      <c r="T102" s="34">
        <v>0.7</v>
      </c>
      <c r="U102" s="366">
        <f t="shared" ref="U102:U125" si="23">T102/W102</f>
        <v>4.8951048951048945E-2</v>
      </c>
      <c r="V102" s="58">
        <v>1.99</v>
      </c>
      <c r="W102" s="36">
        <f>RTD("money.excel",,"1467","Price")</f>
        <v>14.3</v>
      </c>
      <c r="X102" s="67"/>
      <c r="Y102" s="15">
        <f t="shared" si="18"/>
        <v>14.3</v>
      </c>
      <c r="Z102" s="3" t="e">
        <f t="shared" si="19"/>
        <v>#DIV/0!</v>
      </c>
      <c r="AB102" s="22" t="s">
        <v>798</v>
      </c>
      <c r="AE102" s="33">
        <f t="shared" si="20"/>
        <v>0</v>
      </c>
      <c r="AF102" s="43" t="s">
        <v>4223</v>
      </c>
      <c r="AG102" s="128"/>
      <c r="AI102" s="64">
        <f t="shared" ref="AI102:AI125" si="24">AJ102/(A102*10000)</f>
        <v>8.416309012875536E-3</v>
      </c>
      <c r="AJ102" s="313">
        <f>RTD("money.excel",,$G102,"PredictVolume")</f>
        <v>1961</v>
      </c>
      <c r="AK102" s="348"/>
    </row>
    <row r="103" spans="1:37">
      <c r="A103" s="148" t="s">
        <v>2631</v>
      </c>
      <c r="B103" s="93">
        <v>-6</v>
      </c>
      <c r="C103" s="93">
        <v>-44</v>
      </c>
      <c r="D103" s="93">
        <v>22</v>
      </c>
      <c r="E103" s="93">
        <v>61</v>
      </c>
      <c r="F103" s="6">
        <v>2.89</v>
      </c>
      <c r="G103" s="81">
        <v>1468</v>
      </c>
      <c r="H103" s="8" t="s">
        <v>3910</v>
      </c>
      <c r="I103" s="22" t="s">
        <v>799</v>
      </c>
      <c r="J103" s="75">
        <v>98.03</v>
      </c>
      <c r="K103" s="75">
        <v>1.84</v>
      </c>
      <c r="N103" s="325">
        <f t="shared" si="22"/>
        <v>99.87</v>
      </c>
      <c r="O103" s="27"/>
      <c r="P103" s="56"/>
      <c r="Q103" s="26"/>
      <c r="S103" s="330">
        <v>35.159999999999997</v>
      </c>
      <c r="T103" s="34">
        <v>0</v>
      </c>
      <c r="U103" s="366">
        <f t="shared" si="23"/>
        <v>0</v>
      </c>
      <c r="V103" s="97">
        <v>0.26</v>
      </c>
      <c r="W103" s="13">
        <f>RTD("money.excel",,"1468","Price")</f>
        <v>11.85</v>
      </c>
      <c r="X103" s="67"/>
      <c r="Y103" s="15">
        <f t="shared" si="18"/>
        <v>11.85</v>
      </c>
      <c r="Z103" s="3" t="e">
        <f t="shared" si="19"/>
        <v>#DIV/0!</v>
      </c>
      <c r="AB103" s="22" t="s">
        <v>799</v>
      </c>
      <c r="AE103" s="33">
        <f t="shared" si="20"/>
        <v>0</v>
      </c>
      <c r="AF103" s="43" t="s">
        <v>1604</v>
      </c>
      <c r="AG103" s="128"/>
      <c r="AI103" s="64">
        <f t="shared" si="24"/>
        <v>3.2499999999999999E-4</v>
      </c>
      <c r="AJ103" s="313">
        <f>RTD("money.excel",,$G103,"PredictVolume")</f>
        <v>52</v>
      </c>
      <c r="AK103" s="348"/>
    </row>
    <row r="104" spans="1:37">
      <c r="A104" s="148" t="s">
        <v>3696</v>
      </c>
      <c r="B104" s="93">
        <v>-71</v>
      </c>
      <c r="C104" s="93">
        <v>-83</v>
      </c>
      <c r="D104" s="93">
        <v>0</v>
      </c>
      <c r="E104" s="93">
        <v>21</v>
      </c>
      <c r="F104" s="6">
        <v>5.8</v>
      </c>
      <c r="G104" s="81">
        <v>1470</v>
      </c>
      <c r="H104" s="8" t="s">
        <v>3910</v>
      </c>
      <c r="I104" s="22" t="s">
        <v>1171</v>
      </c>
      <c r="J104" s="75">
        <v>86.95</v>
      </c>
      <c r="K104" s="75">
        <v>0.28999999999999998</v>
      </c>
      <c r="L104" s="75">
        <v>0.01</v>
      </c>
      <c r="N104" s="325">
        <f t="shared" si="22"/>
        <v>87.250000000000014</v>
      </c>
      <c r="O104" s="27"/>
      <c r="P104" s="56"/>
      <c r="Q104" s="26"/>
      <c r="S104" s="330">
        <v>20.84</v>
      </c>
      <c r="T104" s="34">
        <v>0.42</v>
      </c>
      <c r="U104" s="366">
        <f t="shared" si="23"/>
        <v>1.9489559164733179E-2</v>
      </c>
      <c r="V104" s="97">
        <v>0.41</v>
      </c>
      <c r="W104" s="13">
        <f>RTD("money.excel",,"1470","Price")</f>
        <v>21.55</v>
      </c>
      <c r="X104" s="67"/>
      <c r="Y104" s="15">
        <f t="shared" si="18"/>
        <v>21.55</v>
      </c>
      <c r="Z104" s="3" t="e">
        <f t="shared" si="19"/>
        <v>#DIV/0!</v>
      </c>
      <c r="AB104" s="22" t="s">
        <v>1171</v>
      </c>
      <c r="AE104" s="33">
        <f t="shared" si="20"/>
        <v>0</v>
      </c>
      <c r="AF104" s="43" t="s">
        <v>2909</v>
      </c>
      <c r="AG104" s="128"/>
      <c r="AI104" s="64">
        <f t="shared" si="24"/>
        <v>9.324009324009324E-5</v>
      </c>
      <c r="AJ104" s="313">
        <f>RTD("money.excel",,$G104,"PredictVolume")</f>
        <v>8</v>
      </c>
      <c r="AK104" s="348"/>
    </row>
    <row r="105" spans="1:37">
      <c r="A105" s="148" t="s">
        <v>2057</v>
      </c>
      <c r="B105" s="93">
        <v>-426</v>
      </c>
      <c r="C105" s="93">
        <v>-237</v>
      </c>
      <c r="D105" s="93">
        <v>-25</v>
      </c>
      <c r="E105" s="93">
        <v>-35</v>
      </c>
      <c r="F105" s="6">
        <v>-12</v>
      </c>
      <c r="G105" s="81">
        <v>1472</v>
      </c>
      <c r="H105" s="8" t="s">
        <v>3910</v>
      </c>
      <c r="I105" s="22" t="s">
        <v>800</v>
      </c>
      <c r="J105" s="75">
        <v>58.02</v>
      </c>
      <c r="K105" s="75">
        <v>0.08</v>
      </c>
      <c r="N105" s="325">
        <f t="shared" si="22"/>
        <v>58.1</v>
      </c>
      <c r="O105" s="27"/>
      <c r="P105" s="56"/>
      <c r="Q105" s="26"/>
      <c r="S105" s="330">
        <v>12.96</v>
      </c>
      <c r="T105" s="34">
        <v>0</v>
      </c>
      <c r="U105" s="366" t="e">
        <f t="shared" si="23"/>
        <v>#VALUE!</v>
      </c>
      <c r="V105" s="97">
        <v>-9.08</v>
      </c>
      <c r="W105" s="13" t="str">
        <f>RTD("money.excel",,"1472","Price")</f>
        <v>無資料</v>
      </c>
      <c r="X105" s="67"/>
      <c r="Y105" s="15" t="e">
        <f t="shared" si="18"/>
        <v>#VALUE!</v>
      </c>
      <c r="Z105" s="3" t="e">
        <f t="shared" si="19"/>
        <v>#VALUE!</v>
      </c>
      <c r="AB105" s="22" t="s">
        <v>800</v>
      </c>
      <c r="AE105" s="33">
        <f t="shared" si="20"/>
        <v>0</v>
      </c>
      <c r="AF105" s="43" t="s">
        <v>2908</v>
      </c>
      <c r="AG105" s="269"/>
      <c r="AI105" s="64">
        <f t="shared" si="24"/>
        <v>0</v>
      </c>
      <c r="AJ105" s="313">
        <f>RTD("money.excel",,$G105,"PredictVolume")</f>
        <v>0</v>
      </c>
      <c r="AK105" s="348"/>
    </row>
    <row r="106" spans="1:37">
      <c r="A106" s="148" t="s">
        <v>1799</v>
      </c>
      <c r="B106" s="93">
        <v>-274</v>
      </c>
      <c r="C106" s="93">
        <v>-227</v>
      </c>
      <c r="D106" s="93">
        <v>23</v>
      </c>
      <c r="E106" s="93">
        <v>-24</v>
      </c>
      <c r="F106" s="6">
        <v>-0.6</v>
      </c>
      <c r="G106" s="81">
        <v>1473</v>
      </c>
      <c r="H106" s="8" t="s">
        <v>3910</v>
      </c>
      <c r="I106" s="22" t="s">
        <v>801</v>
      </c>
      <c r="J106" s="75">
        <v>63.3</v>
      </c>
      <c r="K106" s="75">
        <v>10.39</v>
      </c>
      <c r="L106" s="75">
        <v>0.56999999999999995</v>
      </c>
      <c r="N106" s="325">
        <f t="shared" si="22"/>
        <v>74.259999999999991</v>
      </c>
      <c r="O106" s="27"/>
      <c r="P106" s="56"/>
      <c r="Q106" s="26"/>
      <c r="S106" s="330">
        <v>14.36</v>
      </c>
      <c r="T106" s="34">
        <v>0.2</v>
      </c>
      <c r="U106" s="366">
        <f t="shared" si="23"/>
        <v>1.1019283746556476E-2</v>
      </c>
      <c r="V106" s="97">
        <v>-2.4500000000000002</v>
      </c>
      <c r="W106" s="13">
        <f>RTD("money.excel",,"1473","Price")</f>
        <v>18.149999999999999</v>
      </c>
      <c r="X106" s="67"/>
      <c r="Y106" s="15">
        <f t="shared" si="18"/>
        <v>18.149999999999999</v>
      </c>
      <c r="Z106" s="3" t="e">
        <f t="shared" si="19"/>
        <v>#DIV/0!</v>
      </c>
      <c r="AB106" s="22" t="s">
        <v>801</v>
      </c>
      <c r="AE106" s="33">
        <f t="shared" si="20"/>
        <v>0</v>
      </c>
      <c r="AF106" s="43" t="s">
        <v>2903</v>
      </c>
      <c r="AG106" s="269"/>
      <c r="AI106" s="64">
        <f t="shared" si="24"/>
        <v>8.1632653061224493E-4</v>
      </c>
      <c r="AJ106" s="313">
        <f>RTD("money.excel",,$G106,"PredictVolume")</f>
        <v>120</v>
      </c>
      <c r="AK106" s="348"/>
    </row>
    <row r="107" spans="1:37">
      <c r="A107" s="148" t="s">
        <v>1737</v>
      </c>
      <c r="B107" s="95">
        <v>7158</v>
      </c>
      <c r="C107" s="81">
        <v>437</v>
      </c>
      <c r="D107" s="81">
        <v>17</v>
      </c>
      <c r="E107" s="81">
        <v>31</v>
      </c>
      <c r="F107" s="6">
        <v>6.63</v>
      </c>
      <c r="G107" s="81">
        <v>1474</v>
      </c>
      <c r="H107" s="8" t="s">
        <v>3910</v>
      </c>
      <c r="I107" s="22" t="s">
        <v>802</v>
      </c>
      <c r="J107" s="75">
        <v>43.7</v>
      </c>
      <c r="K107" s="75">
        <v>2.12</v>
      </c>
      <c r="L107" s="330">
        <v>15.79</v>
      </c>
      <c r="N107" s="325">
        <f t="shared" si="22"/>
        <v>61.61</v>
      </c>
      <c r="O107" s="27"/>
      <c r="P107" s="56"/>
      <c r="Q107" s="26"/>
      <c r="S107" s="330">
        <v>0.16</v>
      </c>
      <c r="T107" s="34">
        <v>0.4</v>
      </c>
      <c r="U107" s="366">
        <f t="shared" si="23"/>
        <v>2.6490066225165566E-2</v>
      </c>
      <c r="V107" s="97">
        <v>1.1499999999999999</v>
      </c>
      <c r="W107" s="36">
        <f>RTD("money.excel",,"1474","Price")</f>
        <v>15.1</v>
      </c>
      <c r="X107" s="67"/>
      <c r="Y107" s="15">
        <f t="shared" si="18"/>
        <v>15.1</v>
      </c>
      <c r="Z107" s="3" t="e">
        <f t="shared" si="19"/>
        <v>#DIV/0!</v>
      </c>
      <c r="AA107" s="174" t="s">
        <v>1943</v>
      </c>
      <c r="AB107" s="22" t="s">
        <v>802</v>
      </c>
      <c r="AE107" s="33">
        <f t="shared" si="20"/>
        <v>0</v>
      </c>
      <c r="AF107" s="43" t="s">
        <v>1942</v>
      </c>
      <c r="AG107" s="128"/>
      <c r="AI107" s="64">
        <f t="shared" si="24"/>
        <v>1.7364341085271318E-3</v>
      </c>
      <c r="AJ107" s="313">
        <f>RTD("money.excel",,$G107,"PredictVolume")</f>
        <v>224</v>
      </c>
      <c r="AK107" s="348"/>
    </row>
    <row r="108" spans="1:37">
      <c r="A108" s="148" t="s">
        <v>3569</v>
      </c>
      <c r="B108" s="81">
        <v>396</v>
      </c>
      <c r="C108" s="81">
        <v>202</v>
      </c>
      <c r="D108" s="82">
        <v>-41</v>
      </c>
      <c r="E108" s="81">
        <v>546</v>
      </c>
      <c r="F108" s="6">
        <v>6.75</v>
      </c>
      <c r="G108" s="81">
        <v>1475</v>
      </c>
      <c r="H108" s="8" t="s">
        <v>3910</v>
      </c>
      <c r="I108" s="22" t="s">
        <v>3697</v>
      </c>
      <c r="J108" s="75">
        <v>65.8</v>
      </c>
      <c r="K108" s="75">
        <v>0.25</v>
      </c>
      <c r="N108" s="325">
        <f t="shared" si="22"/>
        <v>66.05</v>
      </c>
      <c r="O108" s="27"/>
      <c r="P108" s="56"/>
      <c r="Q108" s="26"/>
      <c r="T108" s="34">
        <v>0</v>
      </c>
      <c r="U108" s="366">
        <f t="shared" si="23"/>
        <v>0</v>
      </c>
      <c r="V108" s="58">
        <v>0.86</v>
      </c>
      <c r="W108" s="36">
        <f>RTD("money.excel",,"1475","Price")</f>
        <v>61.8</v>
      </c>
      <c r="X108" s="67"/>
      <c r="Y108" s="15">
        <f t="shared" si="18"/>
        <v>61.8</v>
      </c>
      <c r="Z108" s="3" t="e">
        <f t="shared" si="19"/>
        <v>#DIV/0!</v>
      </c>
      <c r="AB108" s="22" t="s">
        <v>3697</v>
      </c>
      <c r="AE108" s="33">
        <f t="shared" si="20"/>
        <v>0</v>
      </c>
      <c r="AF108" s="43" t="s">
        <v>2907</v>
      </c>
      <c r="AG108" s="128"/>
      <c r="AI108" s="64">
        <f t="shared" si="24"/>
        <v>8.8461538461538463E-4</v>
      </c>
      <c r="AJ108" s="313">
        <f>RTD("money.excel",,$G108,"PredictVolume")</f>
        <v>23</v>
      </c>
      <c r="AK108" s="348"/>
    </row>
    <row r="109" spans="1:37">
      <c r="A109" s="132" t="s">
        <v>1764</v>
      </c>
      <c r="B109" s="81">
        <v>44</v>
      </c>
      <c r="C109" s="81">
        <v>40</v>
      </c>
      <c r="D109" s="82">
        <v>-12</v>
      </c>
      <c r="E109" s="81">
        <v>32</v>
      </c>
      <c r="F109" s="58">
        <v>18.47</v>
      </c>
      <c r="G109" s="81">
        <v>1476</v>
      </c>
      <c r="H109" s="8" t="s">
        <v>3910</v>
      </c>
      <c r="I109" s="22" t="s">
        <v>4457</v>
      </c>
      <c r="J109" s="330">
        <v>68.760000000000005</v>
      </c>
      <c r="K109" s="330">
        <v>43.81</v>
      </c>
      <c r="L109" s="75">
        <v>0.48</v>
      </c>
      <c r="M109" s="75">
        <v>20.62</v>
      </c>
      <c r="N109" s="75">
        <f t="shared" si="22"/>
        <v>133.67000000000002</v>
      </c>
      <c r="O109" s="27" t="s">
        <v>1581</v>
      </c>
      <c r="P109" s="56" t="s">
        <v>1581</v>
      </c>
      <c r="Q109" s="26" t="s">
        <v>1581</v>
      </c>
      <c r="R109" s="308" t="s">
        <v>6296</v>
      </c>
      <c r="S109" s="330">
        <v>2.71</v>
      </c>
      <c r="T109" s="67">
        <v>11</v>
      </c>
      <c r="U109" s="366">
        <f t="shared" si="23"/>
        <v>2.5142857142857144E-2</v>
      </c>
      <c r="V109" s="58">
        <v>19.829999999999998</v>
      </c>
      <c r="W109" s="13">
        <f>RTD("money.excel",,"1476","Price")</f>
        <v>437.5</v>
      </c>
      <c r="X109" s="67"/>
      <c r="Y109" s="15">
        <f t="shared" si="18"/>
        <v>437.5</v>
      </c>
      <c r="Z109" s="3" t="e">
        <f t="shared" si="19"/>
        <v>#DIV/0!</v>
      </c>
      <c r="AA109" s="174" t="s">
        <v>2185</v>
      </c>
      <c r="AB109" s="22" t="s">
        <v>4457</v>
      </c>
      <c r="AE109" s="33">
        <f t="shared" si="20"/>
        <v>0</v>
      </c>
      <c r="AF109" s="122" t="s">
        <v>2904</v>
      </c>
      <c r="AG109" s="128"/>
      <c r="AI109" s="64">
        <f t="shared" si="24"/>
        <v>1.1576642335766423E-2</v>
      </c>
      <c r="AJ109" s="313">
        <f>RTD("money.excel",,$G109,"PredictVolume")</f>
        <v>3172</v>
      </c>
      <c r="AK109" s="348">
        <v>2.02</v>
      </c>
    </row>
    <row r="110" spans="1:37">
      <c r="A110" s="132" t="s">
        <v>1975</v>
      </c>
      <c r="B110" s="81">
        <v>7</v>
      </c>
      <c r="C110" s="81">
        <v>7</v>
      </c>
      <c r="D110" s="81">
        <v>45</v>
      </c>
      <c r="E110" s="81">
        <v>12</v>
      </c>
      <c r="F110" s="58">
        <v>10.7</v>
      </c>
      <c r="G110" s="81">
        <v>1477</v>
      </c>
      <c r="H110" s="8" t="s">
        <v>3910</v>
      </c>
      <c r="I110" s="22" t="s">
        <v>4458</v>
      </c>
      <c r="J110" s="75">
        <v>55.83</v>
      </c>
      <c r="K110" s="330">
        <v>30.44</v>
      </c>
      <c r="L110" s="330">
        <v>2.66</v>
      </c>
      <c r="N110" s="325">
        <f t="shared" si="22"/>
        <v>88.929999999999993</v>
      </c>
      <c r="O110" s="27"/>
      <c r="P110" s="56"/>
      <c r="Q110" s="26"/>
      <c r="S110" s="330">
        <v>0.13</v>
      </c>
      <c r="T110" s="67">
        <v>8</v>
      </c>
      <c r="U110" s="366">
        <f t="shared" si="23"/>
        <v>4.060913705583756E-2</v>
      </c>
      <c r="V110" s="58">
        <v>9.35</v>
      </c>
      <c r="W110" s="36">
        <f>RTD("money.excel",,"1477","Price")</f>
        <v>197</v>
      </c>
      <c r="X110" s="67"/>
      <c r="Y110" s="15">
        <f t="shared" si="18"/>
        <v>197</v>
      </c>
      <c r="Z110" s="3" t="e">
        <f t="shared" si="19"/>
        <v>#DIV/0!</v>
      </c>
      <c r="AA110" s="174" t="s">
        <v>2185</v>
      </c>
      <c r="AB110" s="22" t="s">
        <v>4458</v>
      </c>
      <c r="AE110" s="33">
        <f t="shared" si="20"/>
        <v>0</v>
      </c>
      <c r="AF110" s="122" t="s">
        <v>4087</v>
      </c>
      <c r="AG110" s="128"/>
      <c r="AI110" s="64">
        <f t="shared" si="24"/>
        <v>1.2858921161825725E-2</v>
      </c>
      <c r="AJ110" s="313">
        <f>RTD("money.excel",,$G110,"PredictVolume")</f>
        <v>3099</v>
      </c>
      <c r="AK110" s="348"/>
    </row>
    <row r="111" spans="1:37">
      <c r="A111" s="148" t="s">
        <v>2282</v>
      </c>
      <c r="B111" s="93">
        <v>-86</v>
      </c>
      <c r="C111" s="93">
        <v>-83</v>
      </c>
      <c r="D111" s="93">
        <v>37</v>
      </c>
      <c r="E111" s="93">
        <v>66</v>
      </c>
      <c r="F111" s="6">
        <v>1.7</v>
      </c>
      <c r="G111" s="81">
        <v>4401</v>
      </c>
      <c r="H111" s="8" t="s">
        <v>3910</v>
      </c>
      <c r="I111" s="16" t="s">
        <v>243</v>
      </c>
      <c r="J111" s="330">
        <v>68.14</v>
      </c>
      <c r="K111" s="330">
        <v>11.14</v>
      </c>
      <c r="L111" s="75">
        <v>10.61</v>
      </c>
      <c r="N111" s="325">
        <f t="shared" si="22"/>
        <v>89.89</v>
      </c>
      <c r="O111" s="27"/>
      <c r="P111" s="56"/>
      <c r="Q111" s="26"/>
      <c r="S111" s="330">
        <v>23.47</v>
      </c>
      <c r="T111" s="34">
        <v>1</v>
      </c>
      <c r="U111" s="366">
        <f t="shared" si="23"/>
        <v>3.0211480362537763E-2</v>
      </c>
      <c r="V111" s="97">
        <v>0.7</v>
      </c>
      <c r="W111" s="13">
        <f>RTD("money.excel",,"4401","Price")</f>
        <v>33.1</v>
      </c>
      <c r="X111" s="67"/>
      <c r="Y111" s="15">
        <f t="shared" si="18"/>
        <v>33.1</v>
      </c>
      <c r="Z111" s="3" t="e">
        <f t="shared" si="19"/>
        <v>#DIV/0!</v>
      </c>
      <c r="AB111" s="16" t="s">
        <v>243</v>
      </c>
      <c r="AE111" s="33">
        <f t="shared" si="20"/>
        <v>0</v>
      </c>
      <c r="AF111" s="43" t="s">
        <v>3155</v>
      </c>
      <c r="AG111" s="128"/>
      <c r="AI111" s="64">
        <f t="shared" si="24"/>
        <v>6.9999999999999999E-4</v>
      </c>
      <c r="AJ111" s="313">
        <f>RTD("money.excel",,$G111,"PredictVolume")</f>
        <v>84</v>
      </c>
      <c r="AK111" s="348"/>
    </row>
    <row r="112" spans="1:37">
      <c r="A112" s="148" t="s">
        <v>3608</v>
      </c>
      <c r="B112" s="93">
        <v>-110</v>
      </c>
      <c r="C112" s="93">
        <v>27</v>
      </c>
      <c r="D112" s="93">
        <v>-7</v>
      </c>
      <c r="E112" s="93">
        <v>-22</v>
      </c>
      <c r="F112" s="6">
        <v>-28.88</v>
      </c>
      <c r="G112" s="81">
        <v>4402</v>
      </c>
      <c r="H112" s="8" t="s">
        <v>3910</v>
      </c>
      <c r="I112" s="16" t="s">
        <v>761</v>
      </c>
      <c r="J112" s="75">
        <v>44</v>
      </c>
      <c r="K112" s="75">
        <v>0</v>
      </c>
      <c r="N112" s="325">
        <f t="shared" si="22"/>
        <v>44</v>
      </c>
      <c r="O112" s="27"/>
      <c r="P112" s="56"/>
      <c r="Q112" s="26"/>
      <c r="S112" s="330">
        <v>15.51</v>
      </c>
      <c r="T112" s="34">
        <v>0</v>
      </c>
      <c r="U112" s="366">
        <f t="shared" si="23"/>
        <v>0</v>
      </c>
      <c r="V112" s="97">
        <v>-1.0900000000000001</v>
      </c>
      <c r="W112" s="36">
        <f>RTD("money.excel",,"4402","Price")</f>
        <v>6.79</v>
      </c>
      <c r="X112" s="67"/>
      <c r="Y112" s="15">
        <f t="shared" si="18"/>
        <v>6.79</v>
      </c>
      <c r="Z112" s="3" t="e">
        <f t="shared" si="19"/>
        <v>#DIV/0!</v>
      </c>
      <c r="AB112" s="16" t="s">
        <v>761</v>
      </c>
      <c r="AE112" s="33">
        <f t="shared" si="20"/>
        <v>0</v>
      </c>
      <c r="AF112" s="43" t="s">
        <v>3156</v>
      </c>
      <c r="AG112" s="128"/>
      <c r="AI112" s="64">
        <f t="shared" si="24"/>
        <v>1.5434782608695651E-3</v>
      </c>
      <c r="AJ112" s="313">
        <f>RTD("money.excel",,$G112,"PredictVolume")</f>
        <v>71</v>
      </c>
      <c r="AK112" s="348"/>
    </row>
    <row r="113" spans="1:37">
      <c r="A113" s="148" t="s">
        <v>2676</v>
      </c>
      <c r="B113" s="93">
        <v>-442</v>
      </c>
      <c r="C113" s="93">
        <v>-38</v>
      </c>
      <c r="D113" s="93">
        <v>-12</v>
      </c>
      <c r="E113" s="93">
        <v>6</v>
      </c>
      <c r="F113" s="6">
        <v>-13.61</v>
      </c>
      <c r="G113" s="81">
        <v>4406</v>
      </c>
      <c r="H113" s="8" t="s">
        <v>3910</v>
      </c>
      <c r="I113" s="16" t="s">
        <v>762</v>
      </c>
      <c r="J113" s="75">
        <v>80.510000000000005</v>
      </c>
      <c r="K113" s="75">
        <v>0.2</v>
      </c>
      <c r="L113" s="75">
        <v>0.82</v>
      </c>
      <c r="N113" s="325">
        <f t="shared" si="22"/>
        <v>81.53</v>
      </c>
      <c r="O113" s="27"/>
      <c r="P113" s="56"/>
      <c r="Q113" s="26"/>
      <c r="S113" s="330">
        <v>19.05</v>
      </c>
      <c r="T113" s="34">
        <v>0</v>
      </c>
      <c r="U113" s="366">
        <f t="shared" si="23"/>
        <v>0</v>
      </c>
      <c r="V113" s="97">
        <v>-0.94</v>
      </c>
      <c r="W113" s="36">
        <f>RTD("money.excel",,"4406","Price")</f>
        <v>9.9700000000000006</v>
      </c>
      <c r="X113" s="67"/>
      <c r="Y113" s="15">
        <f t="shared" si="18"/>
        <v>9.9700000000000006</v>
      </c>
      <c r="Z113" s="3" t="e">
        <f t="shared" si="19"/>
        <v>#DIV/0!</v>
      </c>
      <c r="AB113" s="16" t="s">
        <v>762</v>
      </c>
      <c r="AE113" s="33">
        <f t="shared" si="20"/>
        <v>0</v>
      </c>
      <c r="AF113" s="43" t="s">
        <v>1602</v>
      </c>
      <c r="AG113" s="128"/>
      <c r="AI113" s="64">
        <f t="shared" si="24"/>
        <v>1.0789980732177262E-3</v>
      </c>
      <c r="AJ113" s="313">
        <f>RTD("money.excel",,$G113,"PredictVolume")</f>
        <v>56</v>
      </c>
      <c r="AK113" s="348"/>
    </row>
    <row r="114" spans="1:37">
      <c r="A114" s="148" t="s">
        <v>1834</v>
      </c>
      <c r="B114" s="93">
        <v>-135</v>
      </c>
      <c r="C114" s="93">
        <v>-125</v>
      </c>
      <c r="D114" s="93">
        <v>184</v>
      </c>
      <c r="E114" s="93">
        <v>130</v>
      </c>
      <c r="F114" s="6">
        <v>-1.19</v>
      </c>
      <c r="G114" s="81">
        <v>4413</v>
      </c>
      <c r="H114" s="8" t="s">
        <v>3910</v>
      </c>
      <c r="I114" s="16" t="s">
        <v>1172</v>
      </c>
      <c r="J114" s="75">
        <v>70.790000000000006</v>
      </c>
      <c r="K114" s="75">
        <v>7.57</v>
      </c>
      <c r="N114" s="325">
        <f t="shared" si="22"/>
        <v>78.360000000000014</v>
      </c>
      <c r="O114" s="27"/>
      <c r="P114" s="56"/>
      <c r="Q114" s="26"/>
      <c r="S114" s="330">
        <v>22.24</v>
      </c>
      <c r="T114" s="34">
        <v>0</v>
      </c>
      <c r="U114" s="366">
        <f t="shared" si="23"/>
        <v>0</v>
      </c>
      <c r="V114" s="97">
        <v>-0.79</v>
      </c>
      <c r="W114" s="13">
        <f>RTD("money.excel",,"4413","Price")</f>
        <v>11.35</v>
      </c>
      <c r="X114" s="67"/>
      <c r="Y114" s="15">
        <f t="shared" si="18"/>
        <v>11.35</v>
      </c>
      <c r="Z114" s="3" t="e">
        <f t="shared" si="19"/>
        <v>#DIV/0!</v>
      </c>
      <c r="AB114" s="16" t="s">
        <v>1172</v>
      </c>
      <c r="AE114" s="33">
        <f t="shared" si="20"/>
        <v>0</v>
      </c>
      <c r="AF114" s="43" t="s">
        <v>3157</v>
      </c>
      <c r="AG114" s="128"/>
      <c r="AI114" s="64">
        <f t="shared" si="24"/>
        <v>6.3897763578274762E-5</v>
      </c>
      <c r="AJ114" s="313">
        <f>RTD("money.excel",,$G114,"PredictVolume")</f>
        <v>2</v>
      </c>
      <c r="AK114" s="348"/>
    </row>
    <row r="115" spans="1:37">
      <c r="A115" s="148" t="s">
        <v>1787</v>
      </c>
      <c r="B115" s="93">
        <v>-30</v>
      </c>
      <c r="C115" s="93">
        <v>29</v>
      </c>
      <c r="D115" s="93">
        <v>-20</v>
      </c>
      <c r="E115" s="93">
        <v>-7</v>
      </c>
      <c r="F115" s="6">
        <v>-0.99</v>
      </c>
      <c r="G115" s="81">
        <v>4414</v>
      </c>
      <c r="H115" s="8" t="s">
        <v>3910</v>
      </c>
      <c r="I115" s="22" t="s">
        <v>803</v>
      </c>
      <c r="J115" s="75">
        <v>79.47</v>
      </c>
      <c r="K115" s="75">
        <v>12.51</v>
      </c>
      <c r="L115" s="75">
        <v>27.22</v>
      </c>
      <c r="N115" s="325">
        <f t="shared" si="22"/>
        <v>119.2</v>
      </c>
      <c r="O115" s="27"/>
      <c r="P115" s="56"/>
      <c r="Q115" s="26"/>
      <c r="S115" s="330">
        <v>20.78</v>
      </c>
      <c r="T115" s="34">
        <v>0</v>
      </c>
      <c r="U115" s="366">
        <f t="shared" si="23"/>
        <v>0</v>
      </c>
      <c r="V115" s="97">
        <v>-0.16</v>
      </c>
      <c r="W115" s="13">
        <f>RTD("money.excel",,"4414","Price")</f>
        <v>6.1</v>
      </c>
      <c r="X115" s="67"/>
      <c r="Y115" s="15">
        <f t="shared" si="18"/>
        <v>6.1</v>
      </c>
      <c r="Z115" s="3" t="e">
        <f t="shared" si="19"/>
        <v>#DIV/0!</v>
      </c>
      <c r="AB115" s="22" t="s">
        <v>803</v>
      </c>
      <c r="AE115" s="33">
        <f t="shared" si="20"/>
        <v>0</v>
      </c>
      <c r="AF115" s="43" t="s">
        <v>2905</v>
      </c>
      <c r="AG115" s="128"/>
      <c r="AI115" s="64">
        <f t="shared" si="24"/>
        <v>3.343520782396088E-3</v>
      </c>
      <c r="AJ115" s="313">
        <f>RTD("money.excel",,$G115,"PredictVolume")</f>
        <v>2735</v>
      </c>
      <c r="AK115" s="348"/>
    </row>
    <row r="116" spans="1:37">
      <c r="A116" s="132" t="s">
        <v>2659</v>
      </c>
      <c r="B116" s="93">
        <v>72</v>
      </c>
      <c r="C116" s="93">
        <v>4</v>
      </c>
      <c r="D116" s="93">
        <v>-7</v>
      </c>
      <c r="E116" s="93">
        <v>57</v>
      </c>
      <c r="F116" s="58">
        <v>13.72</v>
      </c>
      <c r="G116" s="81">
        <v>4417</v>
      </c>
      <c r="H116" s="8" t="s">
        <v>3910</v>
      </c>
      <c r="I116" s="16" t="s">
        <v>763</v>
      </c>
      <c r="J116" s="75">
        <v>46.56</v>
      </c>
      <c r="K116" s="75">
        <v>2.93</v>
      </c>
      <c r="L116" s="75">
        <v>1.31</v>
      </c>
      <c r="N116" s="325">
        <f t="shared" si="22"/>
        <v>50.800000000000004</v>
      </c>
      <c r="O116" s="27"/>
      <c r="P116" s="56"/>
      <c r="Q116" s="26"/>
      <c r="S116" s="330">
        <v>24.13</v>
      </c>
      <c r="T116" s="34">
        <v>2.5</v>
      </c>
      <c r="U116" s="366">
        <f t="shared" si="23"/>
        <v>7.2150072150072159E-2</v>
      </c>
      <c r="V116" s="97">
        <v>3.76</v>
      </c>
      <c r="W116" s="36">
        <f>RTD("money.excel",,"4417","Price")</f>
        <v>34.65</v>
      </c>
      <c r="X116" s="67"/>
      <c r="Y116" s="15">
        <f t="shared" si="18"/>
        <v>34.65</v>
      </c>
      <c r="Z116" s="3" t="e">
        <f t="shared" si="19"/>
        <v>#DIV/0!</v>
      </c>
      <c r="AB116" s="16" t="s">
        <v>763</v>
      </c>
      <c r="AE116" s="33">
        <f t="shared" si="20"/>
        <v>0</v>
      </c>
      <c r="AF116" s="43" t="s">
        <v>3158</v>
      </c>
      <c r="AG116" s="128"/>
      <c r="AI116" s="64">
        <f t="shared" si="24"/>
        <v>5.3571428571428574E-4</v>
      </c>
      <c r="AJ116" s="313">
        <f>RTD("money.excel",,$G116,"PredictVolume")</f>
        <v>45</v>
      </c>
      <c r="AK116" s="348"/>
    </row>
    <row r="117" spans="1:37">
      <c r="A117" s="148" t="s">
        <v>3588</v>
      </c>
      <c r="B117" s="93">
        <v>-183</v>
      </c>
      <c r="C117" s="93">
        <v>10</v>
      </c>
      <c r="D117" s="93">
        <v>497</v>
      </c>
      <c r="E117" s="93">
        <v>633</v>
      </c>
      <c r="F117" s="6">
        <v>-31</v>
      </c>
      <c r="G117" s="81">
        <v>4419</v>
      </c>
      <c r="H117" s="8" t="s">
        <v>3910</v>
      </c>
      <c r="I117" s="16" t="s">
        <v>764</v>
      </c>
      <c r="J117" s="75">
        <v>77.37</v>
      </c>
      <c r="K117" s="75">
        <v>0.01</v>
      </c>
      <c r="N117" s="325">
        <f t="shared" si="22"/>
        <v>77.38000000000001</v>
      </c>
      <c r="O117" s="27"/>
      <c r="P117" s="56"/>
      <c r="Q117" s="26"/>
      <c r="S117" s="330">
        <v>41.31</v>
      </c>
      <c r="T117" s="34">
        <v>0</v>
      </c>
      <c r="U117" s="366" t="e">
        <f t="shared" si="23"/>
        <v>#VALUE!</v>
      </c>
      <c r="V117" s="97">
        <v>-1.38</v>
      </c>
      <c r="W117" s="13" t="str">
        <f>RTD("money.excel",,"4419","Price")</f>
        <v>無資料</v>
      </c>
      <c r="X117" s="67"/>
      <c r="Y117" s="15" t="e">
        <f t="shared" si="18"/>
        <v>#VALUE!</v>
      </c>
      <c r="Z117" s="3" t="e">
        <f t="shared" si="19"/>
        <v>#VALUE!</v>
      </c>
      <c r="AB117" s="16" t="s">
        <v>764</v>
      </c>
      <c r="AE117" s="33">
        <f t="shared" si="20"/>
        <v>0</v>
      </c>
      <c r="AF117" s="43" t="s">
        <v>1602</v>
      </c>
      <c r="AG117" s="128"/>
      <c r="AI117" s="64">
        <f t="shared" si="24"/>
        <v>0</v>
      </c>
      <c r="AJ117" s="313">
        <f>RTD("money.excel",,$G117,"PredictVolume")</f>
        <v>0</v>
      </c>
      <c r="AK117" s="348"/>
    </row>
    <row r="118" spans="1:37">
      <c r="A118" s="148" t="s">
        <v>3609</v>
      </c>
      <c r="B118" s="93">
        <v>-106</v>
      </c>
      <c r="C118" s="93">
        <v>-101</v>
      </c>
      <c r="D118" s="93">
        <v>-14</v>
      </c>
      <c r="E118" s="93">
        <v>45</v>
      </c>
      <c r="F118" s="6">
        <v>6.2</v>
      </c>
      <c r="G118" s="81">
        <v>4420</v>
      </c>
      <c r="H118" s="8" t="s">
        <v>3910</v>
      </c>
      <c r="I118" s="16" t="s">
        <v>765</v>
      </c>
      <c r="J118" s="75">
        <v>71.69</v>
      </c>
      <c r="K118" s="75">
        <v>0</v>
      </c>
      <c r="L118" s="75">
        <v>6.32</v>
      </c>
      <c r="N118" s="325">
        <f t="shared" si="22"/>
        <v>78.009999999999991</v>
      </c>
      <c r="O118" s="27"/>
      <c r="P118" s="56"/>
      <c r="Q118" s="26"/>
      <c r="S118" s="330">
        <v>43.68</v>
      </c>
      <c r="T118" s="34">
        <v>2</v>
      </c>
      <c r="U118" s="366">
        <f t="shared" si="23"/>
        <v>6.0975609756097567E-2</v>
      </c>
      <c r="V118" s="97">
        <v>-0.46</v>
      </c>
      <c r="W118" s="13">
        <f>RTD("money.excel",,"4420","Price")</f>
        <v>32.799999999999997</v>
      </c>
      <c r="X118" s="67"/>
      <c r="Y118" s="15">
        <f t="shared" si="18"/>
        <v>32.799999999999997</v>
      </c>
      <c r="Z118" s="3" t="e">
        <f t="shared" si="19"/>
        <v>#DIV/0!</v>
      </c>
      <c r="AB118" s="16" t="s">
        <v>765</v>
      </c>
      <c r="AE118" s="33">
        <f t="shared" si="20"/>
        <v>0</v>
      </c>
      <c r="AF118" s="43" t="s">
        <v>3159</v>
      </c>
      <c r="AG118" s="128"/>
      <c r="AI118" s="64">
        <f t="shared" si="24"/>
        <v>1.4814814814814815E-4</v>
      </c>
      <c r="AJ118" s="313">
        <f>RTD("money.excel",,$G118,"PredictVolume")</f>
        <v>6</v>
      </c>
      <c r="AK118" s="348"/>
    </row>
    <row r="119" spans="1:37">
      <c r="A119" s="148" t="s">
        <v>1810</v>
      </c>
      <c r="B119" s="93">
        <v>16</v>
      </c>
      <c r="C119" s="93">
        <v>25</v>
      </c>
      <c r="D119" s="93">
        <v>-9</v>
      </c>
      <c r="E119" s="93">
        <v>17</v>
      </c>
      <c r="F119" s="6">
        <v>-11.71</v>
      </c>
      <c r="G119" s="81">
        <v>4426</v>
      </c>
      <c r="H119" s="8" t="s">
        <v>3910</v>
      </c>
      <c r="I119" s="22" t="s">
        <v>804</v>
      </c>
      <c r="J119" s="330">
        <v>63.11</v>
      </c>
      <c r="K119" s="330">
        <v>9.69</v>
      </c>
      <c r="L119" s="75">
        <v>13.68</v>
      </c>
      <c r="N119" s="325">
        <f t="shared" si="22"/>
        <v>86.47999999999999</v>
      </c>
      <c r="O119" s="27"/>
      <c r="P119" s="56"/>
      <c r="Q119" s="26"/>
      <c r="S119" s="330">
        <v>32.22</v>
      </c>
      <c r="T119" s="34">
        <v>0</v>
      </c>
      <c r="U119" s="366">
        <f t="shared" si="23"/>
        <v>0</v>
      </c>
      <c r="V119" s="58">
        <v>-0.65</v>
      </c>
      <c r="W119" s="36">
        <f>RTD("money.excel",,"4426","Price")</f>
        <v>22.55</v>
      </c>
      <c r="X119" s="67"/>
      <c r="Y119" s="15">
        <f t="shared" si="18"/>
        <v>22.55</v>
      </c>
      <c r="Z119" s="3" t="e">
        <f t="shared" si="19"/>
        <v>#DIV/0!</v>
      </c>
      <c r="AB119" s="22" t="s">
        <v>804</v>
      </c>
      <c r="AE119" s="33">
        <f t="shared" si="20"/>
        <v>0</v>
      </c>
      <c r="AF119" s="43" t="s">
        <v>1605</v>
      </c>
      <c r="AG119" s="128"/>
      <c r="AI119" s="64">
        <f t="shared" si="24"/>
        <v>4.3023255813953487E-4</v>
      </c>
      <c r="AJ119" s="313">
        <f>RTD("money.excel",,$G119,"PredictVolume")</f>
        <v>74</v>
      </c>
      <c r="AK119" s="348"/>
    </row>
    <row r="120" spans="1:37">
      <c r="A120" s="148" t="s">
        <v>1738</v>
      </c>
      <c r="B120" s="93">
        <v>86</v>
      </c>
      <c r="C120" s="93">
        <v>-89</v>
      </c>
      <c r="D120" s="93">
        <v>-1</v>
      </c>
      <c r="E120" s="93">
        <v>4</v>
      </c>
      <c r="F120" s="6">
        <v>0.21</v>
      </c>
      <c r="G120" s="81">
        <v>4429</v>
      </c>
      <c r="H120" s="8" t="s">
        <v>3910</v>
      </c>
      <c r="I120" s="16" t="s">
        <v>766</v>
      </c>
      <c r="J120" s="75">
        <v>68.53</v>
      </c>
      <c r="K120" s="75">
        <v>1.56</v>
      </c>
      <c r="L120" s="75">
        <v>0.93</v>
      </c>
      <c r="N120" s="325">
        <f t="shared" si="22"/>
        <v>71.02000000000001</v>
      </c>
      <c r="O120" s="27"/>
      <c r="P120" s="56"/>
      <c r="Q120" s="26"/>
      <c r="S120" s="330">
        <v>18.989999999999998</v>
      </c>
      <c r="T120" s="34">
        <v>0</v>
      </c>
      <c r="U120" s="366">
        <f t="shared" si="23"/>
        <v>0</v>
      </c>
      <c r="V120" s="97">
        <v>-1.24</v>
      </c>
      <c r="W120" s="13">
        <f>RTD("money.excel",,"4429","Price")</f>
        <v>39.85</v>
      </c>
      <c r="X120" s="67"/>
      <c r="Y120" s="15">
        <f t="shared" si="18"/>
        <v>39.85</v>
      </c>
      <c r="Z120" s="3" t="e">
        <f t="shared" si="19"/>
        <v>#DIV/0!</v>
      </c>
      <c r="AB120" s="16" t="s">
        <v>766</v>
      </c>
      <c r="AE120" s="33">
        <f t="shared" si="20"/>
        <v>0</v>
      </c>
      <c r="AF120" s="43" t="s">
        <v>3160</v>
      </c>
      <c r="AG120" s="269"/>
      <c r="AI120" s="64">
        <f t="shared" si="24"/>
        <v>1.1627906976744187E-4</v>
      </c>
      <c r="AJ120" s="313">
        <f>RTD("money.excel",,$G120,"PredictVolume")</f>
        <v>4</v>
      </c>
      <c r="AK120" s="348"/>
    </row>
    <row r="121" spans="1:37">
      <c r="A121" s="148" t="s">
        <v>3610</v>
      </c>
      <c r="B121" s="81">
        <v>88</v>
      </c>
      <c r="C121" s="81">
        <v>54</v>
      </c>
      <c r="D121" s="82">
        <v>-43</v>
      </c>
      <c r="E121" s="82">
        <v>-38</v>
      </c>
      <c r="F121" s="6">
        <v>-0.99</v>
      </c>
      <c r="G121" s="81">
        <v>4432</v>
      </c>
      <c r="H121" s="17" t="s">
        <v>3910</v>
      </c>
      <c r="I121" s="173" t="s">
        <v>4459</v>
      </c>
      <c r="J121" s="330">
        <v>46.43</v>
      </c>
      <c r="K121" s="75">
        <v>0.95</v>
      </c>
      <c r="L121" s="75">
        <v>7.88</v>
      </c>
      <c r="N121" s="325">
        <f t="shared" si="22"/>
        <v>55.260000000000005</v>
      </c>
      <c r="O121" s="27"/>
      <c r="P121" s="56"/>
      <c r="Q121" s="26"/>
      <c r="S121" s="330">
        <v>0</v>
      </c>
      <c r="T121" s="199">
        <v>0</v>
      </c>
      <c r="U121" s="366">
        <f t="shared" si="23"/>
        <v>0</v>
      </c>
      <c r="V121" s="97">
        <v>-0.18</v>
      </c>
      <c r="W121" s="36">
        <f>RTD("money.excel",,"4432","Price")</f>
        <v>14.75</v>
      </c>
      <c r="X121" s="67"/>
      <c r="Y121" s="15">
        <f t="shared" si="18"/>
        <v>14.75</v>
      </c>
      <c r="Z121" s="3" t="e">
        <f t="shared" si="19"/>
        <v>#DIV/0!</v>
      </c>
      <c r="AB121" s="16" t="s">
        <v>4459</v>
      </c>
      <c r="AE121" s="33">
        <f t="shared" si="20"/>
        <v>0</v>
      </c>
      <c r="AF121" s="43" t="s">
        <v>1516</v>
      </c>
      <c r="AG121" s="128"/>
      <c r="AI121" s="64">
        <f t="shared" si="24"/>
        <v>1.1264822134387352E-4</v>
      </c>
      <c r="AJ121" s="313">
        <f>RTD("money.excel",,$G121,"PredictVolume")</f>
        <v>57</v>
      </c>
      <c r="AK121" s="348"/>
    </row>
    <row r="122" spans="1:37">
      <c r="A122" s="148" t="s">
        <v>2470</v>
      </c>
      <c r="B122" s="95">
        <v>1721</v>
      </c>
      <c r="C122" s="81">
        <v>109</v>
      </c>
      <c r="D122" s="81">
        <v>101</v>
      </c>
      <c r="E122" s="81">
        <v>51</v>
      </c>
      <c r="F122" s="6">
        <v>4.4800000000000004</v>
      </c>
      <c r="G122" s="81">
        <v>4433</v>
      </c>
      <c r="H122" s="8" t="s">
        <v>3910</v>
      </c>
      <c r="I122" s="16" t="s">
        <v>768</v>
      </c>
      <c r="J122" s="330">
        <v>47.97</v>
      </c>
      <c r="K122" s="75">
        <v>0.75</v>
      </c>
      <c r="L122" s="75">
        <v>8.67</v>
      </c>
      <c r="N122" s="325">
        <f t="shared" si="22"/>
        <v>57.39</v>
      </c>
      <c r="O122" s="27"/>
      <c r="P122" s="56"/>
      <c r="Q122" s="26"/>
      <c r="S122" s="330">
        <v>7.0000000000000007E-2</v>
      </c>
      <c r="T122" s="34">
        <v>2</v>
      </c>
      <c r="U122" s="366">
        <f t="shared" si="23"/>
        <v>6.6777963272120197E-2</v>
      </c>
      <c r="V122" s="97">
        <v>7.84</v>
      </c>
      <c r="W122" s="36">
        <f>RTD("money.excel",,"4433","Price")</f>
        <v>29.95</v>
      </c>
      <c r="X122" s="67"/>
      <c r="Y122" s="15">
        <f t="shared" si="18"/>
        <v>29.95</v>
      </c>
      <c r="Z122" s="3" t="e">
        <f t="shared" si="19"/>
        <v>#DIV/0!</v>
      </c>
      <c r="AA122" s="174" t="s">
        <v>1943</v>
      </c>
      <c r="AB122" s="16" t="s">
        <v>768</v>
      </c>
      <c r="AE122" s="33">
        <f t="shared" si="20"/>
        <v>0</v>
      </c>
      <c r="AF122" s="43" t="s">
        <v>4080</v>
      </c>
      <c r="AG122" s="128"/>
      <c r="AI122" s="64">
        <f t="shared" si="24"/>
        <v>8.0851063829787237E-4</v>
      </c>
      <c r="AJ122" s="313">
        <f>RTD("money.excel",,$G122,"PredictVolume")</f>
        <v>38</v>
      </c>
      <c r="AK122" s="348"/>
    </row>
    <row r="123" spans="1:37">
      <c r="A123" s="148" t="s">
        <v>1856</v>
      </c>
      <c r="B123" s="93">
        <v>-54</v>
      </c>
      <c r="C123" s="93">
        <v>-65</v>
      </c>
      <c r="D123" s="93">
        <v>17</v>
      </c>
      <c r="E123" s="93">
        <v>-17</v>
      </c>
      <c r="F123" s="6">
        <v>4.3899999999999997</v>
      </c>
      <c r="G123" s="81">
        <v>4438</v>
      </c>
      <c r="H123" s="8" t="s">
        <v>3910</v>
      </c>
      <c r="I123" s="22" t="s">
        <v>805</v>
      </c>
      <c r="J123" s="75">
        <v>63.37</v>
      </c>
      <c r="K123" s="75">
        <v>3.77</v>
      </c>
      <c r="L123" s="75">
        <v>4.4000000000000004</v>
      </c>
      <c r="N123" s="325">
        <f t="shared" si="22"/>
        <v>71.540000000000006</v>
      </c>
      <c r="O123" s="27"/>
      <c r="P123" s="56"/>
      <c r="Q123" s="26"/>
      <c r="S123" s="330">
        <v>46.8</v>
      </c>
      <c r="T123" s="67">
        <v>3.2</v>
      </c>
      <c r="U123" s="366">
        <f t="shared" si="23"/>
        <v>2.8444444444444446E-2</v>
      </c>
      <c r="V123" s="58">
        <v>5.2</v>
      </c>
      <c r="W123" s="36">
        <f>RTD("money.excel",,"4438","Price")</f>
        <v>112.5</v>
      </c>
      <c r="X123" s="67"/>
      <c r="Y123" s="15">
        <f t="shared" si="18"/>
        <v>112.5</v>
      </c>
      <c r="Z123" s="3" t="e">
        <f t="shared" si="19"/>
        <v>#DIV/0!</v>
      </c>
      <c r="AA123" s="174" t="s">
        <v>2185</v>
      </c>
      <c r="AB123" s="22" t="s">
        <v>805</v>
      </c>
      <c r="AE123" s="33">
        <f t="shared" si="20"/>
        <v>0</v>
      </c>
      <c r="AF123" s="43" t="s">
        <v>3698</v>
      </c>
      <c r="AG123" s="128"/>
      <c r="AI123" s="64">
        <f t="shared" si="24"/>
        <v>6.6990291262135923E-4</v>
      </c>
      <c r="AJ123" s="313">
        <f>RTD("money.excel",,$G123,"PredictVolume")</f>
        <v>69</v>
      </c>
      <c r="AK123" s="348"/>
    </row>
    <row r="124" spans="1:37">
      <c r="A124" s="148" t="s">
        <v>1678</v>
      </c>
      <c r="B124" s="82">
        <v>-35</v>
      </c>
      <c r="C124" s="82">
        <v>-40</v>
      </c>
      <c r="D124" s="81">
        <v>17</v>
      </c>
      <c r="E124" s="82">
        <v>-13</v>
      </c>
      <c r="F124" s="6">
        <v>7.24</v>
      </c>
      <c r="G124" s="81">
        <v>4439</v>
      </c>
      <c r="H124" s="8" t="s">
        <v>3910</v>
      </c>
      <c r="I124" s="22" t="s">
        <v>2025</v>
      </c>
      <c r="J124" s="75">
        <v>71.319999999999993</v>
      </c>
      <c r="K124" s="330">
        <v>63.98</v>
      </c>
      <c r="L124" s="330">
        <v>2.13</v>
      </c>
      <c r="N124" s="325">
        <f t="shared" si="22"/>
        <v>137.42999999999998</v>
      </c>
      <c r="O124" s="27"/>
      <c r="P124" s="56"/>
      <c r="Q124" s="26"/>
      <c r="S124" s="330">
        <v>0</v>
      </c>
      <c r="T124" s="67">
        <v>6.5</v>
      </c>
      <c r="U124" s="366">
        <f t="shared" si="23"/>
        <v>4.9808429118773943E-2</v>
      </c>
      <c r="V124" s="97">
        <v>13.24</v>
      </c>
      <c r="W124" s="13">
        <f>RTD("money.excel",,"4439","Price")</f>
        <v>130.5</v>
      </c>
      <c r="X124" s="67"/>
      <c r="Y124" s="15">
        <f t="shared" si="18"/>
        <v>130.5</v>
      </c>
      <c r="Z124" s="3" t="e">
        <f t="shared" si="19"/>
        <v>#DIV/0!</v>
      </c>
      <c r="AA124" s="174" t="s">
        <v>2185</v>
      </c>
      <c r="AB124" s="22" t="s">
        <v>2025</v>
      </c>
      <c r="AE124" s="33">
        <f t="shared" si="20"/>
        <v>0</v>
      </c>
      <c r="AF124" s="43" t="s">
        <v>2906</v>
      </c>
      <c r="AG124" s="128"/>
      <c r="AI124" s="64">
        <f t="shared" si="24"/>
        <v>3.4920634920634918E-4</v>
      </c>
      <c r="AJ124" s="313">
        <f>RTD("money.excel",,$G124,"PredictVolume")</f>
        <v>11</v>
      </c>
      <c r="AK124" s="348"/>
    </row>
    <row r="125" spans="1:37">
      <c r="A125" s="132" t="s">
        <v>2012</v>
      </c>
      <c r="B125" s="81">
        <v>242</v>
      </c>
      <c r="C125" s="81">
        <v>182</v>
      </c>
      <c r="D125" s="81">
        <v>7</v>
      </c>
      <c r="E125" s="81">
        <v>36</v>
      </c>
      <c r="F125" s="58">
        <v>20.91</v>
      </c>
      <c r="G125" s="81">
        <v>4440</v>
      </c>
      <c r="H125" s="8" t="s">
        <v>3910</v>
      </c>
      <c r="I125" s="22" t="s">
        <v>4295</v>
      </c>
      <c r="J125" s="75">
        <v>34.19</v>
      </c>
      <c r="K125" s="75">
        <v>0.7</v>
      </c>
      <c r="M125" s="75"/>
      <c r="N125" s="325">
        <f t="shared" si="22"/>
        <v>34.89</v>
      </c>
      <c r="O125" s="27"/>
      <c r="P125" s="56"/>
      <c r="Q125" s="26"/>
      <c r="T125" s="67">
        <v>4.4000000000000004</v>
      </c>
      <c r="U125" s="366">
        <f t="shared" si="23"/>
        <v>9.3220338983050849E-2</v>
      </c>
      <c r="V125" s="97">
        <v>5.67</v>
      </c>
      <c r="W125" s="36">
        <f>RTD("money.excel",,"4440","Price")</f>
        <v>47.2</v>
      </c>
      <c r="X125" s="67"/>
      <c r="Y125" s="15">
        <f t="shared" si="18"/>
        <v>47.2</v>
      </c>
      <c r="Z125" s="3" t="e">
        <f t="shared" si="19"/>
        <v>#DIV/0!</v>
      </c>
      <c r="AA125" s="174" t="s">
        <v>1986</v>
      </c>
      <c r="AB125" s="22" t="s">
        <v>4295</v>
      </c>
      <c r="AE125" s="33">
        <f t="shared" si="20"/>
        <v>0</v>
      </c>
      <c r="AF125" s="43" t="s">
        <v>4299</v>
      </c>
      <c r="AG125" s="128"/>
      <c r="AI125" s="64">
        <f t="shared" si="24"/>
        <v>2.0857988165680474E-3</v>
      </c>
      <c r="AJ125" s="313">
        <f>RTD("money.excel",,$G125,"PredictVolume")</f>
        <v>141</v>
      </c>
      <c r="AK125" s="348"/>
    </row>
    <row r="126" spans="1:37">
      <c r="B126" s="81"/>
      <c r="C126" s="81"/>
      <c r="D126" s="81"/>
      <c r="E126" s="81"/>
      <c r="F126" s="58"/>
      <c r="G126" s="81"/>
      <c r="H126" s="8"/>
      <c r="I126" s="22"/>
      <c r="J126" s="75"/>
      <c r="K126" s="75"/>
      <c r="M126" s="75"/>
      <c r="N126" s="325"/>
      <c r="O126" s="27"/>
      <c r="P126" s="56"/>
      <c r="Q126" s="26"/>
      <c r="T126" s="67"/>
      <c r="V126" s="97"/>
      <c r="W126" s="36"/>
      <c r="X126" s="67"/>
      <c r="Y126" s="15"/>
      <c r="Z126" s="3"/>
      <c r="AB126" s="22"/>
      <c r="AE126" s="33"/>
      <c r="AF126" s="43"/>
      <c r="AG126" s="128"/>
      <c r="AI126" s="64"/>
      <c r="AJ126" s="313"/>
      <c r="AK126" s="348"/>
    </row>
    <row r="127" spans="1:37">
      <c r="A127" s="132" t="s">
        <v>1854</v>
      </c>
      <c r="B127" s="93" t="s">
        <v>1657</v>
      </c>
      <c r="C127" s="93" t="s">
        <v>1658</v>
      </c>
      <c r="D127" s="93" t="s">
        <v>1659</v>
      </c>
      <c r="E127" s="93" t="s">
        <v>1660</v>
      </c>
      <c r="F127" s="8" t="s">
        <v>1122</v>
      </c>
      <c r="G127" s="27" t="s">
        <v>559</v>
      </c>
      <c r="H127" s="55" t="s">
        <v>342</v>
      </c>
      <c r="I127" s="50" t="s">
        <v>313</v>
      </c>
      <c r="J127" s="324" t="s">
        <v>1529</v>
      </c>
      <c r="K127" s="324" t="s">
        <v>1217</v>
      </c>
      <c r="L127" s="324" t="s">
        <v>298</v>
      </c>
      <c r="M127" s="324" t="s">
        <v>1115</v>
      </c>
      <c r="N127" s="324" t="s">
        <v>6091</v>
      </c>
      <c r="O127" s="27" t="s">
        <v>6253</v>
      </c>
      <c r="P127" s="56" t="s">
        <v>6219</v>
      </c>
      <c r="Q127" s="26" t="s">
        <v>6313</v>
      </c>
      <c r="R127" s="309" t="s">
        <v>4371</v>
      </c>
      <c r="S127" s="335" t="s">
        <v>4398</v>
      </c>
      <c r="T127" s="10" t="s">
        <v>75</v>
      </c>
      <c r="U127" s="364" t="s">
        <v>6152</v>
      </c>
      <c r="V127" s="69" t="s">
        <v>4022</v>
      </c>
      <c r="W127" s="28" t="s">
        <v>2</v>
      </c>
      <c r="X127" s="17" t="s">
        <v>1465</v>
      </c>
      <c r="Y127" s="14" t="s">
        <v>5</v>
      </c>
      <c r="Z127" s="21" t="s">
        <v>3</v>
      </c>
      <c r="AA127" s="322" t="s">
        <v>117</v>
      </c>
      <c r="AB127" s="50" t="s">
        <v>313</v>
      </c>
      <c r="AC127" s="73" t="s">
        <v>1466</v>
      </c>
      <c r="AD127" s="74" t="s">
        <v>1223</v>
      </c>
      <c r="AE127" s="32" t="s">
        <v>1224</v>
      </c>
      <c r="AF127" s="43"/>
      <c r="AG127" s="128"/>
      <c r="AI127" s="8" t="s">
        <v>4414</v>
      </c>
      <c r="AJ127" s="50" t="s">
        <v>4121</v>
      </c>
      <c r="AK127" s="348" t="s">
        <v>6074</v>
      </c>
    </row>
    <row r="128" spans="1:37">
      <c r="A128" s="148" t="s">
        <v>2354</v>
      </c>
      <c r="B128" s="81">
        <v>0</v>
      </c>
      <c r="C128" s="81">
        <v>10</v>
      </c>
      <c r="D128" s="82">
        <v>-11</v>
      </c>
      <c r="E128" s="82">
        <v>-1</v>
      </c>
      <c r="F128" s="6">
        <v>9.4</v>
      </c>
      <c r="G128" s="81">
        <v>1503</v>
      </c>
      <c r="H128" s="8" t="s">
        <v>313</v>
      </c>
      <c r="I128" s="22" t="s">
        <v>588</v>
      </c>
      <c r="J128" s="75">
        <v>86.71</v>
      </c>
      <c r="K128" s="75">
        <v>31.98</v>
      </c>
      <c r="L128" s="75">
        <v>0.21</v>
      </c>
      <c r="N128" s="325">
        <f t="shared" ref="N128" si="25">J128+K128+L128+M128</f>
        <v>118.89999999999999</v>
      </c>
      <c r="O128" s="27"/>
      <c r="P128" s="56"/>
      <c r="Q128" s="26"/>
      <c r="S128" s="330">
        <v>0</v>
      </c>
      <c r="T128" s="34">
        <v>1.6</v>
      </c>
      <c r="U128" s="366">
        <f t="shared" ref="U128:U159" si="26">T128/W128</f>
        <v>3.053435114503817E-2</v>
      </c>
      <c r="V128" s="97">
        <v>2.93</v>
      </c>
      <c r="W128" s="36">
        <f>RTD("money.excel",,"1503","Price")</f>
        <v>52.4</v>
      </c>
      <c r="X128" s="67"/>
      <c r="Y128" s="15">
        <f t="shared" ref="Y128:Y191" si="27">W128-X128</f>
        <v>52.4</v>
      </c>
      <c r="Z128" s="3" t="e">
        <f t="shared" ref="Z128:Z191" si="28">Y128/X128</f>
        <v>#DIV/0!</v>
      </c>
      <c r="AA128" s="174" t="s">
        <v>1943</v>
      </c>
      <c r="AB128" s="22" t="s">
        <v>588</v>
      </c>
      <c r="AE128" s="33">
        <f t="shared" ref="AE128:AE191" si="29">AD128-AC128</f>
        <v>0</v>
      </c>
      <c r="AF128" s="43" t="s">
        <v>2355</v>
      </c>
      <c r="AG128" s="269"/>
      <c r="AI128" s="64">
        <f t="shared" ref="AI128:AI159" si="30">AJ128/(A128*10000)</f>
        <v>2.7639155470249522E-4</v>
      </c>
      <c r="AJ128" s="313">
        <f>RTD("money.excel",,$G128,"PredictVolume")</f>
        <v>144</v>
      </c>
      <c r="AK128" s="348"/>
    </row>
    <row r="129" spans="1:37">
      <c r="A129" s="148" t="s">
        <v>2786</v>
      </c>
      <c r="B129" s="81">
        <v>1</v>
      </c>
      <c r="C129" s="82">
        <v>-7</v>
      </c>
      <c r="D129" s="81">
        <v>9</v>
      </c>
      <c r="E129" s="81">
        <v>0</v>
      </c>
      <c r="F129" s="6">
        <v>0</v>
      </c>
      <c r="G129" s="81">
        <v>1504</v>
      </c>
      <c r="H129" s="8" t="s">
        <v>313</v>
      </c>
      <c r="I129" s="22" t="s">
        <v>4460</v>
      </c>
      <c r="J129" s="330">
        <v>78.599999999999994</v>
      </c>
      <c r="K129" s="330">
        <v>28.95</v>
      </c>
      <c r="L129" s="330">
        <v>0.92</v>
      </c>
      <c r="N129" s="325">
        <f t="shared" ref="N129:N191" si="31">J129+K129+L129+M129</f>
        <v>108.47</v>
      </c>
      <c r="O129" s="27"/>
      <c r="P129" s="56"/>
      <c r="Q129" s="26"/>
      <c r="S129" s="330">
        <v>0</v>
      </c>
      <c r="T129" s="34">
        <v>1.1499999999999999</v>
      </c>
      <c r="U129" s="366">
        <f t="shared" si="26"/>
        <v>3.8983050847457623E-2</v>
      </c>
      <c r="V129" s="97">
        <v>1.81</v>
      </c>
      <c r="W129" s="36">
        <f>RTD("money.excel",,"1504","Price")</f>
        <v>29.5</v>
      </c>
      <c r="X129" s="67"/>
      <c r="Y129" s="15">
        <f t="shared" si="27"/>
        <v>29.5</v>
      </c>
      <c r="Z129" s="3" t="e">
        <f t="shared" si="28"/>
        <v>#DIV/0!</v>
      </c>
      <c r="AA129" s="174" t="s">
        <v>1943</v>
      </c>
      <c r="AB129" s="22" t="s">
        <v>4460</v>
      </c>
      <c r="AE129" s="33">
        <f t="shared" si="29"/>
        <v>0</v>
      </c>
      <c r="AF129" s="122" t="s">
        <v>1480</v>
      </c>
      <c r="AG129" s="128"/>
      <c r="AI129" s="64">
        <f t="shared" si="30"/>
        <v>5.23943661971831E-4</v>
      </c>
      <c r="AJ129" s="313">
        <f>RTD("money.excel",,$G129,"PredictVolume")</f>
        <v>1116</v>
      </c>
      <c r="AK129" s="348"/>
    </row>
    <row r="130" spans="1:37">
      <c r="A130" s="148" t="s">
        <v>2179</v>
      </c>
      <c r="B130" s="82">
        <v>-172</v>
      </c>
      <c r="C130" s="82">
        <v>-32</v>
      </c>
      <c r="D130" s="81">
        <v>29</v>
      </c>
      <c r="E130" s="82">
        <v>-24</v>
      </c>
      <c r="F130" s="6">
        <v>-23.42</v>
      </c>
      <c r="G130" s="81">
        <v>1506</v>
      </c>
      <c r="H130" s="8" t="s">
        <v>313</v>
      </c>
      <c r="I130" s="22" t="s">
        <v>589</v>
      </c>
      <c r="J130" s="75">
        <v>69.260000000000005</v>
      </c>
      <c r="K130" s="75">
        <v>1.1599999999999999</v>
      </c>
      <c r="L130" s="330">
        <v>0</v>
      </c>
      <c r="N130" s="325">
        <f t="shared" si="31"/>
        <v>70.42</v>
      </c>
      <c r="O130" s="27"/>
      <c r="P130" s="56"/>
      <c r="Q130" s="26"/>
      <c r="S130" s="330">
        <v>6.65</v>
      </c>
      <c r="T130" s="34">
        <v>0</v>
      </c>
      <c r="U130" s="366">
        <f t="shared" si="26"/>
        <v>0</v>
      </c>
      <c r="V130" s="97">
        <v>-2.2400000000000002</v>
      </c>
      <c r="W130" s="36">
        <f>RTD("money.excel",,"1506","Price")</f>
        <v>14.05</v>
      </c>
      <c r="X130" s="67"/>
      <c r="Y130" s="15">
        <f t="shared" si="27"/>
        <v>14.05</v>
      </c>
      <c r="Z130" s="3" t="e">
        <f t="shared" si="28"/>
        <v>#DIV/0!</v>
      </c>
      <c r="AB130" s="22" t="s">
        <v>589</v>
      </c>
      <c r="AE130" s="33">
        <f t="shared" si="29"/>
        <v>0</v>
      </c>
      <c r="AF130" s="43" t="s">
        <v>3258</v>
      </c>
      <c r="AG130" s="128"/>
      <c r="AI130" s="64">
        <f t="shared" si="30"/>
        <v>1.165644171779141E-3</v>
      </c>
      <c r="AJ130" s="313">
        <f>RTD("money.excel",,$G130,"PredictVolume")</f>
        <v>190</v>
      </c>
      <c r="AK130" s="348"/>
    </row>
    <row r="131" spans="1:37">
      <c r="A131" s="148" t="s">
        <v>2430</v>
      </c>
      <c r="B131" s="81">
        <v>119</v>
      </c>
      <c r="C131" s="81">
        <v>82</v>
      </c>
      <c r="D131" s="81">
        <v>5</v>
      </c>
      <c r="E131" s="81">
        <v>23</v>
      </c>
      <c r="F131" s="6">
        <v>8.9499999999999993</v>
      </c>
      <c r="G131" s="81">
        <v>1507</v>
      </c>
      <c r="H131" s="8" t="s">
        <v>313</v>
      </c>
      <c r="I131" s="22" t="s">
        <v>590</v>
      </c>
      <c r="J131" s="330">
        <v>88.53</v>
      </c>
      <c r="K131" s="75">
        <v>31.06</v>
      </c>
      <c r="L131" s="330">
        <v>0.24</v>
      </c>
      <c r="N131" s="325">
        <f t="shared" si="31"/>
        <v>119.83</v>
      </c>
      <c r="O131" s="27"/>
      <c r="P131" s="56"/>
      <c r="Q131" s="26"/>
      <c r="S131" s="330">
        <v>0</v>
      </c>
      <c r="T131" s="34">
        <v>1.9</v>
      </c>
      <c r="U131" s="366">
        <f t="shared" si="26"/>
        <v>2.9457364341085271E-2</v>
      </c>
      <c r="V131" s="97">
        <v>3.2</v>
      </c>
      <c r="W131" s="36">
        <f>RTD("money.excel",,"1507","Price")</f>
        <v>64.5</v>
      </c>
      <c r="X131" s="67"/>
      <c r="Y131" s="15">
        <f t="shared" si="27"/>
        <v>64.5</v>
      </c>
      <c r="Z131" s="3" t="e">
        <f t="shared" si="28"/>
        <v>#DIV/0!</v>
      </c>
      <c r="AA131" s="174" t="s">
        <v>1943</v>
      </c>
      <c r="AB131" s="22" t="s">
        <v>590</v>
      </c>
      <c r="AE131" s="33">
        <f t="shared" si="29"/>
        <v>0</v>
      </c>
      <c r="AF131" s="43" t="s">
        <v>3257</v>
      </c>
      <c r="AG131" s="128"/>
      <c r="AI131" s="64">
        <f t="shared" si="30"/>
        <v>3.048780487804878E-4</v>
      </c>
      <c r="AJ131" s="313">
        <f>RTD("money.excel",,$G131,"PredictVolume")</f>
        <v>125</v>
      </c>
      <c r="AK131" s="348"/>
    </row>
    <row r="132" spans="1:37">
      <c r="A132" s="132" t="s">
        <v>2851</v>
      </c>
      <c r="B132" s="81">
        <v>146</v>
      </c>
      <c r="C132" s="81">
        <v>146</v>
      </c>
      <c r="D132" s="81">
        <v>17</v>
      </c>
      <c r="E132" s="81">
        <v>10</v>
      </c>
      <c r="F132" s="58">
        <v>14.69</v>
      </c>
      <c r="G132" s="81">
        <v>1513</v>
      </c>
      <c r="H132" s="8" t="s">
        <v>313</v>
      </c>
      <c r="I132" s="22" t="s">
        <v>591</v>
      </c>
      <c r="J132" s="330">
        <v>41.66</v>
      </c>
      <c r="K132" s="75">
        <v>6.95</v>
      </c>
      <c r="L132" s="330">
        <v>15.23</v>
      </c>
      <c r="N132" s="325">
        <f t="shared" si="31"/>
        <v>63.84</v>
      </c>
      <c r="O132" s="27"/>
      <c r="P132" s="56"/>
      <c r="Q132" s="26"/>
      <c r="S132" s="330">
        <v>0.05</v>
      </c>
      <c r="T132" s="34">
        <v>2.2000000000000002</v>
      </c>
      <c r="U132" s="366">
        <f t="shared" si="26"/>
        <v>4.8298572996706923E-2</v>
      </c>
      <c r="V132" s="97">
        <v>4.72</v>
      </c>
      <c r="W132" s="36">
        <f>RTD("money.excel",,"1513","Price")</f>
        <v>45.55</v>
      </c>
      <c r="X132" s="67"/>
      <c r="Y132" s="15">
        <f t="shared" si="27"/>
        <v>45.55</v>
      </c>
      <c r="Z132" s="3" t="e">
        <f t="shared" si="28"/>
        <v>#DIV/0!</v>
      </c>
      <c r="AA132" s="174" t="s">
        <v>1943</v>
      </c>
      <c r="AB132" s="22" t="s">
        <v>591</v>
      </c>
      <c r="AE132" s="33">
        <f t="shared" si="29"/>
        <v>0</v>
      </c>
      <c r="AF132" s="43" t="s">
        <v>2852</v>
      </c>
      <c r="AG132" s="128"/>
      <c r="AI132" s="64">
        <f t="shared" si="30"/>
        <v>2.1350840336134453E-2</v>
      </c>
      <c r="AJ132" s="313">
        <f>RTD("money.excel",,$G132,"PredictVolume")</f>
        <v>10163</v>
      </c>
      <c r="AK132" s="348"/>
    </row>
    <row r="133" spans="1:37">
      <c r="A133" s="148" t="s">
        <v>1823</v>
      </c>
      <c r="B133" s="81">
        <v>22</v>
      </c>
      <c r="C133" s="81">
        <v>34</v>
      </c>
      <c r="D133" s="82">
        <v>-1</v>
      </c>
      <c r="E133" s="81">
        <v>29</v>
      </c>
      <c r="F133" s="6">
        <v>7.99</v>
      </c>
      <c r="G133" s="81">
        <v>1514</v>
      </c>
      <c r="H133" s="8" t="s">
        <v>313</v>
      </c>
      <c r="I133" s="22" t="s">
        <v>592</v>
      </c>
      <c r="J133" s="75">
        <v>55.51</v>
      </c>
      <c r="K133" s="75">
        <v>11.73</v>
      </c>
      <c r="L133" s="330">
        <v>6.98</v>
      </c>
      <c r="N133" s="325">
        <f t="shared" si="31"/>
        <v>74.22</v>
      </c>
      <c r="O133" s="27"/>
      <c r="P133" s="56"/>
      <c r="Q133" s="26"/>
      <c r="S133" s="330">
        <v>0</v>
      </c>
      <c r="T133" s="34">
        <v>1.2</v>
      </c>
      <c r="U133" s="366">
        <f t="shared" si="26"/>
        <v>4.6783625730994149E-2</v>
      </c>
      <c r="V133" s="97">
        <v>1.54</v>
      </c>
      <c r="W133" s="36">
        <f>RTD("money.excel",,"1514","Price")</f>
        <v>25.65</v>
      </c>
      <c r="X133" s="67"/>
      <c r="Y133" s="15">
        <f t="shared" si="27"/>
        <v>25.65</v>
      </c>
      <c r="Z133" s="3" t="e">
        <f t="shared" si="28"/>
        <v>#DIV/0!</v>
      </c>
      <c r="AA133" s="174" t="s">
        <v>1943</v>
      </c>
      <c r="AB133" s="22" t="s">
        <v>592</v>
      </c>
      <c r="AE133" s="33">
        <f t="shared" si="29"/>
        <v>0</v>
      </c>
      <c r="AF133" s="43" t="s">
        <v>3259</v>
      </c>
      <c r="AG133" s="128"/>
      <c r="AI133" s="64">
        <f t="shared" si="30"/>
        <v>6.9953917050691247E-3</v>
      </c>
      <c r="AJ133" s="313">
        <f>RTD("money.excel",,$G133,"PredictVolume")</f>
        <v>1518</v>
      </c>
      <c r="AK133" s="348"/>
    </row>
    <row r="134" spans="1:37">
      <c r="A134" s="148" t="s">
        <v>1817</v>
      </c>
      <c r="B134" s="81">
        <v>70</v>
      </c>
      <c r="C134" s="81">
        <v>70</v>
      </c>
      <c r="D134" s="82">
        <v>-14</v>
      </c>
      <c r="E134" s="81">
        <v>11</v>
      </c>
      <c r="F134" s="6">
        <v>8.14</v>
      </c>
      <c r="G134" s="81">
        <v>1515</v>
      </c>
      <c r="H134" s="8" t="s">
        <v>313</v>
      </c>
      <c r="I134" s="22" t="s">
        <v>550</v>
      </c>
      <c r="J134" s="330">
        <v>47.56</v>
      </c>
      <c r="K134" s="330">
        <v>8.0500000000000007</v>
      </c>
      <c r="L134" s="75">
        <v>19.16</v>
      </c>
      <c r="N134" s="325">
        <f t="shared" si="31"/>
        <v>74.77</v>
      </c>
      <c r="O134" s="27"/>
      <c r="P134" s="56"/>
      <c r="Q134" s="26"/>
      <c r="R134" s="308" t="s">
        <v>4374</v>
      </c>
      <c r="S134" s="330">
        <v>2.15</v>
      </c>
      <c r="T134" s="67">
        <v>3.6</v>
      </c>
      <c r="U134" s="366">
        <f t="shared" si="26"/>
        <v>8.6538461538461536E-2</v>
      </c>
      <c r="V134" s="97">
        <v>6.35</v>
      </c>
      <c r="W134" s="36">
        <f>RTD("money.excel",,"1515","Price")</f>
        <v>41.6</v>
      </c>
      <c r="X134" s="67"/>
      <c r="Y134" s="15">
        <f t="shared" si="27"/>
        <v>41.6</v>
      </c>
      <c r="Z134" s="3" t="e">
        <f t="shared" si="28"/>
        <v>#DIV/0!</v>
      </c>
      <c r="AA134" s="174" t="s">
        <v>2185</v>
      </c>
      <c r="AB134" s="22" t="s">
        <v>550</v>
      </c>
      <c r="AE134" s="33">
        <f t="shared" si="29"/>
        <v>0</v>
      </c>
      <c r="AF134" s="43" t="s">
        <v>2327</v>
      </c>
      <c r="AG134" s="128"/>
      <c r="AI134" s="64">
        <f t="shared" si="30"/>
        <v>3.4751381215469613E-3</v>
      </c>
      <c r="AJ134" s="313">
        <f>RTD("money.excel",,$G134,"PredictVolume")</f>
        <v>629</v>
      </c>
      <c r="AK134" s="348"/>
    </row>
    <row r="135" spans="1:37">
      <c r="A135" s="148" t="s">
        <v>2171</v>
      </c>
      <c r="B135" s="82">
        <v>-341</v>
      </c>
      <c r="C135" s="81">
        <v>18</v>
      </c>
      <c r="D135" s="81">
        <v>7</v>
      </c>
      <c r="E135" s="81">
        <v>40</v>
      </c>
      <c r="F135" s="6">
        <v>-2.59</v>
      </c>
      <c r="G135" s="81">
        <v>1517</v>
      </c>
      <c r="H135" s="8" t="s">
        <v>313</v>
      </c>
      <c r="I135" s="22" t="s">
        <v>593</v>
      </c>
      <c r="J135" s="75">
        <v>45.3</v>
      </c>
      <c r="K135" s="75">
        <v>2.15</v>
      </c>
      <c r="L135" s="75">
        <v>7.6</v>
      </c>
      <c r="N135" s="325">
        <f t="shared" si="31"/>
        <v>55.05</v>
      </c>
      <c r="O135" s="27"/>
      <c r="P135" s="56"/>
      <c r="Q135" s="26"/>
      <c r="S135" s="330">
        <v>0.4</v>
      </c>
      <c r="T135" s="34">
        <v>0.35</v>
      </c>
      <c r="U135" s="366">
        <f t="shared" si="26"/>
        <v>1.4644351464435146E-2</v>
      </c>
      <c r="V135" s="97">
        <v>0.76</v>
      </c>
      <c r="W135" s="36">
        <f>RTD("money.excel",,"1517","Price")</f>
        <v>23.9</v>
      </c>
      <c r="X135" s="67"/>
      <c r="Y135" s="15">
        <f t="shared" si="27"/>
        <v>23.9</v>
      </c>
      <c r="Z135" s="3" t="e">
        <f t="shared" si="28"/>
        <v>#DIV/0!</v>
      </c>
      <c r="AA135" s="174" t="s">
        <v>1943</v>
      </c>
      <c r="AB135" s="22" t="s">
        <v>593</v>
      </c>
      <c r="AE135" s="33">
        <f t="shared" si="29"/>
        <v>0</v>
      </c>
      <c r="AF135" s="43" t="s">
        <v>3260</v>
      </c>
      <c r="AG135" s="128"/>
      <c r="AI135" s="64">
        <f t="shared" si="30"/>
        <v>1.4669603524229075E-3</v>
      </c>
      <c r="AJ135" s="313">
        <f>RTD("money.excel",,$G135,"PredictVolume")</f>
        <v>333</v>
      </c>
      <c r="AK135" s="348"/>
    </row>
    <row r="136" spans="1:37">
      <c r="A136" s="148" t="s">
        <v>2329</v>
      </c>
      <c r="B136" s="82">
        <v>-43</v>
      </c>
      <c r="C136" s="82">
        <v>-26</v>
      </c>
      <c r="D136" s="82">
        <v>-33</v>
      </c>
      <c r="E136" s="81">
        <v>4</v>
      </c>
      <c r="F136" s="6">
        <v>2.72</v>
      </c>
      <c r="G136" s="81">
        <v>1519</v>
      </c>
      <c r="H136" s="8" t="s">
        <v>313</v>
      </c>
      <c r="I136" s="22" t="s">
        <v>594</v>
      </c>
      <c r="J136" s="330">
        <v>65.67</v>
      </c>
      <c r="K136" s="75">
        <v>7.07</v>
      </c>
      <c r="L136" s="75">
        <v>7.95</v>
      </c>
      <c r="N136" s="325">
        <f t="shared" si="31"/>
        <v>80.690000000000012</v>
      </c>
      <c r="O136" s="27"/>
      <c r="P136" s="56"/>
      <c r="Q136" s="26"/>
      <c r="S136" s="330">
        <v>0.57999999999999996</v>
      </c>
      <c r="T136" s="34">
        <v>1.3</v>
      </c>
      <c r="U136" s="366">
        <f t="shared" si="26"/>
        <v>3.3548387096774192E-2</v>
      </c>
      <c r="V136" s="58">
        <v>1.54</v>
      </c>
      <c r="W136" s="36">
        <f>RTD("money.excel",,"1519","Price")</f>
        <v>38.75</v>
      </c>
      <c r="X136" s="67"/>
      <c r="Y136" s="15">
        <f t="shared" si="27"/>
        <v>38.75</v>
      </c>
      <c r="Z136" s="3" t="e">
        <f t="shared" si="28"/>
        <v>#DIV/0!</v>
      </c>
      <c r="AA136" s="174" t="s">
        <v>1943</v>
      </c>
      <c r="AB136" s="22" t="s">
        <v>594</v>
      </c>
      <c r="AE136" s="33">
        <f t="shared" si="29"/>
        <v>0</v>
      </c>
      <c r="AF136" s="43" t="s">
        <v>2330</v>
      </c>
      <c r="AG136" s="128"/>
      <c r="AI136" s="64">
        <f t="shared" si="30"/>
        <v>3.5287356321839079E-3</v>
      </c>
      <c r="AJ136" s="313">
        <f>RTD("money.excel",,$G136,"PredictVolume")</f>
        <v>921</v>
      </c>
      <c r="AK136" s="348"/>
    </row>
    <row r="137" spans="1:37">
      <c r="A137" s="148" t="s">
        <v>2497</v>
      </c>
      <c r="B137" s="81">
        <v>128</v>
      </c>
      <c r="C137" s="82">
        <v>-35</v>
      </c>
      <c r="D137" s="81">
        <v>5</v>
      </c>
      <c r="E137" s="81">
        <v>36</v>
      </c>
      <c r="F137" s="6">
        <v>6.81</v>
      </c>
      <c r="G137" s="81">
        <v>1526</v>
      </c>
      <c r="H137" s="8" t="s">
        <v>313</v>
      </c>
      <c r="I137" s="22" t="s">
        <v>595</v>
      </c>
      <c r="J137" s="75">
        <v>37.619999999999997</v>
      </c>
      <c r="K137" s="75">
        <v>2.2599999999999998</v>
      </c>
      <c r="L137" s="75">
        <v>40.68</v>
      </c>
      <c r="N137" s="325">
        <f t="shared" si="31"/>
        <v>80.56</v>
      </c>
      <c r="O137" s="27"/>
      <c r="P137" s="56"/>
      <c r="Q137" s="26"/>
      <c r="S137" s="330">
        <v>3.19</v>
      </c>
      <c r="T137" s="34">
        <v>1.8</v>
      </c>
      <c r="U137" s="366">
        <f t="shared" si="26"/>
        <v>3.8095238095238099E-2</v>
      </c>
      <c r="V137" s="58">
        <v>2.97</v>
      </c>
      <c r="W137" s="36">
        <f>RTD("money.excel",,"1526","Price")</f>
        <v>47.25</v>
      </c>
      <c r="X137" s="67"/>
      <c r="Y137" s="15">
        <f t="shared" si="27"/>
        <v>47.25</v>
      </c>
      <c r="Z137" s="3" t="e">
        <f t="shared" si="28"/>
        <v>#DIV/0!</v>
      </c>
      <c r="AA137" s="174" t="s">
        <v>1943</v>
      </c>
      <c r="AB137" s="22" t="s">
        <v>595</v>
      </c>
      <c r="AE137" s="33">
        <f t="shared" si="29"/>
        <v>0</v>
      </c>
      <c r="AF137" s="43" t="s">
        <v>3261</v>
      </c>
      <c r="AG137" s="128"/>
      <c r="AI137" s="64">
        <f t="shared" si="30"/>
        <v>3.933333333333333E-3</v>
      </c>
      <c r="AJ137" s="313">
        <f>RTD("money.excel",,$G137,"PredictVolume")</f>
        <v>236</v>
      </c>
      <c r="AK137" s="348"/>
    </row>
    <row r="138" spans="1:37">
      <c r="A138" s="132" t="s">
        <v>1853</v>
      </c>
      <c r="B138" s="82">
        <v>-61</v>
      </c>
      <c r="C138" s="82">
        <v>-18</v>
      </c>
      <c r="D138" s="81">
        <v>5</v>
      </c>
      <c r="E138" s="81">
        <v>0</v>
      </c>
      <c r="F138" s="58">
        <v>15.39</v>
      </c>
      <c r="G138" s="81">
        <v>1527</v>
      </c>
      <c r="H138" s="8" t="s">
        <v>313</v>
      </c>
      <c r="I138" s="22" t="s">
        <v>596</v>
      </c>
      <c r="J138" s="330">
        <v>30.56</v>
      </c>
      <c r="K138" s="330">
        <v>9.76</v>
      </c>
      <c r="L138" s="330">
        <v>4.26</v>
      </c>
      <c r="N138" s="325">
        <f t="shared" si="31"/>
        <v>44.58</v>
      </c>
      <c r="O138" s="27"/>
      <c r="P138" s="56"/>
      <c r="Q138" s="26"/>
      <c r="S138" s="330">
        <v>0.03</v>
      </c>
      <c r="T138" s="34">
        <v>1.2</v>
      </c>
      <c r="U138" s="366">
        <f t="shared" si="26"/>
        <v>2.9556650246305417E-2</v>
      </c>
      <c r="V138" s="97">
        <v>2.94</v>
      </c>
      <c r="W138" s="36">
        <f>RTD("money.excel",,"1527","Price")</f>
        <v>40.6</v>
      </c>
      <c r="X138" s="67"/>
      <c r="Y138" s="15">
        <f t="shared" si="27"/>
        <v>40.6</v>
      </c>
      <c r="Z138" s="3" t="e">
        <f t="shared" si="28"/>
        <v>#DIV/0!</v>
      </c>
      <c r="AA138" s="174" t="s">
        <v>1943</v>
      </c>
      <c r="AB138" s="22" t="s">
        <v>596</v>
      </c>
      <c r="AE138" s="33">
        <f t="shared" si="29"/>
        <v>0</v>
      </c>
      <c r="AF138" s="43" t="s">
        <v>3058</v>
      </c>
      <c r="AG138" s="128"/>
      <c r="AI138" s="64">
        <f t="shared" si="30"/>
        <v>9.4202898550724637E-4</v>
      </c>
      <c r="AJ138" s="313">
        <f>RTD("money.excel",,$G138,"PredictVolume")</f>
        <v>130</v>
      </c>
      <c r="AK138" s="348"/>
    </row>
    <row r="139" spans="1:37">
      <c r="A139" s="148" t="s">
        <v>2020</v>
      </c>
      <c r="B139" s="82">
        <v>-779</v>
      </c>
      <c r="C139" s="82">
        <v>-437</v>
      </c>
      <c r="D139" s="81">
        <v>15</v>
      </c>
      <c r="E139" s="82">
        <v>-3</v>
      </c>
      <c r="F139" s="6">
        <v>-6.94</v>
      </c>
      <c r="G139" s="81">
        <v>1528</v>
      </c>
      <c r="H139" s="8" t="s">
        <v>313</v>
      </c>
      <c r="I139" s="22" t="s">
        <v>597</v>
      </c>
      <c r="J139" s="330">
        <v>51.79</v>
      </c>
      <c r="K139" s="330">
        <v>0.64</v>
      </c>
      <c r="L139" s="75">
        <v>3.25</v>
      </c>
      <c r="N139" s="325">
        <f t="shared" si="31"/>
        <v>55.68</v>
      </c>
      <c r="O139" s="27"/>
      <c r="P139" s="56"/>
      <c r="Q139" s="26"/>
      <c r="S139" s="330">
        <v>24.37</v>
      </c>
      <c r="T139" s="34">
        <v>0.1</v>
      </c>
      <c r="U139" s="366">
        <f t="shared" si="26"/>
        <v>1.0050251256281409E-2</v>
      </c>
      <c r="V139" s="97">
        <v>-0.61</v>
      </c>
      <c r="W139" s="36">
        <f>RTD("money.excel",,"1528","Price")</f>
        <v>9.9499999999999993</v>
      </c>
      <c r="X139" s="67"/>
      <c r="Y139" s="15">
        <f t="shared" si="27"/>
        <v>9.9499999999999993</v>
      </c>
      <c r="Z139" s="3" t="e">
        <f t="shared" si="28"/>
        <v>#DIV/0!</v>
      </c>
      <c r="AA139" s="174" t="s">
        <v>1943</v>
      </c>
      <c r="AB139" s="22" t="s">
        <v>597</v>
      </c>
      <c r="AE139" s="33">
        <f t="shared" si="29"/>
        <v>0</v>
      </c>
      <c r="AF139" s="43" t="s">
        <v>2836</v>
      </c>
      <c r="AG139" s="128"/>
      <c r="AI139" s="64">
        <f t="shared" si="30"/>
        <v>7.7638190954773872E-3</v>
      </c>
      <c r="AJ139" s="313">
        <f>RTD("money.excel",,$G139,"PredictVolume")</f>
        <v>1545</v>
      </c>
      <c r="AK139" s="348"/>
    </row>
    <row r="140" spans="1:37">
      <c r="A140" s="132" t="s">
        <v>1767</v>
      </c>
      <c r="B140" s="81">
        <v>392</v>
      </c>
      <c r="C140" s="81">
        <v>180</v>
      </c>
      <c r="D140" s="81">
        <v>138</v>
      </c>
      <c r="E140" s="82">
        <v>-72</v>
      </c>
      <c r="F140" s="58">
        <v>28.52</v>
      </c>
      <c r="G140" s="81">
        <v>1529</v>
      </c>
      <c r="H140" s="8" t="s">
        <v>313</v>
      </c>
      <c r="I140" s="22" t="s">
        <v>598</v>
      </c>
      <c r="J140" s="330">
        <v>66.41</v>
      </c>
      <c r="K140" s="330">
        <v>4.1500000000000004</v>
      </c>
      <c r="L140" s="330">
        <v>25.94</v>
      </c>
      <c r="N140" s="325">
        <f t="shared" si="31"/>
        <v>96.5</v>
      </c>
      <c r="O140" s="27"/>
      <c r="P140" s="56"/>
      <c r="Q140" s="26"/>
      <c r="S140" s="330">
        <v>4.53</v>
      </c>
      <c r="T140" s="34">
        <v>0.5</v>
      </c>
      <c r="U140" s="366">
        <f t="shared" si="26"/>
        <v>2.2123893805309734E-2</v>
      </c>
      <c r="V140" s="58">
        <v>1.06</v>
      </c>
      <c r="W140" s="36">
        <f>RTD("money.excel",,"1529","Price")</f>
        <v>22.6</v>
      </c>
      <c r="X140" s="67"/>
      <c r="Y140" s="15">
        <f t="shared" si="27"/>
        <v>22.6</v>
      </c>
      <c r="Z140" s="3" t="e">
        <f t="shared" si="28"/>
        <v>#DIV/0!</v>
      </c>
      <c r="AB140" s="22" t="s">
        <v>598</v>
      </c>
      <c r="AE140" s="33">
        <f t="shared" si="29"/>
        <v>0</v>
      </c>
      <c r="AF140" s="43" t="s">
        <v>3259</v>
      </c>
      <c r="AG140" s="128"/>
      <c r="AI140" s="64">
        <f t="shared" si="30"/>
        <v>3.6448529411764706E-2</v>
      </c>
      <c r="AJ140" s="313">
        <f>RTD("money.excel",,$G140,"PredictVolume")</f>
        <v>4957</v>
      </c>
      <c r="AK140" s="348"/>
    </row>
    <row r="141" spans="1:37">
      <c r="A141" s="148" t="s">
        <v>2274</v>
      </c>
      <c r="B141" s="81">
        <v>336</v>
      </c>
      <c r="C141" s="82">
        <v>-89</v>
      </c>
      <c r="D141" s="81">
        <v>9</v>
      </c>
      <c r="E141" s="81">
        <v>16</v>
      </c>
      <c r="F141" s="6">
        <v>0.89</v>
      </c>
      <c r="G141" s="81">
        <v>1530</v>
      </c>
      <c r="H141" s="8" t="s">
        <v>313</v>
      </c>
      <c r="I141" s="22" t="s">
        <v>599</v>
      </c>
      <c r="J141" s="75">
        <v>73.540000000000006</v>
      </c>
      <c r="K141" s="330">
        <v>0.65</v>
      </c>
      <c r="L141" s="330">
        <v>1.54</v>
      </c>
      <c r="N141" s="325">
        <f t="shared" si="31"/>
        <v>75.730000000000018</v>
      </c>
      <c r="O141" s="27"/>
      <c r="P141" s="56"/>
      <c r="Q141" s="26"/>
      <c r="S141" s="330">
        <v>0</v>
      </c>
      <c r="T141" s="34">
        <v>2.5</v>
      </c>
      <c r="U141" s="366">
        <f t="shared" si="26"/>
        <v>7.9365079365079361E-2</v>
      </c>
      <c r="V141" s="97">
        <v>3.92</v>
      </c>
      <c r="W141" s="36">
        <f>RTD("money.excel",,"1530","Price")</f>
        <v>31.5</v>
      </c>
      <c r="X141" s="67"/>
      <c r="Y141" s="15">
        <f t="shared" si="27"/>
        <v>31.5</v>
      </c>
      <c r="Z141" s="3" t="e">
        <f t="shared" si="28"/>
        <v>#DIV/0!</v>
      </c>
      <c r="AA141" s="174" t="s">
        <v>1943</v>
      </c>
      <c r="AB141" s="22" t="s">
        <v>599</v>
      </c>
      <c r="AE141" s="33">
        <f t="shared" si="29"/>
        <v>0</v>
      </c>
      <c r="AF141" s="43" t="s">
        <v>2630</v>
      </c>
      <c r="AG141" s="128"/>
      <c r="AI141" s="64">
        <f t="shared" si="30"/>
        <v>8.2815734989648027E-5</v>
      </c>
      <c r="AJ141" s="313">
        <f>RTD("money.excel",,$G141,"PredictVolume")</f>
        <v>8</v>
      </c>
      <c r="AK141" s="348"/>
    </row>
    <row r="142" spans="1:37">
      <c r="A142" s="148" t="s">
        <v>3535</v>
      </c>
      <c r="B142" s="82">
        <v>-41</v>
      </c>
      <c r="C142" s="82">
        <v>-77</v>
      </c>
      <c r="D142" s="81">
        <v>38</v>
      </c>
      <c r="E142" s="82">
        <v>-16</v>
      </c>
      <c r="F142" s="6">
        <v>1.98</v>
      </c>
      <c r="G142" s="81">
        <v>1531</v>
      </c>
      <c r="H142" s="8" t="s">
        <v>313</v>
      </c>
      <c r="I142" s="22" t="s">
        <v>600</v>
      </c>
      <c r="J142" s="75">
        <v>69.459999999999994</v>
      </c>
      <c r="K142" s="330">
        <v>10.82</v>
      </c>
      <c r="L142" s="75">
        <v>1.66</v>
      </c>
      <c r="N142" s="325">
        <f t="shared" si="31"/>
        <v>81.94</v>
      </c>
      <c r="O142" s="27"/>
      <c r="P142" s="56"/>
      <c r="Q142" s="26"/>
      <c r="S142" s="330">
        <v>42.77</v>
      </c>
      <c r="T142" s="34">
        <v>0.2</v>
      </c>
      <c r="U142" s="366">
        <f t="shared" si="26"/>
        <v>1.3201320132013201E-2</v>
      </c>
      <c r="V142" s="58">
        <v>-0.3</v>
      </c>
      <c r="W142" s="36">
        <f>RTD("money.excel",,"1531","Price")</f>
        <v>15.15</v>
      </c>
      <c r="X142" s="67"/>
      <c r="Y142" s="15">
        <f t="shared" si="27"/>
        <v>15.15</v>
      </c>
      <c r="Z142" s="3" t="e">
        <f t="shared" si="28"/>
        <v>#DIV/0!</v>
      </c>
      <c r="AA142" s="174" t="s">
        <v>1943</v>
      </c>
      <c r="AB142" s="22" t="s">
        <v>600</v>
      </c>
      <c r="AE142" s="33">
        <f t="shared" si="29"/>
        <v>0</v>
      </c>
      <c r="AF142" s="43" t="s">
        <v>3262</v>
      </c>
      <c r="AG142" s="128"/>
      <c r="AI142" s="64">
        <f t="shared" si="30"/>
        <v>1.3005464480874316E-3</v>
      </c>
      <c r="AJ142" s="313">
        <f>RTD("money.excel",,$G142,"PredictVolume")</f>
        <v>238</v>
      </c>
      <c r="AK142" s="348"/>
    </row>
    <row r="143" spans="1:37">
      <c r="A143" s="148" t="s">
        <v>2363</v>
      </c>
      <c r="B143" s="82">
        <v>-94</v>
      </c>
      <c r="C143" s="82">
        <v>-75</v>
      </c>
      <c r="D143" s="81">
        <v>1</v>
      </c>
      <c r="E143" s="81">
        <v>17</v>
      </c>
      <c r="F143" s="6">
        <v>3.74</v>
      </c>
      <c r="G143" s="81">
        <v>1532</v>
      </c>
      <c r="H143" s="17" t="s">
        <v>313</v>
      </c>
      <c r="I143" s="22" t="s">
        <v>219</v>
      </c>
      <c r="J143" s="75">
        <v>67.03</v>
      </c>
      <c r="K143" s="330">
        <v>12.01</v>
      </c>
      <c r="L143" s="330">
        <v>6.53</v>
      </c>
      <c r="N143" s="325">
        <f t="shared" si="31"/>
        <v>85.570000000000007</v>
      </c>
      <c r="O143" s="27"/>
      <c r="P143" s="56"/>
      <c r="Q143" s="26"/>
      <c r="S143" s="330">
        <v>0.02</v>
      </c>
      <c r="T143" s="34">
        <v>1.03</v>
      </c>
      <c r="U143" s="366">
        <f t="shared" si="26"/>
        <v>2.9855072463768118E-2</v>
      </c>
      <c r="V143" s="97">
        <v>1.46</v>
      </c>
      <c r="W143" s="36">
        <f>RTD("money.excel",,"1532","Price")</f>
        <v>34.5</v>
      </c>
      <c r="X143" s="67"/>
      <c r="Y143" s="15">
        <f t="shared" si="27"/>
        <v>34.5</v>
      </c>
      <c r="Z143" s="3" t="e">
        <f t="shared" si="28"/>
        <v>#DIV/0!</v>
      </c>
      <c r="AB143" s="22" t="s">
        <v>219</v>
      </c>
      <c r="AE143" s="33">
        <f t="shared" si="29"/>
        <v>0</v>
      </c>
      <c r="AF143" s="43" t="s">
        <v>3263</v>
      </c>
      <c r="AG143" s="128"/>
      <c r="AI143" s="64">
        <f t="shared" si="30"/>
        <v>3.5372340425531918E-4</v>
      </c>
      <c r="AJ143" s="313">
        <f>RTD("money.excel",,$G143,"PredictVolume")</f>
        <v>133</v>
      </c>
      <c r="AK143" s="348"/>
    </row>
    <row r="144" spans="1:37">
      <c r="A144" s="148" t="s">
        <v>1887</v>
      </c>
      <c r="B144" s="93">
        <v>49</v>
      </c>
      <c r="C144" s="93">
        <v>51</v>
      </c>
      <c r="D144" s="93">
        <v>-22</v>
      </c>
      <c r="E144" s="93">
        <v>15</v>
      </c>
      <c r="F144" s="6">
        <v>0.54</v>
      </c>
      <c r="G144" s="81">
        <v>1535</v>
      </c>
      <c r="H144" s="8" t="s">
        <v>313</v>
      </c>
      <c r="I144" s="22" t="s">
        <v>601</v>
      </c>
      <c r="J144" s="75">
        <v>76.069999999999993</v>
      </c>
      <c r="K144" s="75">
        <v>0.56000000000000005</v>
      </c>
      <c r="L144" s="75">
        <v>0.45</v>
      </c>
      <c r="N144" s="325">
        <f t="shared" si="31"/>
        <v>77.08</v>
      </c>
      <c r="O144" s="27"/>
      <c r="P144" s="56"/>
      <c r="Q144" s="26"/>
      <c r="S144" s="330">
        <v>68.64</v>
      </c>
      <c r="T144" s="34">
        <v>1.35</v>
      </c>
      <c r="U144" s="366">
        <f t="shared" si="26"/>
        <v>3.1990521327014215E-2</v>
      </c>
      <c r="V144" s="97">
        <v>1.6</v>
      </c>
      <c r="W144" s="13">
        <f>RTD("money.excel",,"1535","Price")</f>
        <v>42.2</v>
      </c>
      <c r="X144" s="67"/>
      <c r="Y144" s="15">
        <f t="shared" si="27"/>
        <v>42.2</v>
      </c>
      <c r="Z144" s="3" t="e">
        <f t="shared" si="28"/>
        <v>#DIV/0!</v>
      </c>
      <c r="AB144" s="22" t="s">
        <v>601</v>
      </c>
      <c r="AE144" s="33">
        <f t="shared" si="29"/>
        <v>0</v>
      </c>
      <c r="AF144" s="43" t="s">
        <v>3264</v>
      </c>
      <c r="AG144" s="128"/>
      <c r="AI144" s="64">
        <f t="shared" si="30"/>
        <v>3.5772357723577237E-4</v>
      </c>
      <c r="AJ144" s="313">
        <f>RTD("money.excel",,$G144,"PredictVolume")</f>
        <v>44</v>
      </c>
      <c r="AK144" s="348"/>
    </row>
    <row r="145" spans="1:37">
      <c r="A145" s="132" t="s">
        <v>3613</v>
      </c>
      <c r="B145" s="81">
        <v>8</v>
      </c>
      <c r="C145" s="81">
        <v>9</v>
      </c>
      <c r="D145" s="81">
        <v>48</v>
      </c>
      <c r="E145" s="81">
        <v>2</v>
      </c>
      <c r="F145" s="58">
        <v>16.25</v>
      </c>
      <c r="G145" s="81">
        <v>1537</v>
      </c>
      <c r="H145" s="8" t="s">
        <v>313</v>
      </c>
      <c r="I145" s="22" t="s">
        <v>602</v>
      </c>
      <c r="J145" s="75">
        <v>44.91</v>
      </c>
      <c r="K145" s="75">
        <v>21.61</v>
      </c>
      <c r="L145" s="75">
        <v>1.33</v>
      </c>
      <c r="N145" s="325">
        <f t="shared" si="31"/>
        <v>67.849999999999994</v>
      </c>
      <c r="O145" s="27"/>
      <c r="P145" s="56"/>
      <c r="Q145" s="26"/>
      <c r="S145" s="330">
        <v>0</v>
      </c>
      <c r="T145" s="67">
        <v>10</v>
      </c>
      <c r="U145" s="366">
        <f t="shared" si="26"/>
        <v>7.2202166064981949E-2</v>
      </c>
      <c r="V145" s="97">
        <v>10.95</v>
      </c>
      <c r="W145" s="36">
        <f>RTD("money.excel",,"1537","Price")</f>
        <v>138.5</v>
      </c>
      <c r="X145" s="67"/>
      <c r="Y145" s="15">
        <f t="shared" si="27"/>
        <v>138.5</v>
      </c>
      <c r="Z145" s="3" t="e">
        <f t="shared" si="28"/>
        <v>#DIV/0!</v>
      </c>
      <c r="AA145" s="174" t="s">
        <v>2185</v>
      </c>
      <c r="AB145" s="22" t="s">
        <v>602</v>
      </c>
      <c r="AE145" s="33">
        <f t="shared" si="29"/>
        <v>0</v>
      </c>
      <c r="AF145" s="43" t="s">
        <v>2741</v>
      </c>
      <c r="AG145" s="128"/>
      <c r="AI145" s="64">
        <f t="shared" si="30"/>
        <v>8.616504854368932E-4</v>
      </c>
      <c r="AJ145" s="313">
        <f>RTD("money.excel",,$G145,"PredictVolume")</f>
        <v>71</v>
      </c>
      <c r="AK145" s="348"/>
    </row>
    <row r="146" spans="1:37">
      <c r="A146" s="148" t="s">
        <v>3574</v>
      </c>
      <c r="B146" s="93">
        <v>162</v>
      </c>
      <c r="C146" s="93">
        <v>2</v>
      </c>
      <c r="D146" s="93">
        <v>-32</v>
      </c>
      <c r="E146" s="93">
        <v>-27</v>
      </c>
      <c r="F146" s="6">
        <v>-23</v>
      </c>
      <c r="G146" s="81">
        <v>1538</v>
      </c>
      <c r="H146" s="8" t="s">
        <v>313</v>
      </c>
      <c r="I146" s="22" t="s">
        <v>603</v>
      </c>
      <c r="J146" s="75">
        <v>32.22</v>
      </c>
      <c r="K146" s="75">
        <v>0.43</v>
      </c>
      <c r="N146" s="325">
        <f t="shared" si="31"/>
        <v>32.65</v>
      </c>
      <c r="O146" s="27"/>
      <c r="P146" s="56"/>
      <c r="Q146" s="26"/>
      <c r="S146" s="330">
        <v>10.61</v>
      </c>
      <c r="T146" s="34">
        <v>0</v>
      </c>
      <c r="U146" s="366">
        <f t="shared" si="26"/>
        <v>0</v>
      </c>
      <c r="V146" s="97">
        <v>-0.32</v>
      </c>
      <c r="W146" s="36">
        <f>RTD("money.excel",,"1538","Price")</f>
        <v>8.81</v>
      </c>
      <c r="X146" s="67"/>
      <c r="Y146" s="15">
        <f t="shared" si="27"/>
        <v>8.81</v>
      </c>
      <c r="Z146" s="3" t="e">
        <f t="shared" si="28"/>
        <v>#DIV/0!</v>
      </c>
      <c r="AB146" s="22" t="s">
        <v>603</v>
      </c>
      <c r="AE146" s="33">
        <f t="shared" si="29"/>
        <v>0</v>
      </c>
      <c r="AF146" s="43" t="s">
        <v>2685</v>
      </c>
      <c r="AG146" s="128"/>
      <c r="AI146" s="64">
        <f t="shared" si="30"/>
        <v>4.9242424242424245E-4</v>
      </c>
      <c r="AJ146" s="313">
        <f>RTD("money.excel",,$G146,"PredictVolume")</f>
        <v>13</v>
      </c>
      <c r="AK146" s="348"/>
    </row>
    <row r="147" spans="1:37">
      <c r="A147" s="148" t="s">
        <v>2264</v>
      </c>
      <c r="B147" s="82">
        <v>-73</v>
      </c>
      <c r="C147" s="82">
        <v>-33</v>
      </c>
      <c r="D147" s="82">
        <v>-3</v>
      </c>
      <c r="E147" s="81">
        <v>68</v>
      </c>
      <c r="F147" s="6">
        <v>5.39</v>
      </c>
      <c r="G147" s="81">
        <v>1539</v>
      </c>
      <c r="H147" s="8" t="s">
        <v>313</v>
      </c>
      <c r="I147" s="22" t="s">
        <v>604</v>
      </c>
      <c r="J147" s="75">
        <v>63.46</v>
      </c>
      <c r="K147" s="75">
        <v>0.38</v>
      </c>
      <c r="L147" s="75">
        <v>10.43</v>
      </c>
      <c r="N147" s="325">
        <f t="shared" si="31"/>
        <v>74.27000000000001</v>
      </c>
      <c r="O147" s="27"/>
      <c r="P147" s="56"/>
      <c r="Q147" s="26"/>
      <c r="S147" s="330">
        <v>7.0000000000000007E-2</v>
      </c>
      <c r="T147" s="34">
        <v>0</v>
      </c>
      <c r="U147" s="366">
        <f t="shared" si="26"/>
        <v>0</v>
      </c>
      <c r="V147" s="97">
        <v>-0.28000000000000003</v>
      </c>
      <c r="W147" s="36">
        <f>RTD("money.excel",,"1539","Price")</f>
        <v>18.600000000000001</v>
      </c>
      <c r="X147" s="67"/>
      <c r="Y147" s="15">
        <f t="shared" si="27"/>
        <v>18.600000000000001</v>
      </c>
      <c r="Z147" s="3" t="e">
        <f t="shared" si="28"/>
        <v>#DIV/0!</v>
      </c>
      <c r="AA147" s="174" t="s">
        <v>1943</v>
      </c>
      <c r="AB147" s="22" t="s">
        <v>604</v>
      </c>
      <c r="AE147" s="33">
        <f t="shared" si="29"/>
        <v>0</v>
      </c>
      <c r="AF147" s="43" t="s">
        <v>2437</v>
      </c>
      <c r="AG147" s="128"/>
      <c r="AI147" s="64">
        <f t="shared" si="30"/>
        <v>1.2691131498470949E-3</v>
      </c>
      <c r="AJ147" s="313">
        <f>RTD("money.excel",,$G147,"PredictVolume")</f>
        <v>83</v>
      </c>
      <c r="AK147" s="348"/>
    </row>
    <row r="148" spans="1:37">
      <c r="A148" s="148" t="s">
        <v>1569</v>
      </c>
      <c r="B148" s="82">
        <v>-60</v>
      </c>
      <c r="C148" s="82">
        <v>-89</v>
      </c>
      <c r="D148" s="82">
        <v>-78</v>
      </c>
      <c r="E148" s="82">
        <v>-92</v>
      </c>
      <c r="F148" s="6">
        <v>3.04</v>
      </c>
      <c r="G148" s="81">
        <v>1540</v>
      </c>
      <c r="H148" s="8" t="s">
        <v>313</v>
      </c>
      <c r="I148" s="22" t="s">
        <v>605</v>
      </c>
      <c r="J148" s="330">
        <v>38.4</v>
      </c>
      <c r="K148" s="330">
        <v>0.3</v>
      </c>
      <c r="L148" s="330">
        <v>2.15</v>
      </c>
      <c r="N148" s="325">
        <f t="shared" si="31"/>
        <v>40.849999999999994</v>
      </c>
      <c r="O148" s="27"/>
      <c r="P148" s="56"/>
      <c r="Q148" s="26"/>
      <c r="S148" s="330">
        <v>22.9</v>
      </c>
      <c r="T148" s="34">
        <v>0.5</v>
      </c>
      <c r="U148" s="366">
        <f t="shared" si="26"/>
        <v>3.4246575342465752E-2</v>
      </c>
      <c r="V148" s="97">
        <v>-0.24</v>
      </c>
      <c r="W148" s="36">
        <f>RTD("money.excel",,"1540","Price")</f>
        <v>14.6</v>
      </c>
      <c r="X148" s="67"/>
      <c r="Y148" s="15">
        <f t="shared" si="27"/>
        <v>14.6</v>
      </c>
      <c r="Z148" s="3" t="e">
        <f t="shared" si="28"/>
        <v>#DIV/0!</v>
      </c>
      <c r="AA148" s="174" t="s">
        <v>1943</v>
      </c>
      <c r="AB148" s="22" t="s">
        <v>605</v>
      </c>
      <c r="AE148" s="33">
        <f t="shared" si="29"/>
        <v>0</v>
      </c>
      <c r="AF148" s="43" t="s">
        <v>3035</v>
      </c>
      <c r="AG148" s="128"/>
      <c r="AI148" s="64">
        <f t="shared" si="30"/>
        <v>7.0175438596491223E-4</v>
      </c>
      <c r="AJ148" s="313">
        <f>RTD("money.excel",,$G148,"PredictVolume")</f>
        <v>60</v>
      </c>
      <c r="AK148" s="348"/>
    </row>
    <row r="149" spans="1:37">
      <c r="A149" s="132" t="s">
        <v>2438</v>
      </c>
      <c r="B149" s="81">
        <v>124</v>
      </c>
      <c r="C149" s="81">
        <v>54</v>
      </c>
      <c r="D149" s="82">
        <v>-20</v>
      </c>
      <c r="E149" s="82">
        <v>-2</v>
      </c>
      <c r="F149" s="58">
        <v>13.29</v>
      </c>
      <c r="G149" s="81">
        <v>1541</v>
      </c>
      <c r="H149" s="8" t="s">
        <v>313</v>
      </c>
      <c r="I149" s="22" t="s">
        <v>606</v>
      </c>
      <c r="J149" s="75">
        <v>84.3</v>
      </c>
      <c r="K149" s="75">
        <v>10.7</v>
      </c>
      <c r="L149" s="75">
        <v>2.78</v>
      </c>
      <c r="N149" s="325">
        <f t="shared" si="31"/>
        <v>97.78</v>
      </c>
      <c r="O149" s="27"/>
      <c r="P149" s="56"/>
      <c r="Q149" s="26"/>
      <c r="S149" s="330">
        <v>0.05</v>
      </c>
      <c r="T149" s="67">
        <v>3</v>
      </c>
      <c r="U149" s="366">
        <f t="shared" si="26"/>
        <v>7.0257611241217793E-2</v>
      </c>
      <c r="V149" s="97">
        <v>5.79</v>
      </c>
      <c r="W149" s="36">
        <f>RTD("money.excel",,"1541","Price")</f>
        <v>42.7</v>
      </c>
      <c r="X149" s="67"/>
      <c r="Y149" s="15">
        <f t="shared" si="27"/>
        <v>42.7</v>
      </c>
      <c r="Z149" s="3" t="e">
        <f t="shared" si="28"/>
        <v>#DIV/0!</v>
      </c>
      <c r="AA149" s="174" t="s">
        <v>2185</v>
      </c>
      <c r="AB149" s="22" t="s">
        <v>606</v>
      </c>
      <c r="AE149" s="33">
        <f t="shared" si="29"/>
        <v>0</v>
      </c>
      <c r="AF149" s="43" t="s">
        <v>3265</v>
      </c>
      <c r="AG149" s="128"/>
      <c r="AI149" s="64">
        <f t="shared" si="30"/>
        <v>5.0761421319796953E-5</v>
      </c>
      <c r="AJ149" s="313">
        <f>RTD("money.excel",,$G149,"PredictVolume")</f>
        <v>4</v>
      </c>
      <c r="AK149" s="348"/>
    </row>
    <row r="150" spans="1:37">
      <c r="A150" s="148" t="s">
        <v>1654</v>
      </c>
      <c r="B150" s="81">
        <v>43</v>
      </c>
      <c r="C150" s="81">
        <v>11</v>
      </c>
      <c r="D150" s="81">
        <v>68</v>
      </c>
      <c r="E150" s="81">
        <v>14</v>
      </c>
      <c r="F150" s="6">
        <v>9.1300000000000008</v>
      </c>
      <c r="G150" s="81">
        <v>1558</v>
      </c>
      <c r="H150" s="8" t="s">
        <v>313</v>
      </c>
      <c r="I150" s="22" t="s">
        <v>607</v>
      </c>
      <c r="J150" s="75">
        <v>34.44</v>
      </c>
      <c r="K150" s="75">
        <v>8.86</v>
      </c>
      <c r="L150" s="330">
        <v>1.34</v>
      </c>
      <c r="N150" s="325">
        <f t="shared" si="31"/>
        <v>44.64</v>
      </c>
      <c r="O150" s="27"/>
      <c r="P150" s="56"/>
      <c r="Q150" s="26"/>
      <c r="S150" s="330">
        <v>0</v>
      </c>
      <c r="T150" s="67">
        <v>9.5</v>
      </c>
      <c r="U150" s="366">
        <f t="shared" si="26"/>
        <v>6.6901408450704219E-2</v>
      </c>
      <c r="V150" s="97">
        <v>13.76</v>
      </c>
      <c r="W150" s="36">
        <f>RTD("money.excel",,"1558","Price")</f>
        <v>142</v>
      </c>
      <c r="X150" s="67"/>
      <c r="Y150" s="15">
        <f t="shared" si="27"/>
        <v>142</v>
      </c>
      <c r="Z150" s="3" t="e">
        <f t="shared" si="28"/>
        <v>#DIV/0!</v>
      </c>
      <c r="AA150" s="174" t="s">
        <v>2185</v>
      </c>
      <c r="AB150" s="22" t="s">
        <v>607</v>
      </c>
      <c r="AE150" s="33">
        <f t="shared" si="29"/>
        <v>0</v>
      </c>
      <c r="AF150" s="43" t="s">
        <v>3266</v>
      </c>
      <c r="AG150" s="128"/>
      <c r="AI150" s="64">
        <f t="shared" si="30"/>
        <v>7.6033057851239666E-4</v>
      </c>
      <c r="AJ150" s="313">
        <f>RTD("money.excel",,$G150,"PredictVolume")</f>
        <v>46</v>
      </c>
      <c r="AK150" s="348"/>
    </row>
    <row r="151" spans="1:37">
      <c r="A151" s="132" t="s">
        <v>2137</v>
      </c>
      <c r="B151" s="81">
        <v>15</v>
      </c>
      <c r="C151" s="81">
        <v>25</v>
      </c>
      <c r="D151" s="81">
        <v>0</v>
      </c>
      <c r="E151" s="81">
        <v>12</v>
      </c>
      <c r="F151" s="58">
        <v>14.68</v>
      </c>
      <c r="G151" s="81">
        <v>1560</v>
      </c>
      <c r="H151" s="8" t="s">
        <v>313</v>
      </c>
      <c r="I151" s="22" t="s">
        <v>185</v>
      </c>
      <c r="J151" s="330">
        <v>41.22</v>
      </c>
      <c r="K151" s="75">
        <v>15.34</v>
      </c>
      <c r="L151" s="330">
        <v>19.34</v>
      </c>
      <c r="M151" s="75">
        <v>16.920000000000002</v>
      </c>
      <c r="N151" s="325">
        <f t="shared" si="31"/>
        <v>92.820000000000007</v>
      </c>
      <c r="O151" s="27" t="s">
        <v>6199</v>
      </c>
      <c r="P151" s="56"/>
      <c r="Q151" s="26"/>
      <c r="R151" s="309" t="s">
        <v>6163</v>
      </c>
      <c r="S151" s="330">
        <v>3.74</v>
      </c>
      <c r="T151" s="34">
        <v>2.8</v>
      </c>
      <c r="U151" s="366">
        <f t="shared" si="26"/>
        <v>2.3236514522821574E-2</v>
      </c>
      <c r="V151" s="97">
        <v>4.0199999999999996</v>
      </c>
      <c r="W151" s="36">
        <f>RTD("money.excel",,"1560","Price")</f>
        <v>120.5</v>
      </c>
      <c r="X151" s="67"/>
      <c r="Y151" s="15">
        <f t="shared" si="27"/>
        <v>120.5</v>
      </c>
      <c r="Z151" s="3" t="e">
        <f t="shared" si="28"/>
        <v>#DIV/0!</v>
      </c>
      <c r="AA151" s="174" t="s">
        <v>1943</v>
      </c>
      <c r="AB151" s="22" t="s">
        <v>185</v>
      </c>
      <c r="AE151" s="33">
        <f t="shared" si="29"/>
        <v>0</v>
      </c>
      <c r="AF151" s="122" t="s">
        <v>2387</v>
      </c>
      <c r="AG151" s="128"/>
      <c r="AI151" s="64">
        <f t="shared" si="30"/>
        <v>0.10455633802816901</v>
      </c>
      <c r="AJ151" s="313">
        <f>RTD("money.excel",,$G151,"PredictVolume")</f>
        <v>14847</v>
      </c>
      <c r="AK151" s="348">
        <v>52.55</v>
      </c>
    </row>
    <row r="152" spans="1:37">
      <c r="A152" s="132" t="s">
        <v>1707</v>
      </c>
      <c r="B152" s="93">
        <v>-32</v>
      </c>
      <c r="C152" s="93">
        <v>-23</v>
      </c>
      <c r="D152" s="93">
        <v>10</v>
      </c>
      <c r="E152" s="93">
        <v>-20</v>
      </c>
      <c r="F152" s="58">
        <v>11.19</v>
      </c>
      <c r="G152" s="81">
        <v>1570</v>
      </c>
      <c r="H152" s="8" t="s">
        <v>313</v>
      </c>
      <c r="I152" s="16" t="s">
        <v>560</v>
      </c>
      <c r="J152" s="75">
        <v>47.98</v>
      </c>
      <c r="K152" s="75">
        <v>0.02</v>
      </c>
      <c r="L152" s="75">
        <v>23.39</v>
      </c>
      <c r="N152" s="325">
        <f t="shared" si="31"/>
        <v>71.39</v>
      </c>
      <c r="O152" s="27"/>
      <c r="P152" s="56"/>
      <c r="Q152" s="26"/>
      <c r="S152" s="330">
        <v>13.4</v>
      </c>
      <c r="T152" s="34">
        <v>0.8</v>
      </c>
      <c r="U152" s="366">
        <f t="shared" si="26"/>
        <v>4.2328042328042333E-2</v>
      </c>
      <c r="V152" s="97">
        <v>0.93</v>
      </c>
      <c r="W152" s="36">
        <f>RTD("money.excel",,"1570","Price")</f>
        <v>18.899999999999999</v>
      </c>
      <c r="X152" s="67"/>
      <c r="Y152" s="15">
        <f t="shared" si="27"/>
        <v>18.899999999999999</v>
      </c>
      <c r="Z152" s="3" t="e">
        <f t="shared" si="28"/>
        <v>#DIV/0!</v>
      </c>
      <c r="AB152" s="16" t="s">
        <v>560</v>
      </c>
      <c r="AE152" s="33">
        <f t="shared" si="29"/>
        <v>0</v>
      </c>
      <c r="AF152" s="43" t="s">
        <v>3022</v>
      </c>
      <c r="AG152" s="128"/>
      <c r="AI152" s="64">
        <f t="shared" si="30"/>
        <v>2.6796116504854369E-3</v>
      </c>
      <c r="AJ152" s="313">
        <f>RTD("money.excel",,$G152,"PredictVolume")</f>
        <v>138</v>
      </c>
      <c r="AK152" s="348"/>
    </row>
    <row r="153" spans="1:37">
      <c r="A153" s="132" t="s">
        <v>1692</v>
      </c>
      <c r="B153" s="82">
        <v>-39</v>
      </c>
      <c r="C153" s="82">
        <v>-35</v>
      </c>
      <c r="D153" s="82">
        <v>-22</v>
      </c>
      <c r="E153" s="81">
        <v>45</v>
      </c>
      <c r="F153" s="58">
        <v>13.27</v>
      </c>
      <c r="G153" s="81">
        <v>1580</v>
      </c>
      <c r="H153" s="8" t="s">
        <v>313</v>
      </c>
      <c r="I153" s="16" t="s">
        <v>39</v>
      </c>
      <c r="J153" s="75">
        <v>33.159999999999997</v>
      </c>
      <c r="K153" s="75">
        <v>11.74</v>
      </c>
      <c r="L153" s="75">
        <v>6.23</v>
      </c>
      <c r="N153" s="325">
        <f t="shared" si="31"/>
        <v>51.129999999999995</v>
      </c>
      <c r="O153" s="27"/>
      <c r="P153" s="56"/>
      <c r="Q153" s="26"/>
      <c r="S153" s="330">
        <v>0</v>
      </c>
      <c r="T153" s="67">
        <v>6.79</v>
      </c>
      <c r="U153" s="366">
        <f t="shared" si="26"/>
        <v>6.5922330097087381E-2</v>
      </c>
      <c r="V153" s="97">
        <v>6.79</v>
      </c>
      <c r="W153" s="36">
        <f>RTD("money.excel",,"1580","Price")</f>
        <v>103</v>
      </c>
      <c r="X153" s="67"/>
      <c r="Y153" s="15">
        <f t="shared" si="27"/>
        <v>103</v>
      </c>
      <c r="Z153" s="3" t="e">
        <f t="shared" si="28"/>
        <v>#DIV/0!</v>
      </c>
      <c r="AA153" s="174" t="s">
        <v>1986</v>
      </c>
      <c r="AB153" s="16" t="s">
        <v>39</v>
      </c>
      <c r="AE153" s="33">
        <f t="shared" si="29"/>
        <v>0</v>
      </c>
      <c r="AF153" s="122" t="s">
        <v>3023</v>
      </c>
      <c r="AG153" s="128"/>
      <c r="AI153" s="64">
        <f t="shared" si="30"/>
        <v>5.9760956175298812E-4</v>
      </c>
      <c r="AJ153" s="313">
        <f>RTD("money.excel",,$G153,"PredictVolume")</f>
        <v>30</v>
      </c>
      <c r="AK153" s="348"/>
    </row>
    <row r="154" spans="1:37">
      <c r="A154" s="148" t="s">
        <v>2455</v>
      </c>
      <c r="B154" s="81">
        <v>88</v>
      </c>
      <c r="C154" s="82">
        <v>-95</v>
      </c>
      <c r="D154" s="81">
        <v>11</v>
      </c>
      <c r="E154" s="81">
        <v>9</v>
      </c>
      <c r="F154" s="6">
        <v>0.43</v>
      </c>
      <c r="G154" s="81">
        <v>1583</v>
      </c>
      <c r="H154" s="8" t="s">
        <v>313</v>
      </c>
      <c r="I154" s="22" t="s">
        <v>608</v>
      </c>
      <c r="J154" s="75">
        <v>90.03</v>
      </c>
      <c r="K154" s="75">
        <v>0.27</v>
      </c>
      <c r="L154" s="330">
        <v>0.28999999999999998</v>
      </c>
      <c r="N154" s="325">
        <f t="shared" si="31"/>
        <v>90.59</v>
      </c>
      <c r="O154" s="27"/>
      <c r="P154" s="56"/>
      <c r="Q154" s="26"/>
      <c r="S154" s="330">
        <v>0</v>
      </c>
      <c r="T154" s="67">
        <v>3</v>
      </c>
      <c r="U154" s="366">
        <f t="shared" si="26"/>
        <v>5.4054054054054057E-2</v>
      </c>
      <c r="V154" s="58">
        <v>4.3899999999999997</v>
      </c>
      <c r="W154" s="36">
        <f>RTD("money.excel",,"1583","Price")</f>
        <v>55.5</v>
      </c>
      <c r="X154" s="67"/>
      <c r="Y154" s="15">
        <f t="shared" si="27"/>
        <v>55.5</v>
      </c>
      <c r="Z154" s="3" t="e">
        <f t="shared" si="28"/>
        <v>#DIV/0!</v>
      </c>
      <c r="AA154" s="174" t="s">
        <v>2185</v>
      </c>
      <c r="AB154" s="22" t="s">
        <v>608</v>
      </c>
      <c r="AE154" s="33">
        <f t="shared" si="29"/>
        <v>0</v>
      </c>
      <c r="AF154" s="43" t="s">
        <v>3267</v>
      </c>
      <c r="AG154" s="128"/>
      <c r="AI154" s="64">
        <f t="shared" si="30"/>
        <v>6.3636363636363641E-5</v>
      </c>
      <c r="AJ154" s="313">
        <f>RTD("money.excel",,$G154,"PredictVolume")</f>
        <v>7</v>
      </c>
      <c r="AK154" s="348"/>
    </row>
    <row r="155" spans="1:37">
      <c r="A155" s="132" t="s">
        <v>1635</v>
      </c>
      <c r="B155" s="81">
        <v>586</v>
      </c>
      <c r="C155" s="81">
        <v>273</v>
      </c>
      <c r="D155" s="81">
        <v>21</v>
      </c>
      <c r="E155" s="81">
        <v>37</v>
      </c>
      <c r="F155" s="58">
        <v>10.1</v>
      </c>
      <c r="G155" s="81">
        <v>1586</v>
      </c>
      <c r="H155" s="8" t="s">
        <v>313</v>
      </c>
      <c r="I155" s="16" t="s">
        <v>587</v>
      </c>
      <c r="J155" s="75">
        <v>41.92</v>
      </c>
      <c r="K155" s="75">
        <v>0.78</v>
      </c>
      <c r="L155" s="75">
        <v>49.72</v>
      </c>
      <c r="N155" s="325">
        <f t="shared" si="31"/>
        <v>92.42</v>
      </c>
      <c r="O155" s="27"/>
      <c r="P155" s="56"/>
      <c r="Q155" s="26"/>
      <c r="S155" s="330">
        <v>0.5</v>
      </c>
      <c r="T155" s="34">
        <v>1</v>
      </c>
      <c r="U155" s="366">
        <f t="shared" si="26"/>
        <v>2.4691358024691357E-2</v>
      </c>
      <c r="V155" s="97">
        <v>1.75</v>
      </c>
      <c r="W155" s="36">
        <f>RTD("money.excel",,"1586","Price")</f>
        <v>40.5</v>
      </c>
      <c r="X155" s="67"/>
      <c r="Y155" s="15">
        <f t="shared" si="27"/>
        <v>40.5</v>
      </c>
      <c r="Z155" s="3" t="e">
        <f t="shared" si="28"/>
        <v>#DIV/0!</v>
      </c>
      <c r="AA155" s="174" t="s">
        <v>1943</v>
      </c>
      <c r="AB155" s="16" t="s">
        <v>587</v>
      </c>
      <c r="AE155" s="33">
        <f t="shared" si="29"/>
        <v>0</v>
      </c>
      <c r="AF155" s="43" t="s">
        <v>2845</v>
      </c>
      <c r="AG155" s="128"/>
      <c r="AI155" s="64">
        <f t="shared" si="30"/>
        <v>1.152019002375297E-3</v>
      </c>
      <c r="AJ155" s="313">
        <f>RTD("money.excel",,$G155,"PredictVolume")</f>
        <v>97</v>
      </c>
      <c r="AK155" s="348"/>
    </row>
    <row r="156" spans="1:37">
      <c r="A156" s="148" t="s">
        <v>2455</v>
      </c>
      <c r="B156" s="81">
        <v>211</v>
      </c>
      <c r="C156" s="81">
        <v>279</v>
      </c>
      <c r="D156" s="82">
        <v>-12</v>
      </c>
      <c r="E156" s="82">
        <v>-3</v>
      </c>
      <c r="F156" s="6">
        <v>9.3000000000000007</v>
      </c>
      <c r="G156" s="81">
        <v>1589</v>
      </c>
      <c r="H156" s="8" t="s">
        <v>313</v>
      </c>
      <c r="I156" s="22" t="s">
        <v>609</v>
      </c>
      <c r="J156" s="330">
        <v>35.35</v>
      </c>
      <c r="K156" s="75">
        <v>7.6</v>
      </c>
      <c r="L156" s="75">
        <v>30.65</v>
      </c>
      <c r="N156" s="325">
        <f t="shared" si="31"/>
        <v>73.599999999999994</v>
      </c>
      <c r="O156" s="27"/>
      <c r="P156" s="56"/>
      <c r="Q156" s="26"/>
      <c r="S156" s="330">
        <v>0.84</v>
      </c>
      <c r="T156" s="34">
        <v>1.5</v>
      </c>
      <c r="U156" s="366">
        <f t="shared" si="26"/>
        <v>2.3771790808240888E-2</v>
      </c>
      <c r="V156" s="97">
        <v>7.01</v>
      </c>
      <c r="W156" s="36">
        <f>RTD("money.excel",,"1589","Price")</f>
        <v>63.1</v>
      </c>
      <c r="X156" s="67"/>
      <c r="Y156" s="15">
        <f t="shared" si="27"/>
        <v>63.1</v>
      </c>
      <c r="Z156" s="3" t="e">
        <f t="shared" si="28"/>
        <v>#DIV/0!</v>
      </c>
      <c r="AA156" s="174" t="s">
        <v>1943</v>
      </c>
      <c r="AB156" s="22" t="s">
        <v>609</v>
      </c>
      <c r="AE156" s="33">
        <f t="shared" si="29"/>
        <v>0</v>
      </c>
      <c r="AF156" s="43" t="s">
        <v>3268</v>
      </c>
      <c r="AG156" s="128"/>
      <c r="AI156" s="64">
        <f t="shared" si="30"/>
        <v>1.2909090909090908E-3</v>
      </c>
      <c r="AJ156" s="313">
        <f>RTD("money.excel",,$G156,"PredictVolume")</f>
        <v>142</v>
      </c>
      <c r="AK156" s="348"/>
    </row>
    <row r="157" spans="1:37">
      <c r="A157" s="132" t="s">
        <v>2350</v>
      </c>
      <c r="B157" s="81">
        <v>87</v>
      </c>
      <c r="C157" s="81">
        <v>73</v>
      </c>
      <c r="D157" s="82">
        <v>-26</v>
      </c>
      <c r="E157" s="81">
        <v>3</v>
      </c>
      <c r="F157" s="58">
        <v>33.82</v>
      </c>
      <c r="G157" s="81">
        <v>1590</v>
      </c>
      <c r="H157" s="206" t="s">
        <v>313</v>
      </c>
      <c r="I157" s="22" t="s">
        <v>4461</v>
      </c>
      <c r="J157" s="75">
        <v>58.89</v>
      </c>
      <c r="K157" s="75">
        <v>82</v>
      </c>
      <c r="L157" s="330">
        <v>1.04</v>
      </c>
      <c r="N157" s="325">
        <f t="shared" si="31"/>
        <v>141.92999999999998</v>
      </c>
      <c r="O157" s="27"/>
      <c r="P157" s="56"/>
      <c r="Q157" s="26"/>
      <c r="S157" s="330">
        <v>5.01</v>
      </c>
      <c r="T157" s="67">
        <v>9.06</v>
      </c>
      <c r="U157" s="366">
        <f t="shared" si="26"/>
        <v>1.0191226096737909E-2</v>
      </c>
      <c r="V157" s="58">
        <v>33.64</v>
      </c>
      <c r="W157" s="157">
        <f>RTD("money.excel",,"1590","Price")</f>
        <v>889</v>
      </c>
      <c r="X157" s="67"/>
      <c r="Y157" s="143">
        <f t="shared" si="27"/>
        <v>889</v>
      </c>
      <c r="Z157" s="3" t="e">
        <f t="shared" si="28"/>
        <v>#DIV/0!</v>
      </c>
      <c r="AA157" s="174" t="s">
        <v>2185</v>
      </c>
      <c r="AB157" s="22" t="s">
        <v>4461</v>
      </c>
      <c r="AE157" s="33">
        <f t="shared" si="29"/>
        <v>0</v>
      </c>
      <c r="AF157" s="122" t="s">
        <v>3058</v>
      </c>
      <c r="AG157" s="128"/>
      <c r="AI157" s="64">
        <f t="shared" si="30"/>
        <v>1.08E-3</v>
      </c>
      <c r="AJ157" s="313">
        <f>RTD("money.excel",,$G157,"PredictVolume")</f>
        <v>216</v>
      </c>
      <c r="AK157" s="348"/>
    </row>
    <row r="158" spans="1:37">
      <c r="A158" s="148" t="s">
        <v>1884</v>
      </c>
      <c r="B158" s="93">
        <v>107</v>
      </c>
      <c r="C158" s="93">
        <v>33</v>
      </c>
      <c r="D158" s="93">
        <v>2</v>
      </c>
      <c r="E158" s="93">
        <v>38</v>
      </c>
      <c r="F158" s="6">
        <v>2.74</v>
      </c>
      <c r="G158" s="81">
        <v>1591</v>
      </c>
      <c r="H158" s="8" t="s">
        <v>313</v>
      </c>
      <c r="I158" s="16" t="s">
        <v>561</v>
      </c>
      <c r="J158" s="75">
        <v>65.099999999999994</v>
      </c>
      <c r="K158" s="75">
        <v>19.89</v>
      </c>
      <c r="L158" s="75">
        <v>64.17</v>
      </c>
      <c r="N158" s="325">
        <f t="shared" si="31"/>
        <v>149.16</v>
      </c>
      <c r="O158" s="27"/>
      <c r="P158" s="56"/>
      <c r="Q158" s="26"/>
      <c r="S158" s="330">
        <v>21.06</v>
      </c>
      <c r="T158" s="34">
        <v>0.5</v>
      </c>
      <c r="U158" s="366">
        <f t="shared" si="26"/>
        <v>3.0674846625766871E-2</v>
      </c>
      <c r="V158" s="97">
        <v>1.59</v>
      </c>
      <c r="W158" s="13">
        <f>RTD("money.excel",,"1591","Price")</f>
        <v>16.3</v>
      </c>
      <c r="X158" s="67"/>
      <c r="Y158" s="15">
        <f t="shared" si="27"/>
        <v>16.3</v>
      </c>
      <c r="Z158" s="3" t="e">
        <f t="shared" si="28"/>
        <v>#DIV/0!</v>
      </c>
      <c r="AB158" s="16" t="s">
        <v>561</v>
      </c>
      <c r="AE158" s="33">
        <f t="shared" si="29"/>
        <v>0</v>
      </c>
      <c r="AF158" s="43" t="s">
        <v>3024</v>
      </c>
      <c r="AG158" s="128"/>
      <c r="AI158" s="64">
        <f t="shared" si="30"/>
        <v>3.3042168674698794E-2</v>
      </c>
      <c r="AJ158" s="313">
        <f>RTD("money.excel",,$G158,"PredictVolume")</f>
        <v>1097</v>
      </c>
      <c r="AK158" s="348"/>
    </row>
    <row r="159" spans="1:37">
      <c r="A159" s="132" t="s">
        <v>1766</v>
      </c>
      <c r="B159" s="81">
        <v>52</v>
      </c>
      <c r="C159" s="81">
        <v>72</v>
      </c>
      <c r="D159" s="81">
        <v>0</v>
      </c>
      <c r="E159" s="81">
        <v>46</v>
      </c>
      <c r="F159" s="58">
        <v>24.42</v>
      </c>
      <c r="G159" s="81">
        <v>1597</v>
      </c>
      <c r="H159" s="8" t="s">
        <v>313</v>
      </c>
      <c r="I159" s="22" t="s">
        <v>183</v>
      </c>
      <c r="J159" s="330">
        <v>38.28</v>
      </c>
      <c r="K159" s="330">
        <v>5.39</v>
      </c>
      <c r="L159" s="330">
        <v>8.9700000000000006</v>
      </c>
      <c r="N159" s="325">
        <f t="shared" si="31"/>
        <v>52.64</v>
      </c>
      <c r="O159" s="27"/>
      <c r="P159" s="56"/>
      <c r="Q159" s="26"/>
      <c r="S159" s="330">
        <v>1.21</v>
      </c>
      <c r="T159" s="34">
        <v>1.5</v>
      </c>
      <c r="U159" s="366">
        <f t="shared" si="26"/>
        <v>1.6322089227421108E-2</v>
      </c>
      <c r="V159" s="97">
        <v>3.15</v>
      </c>
      <c r="W159" s="36">
        <f>RTD("money.excel",,"1597","Price")</f>
        <v>91.9</v>
      </c>
      <c r="X159" s="67"/>
      <c r="Y159" s="15">
        <f t="shared" si="27"/>
        <v>91.9</v>
      </c>
      <c r="Z159" s="3" t="e">
        <f t="shared" si="28"/>
        <v>#DIV/0!</v>
      </c>
      <c r="AA159" s="174" t="s">
        <v>1943</v>
      </c>
      <c r="AB159" s="22" t="s">
        <v>183</v>
      </c>
      <c r="AE159" s="33">
        <f t="shared" si="29"/>
        <v>0</v>
      </c>
      <c r="AF159" s="122" t="s">
        <v>3025</v>
      </c>
      <c r="AG159" s="128"/>
      <c r="AI159" s="64">
        <f t="shared" si="30"/>
        <v>1.9298029556650251E-2</v>
      </c>
      <c r="AJ159" s="313">
        <f>RTD("money.excel",,$G159,"PredictVolume")</f>
        <v>1567</v>
      </c>
      <c r="AK159" s="348"/>
    </row>
    <row r="160" spans="1:37">
      <c r="A160" s="148" t="s">
        <v>3571</v>
      </c>
      <c r="B160" s="93">
        <v>40</v>
      </c>
      <c r="C160" s="93">
        <v>29</v>
      </c>
      <c r="D160" s="93">
        <v>-1</v>
      </c>
      <c r="E160" s="93">
        <v>96</v>
      </c>
      <c r="F160" s="6">
        <v>7.93</v>
      </c>
      <c r="G160" s="81">
        <v>1599</v>
      </c>
      <c r="H160" s="8" t="s">
        <v>313</v>
      </c>
      <c r="I160" s="16" t="s">
        <v>4462</v>
      </c>
      <c r="J160" s="75">
        <v>71.14</v>
      </c>
      <c r="K160" s="330">
        <v>16.43</v>
      </c>
      <c r="L160" s="75">
        <v>2.2200000000000002</v>
      </c>
      <c r="N160" s="325">
        <f t="shared" si="31"/>
        <v>89.789999999999992</v>
      </c>
      <c r="O160" s="27"/>
      <c r="P160" s="56"/>
      <c r="Q160" s="26"/>
      <c r="S160" s="330">
        <v>21.46</v>
      </c>
      <c r="T160" s="34">
        <v>2</v>
      </c>
      <c r="U160" s="366">
        <f t="shared" ref="U160:U191" si="32">T160/W160</f>
        <v>3.8387715930902108E-2</v>
      </c>
      <c r="V160" s="97">
        <v>3.27</v>
      </c>
      <c r="W160" s="13">
        <f>RTD("money.excel",,"1599","Price")</f>
        <v>52.1</v>
      </c>
      <c r="X160" s="67"/>
      <c r="Y160" s="15">
        <f t="shared" si="27"/>
        <v>52.1</v>
      </c>
      <c r="Z160" s="3" t="e">
        <f t="shared" si="28"/>
        <v>#DIV/0!</v>
      </c>
      <c r="AB160" s="16" t="s">
        <v>4462</v>
      </c>
      <c r="AE160" s="33">
        <f t="shared" si="29"/>
        <v>0</v>
      </c>
      <c r="AF160" s="122" t="s">
        <v>3026</v>
      </c>
      <c r="AG160" s="128"/>
      <c r="AI160" s="64">
        <f t="shared" ref="AI160:AI191" si="33">AJ160/(A160*10000)</f>
        <v>3.5386631716906947E-3</v>
      </c>
      <c r="AJ160" s="313">
        <f>RTD("money.excel",,$G160,"PredictVolume")</f>
        <v>270</v>
      </c>
      <c r="AK160" s="348"/>
    </row>
    <row r="161" spans="1:37">
      <c r="A161" s="132" t="s">
        <v>4260</v>
      </c>
      <c r="B161" s="81">
        <v>360</v>
      </c>
      <c r="C161" s="81">
        <v>271</v>
      </c>
      <c r="D161" s="81">
        <v>1</v>
      </c>
      <c r="E161" s="81">
        <v>38</v>
      </c>
      <c r="F161" s="58">
        <v>17.16</v>
      </c>
      <c r="G161" s="81">
        <v>2049</v>
      </c>
      <c r="H161" s="8" t="s">
        <v>313</v>
      </c>
      <c r="I161" s="22" t="s">
        <v>21</v>
      </c>
      <c r="J161" s="75">
        <v>60.85</v>
      </c>
      <c r="K161" s="330">
        <v>50.55</v>
      </c>
      <c r="L161" s="75">
        <v>1.78</v>
      </c>
      <c r="N161" s="325">
        <f t="shared" si="31"/>
        <v>113.18</v>
      </c>
      <c r="O161" s="27"/>
      <c r="P161" s="56"/>
      <c r="Q161" s="26"/>
      <c r="S161" s="330">
        <v>4.88</v>
      </c>
      <c r="T161" s="34">
        <v>2.2999999999999998</v>
      </c>
      <c r="U161" s="366">
        <f t="shared" si="32"/>
        <v>8.932038834951455E-3</v>
      </c>
      <c r="V161" s="58">
        <v>9.4700000000000006</v>
      </c>
      <c r="W161" s="13">
        <f>RTD("money.excel",,"2049","Price")</f>
        <v>257.5</v>
      </c>
      <c r="X161" s="67"/>
      <c r="Y161" s="15">
        <f t="shared" si="27"/>
        <v>257.5</v>
      </c>
      <c r="Z161" s="3" t="e">
        <f t="shared" si="28"/>
        <v>#DIV/0!</v>
      </c>
      <c r="AA161" s="174" t="s">
        <v>1943</v>
      </c>
      <c r="AB161" s="22" t="s">
        <v>21</v>
      </c>
      <c r="AE161" s="33">
        <f t="shared" si="29"/>
        <v>0</v>
      </c>
      <c r="AF161" s="122" t="s">
        <v>2863</v>
      </c>
      <c r="AG161" s="269"/>
      <c r="AI161" s="64">
        <f t="shared" si="33"/>
        <v>6.8911764705882356E-3</v>
      </c>
      <c r="AJ161" s="313">
        <f>RTD("money.excel",,$G161,"PredictVolume")</f>
        <v>2343</v>
      </c>
      <c r="AK161" s="348"/>
    </row>
    <row r="162" spans="1:37">
      <c r="A162" s="148" t="s">
        <v>1771</v>
      </c>
      <c r="B162" s="82">
        <v>-87</v>
      </c>
      <c r="C162" s="82">
        <v>-14</v>
      </c>
      <c r="D162" s="82">
        <v>-3</v>
      </c>
      <c r="E162" s="82">
        <v>-8</v>
      </c>
      <c r="F162" s="6">
        <v>5.56</v>
      </c>
      <c r="G162" s="81">
        <v>2066</v>
      </c>
      <c r="H162" s="8" t="s">
        <v>313</v>
      </c>
      <c r="I162" s="16" t="s">
        <v>151</v>
      </c>
      <c r="J162" s="330">
        <v>68.09</v>
      </c>
      <c r="K162" s="330">
        <v>10.25</v>
      </c>
      <c r="L162" s="330">
        <v>1.27</v>
      </c>
      <c r="N162" s="325">
        <f t="shared" si="31"/>
        <v>79.61</v>
      </c>
      <c r="O162" s="27"/>
      <c r="P162" s="56"/>
      <c r="Q162" s="26"/>
      <c r="S162" s="330">
        <v>0</v>
      </c>
      <c r="T162" s="34">
        <v>2.3199999999999998</v>
      </c>
      <c r="U162" s="366">
        <f t="shared" si="32"/>
        <v>3.9322033898305082E-2</v>
      </c>
      <c r="V162" s="97">
        <v>2.5299999999999998</v>
      </c>
      <c r="W162" s="36">
        <f>RTD("money.excel",,"2066","Price")</f>
        <v>59</v>
      </c>
      <c r="X162" s="67"/>
      <c r="Y162" s="15">
        <f t="shared" si="27"/>
        <v>59</v>
      </c>
      <c r="Z162" s="3" t="e">
        <f t="shared" si="28"/>
        <v>#DIV/0!</v>
      </c>
      <c r="AA162" s="174" t="s">
        <v>1943</v>
      </c>
      <c r="AB162" s="16" t="s">
        <v>151</v>
      </c>
      <c r="AE162" s="33">
        <f t="shared" si="29"/>
        <v>0</v>
      </c>
      <c r="AF162" s="122" t="s">
        <v>2629</v>
      </c>
      <c r="AG162" s="128"/>
      <c r="AI162" s="64">
        <f t="shared" si="33"/>
        <v>7.9452054794520543E-4</v>
      </c>
      <c r="AJ162" s="313">
        <f>RTD("money.excel",,$G162,"PredictVolume")</f>
        <v>29</v>
      </c>
      <c r="AK162" s="348"/>
    </row>
    <row r="163" spans="1:37">
      <c r="A163" s="148" t="s">
        <v>2281</v>
      </c>
      <c r="B163" s="93">
        <v>-26</v>
      </c>
      <c r="C163" s="93">
        <v>-278</v>
      </c>
      <c r="D163" s="93">
        <v>0</v>
      </c>
      <c r="E163" s="93">
        <v>36</v>
      </c>
      <c r="F163" s="6">
        <v>-10.17</v>
      </c>
      <c r="G163" s="81">
        <v>2067</v>
      </c>
      <c r="H163" s="8" t="s">
        <v>313</v>
      </c>
      <c r="I163" s="16" t="s">
        <v>563</v>
      </c>
      <c r="J163" s="75">
        <v>68.72</v>
      </c>
      <c r="K163" s="75">
        <v>11.66</v>
      </c>
      <c r="N163" s="325">
        <f t="shared" si="31"/>
        <v>80.38</v>
      </c>
      <c r="O163" s="27"/>
      <c r="P163" s="56"/>
      <c r="Q163" s="26"/>
      <c r="S163" s="330">
        <v>29.8</v>
      </c>
      <c r="T163" s="34">
        <v>0</v>
      </c>
      <c r="U163" s="366">
        <f t="shared" si="32"/>
        <v>0</v>
      </c>
      <c r="V163" s="97">
        <v>-0.88</v>
      </c>
      <c r="W163" s="13">
        <f>RTD("money.excel",,"2067","Price")</f>
        <v>14.25</v>
      </c>
      <c r="X163" s="67"/>
      <c r="Y163" s="15">
        <f t="shared" si="27"/>
        <v>14.25</v>
      </c>
      <c r="Z163" s="3" t="e">
        <f t="shared" si="28"/>
        <v>#DIV/0!</v>
      </c>
      <c r="AB163" s="16" t="s">
        <v>563</v>
      </c>
      <c r="AE163" s="33">
        <f t="shared" si="29"/>
        <v>0</v>
      </c>
      <c r="AF163" s="43" t="s">
        <v>3027</v>
      </c>
      <c r="AG163" s="128"/>
      <c r="AI163" s="64">
        <f t="shared" si="33"/>
        <v>3.3259423503325942E-4</v>
      </c>
      <c r="AJ163" s="313">
        <f>RTD("money.excel",,$G163,"PredictVolume")</f>
        <v>15</v>
      </c>
      <c r="AK163" s="348"/>
    </row>
    <row r="164" spans="1:37">
      <c r="A164" s="148" t="s">
        <v>1567</v>
      </c>
      <c r="B164" s="93">
        <v>-454</v>
      </c>
      <c r="C164" s="93">
        <v>-237</v>
      </c>
      <c r="D164" s="93">
        <v>-29</v>
      </c>
      <c r="E164" s="93">
        <v>-6</v>
      </c>
      <c r="F164" s="6">
        <v>-14.01</v>
      </c>
      <c r="G164" s="81">
        <v>2070</v>
      </c>
      <c r="H164" s="8" t="s">
        <v>313</v>
      </c>
      <c r="I164" s="16" t="s">
        <v>1150</v>
      </c>
      <c r="J164" s="75">
        <v>76.599999999999994</v>
      </c>
      <c r="K164" s="330">
        <v>0</v>
      </c>
      <c r="L164" s="330"/>
      <c r="N164" s="325">
        <f t="shared" si="31"/>
        <v>76.599999999999994</v>
      </c>
      <c r="O164" s="27"/>
      <c r="P164" s="56"/>
      <c r="Q164" s="26"/>
      <c r="S164" s="330">
        <v>44.81</v>
      </c>
      <c r="T164" s="34">
        <v>1</v>
      </c>
      <c r="U164" s="366">
        <f t="shared" si="32"/>
        <v>3.0627871362940276E-2</v>
      </c>
      <c r="V164" s="97">
        <v>-1.45</v>
      </c>
      <c r="W164" s="13">
        <f>RTD("money.excel",,"2070","Price")</f>
        <v>32.65</v>
      </c>
      <c r="X164" s="67"/>
      <c r="Y164" s="15">
        <f t="shared" si="27"/>
        <v>32.65</v>
      </c>
      <c r="Z164" s="3" t="e">
        <f t="shared" si="28"/>
        <v>#DIV/0!</v>
      </c>
      <c r="AB164" s="16" t="s">
        <v>1150</v>
      </c>
      <c r="AE164" s="33">
        <f t="shared" si="29"/>
        <v>0</v>
      </c>
      <c r="AF164" s="122" t="s">
        <v>3028</v>
      </c>
      <c r="AG164" s="128"/>
      <c r="AI164" s="64">
        <f t="shared" si="33"/>
        <v>1.452513966480447E-3</v>
      </c>
      <c r="AJ164" s="313">
        <f>RTD("money.excel",,$G164,"PredictVolume")</f>
        <v>52</v>
      </c>
      <c r="AK164" s="348"/>
    </row>
    <row r="165" spans="1:37">
      <c r="A165" s="148" t="s">
        <v>3540</v>
      </c>
      <c r="B165" s="208">
        <v>-9732</v>
      </c>
      <c r="C165" s="93">
        <v>-137</v>
      </c>
      <c r="D165" s="93">
        <v>-3</v>
      </c>
      <c r="E165" s="93">
        <v>-6</v>
      </c>
      <c r="F165" s="6">
        <v>5.13</v>
      </c>
      <c r="G165" s="81">
        <v>2230</v>
      </c>
      <c r="H165" s="8" t="s">
        <v>313</v>
      </c>
      <c r="I165" s="16" t="s">
        <v>564</v>
      </c>
      <c r="J165" s="75">
        <v>67.790000000000006</v>
      </c>
      <c r="K165" s="75">
        <v>0.02</v>
      </c>
      <c r="L165" s="75">
        <v>6.27</v>
      </c>
      <c r="N165" s="325">
        <f t="shared" si="31"/>
        <v>74.08</v>
      </c>
      <c r="O165" s="27"/>
      <c r="P165" s="56"/>
      <c r="Q165" s="26"/>
      <c r="S165" s="330">
        <v>21.82</v>
      </c>
      <c r="T165" s="34">
        <v>0.2</v>
      </c>
      <c r="U165" s="366">
        <f t="shared" si="32"/>
        <v>1.3157894736842106E-2</v>
      </c>
      <c r="V165" s="97">
        <v>-0.48</v>
      </c>
      <c r="W165" s="13">
        <f>RTD("money.excel",,"2230","Price")</f>
        <v>15.2</v>
      </c>
      <c r="X165" s="67"/>
      <c r="Y165" s="15">
        <f t="shared" si="27"/>
        <v>15.2</v>
      </c>
      <c r="Z165" s="3" t="e">
        <f t="shared" si="28"/>
        <v>#DIV/0!</v>
      </c>
      <c r="AB165" s="16" t="s">
        <v>564</v>
      </c>
      <c r="AE165" s="33">
        <f t="shared" si="29"/>
        <v>0</v>
      </c>
      <c r="AF165" s="43" t="s">
        <v>3029</v>
      </c>
      <c r="AG165" s="128"/>
      <c r="AI165" s="64">
        <f t="shared" si="33"/>
        <v>2.6065162907268169E-3</v>
      </c>
      <c r="AJ165" s="313">
        <f>RTD("money.excel",,$G165,"PredictVolume")</f>
        <v>104</v>
      </c>
      <c r="AK165" s="348"/>
    </row>
    <row r="166" spans="1:37">
      <c r="A166" s="132" t="s">
        <v>3572</v>
      </c>
      <c r="B166" s="93">
        <v>-43</v>
      </c>
      <c r="C166" s="93">
        <v>-52</v>
      </c>
      <c r="D166" s="93">
        <v>-4</v>
      </c>
      <c r="E166" s="93">
        <v>35</v>
      </c>
      <c r="F166" s="58">
        <v>10.58</v>
      </c>
      <c r="G166" s="81">
        <v>2235</v>
      </c>
      <c r="H166" s="8" t="s">
        <v>313</v>
      </c>
      <c r="I166" s="16" t="s">
        <v>565</v>
      </c>
      <c r="J166" s="75">
        <v>80.27</v>
      </c>
      <c r="K166" s="75">
        <v>1.17</v>
      </c>
      <c r="L166" s="75">
        <v>3.81</v>
      </c>
      <c r="N166" s="325">
        <f t="shared" si="31"/>
        <v>85.25</v>
      </c>
      <c r="O166" s="27"/>
      <c r="P166" s="56"/>
      <c r="Q166" s="26"/>
      <c r="S166" s="330">
        <v>33.83</v>
      </c>
      <c r="T166" s="34">
        <v>2</v>
      </c>
      <c r="U166" s="366">
        <f t="shared" si="32"/>
        <v>5.0568900126422255E-2</v>
      </c>
      <c r="V166" s="97">
        <v>2.0099999999999998</v>
      </c>
      <c r="W166" s="13">
        <f>RTD("money.excel",,"2235","Price")</f>
        <v>39.549999999999997</v>
      </c>
      <c r="X166" s="67"/>
      <c r="Y166" s="15">
        <f t="shared" si="27"/>
        <v>39.549999999999997</v>
      </c>
      <c r="Z166" s="3" t="e">
        <f t="shared" si="28"/>
        <v>#DIV/0!</v>
      </c>
      <c r="AB166" s="16" t="s">
        <v>565</v>
      </c>
      <c r="AE166" s="33">
        <f t="shared" si="29"/>
        <v>0</v>
      </c>
      <c r="AF166" s="43" t="s">
        <v>3030</v>
      </c>
      <c r="AG166" s="128"/>
      <c r="AI166" s="64">
        <f t="shared" si="33"/>
        <v>2.5069637883008358E-4</v>
      </c>
      <c r="AJ166" s="313">
        <f>RTD("money.excel",,$G166,"PredictVolume")</f>
        <v>9</v>
      </c>
      <c r="AK166" s="348"/>
    </row>
    <row r="167" spans="1:37">
      <c r="A167" s="148" t="s">
        <v>3648</v>
      </c>
      <c r="B167" s="82">
        <v>-55</v>
      </c>
      <c r="C167" s="82">
        <v>-17</v>
      </c>
      <c r="D167" s="81">
        <v>14</v>
      </c>
      <c r="E167" s="82">
        <v>-11</v>
      </c>
      <c r="F167" s="6">
        <v>8.1999999999999993</v>
      </c>
      <c r="G167" s="81">
        <v>2241</v>
      </c>
      <c r="H167" s="8" t="s">
        <v>313</v>
      </c>
      <c r="I167" s="22" t="s">
        <v>2310</v>
      </c>
      <c r="J167" s="75">
        <v>57</v>
      </c>
      <c r="K167" s="75">
        <v>23</v>
      </c>
      <c r="L167" s="330"/>
      <c r="N167" s="325">
        <f t="shared" si="31"/>
        <v>80</v>
      </c>
      <c r="O167" s="27"/>
      <c r="P167" s="56"/>
      <c r="Q167" s="26"/>
      <c r="T167" s="34">
        <v>0.6</v>
      </c>
      <c r="U167" s="366">
        <f t="shared" si="32"/>
        <v>1.3289036544850499E-2</v>
      </c>
      <c r="V167" s="97">
        <v>0.09</v>
      </c>
      <c r="W167" s="36">
        <f>RTD("money.excel",,"2241","Price")</f>
        <v>45.15</v>
      </c>
      <c r="X167" s="67"/>
      <c r="Y167" s="15">
        <f t="shared" si="27"/>
        <v>45.15</v>
      </c>
      <c r="Z167" s="35" t="e">
        <f t="shared" si="28"/>
        <v>#DIV/0!</v>
      </c>
      <c r="AB167" s="22" t="s">
        <v>2310</v>
      </c>
      <c r="AE167" s="33">
        <f t="shared" si="29"/>
        <v>0</v>
      </c>
      <c r="AF167" s="60" t="s">
        <v>2320</v>
      </c>
      <c r="AG167" s="128"/>
      <c r="AI167" s="64">
        <f t="shared" si="33"/>
        <v>3.1963470319634703E-4</v>
      </c>
      <c r="AJ167" s="313">
        <f>RTD("money.excel",,$G167,"PredictVolume")</f>
        <v>28</v>
      </c>
      <c r="AK167" s="348"/>
    </row>
    <row r="168" spans="1:37">
      <c r="A168" s="148" t="s">
        <v>2646</v>
      </c>
      <c r="B168" s="81">
        <v>45</v>
      </c>
      <c r="C168" s="81">
        <v>79</v>
      </c>
      <c r="D168" s="81">
        <v>28</v>
      </c>
      <c r="E168" s="82">
        <v>-34</v>
      </c>
      <c r="F168" s="6">
        <v>-4.1399999999999997</v>
      </c>
      <c r="G168" s="81">
        <v>2371</v>
      </c>
      <c r="H168" s="8" t="s">
        <v>313</v>
      </c>
      <c r="I168" s="22" t="s">
        <v>120</v>
      </c>
      <c r="J168" s="75">
        <v>66.09</v>
      </c>
      <c r="K168" s="75">
        <v>19.68</v>
      </c>
      <c r="L168" s="75">
        <v>21.27</v>
      </c>
      <c r="N168" s="325">
        <f t="shared" si="31"/>
        <v>107.04</v>
      </c>
      <c r="O168" s="27"/>
      <c r="P168" s="56"/>
      <c r="Q168" s="26"/>
      <c r="S168" s="330">
        <v>0</v>
      </c>
      <c r="T168" s="34">
        <v>0</v>
      </c>
      <c r="U168" s="366">
        <f t="shared" si="32"/>
        <v>0</v>
      </c>
      <c r="V168" s="58">
        <v>-0.46</v>
      </c>
      <c r="W168" s="36">
        <f>RTD("money.excel",,"2371","Price")</f>
        <v>32.049999999999997</v>
      </c>
      <c r="X168" s="67"/>
      <c r="Y168" s="15">
        <f t="shared" si="27"/>
        <v>32.049999999999997</v>
      </c>
      <c r="Z168" s="3" t="e">
        <f t="shared" si="28"/>
        <v>#DIV/0!</v>
      </c>
      <c r="AA168" s="174" t="s">
        <v>1943</v>
      </c>
      <c r="AB168" s="22" t="s">
        <v>120</v>
      </c>
      <c r="AE168" s="33">
        <f t="shared" si="29"/>
        <v>0</v>
      </c>
      <c r="AF168" s="122" t="s">
        <v>3269</v>
      </c>
      <c r="AG168" s="269"/>
      <c r="AI168" s="64">
        <f t="shared" si="33"/>
        <v>7.9459227467811155E-3</v>
      </c>
      <c r="AJ168" s="313">
        <f>RTD("money.excel",,$G168,"PredictVolume")</f>
        <v>18514</v>
      </c>
      <c r="AK168" s="348"/>
    </row>
    <row r="169" spans="1:37">
      <c r="A169" s="148" t="s">
        <v>3545</v>
      </c>
      <c r="B169" s="81">
        <v>294</v>
      </c>
      <c r="C169" s="81">
        <v>351</v>
      </c>
      <c r="D169" s="82">
        <v>-28</v>
      </c>
      <c r="E169" s="81">
        <v>23</v>
      </c>
      <c r="F169" s="6">
        <v>7.57</v>
      </c>
      <c r="G169" s="81">
        <v>3162</v>
      </c>
      <c r="H169" s="8" t="s">
        <v>313</v>
      </c>
      <c r="I169" s="16" t="s">
        <v>566</v>
      </c>
      <c r="J169" s="330">
        <v>54.21</v>
      </c>
      <c r="K169" s="330">
        <v>51.94</v>
      </c>
      <c r="L169" s="330"/>
      <c r="N169" s="325">
        <f t="shared" si="31"/>
        <v>106.15</v>
      </c>
      <c r="O169" s="27"/>
      <c r="P169" s="56"/>
      <c r="Q169" s="26"/>
      <c r="T169" s="34">
        <v>0</v>
      </c>
      <c r="U169" s="366">
        <f t="shared" si="32"/>
        <v>0</v>
      </c>
      <c r="V169" s="58">
        <v>0.7</v>
      </c>
      <c r="W169" s="13">
        <f>RTD("money.excel",,"3162","Price")</f>
        <v>41.25</v>
      </c>
      <c r="X169" s="67"/>
      <c r="Y169" s="15">
        <f t="shared" si="27"/>
        <v>41.25</v>
      </c>
      <c r="Z169" s="3" t="e">
        <f t="shared" si="28"/>
        <v>#DIV/0!</v>
      </c>
      <c r="AA169" s="174" t="s">
        <v>1943</v>
      </c>
      <c r="AB169" s="16" t="s">
        <v>566</v>
      </c>
      <c r="AE169" s="33">
        <f t="shared" si="29"/>
        <v>0</v>
      </c>
      <c r="AF169" s="61" t="s">
        <v>4244</v>
      </c>
      <c r="AG169" s="128"/>
      <c r="AI169" s="64">
        <f t="shared" si="33"/>
        <v>1.0642201834862386E-3</v>
      </c>
      <c r="AJ169" s="313">
        <f>RTD("money.excel",,$G169,"PredictVolume")</f>
        <v>116</v>
      </c>
      <c r="AK169" s="348"/>
    </row>
    <row r="170" spans="1:37">
      <c r="A170" s="132" t="s">
        <v>1798</v>
      </c>
      <c r="B170" s="81">
        <v>198</v>
      </c>
      <c r="C170" s="81">
        <v>273</v>
      </c>
      <c r="D170" s="81">
        <v>3</v>
      </c>
      <c r="E170" s="81">
        <v>17</v>
      </c>
      <c r="F170" s="58">
        <v>13.3</v>
      </c>
      <c r="G170" s="81">
        <v>3167</v>
      </c>
      <c r="H170" s="8" t="s">
        <v>313</v>
      </c>
      <c r="I170" s="22" t="s">
        <v>4463</v>
      </c>
      <c r="J170" s="75">
        <v>53.91</v>
      </c>
      <c r="K170" s="75">
        <v>6.15</v>
      </c>
      <c r="L170" s="75">
        <v>25.81</v>
      </c>
      <c r="M170" s="330">
        <v>14.92</v>
      </c>
      <c r="N170" s="325">
        <f t="shared" si="31"/>
        <v>100.78999999999999</v>
      </c>
      <c r="O170" s="27"/>
      <c r="P170" s="56"/>
      <c r="Q170" s="26"/>
      <c r="R170" s="308" t="s">
        <v>4372</v>
      </c>
      <c r="S170" s="330">
        <v>1.61</v>
      </c>
      <c r="T170" s="67">
        <v>3</v>
      </c>
      <c r="U170" s="366">
        <f t="shared" si="32"/>
        <v>4.3923865300146414E-2</v>
      </c>
      <c r="V170" s="58">
        <v>8.2100000000000009</v>
      </c>
      <c r="W170" s="36">
        <f>RTD("money.excel",,"3167","Price")</f>
        <v>68.3</v>
      </c>
      <c r="X170" s="67"/>
      <c r="Y170" s="15">
        <f t="shared" si="27"/>
        <v>68.3</v>
      </c>
      <c r="Z170" s="3" t="e">
        <f t="shared" si="28"/>
        <v>#DIV/0!</v>
      </c>
      <c r="AA170" s="174" t="s">
        <v>2185</v>
      </c>
      <c r="AB170" s="22" t="s">
        <v>4463</v>
      </c>
      <c r="AE170" s="33">
        <f t="shared" si="29"/>
        <v>0</v>
      </c>
      <c r="AF170" s="43" t="s">
        <v>2570</v>
      </c>
      <c r="AG170" s="128"/>
      <c r="AI170" s="64">
        <f t="shared" si="33"/>
        <v>2.0848938826466918E-3</v>
      </c>
      <c r="AJ170" s="313">
        <f>RTD("money.excel",,$G170,"PredictVolume")</f>
        <v>167</v>
      </c>
      <c r="AK170" s="348"/>
    </row>
    <row r="171" spans="1:37">
      <c r="A171" s="148" t="s">
        <v>2281</v>
      </c>
      <c r="B171" s="82">
        <v>-41</v>
      </c>
      <c r="C171" s="82">
        <v>-46</v>
      </c>
      <c r="D171" s="82">
        <v>-11</v>
      </c>
      <c r="E171" s="81">
        <v>22</v>
      </c>
      <c r="F171" s="6">
        <v>7.28</v>
      </c>
      <c r="G171" s="81">
        <v>3178</v>
      </c>
      <c r="H171" s="8" t="s">
        <v>313</v>
      </c>
      <c r="I171" s="16" t="s">
        <v>1151</v>
      </c>
      <c r="J171" s="75">
        <v>60.82</v>
      </c>
      <c r="K171" s="75">
        <v>0.94</v>
      </c>
      <c r="L171" s="75">
        <v>12.35</v>
      </c>
      <c r="N171" s="325">
        <f t="shared" si="31"/>
        <v>74.11</v>
      </c>
      <c r="O171" s="27"/>
      <c r="P171" s="56"/>
      <c r="Q171" s="26"/>
      <c r="S171" s="330">
        <v>1.73</v>
      </c>
      <c r="T171" s="34">
        <v>1.2</v>
      </c>
      <c r="U171" s="366">
        <f t="shared" si="32"/>
        <v>1.8604651162790697E-2</v>
      </c>
      <c r="V171" s="58">
        <v>1.69</v>
      </c>
      <c r="W171" s="36">
        <f>RTD("money.excel",,"3178","Price")</f>
        <v>64.5</v>
      </c>
      <c r="X171" s="67"/>
      <c r="Y171" s="15">
        <f t="shared" si="27"/>
        <v>64.5</v>
      </c>
      <c r="Z171" s="3" t="e">
        <f t="shared" si="28"/>
        <v>#DIV/0!</v>
      </c>
      <c r="AA171" s="174" t="s">
        <v>1943</v>
      </c>
      <c r="AB171" s="16" t="s">
        <v>1151</v>
      </c>
      <c r="AE171" s="33">
        <f t="shared" si="29"/>
        <v>0</v>
      </c>
      <c r="AF171" s="43" t="s">
        <v>3327</v>
      </c>
      <c r="AG171" s="128"/>
      <c r="AI171" s="64">
        <f t="shared" si="33"/>
        <v>1.0199556541019956E-3</v>
      </c>
      <c r="AJ171" s="313">
        <f>RTD("money.excel",,$G171,"PredictVolume")</f>
        <v>46</v>
      </c>
      <c r="AK171" s="348"/>
    </row>
    <row r="172" spans="1:37">
      <c r="A172" s="132" t="s">
        <v>3573</v>
      </c>
      <c r="B172" s="93">
        <v>-1</v>
      </c>
      <c r="C172" s="93">
        <v>13</v>
      </c>
      <c r="D172" s="93">
        <v>-28</v>
      </c>
      <c r="E172" s="93">
        <v>23</v>
      </c>
      <c r="F172" s="58">
        <v>17.739999999999998</v>
      </c>
      <c r="G172" s="81">
        <v>3226</v>
      </c>
      <c r="H172" s="8" t="s">
        <v>313</v>
      </c>
      <c r="I172" s="16" t="s">
        <v>567</v>
      </c>
      <c r="J172" s="75">
        <v>83.4</v>
      </c>
      <c r="K172" s="75">
        <v>0</v>
      </c>
      <c r="L172" s="75">
        <v>1.27</v>
      </c>
      <c r="N172" s="325">
        <f t="shared" si="31"/>
        <v>84.67</v>
      </c>
      <c r="O172" s="27"/>
      <c r="P172" s="56"/>
      <c r="Q172" s="26"/>
      <c r="S172" s="330">
        <v>62.65</v>
      </c>
      <c r="T172" s="67">
        <v>3.5</v>
      </c>
      <c r="U172" s="366">
        <f t="shared" si="32"/>
        <v>5.4858934169278999E-2</v>
      </c>
      <c r="V172" s="97">
        <v>5.0199999999999996</v>
      </c>
      <c r="W172" s="13">
        <f>RTD("money.excel",,"3226","Price")</f>
        <v>63.8</v>
      </c>
      <c r="X172" s="67"/>
      <c r="Y172" s="15">
        <f t="shared" si="27"/>
        <v>63.8</v>
      </c>
      <c r="Z172" s="3" t="e">
        <f t="shared" si="28"/>
        <v>#DIV/0!</v>
      </c>
      <c r="AA172" s="174" t="s">
        <v>1986</v>
      </c>
      <c r="AB172" s="16" t="s">
        <v>567</v>
      </c>
      <c r="AE172" s="33">
        <f t="shared" si="29"/>
        <v>0</v>
      </c>
      <c r="AF172" s="43" t="s">
        <v>3031</v>
      </c>
      <c r="AG172" s="128"/>
      <c r="AI172" s="64">
        <f t="shared" si="33"/>
        <v>9.3167701863354027E-5</v>
      </c>
      <c r="AJ172" s="313">
        <f>RTD("money.excel",,$G172,"PredictVolume")</f>
        <v>6</v>
      </c>
      <c r="AK172" s="348"/>
    </row>
    <row r="173" spans="1:37">
      <c r="A173" s="148" t="s">
        <v>2635</v>
      </c>
      <c r="B173" s="93">
        <v>171</v>
      </c>
      <c r="C173" s="93">
        <v>-52</v>
      </c>
      <c r="D173" s="93">
        <v>-61</v>
      </c>
      <c r="E173" s="93">
        <v>73</v>
      </c>
      <c r="F173" s="6">
        <v>-25</v>
      </c>
      <c r="G173" s="81">
        <v>3379</v>
      </c>
      <c r="H173" s="8" t="s">
        <v>313</v>
      </c>
      <c r="I173" s="16" t="s">
        <v>568</v>
      </c>
      <c r="J173" s="75">
        <v>51.39</v>
      </c>
      <c r="K173" s="75">
        <v>0</v>
      </c>
      <c r="L173" s="75">
        <v>8.49</v>
      </c>
      <c r="N173" s="325">
        <f t="shared" si="31"/>
        <v>59.88</v>
      </c>
      <c r="O173" s="27"/>
      <c r="P173" s="56"/>
      <c r="Q173" s="26"/>
      <c r="S173" s="330">
        <v>31.97</v>
      </c>
      <c r="T173" s="34">
        <v>0.3</v>
      </c>
      <c r="U173" s="366">
        <f t="shared" si="32"/>
        <v>2.542372881355932E-2</v>
      </c>
      <c r="V173" s="97">
        <v>0.47</v>
      </c>
      <c r="W173" s="13">
        <f>RTD("money.excel",,"3379","Price")</f>
        <v>11.8</v>
      </c>
      <c r="X173" s="67"/>
      <c r="Y173" s="15">
        <f t="shared" si="27"/>
        <v>11.8</v>
      </c>
      <c r="Z173" s="3" t="e">
        <f t="shared" si="28"/>
        <v>#DIV/0!</v>
      </c>
      <c r="AB173" s="16" t="s">
        <v>568</v>
      </c>
      <c r="AE173" s="33">
        <f t="shared" si="29"/>
        <v>0</v>
      </c>
      <c r="AF173" s="43" t="s">
        <v>3032</v>
      </c>
      <c r="AG173" s="128"/>
      <c r="AI173" s="64">
        <f t="shared" si="33"/>
        <v>6.3157894736842106E-4</v>
      </c>
      <c r="AJ173" s="313">
        <f>RTD("money.excel",,$G173,"PredictVolume")</f>
        <v>24</v>
      </c>
      <c r="AK173" s="348"/>
    </row>
    <row r="174" spans="1:37">
      <c r="A174" s="132" t="s">
        <v>3574</v>
      </c>
      <c r="B174" s="93">
        <v>-15</v>
      </c>
      <c r="C174" s="93">
        <v>-4</v>
      </c>
      <c r="D174" s="93">
        <v>2</v>
      </c>
      <c r="E174" s="93">
        <v>20</v>
      </c>
      <c r="F174" s="58">
        <v>12.5</v>
      </c>
      <c r="G174" s="81">
        <v>3426</v>
      </c>
      <c r="H174" s="8" t="s">
        <v>313</v>
      </c>
      <c r="I174" s="16" t="s">
        <v>569</v>
      </c>
      <c r="J174" s="75">
        <v>57.67</v>
      </c>
      <c r="K174" s="330">
        <v>0.25</v>
      </c>
      <c r="N174" s="325">
        <f t="shared" si="31"/>
        <v>57.92</v>
      </c>
      <c r="O174" s="27"/>
      <c r="P174" s="56"/>
      <c r="Q174" s="26"/>
      <c r="S174" s="330">
        <v>23.44</v>
      </c>
      <c r="T174" s="34">
        <v>2</v>
      </c>
      <c r="U174" s="366" t="e">
        <f t="shared" si="32"/>
        <v>#VALUE!</v>
      </c>
      <c r="V174" s="97">
        <v>2.16</v>
      </c>
      <c r="W174" s="13" t="str">
        <f>RTD("money.excel",,"3426","Price")</f>
        <v>無資料</v>
      </c>
      <c r="X174" s="67"/>
      <c r="Y174" s="15" t="e">
        <f t="shared" si="27"/>
        <v>#VALUE!</v>
      </c>
      <c r="Z174" s="3" t="e">
        <f t="shared" si="28"/>
        <v>#VALUE!</v>
      </c>
      <c r="AB174" s="16" t="s">
        <v>569</v>
      </c>
      <c r="AE174" s="33">
        <f t="shared" si="29"/>
        <v>0</v>
      </c>
      <c r="AF174" s="43" t="s">
        <v>1504</v>
      </c>
      <c r="AG174" s="128"/>
      <c r="AI174" s="64">
        <f t="shared" si="33"/>
        <v>0</v>
      </c>
      <c r="AJ174" s="313">
        <f>RTD("money.excel",,$G174,"PredictVolume")</f>
        <v>0</v>
      </c>
      <c r="AK174" s="348"/>
    </row>
    <row r="175" spans="1:37">
      <c r="A175" s="148" t="s">
        <v>3300</v>
      </c>
      <c r="B175" s="93">
        <v>-346</v>
      </c>
      <c r="C175" s="93">
        <v>-311</v>
      </c>
      <c r="D175" s="93">
        <v>15</v>
      </c>
      <c r="E175" s="93">
        <v>67</v>
      </c>
      <c r="F175" s="6">
        <v>-7.45</v>
      </c>
      <c r="G175" s="81">
        <v>4502</v>
      </c>
      <c r="H175" s="8" t="s">
        <v>313</v>
      </c>
      <c r="I175" s="16" t="s">
        <v>570</v>
      </c>
      <c r="J175" s="75">
        <v>74.13</v>
      </c>
      <c r="K175" s="75">
        <v>0.88</v>
      </c>
      <c r="L175" s="75">
        <v>17.45</v>
      </c>
      <c r="N175" s="325">
        <f t="shared" si="31"/>
        <v>92.46</v>
      </c>
      <c r="O175" s="27"/>
      <c r="P175" s="56"/>
      <c r="Q175" s="26"/>
      <c r="S175" s="330">
        <v>25.48</v>
      </c>
      <c r="T175" s="34">
        <v>0</v>
      </c>
      <c r="U175" s="366">
        <f t="shared" si="32"/>
        <v>0</v>
      </c>
      <c r="V175" s="97">
        <v>-2.4300000000000002</v>
      </c>
      <c r="W175" s="13">
        <f>RTD("money.excel",,"4502","Price")</f>
        <v>38.4</v>
      </c>
      <c r="X175" s="67"/>
      <c r="Y175" s="15">
        <f t="shared" si="27"/>
        <v>38.4</v>
      </c>
      <c r="Z175" s="3" t="e">
        <f t="shared" si="28"/>
        <v>#DIV/0!</v>
      </c>
      <c r="AB175" s="16" t="s">
        <v>570</v>
      </c>
      <c r="AE175" s="33">
        <f t="shared" si="29"/>
        <v>0</v>
      </c>
      <c r="AF175" s="43" t="s">
        <v>3033</v>
      </c>
      <c r="AG175" s="128"/>
      <c r="AI175" s="64">
        <f t="shared" si="33"/>
        <v>3.9370078740157478E-5</v>
      </c>
      <c r="AJ175" s="313">
        <f>RTD("money.excel",,$G175,"PredictVolume")</f>
        <v>2</v>
      </c>
      <c r="AK175" s="348"/>
    </row>
    <row r="176" spans="1:37">
      <c r="A176" s="148" t="s">
        <v>1889</v>
      </c>
      <c r="B176" s="93">
        <v>-111</v>
      </c>
      <c r="C176" s="93">
        <v>-127</v>
      </c>
      <c r="D176" s="93">
        <v>-21</v>
      </c>
      <c r="E176" s="93">
        <v>-56</v>
      </c>
      <c r="F176" s="6">
        <v>-3.46</v>
      </c>
      <c r="G176" s="81">
        <v>4503</v>
      </c>
      <c r="H176" s="8" t="s">
        <v>313</v>
      </c>
      <c r="I176" s="16" t="s">
        <v>571</v>
      </c>
      <c r="J176" s="75">
        <v>63.18</v>
      </c>
      <c r="K176" s="75">
        <v>0.06</v>
      </c>
      <c r="N176" s="325">
        <f t="shared" si="31"/>
        <v>63.24</v>
      </c>
      <c r="O176" s="27"/>
      <c r="P176" s="56"/>
      <c r="Q176" s="26"/>
      <c r="S176" s="330">
        <v>18.36</v>
      </c>
      <c r="T176" s="34">
        <v>0</v>
      </c>
      <c r="U176" s="366">
        <f t="shared" si="32"/>
        <v>0</v>
      </c>
      <c r="V176" s="97">
        <v>-0.3</v>
      </c>
      <c r="W176" s="13">
        <f>RTD("money.excel",,"4503","Price")</f>
        <v>28</v>
      </c>
      <c r="X176" s="67"/>
      <c r="Y176" s="15">
        <f t="shared" si="27"/>
        <v>28</v>
      </c>
      <c r="Z176" s="3" t="e">
        <f t="shared" si="28"/>
        <v>#DIV/0!</v>
      </c>
      <c r="AB176" s="16" t="s">
        <v>571</v>
      </c>
      <c r="AE176" s="33">
        <f t="shared" si="29"/>
        <v>0</v>
      </c>
      <c r="AF176" s="43" t="s">
        <v>3034</v>
      </c>
      <c r="AG176" s="128"/>
      <c r="AI176" s="64">
        <f t="shared" si="33"/>
        <v>1.2722646310432571E-3</v>
      </c>
      <c r="AJ176" s="313">
        <f>RTD("money.excel",,$G176,"PredictVolume")</f>
        <v>50</v>
      </c>
      <c r="AK176" s="348"/>
    </row>
    <row r="177" spans="1:37">
      <c r="A177" s="132" t="s">
        <v>2454</v>
      </c>
      <c r="B177" s="81">
        <v>9</v>
      </c>
      <c r="C177" s="81">
        <v>6</v>
      </c>
      <c r="D177" s="81">
        <v>1</v>
      </c>
      <c r="E177" s="82">
        <v>-9</v>
      </c>
      <c r="F177" s="58">
        <v>19.53</v>
      </c>
      <c r="G177" s="81">
        <v>4506</v>
      </c>
      <c r="H177" s="8" t="s">
        <v>313</v>
      </c>
      <c r="I177" s="16" t="s">
        <v>4464</v>
      </c>
      <c r="J177" s="330">
        <v>81.040000000000006</v>
      </c>
      <c r="K177" s="330">
        <v>7.9</v>
      </c>
      <c r="L177" s="330">
        <v>0.1</v>
      </c>
      <c r="N177" s="325">
        <f t="shared" si="31"/>
        <v>89.04</v>
      </c>
      <c r="O177" s="27"/>
      <c r="P177" s="56"/>
      <c r="Q177" s="26"/>
      <c r="S177" s="330">
        <v>0</v>
      </c>
      <c r="T177" s="67">
        <v>3</v>
      </c>
      <c r="U177" s="366">
        <f t="shared" si="32"/>
        <v>4.4642857142857144E-2</v>
      </c>
      <c r="V177" s="97">
        <v>4.0999999999999996</v>
      </c>
      <c r="W177" s="36">
        <f>RTD("money.excel",,"4506","Price")</f>
        <v>67.2</v>
      </c>
      <c r="X177" s="67"/>
      <c r="Y177" s="15">
        <f t="shared" si="27"/>
        <v>67.2</v>
      </c>
      <c r="Z177" s="3" t="e">
        <f t="shared" si="28"/>
        <v>#DIV/0!</v>
      </c>
      <c r="AA177" s="174" t="s">
        <v>2185</v>
      </c>
      <c r="AB177" s="16" t="s">
        <v>4464</v>
      </c>
      <c r="AE177" s="33">
        <f t="shared" si="29"/>
        <v>0</v>
      </c>
      <c r="AF177" s="122" t="s">
        <v>2900</v>
      </c>
      <c r="AG177" s="26"/>
      <c r="AI177" s="64">
        <f t="shared" si="33"/>
        <v>2.937853107344633E-4</v>
      </c>
      <c r="AJ177" s="313">
        <f>RTD("money.excel",,$G177,"PredictVolume")</f>
        <v>52</v>
      </c>
      <c r="AK177" s="108"/>
    </row>
    <row r="178" spans="1:37">
      <c r="A178" s="148" t="s">
        <v>1881</v>
      </c>
      <c r="B178" s="81">
        <v>65</v>
      </c>
      <c r="C178" s="82">
        <v>-274</v>
      </c>
      <c r="D178" s="82">
        <v>-17</v>
      </c>
      <c r="E178" s="81">
        <v>25</v>
      </c>
      <c r="F178" s="6">
        <v>-1.67</v>
      </c>
      <c r="G178" s="81">
        <v>4510</v>
      </c>
      <c r="H178" s="8" t="s">
        <v>313</v>
      </c>
      <c r="I178" s="16" t="s">
        <v>572</v>
      </c>
      <c r="J178" s="330">
        <v>45.64</v>
      </c>
      <c r="K178" s="330">
        <v>3.45</v>
      </c>
      <c r="L178" s="330">
        <v>3.8</v>
      </c>
      <c r="N178" s="325">
        <f t="shared" si="31"/>
        <v>52.89</v>
      </c>
      <c r="O178" s="27"/>
      <c r="P178" s="56"/>
      <c r="Q178" s="26"/>
      <c r="S178" s="330">
        <v>0</v>
      </c>
      <c r="T178" s="34">
        <v>0</v>
      </c>
      <c r="U178" s="366">
        <f t="shared" si="32"/>
        <v>0</v>
      </c>
      <c r="V178" s="97">
        <v>-0.11</v>
      </c>
      <c r="W178" s="36">
        <f>RTD("money.excel",,"4510","Price")</f>
        <v>11.45</v>
      </c>
      <c r="X178" s="67"/>
      <c r="Y178" s="15">
        <f t="shared" si="27"/>
        <v>11.45</v>
      </c>
      <c r="Z178" s="3" t="e">
        <f t="shared" si="28"/>
        <v>#DIV/0!</v>
      </c>
      <c r="AA178" s="174" t="s">
        <v>1943</v>
      </c>
      <c r="AB178" s="16" t="s">
        <v>572</v>
      </c>
      <c r="AE178" s="33">
        <f t="shared" si="29"/>
        <v>0</v>
      </c>
      <c r="AF178" s="43" t="s">
        <v>3764</v>
      </c>
      <c r="AG178" s="128"/>
      <c r="AI178" s="64">
        <f t="shared" si="33"/>
        <v>5.5555555555555558E-5</v>
      </c>
      <c r="AJ178" s="313">
        <f>RTD("money.excel",,$G178,"PredictVolume")</f>
        <v>6</v>
      </c>
      <c r="AK178" s="348"/>
    </row>
    <row r="179" spans="1:37">
      <c r="A179" s="148" t="s">
        <v>2039</v>
      </c>
      <c r="B179" s="82">
        <v>-152</v>
      </c>
      <c r="C179" s="82">
        <v>-824</v>
      </c>
      <c r="D179" s="82">
        <v>-52</v>
      </c>
      <c r="E179" s="81">
        <v>0</v>
      </c>
      <c r="F179" s="6">
        <v>-5.58</v>
      </c>
      <c r="G179" s="81">
        <v>4513</v>
      </c>
      <c r="H179" s="8" t="s">
        <v>313</v>
      </c>
      <c r="I179" s="16" t="s">
        <v>573</v>
      </c>
      <c r="J179" s="330">
        <v>46.14</v>
      </c>
      <c r="K179" s="330">
        <v>0.52</v>
      </c>
      <c r="L179" s="330">
        <v>9.84</v>
      </c>
      <c r="N179" s="325">
        <f t="shared" si="31"/>
        <v>56.5</v>
      </c>
      <c r="O179" s="27"/>
      <c r="P179" s="56"/>
      <c r="Q179" s="26"/>
      <c r="S179" s="330">
        <v>0.03</v>
      </c>
      <c r="T179" s="34">
        <v>0</v>
      </c>
      <c r="U179" s="366">
        <f t="shared" si="32"/>
        <v>0</v>
      </c>
      <c r="V179" s="97">
        <v>-0.51</v>
      </c>
      <c r="W179" s="36">
        <f>RTD("money.excel",,"4513","Price")</f>
        <v>18.95</v>
      </c>
      <c r="X179" s="67"/>
      <c r="Y179" s="15">
        <f t="shared" si="27"/>
        <v>18.95</v>
      </c>
      <c r="Z179" s="3" t="e">
        <f t="shared" si="28"/>
        <v>#DIV/0!</v>
      </c>
      <c r="AA179" s="174" t="s">
        <v>1943</v>
      </c>
      <c r="AB179" s="16" t="s">
        <v>573</v>
      </c>
      <c r="AE179" s="33">
        <f t="shared" si="29"/>
        <v>0</v>
      </c>
      <c r="AF179" s="43" t="s">
        <v>3036</v>
      </c>
      <c r="AG179" s="128"/>
      <c r="AI179" s="64">
        <f t="shared" si="33"/>
        <v>4.1872561768530559E-3</v>
      </c>
      <c r="AJ179" s="313">
        <f>RTD("money.excel",,$G179,"PredictVolume")</f>
        <v>322</v>
      </c>
      <c r="AK179" s="348"/>
    </row>
    <row r="180" spans="1:37">
      <c r="A180" s="148" t="s">
        <v>3575</v>
      </c>
      <c r="B180" s="82">
        <v>-72</v>
      </c>
      <c r="C180" s="82">
        <v>-81</v>
      </c>
      <c r="D180" s="82">
        <v>-36</v>
      </c>
      <c r="E180" s="82">
        <v>-6</v>
      </c>
      <c r="F180" s="6">
        <v>-40.86</v>
      </c>
      <c r="G180" s="81">
        <v>4523</v>
      </c>
      <c r="H180" s="8" t="s">
        <v>313</v>
      </c>
      <c r="I180" s="16" t="s">
        <v>574</v>
      </c>
      <c r="J180" s="330">
        <v>62.43</v>
      </c>
      <c r="K180" s="75">
        <v>23.4</v>
      </c>
      <c r="L180" s="75">
        <v>65.81</v>
      </c>
      <c r="N180" s="325">
        <f t="shared" si="31"/>
        <v>151.63999999999999</v>
      </c>
      <c r="O180" s="27"/>
      <c r="P180" s="56"/>
      <c r="Q180" s="26"/>
      <c r="S180" s="330">
        <v>0.01</v>
      </c>
      <c r="T180" s="34">
        <v>0</v>
      </c>
      <c r="U180" s="366">
        <f t="shared" si="32"/>
        <v>0</v>
      </c>
      <c r="V180" s="58">
        <v>-4.74</v>
      </c>
      <c r="W180" s="36">
        <f>RTD("money.excel",,"4523","Price")</f>
        <v>26.95</v>
      </c>
      <c r="X180" s="67"/>
      <c r="Y180" s="15">
        <f t="shared" si="27"/>
        <v>26.95</v>
      </c>
      <c r="Z180" s="3" t="e">
        <f t="shared" si="28"/>
        <v>#DIV/0!</v>
      </c>
      <c r="AB180" s="16" t="s">
        <v>574</v>
      </c>
      <c r="AE180" s="33">
        <f t="shared" si="29"/>
        <v>0</v>
      </c>
      <c r="AF180" s="43" t="s">
        <v>3037</v>
      </c>
      <c r="AG180" s="128"/>
      <c r="AI180" s="64">
        <f t="shared" si="33"/>
        <v>2.8124999999999998E-4</v>
      </c>
      <c r="AJ180" s="313">
        <f>RTD("money.excel",,$G180,"PredictVolume")</f>
        <v>18</v>
      </c>
      <c r="AK180" s="348"/>
    </row>
    <row r="181" spans="1:37">
      <c r="A181" s="148" t="s">
        <v>1956</v>
      </c>
      <c r="B181" s="82">
        <v>-145</v>
      </c>
      <c r="C181" s="82">
        <v>-170</v>
      </c>
      <c r="D181" s="82">
        <v>-31</v>
      </c>
      <c r="E181" s="82">
        <v>-49</v>
      </c>
      <c r="F181" s="6">
        <v>-3.68</v>
      </c>
      <c r="G181" s="81">
        <v>4526</v>
      </c>
      <c r="H181" s="8" t="s">
        <v>313</v>
      </c>
      <c r="I181" s="22" t="s">
        <v>613</v>
      </c>
      <c r="J181" s="75">
        <v>45.22</v>
      </c>
      <c r="K181" s="75">
        <v>7.1</v>
      </c>
      <c r="L181" s="75">
        <v>4.0199999999999996</v>
      </c>
      <c r="N181" s="325">
        <f t="shared" si="31"/>
        <v>56.34</v>
      </c>
      <c r="O181" s="27"/>
      <c r="P181" s="56"/>
      <c r="Q181" s="26"/>
      <c r="S181" s="330">
        <v>0.01</v>
      </c>
      <c r="T181" s="34">
        <v>0</v>
      </c>
      <c r="U181" s="366">
        <f t="shared" si="32"/>
        <v>0</v>
      </c>
      <c r="V181" s="97">
        <v>-1.36</v>
      </c>
      <c r="W181" s="36">
        <f>RTD("money.excel",,"4526","Price")</f>
        <v>16.149999999999999</v>
      </c>
      <c r="X181" s="67"/>
      <c r="Y181" s="15">
        <f t="shared" si="27"/>
        <v>16.149999999999999</v>
      </c>
      <c r="Z181" s="3" t="e">
        <f t="shared" si="28"/>
        <v>#DIV/0!</v>
      </c>
      <c r="AA181" s="174" t="s">
        <v>1943</v>
      </c>
      <c r="AB181" s="22" t="s">
        <v>613</v>
      </c>
      <c r="AE181" s="33">
        <f t="shared" si="29"/>
        <v>0</v>
      </c>
      <c r="AF181" s="43" t="s">
        <v>2570</v>
      </c>
      <c r="AG181" s="128"/>
      <c r="AI181" s="64">
        <f t="shared" si="33"/>
        <v>4.606299212598425E-4</v>
      </c>
      <c r="AJ181" s="313">
        <f>RTD("money.excel",,$G181,"PredictVolume")</f>
        <v>117</v>
      </c>
      <c r="AK181" s="348"/>
    </row>
    <row r="182" spans="1:37">
      <c r="A182" s="148" t="s">
        <v>1693</v>
      </c>
      <c r="B182" s="93">
        <v>67</v>
      </c>
      <c r="C182" s="93">
        <v>54</v>
      </c>
      <c r="D182" s="93">
        <v>-45</v>
      </c>
      <c r="E182" s="93">
        <v>31</v>
      </c>
      <c r="F182" s="6">
        <v>8.09</v>
      </c>
      <c r="G182" s="81">
        <v>4527</v>
      </c>
      <c r="H182" s="8" t="s">
        <v>313</v>
      </c>
      <c r="I182" s="16" t="s">
        <v>575</v>
      </c>
      <c r="J182" s="75">
        <v>71.95</v>
      </c>
      <c r="K182" s="75">
        <v>7.47</v>
      </c>
      <c r="L182" s="75">
        <v>0.28000000000000003</v>
      </c>
      <c r="N182" s="325">
        <f t="shared" si="31"/>
        <v>79.7</v>
      </c>
      <c r="O182" s="27"/>
      <c r="P182" s="56"/>
      <c r="Q182" s="26"/>
      <c r="S182" s="330">
        <v>39.090000000000003</v>
      </c>
      <c r="T182" s="34">
        <v>2</v>
      </c>
      <c r="U182" s="366">
        <f t="shared" si="32"/>
        <v>7.1174377224199281E-2</v>
      </c>
      <c r="V182" s="97">
        <v>2.72</v>
      </c>
      <c r="W182" s="13">
        <f>RTD("money.excel",,"4527","Price")</f>
        <v>28.1</v>
      </c>
      <c r="X182" s="67"/>
      <c r="Y182" s="15">
        <f t="shared" si="27"/>
        <v>28.1</v>
      </c>
      <c r="Z182" s="3" t="e">
        <f t="shared" si="28"/>
        <v>#DIV/0!</v>
      </c>
      <c r="AB182" s="16" t="s">
        <v>575</v>
      </c>
      <c r="AE182" s="33">
        <f t="shared" si="29"/>
        <v>0</v>
      </c>
      <c r="AF182" s="43" t="s">
        <v>3038</v>
      </c>
      <c r="AG182" s="128"/>
      <c r="AI182" s="64">
        <f t="shared" si="33"/>
        <v>1.0629921259842519E-3</v>
      </c>
      <c r="AJ182" s="313">
        <f>RTD("money.excel",,$G182,"PredictVolume")</f>
        <v>81</v>
      </c>
      <c r="AK182" s="348"/>
    </row>
    <row r="183" spans="1:37">
      <c r="A183" s="132" t="s">
        <v>1811</v>
      </c>
      <c r="B183" s="82">
        <v>-14</v>
      </c>
      <c r="C183" s="82">
        <v>-20</v>
      </c>
      <c r="D183" s="81">
        <v>2</v>
      </c>
      <c r="E183" s="81">
        <v>26</v>
      </c>
      <c r="F183" s="58">
        <v>12.34</v>
      </c>
      <c r="G183" s="81">
        <v>4528</v>
      </c>
      <c r="H183" s="8" t="s">
        <v>313</v>
      </c>
      <c r="I183" s="16" t="s">
        <v>4465</v>
      </c>
      <c r="J183" s="330">
        <v>61.42</v>
      </c>
      <c r="K183" s="330">
        <v>1.5</v>
      </c>
      <c r="L183" s="330">
        <v>4.92</v>
      </c>
      <c r="N183" s="325">
        <f t="shared" si="31"/>
        <v>67.84</v>
      </c>
      <c r="O183" s="27"/>
      <c r="P183" s="56"/>
      <c r="Q183" s="26"/>
      <c r="S183" s="330">
        <v>0.06</v>
      </c>
      <c r="T183" s="34">
        <v>1.8</v>
      </c>
      <c r="U183" s="366">
        <f t="shared" si="32"/>
        <v>4.5283018867924532E-2</v>
      </c>
      <c r="V183" s="58">
        <v>3.05</v>
      </c>
      <c r="W183" s="36">
        <f>RTD("money.excel",,"4528","Price")</f>
        <v>39.75</v>
      </c>
      <c r="X183" s="67"/>
      <c r="Y183" s="15">
        <f t="shared" si="27"/>
        <v>39.75</v>
      </c>
      <c r="Z183" s="3" t="e">
        <f t="shared" si="28"/>
        <v>#DIV/0!</v>
      </c>
      <c r="AA183" s="174" t="s">
        <v>1943</v>
      </c>
      <c r="AB183" s="16" t="s">
        <v>4465</v>
      </c>
      <c r="AE183" s="33">
        <f t="shared" si="29"/>
        <v>0</v>
      </c>
      <c r="AF183" s="122" t="s">
        <v>3416</v>
      </c>
      <c r="AG183" s="125"/>
      <c r="AI183" s="64">
        <f t="shared" si="33"/>
        <v>2.0915032679738561E-4</v>
      </c>
      <c r="AJ183" s="313">
        <f>RTD("money.excel",,$G183,"PredictVolume")</f>
        <v>16</v>
      </c>
      <c r="AK183" s="348"/>
    </row>
    <row r="184" spans="1:37">
      <c r="A184" s="148" t="s">
        <v>3576</v>
      </c>
      <c r="B184" s="82">
        <v>-36</v>
      </c>
      <c r="C184" s="81">
        <v>3</v>
      </c>
      <c r="D184" s="81">
        <v>28</v>
      </c>
      <c r="E184" s="81">
        <v>398</v>
      </c>
      <c r="F184" s="6">
        <v>-38.06</v>
      </c>
      <c r="G184" s="81">
        <v>4530</v>
      </c>
      <c r="H184" s="8" t="s">
        <v>313</v>
      </c>
      <c r="I184" s="16" t="s">
        <v>576</v>
      </c>
      <c r="J184" s="75">
        <v>39.479999999999997</v>
      </c>
      <c r="K184" s="75">
        <v>4.53</v>
      </c>
      <c r="N184" s="325">
        <f t="shared" si="31"/>
        <v>44.01</v>
      </c>
      <c r="O184" s="27"/>
      <c r="P184" s="56"/>
      <c r="Q184" s="26"/>
      <c r="T184" s="34">
        <v>0</v>
      </c>
      <c r="U184" s="366">
        <f t="shared" si="32"/>
        <v>0</v>
      </c>
      <c r="V184" s="97">
        <v>-0.49</v>
      </c>
      <c r="W184" s="36">
        <f>RTD("money.excel",,"4530","Price")</f>
        <v>9</v>
      </c>
      <c r="X184" s="67"/>
      <c r="Y184" s="15">
        <f t="shared" si="27"/>
        <v>9</v>
      </c>
      <c r="Z184" s="3" t="e">
        <f t="shared" si="28"/>
        <v>#DIV/0!</v>
      </c>
      <c r="AB184" s="16" t="s">
        <v>576</v>
      </c>
      <c r="AE184" s="33">
        <f t="shared" si="29"/>
        <v>0</v>
      </c>
      <c r="AF184" s="43" t="s">
        <v>1592</v>
      </c>
      <c r="AG184" s="128"/>
      <c r="AI184" s="64">
        <f t="shared" si="33"/>
        <v>3.4632034632034632E-4</v>
      </c>
      <c r="AJ184" s="313">
        <f>RTD("money.excel",,$G184,"PredictVolume")</f>
        <v>16</v>
      </c>
      <c r="AK184" s="348"/>
    </row>
    <row r="185" spans="1:37">
      <c r="A185" s="148" t="s">
        <v>2263</v>
      </c>
      <c r="B185" s="82">
        <v>-41</v>
      </c>
      <c r="C185" s="82">
        <v>-41</v>
      </c>
      <c r="D185" s="81">
        <v>23</v>
      </c>
      <c r="E185" s="81">
        <v>4</v>
      </c>
      <c r="F185" s="6">
        <v>4.4400000000000004</v>
      </c>
      <c r="G185" s="81">
        <v>4532</v>
      </c>
      <c r="H185" s="8" t="s">
        <v>313</v>
      </c>
      <c r="I185" s="22" t="s">
        <v>614</v>
      </c>
      <c r="J185" s="330">
        <v>66.14</v>
      </c>
      <c r="K185" s="75">
        <v>10.58</v>
      </c>
      <c r="L185" s="75">
        <v>1.03</v>
      </c>
      <c r="N185" s="325">
        <f t="shared" si="31"/>
        <v>77.75</v>
      </c>
      <c r="O185" s="27"/>
      <c r="P185" s="56"/>
      <c r="Q185" s="26"/>
      <c r="S185" s="330">
        <v>0</v>
      </c>
      <c r="T185" s="34">
        <v>0.7</v>
      </c>
      <c r="U185" s="366">
        <f t="shared" si="32"/>
        <v>3.8781163434903045E-2</v>
      </c>
      <c r="V185" s="97">
        <v>1.41</v>
      </c>
      <c r="W185" s="36">
        <f>RTD("money.excel",,"4532","Price")</f>
        <v>18.05</v>
      </c>
      <c r="X185" s="67"/>
      <c r="Y185" s="15">
        <f t="shared" si="27"/>
        <v>18.05</v>
      </c>
      <c r="Z185" s="3" t="e">
        <f t="shared" si="28"/>
        <v>#DIV/0!</v>
      </c>
      <c r="AA185" s="174" t="s">
        <v>1943</v>
      </c>
      <c r="AB185" s="22" t="s">
        <v>614</v>
      </c>
      <c r="AE185" s="33">
        <f t="shared" si="29"/>
        <v>0</v>
      </c>
      <c r="AF185" s="43" t="s">
        <v>3270</v>
      </c>
      <c r="AG185" s="128"/>
      <c r="AI185" s="64">
        <f t="shared" si="33"/>
        <v>3.0357142857142855E-4</v>
      </c>
      <c r="AJ185" s="313">
        <f>RTD("money.excel",,$G185,"PredictVolume")</f>
        <v>153</v>
      </c>
      <c r="AK185" s="348"/>
    </row>
    <row r="186" spans="1:37">
      <c r="A186" s="148" t="s">
        <v>1883</v>
      </c>
      <c r="B186" s="81">
        <v>15</v>
      </c>
      <c r="C186" s="82">
        <v>-236</v>
      </c>
      <c r="D186" s="82">
        <v>-49</v>
      </c>
      <c r="E186" s="81">
        <v>-5</v>
      </c>
      <c r="F186" s="6">
        <v>-4.33</v>
      </c>
      <c r="G186" s="81">
        <v>4533</v>
      </c>
      <c r="H186" s="8" t="s">
        <v>313</v>
      </c>
      <c r="I186" s="16" t="s">
        <v>90</v>
      </c>
      <c r="J186" s="330">
        <v>55.8</v>
      </c>
      <c r="K186" s="330">
        <v>0.46</v>
      </c>
      <c r="L186" s="75">
        <v>6.37</v>
      </c>
      <c r="N186" s="325">
        <f t="shared" si="31"/>
        <v>62.629999999999995</v>
      </c>
      <c r="O186" s="27"/>
      <c r="P186" s="56"/>
      <c r="Q186" s="26"/>
      <c r="S186" s="330">
        <v>0</v>
      </c>
      <c r="T186" s="34">
        <v>0.2</v>
      </c>
      <c r="U186" s="366">
        <f t="shared" si="32"/>
        <v>1.7391304347826087E-2</v>
      </c>
      <c r="V186" s="58">
        <v>0.1</v>
      </c>
      <c r="W186" s="36">
        <f>RTD("money.excel",,"4533","Price")</f>
        <v>11.5</v>
      </c>
      <c r="X186" s="67"/>
      <c r="Y186" s="15">
        <f t="shared" si="27"/>
        <v>11.5</v>
      </c>
      <c r="Z186" s="3" t="e">
        <f t="shared" si="28"/>
        <v>#DIV/0!</v>
      </c>
      <c r="AA186" s="174" t="s">
        <v>1943</v>
      </c>
      <c r="AB186" s="16" t="s">
        <v>90</v>
      </c>
      <c r="AE186" s="33">
        <f t="shared" si="29"/>
        <v>0</v>
      </c>
      <c r="AF186" s="122" t="s">
        <v>3021</v>
      </c>
      <c r="AG186" s="128"/>
      <c r="AI186" s="64">
        <f t="shared" si="33"/>
        <v>2.9113924050632909E-4</v>
      </c>
      <c r="AJ186" s="313">
        <f>RTD("money.excel",,$G186,"PredictVolume")</f>
        <v>46</v>
      </c>
      <c r="AK186" s="348"/>
    </row>
    <row r="187" spans="1:37">
      <c r="A187" s="148" t="s">
        <v>3490</v>
      </c>
      <c r="B187" s="82">
        <v>-245</v>
      </c>
      <c r="C187" s="82">
        <v>-163</v>
      </c>
      <c r="D187" s="81">
        <v>27</v>
      </c>
      <c r="E187" s="81">
        <v>3</v>
      </c>
      <c r="F187" s="6">
        <v>-4.33</v>
      </c>
      <c r="G187" s="81">
        <v>4534</v>
      </c>
      <c r="H187" s="8" t="s">
        <v>313</v>
      </c>
      <c r="I187" s="16" t="s">
        <v>577</v>
      </c>
      <c r="J187" s="330">
        <v>36.24</v>
      </c>
      <c r="K187" s="330">
        <v>0.12</v>
      </c>
      <c r="L187" s="75">
        <v>14.02</v>
      </c>
      <c r="N187" s="325">
        <f t="shared" si="31"/>
        <v>50.379999999999995</v>
      </c>
      <c r="O187" s="27"/>
      <c r="P187" s="56"/>
      <c r="Q187" s="26"/>
      <c r="S187" s="330">
        <v>0.09</v>
      </c>
      <c r="T187" s="34">
        <v>0</v>
      </c>
      <c r="U187" s="366">
        <f t="shared" si="32"/>
        <v>0</v>
      </c>
      <c r="V187" s="97">
        <v>-0.72</v>
      </c>
      <c r="W187" s="36">
        <f>RTD("money.excel",,"4534","Price")</f>
        <v>12.9</v>
      </c>
      <c r="X187" s="67"/>
      <c r="Y187" s="15">
        <f t="shared" si="27"/>
        <v>12.9</v>
      </c>
      <c r="Z187" s="3" t="e">
        <f t="shared" si="28"/>
        <v>#DIV/0!</v>
      </c>
      <c r="AB187" s="16" t="s">
        <v>577</v>
      </c>
      <c r="AE187" s="33">
        <f t="shared" si="29"/>
        <v>0</v>
      </c>
      <c r="AF187" s="43" t="s">
        <v>3491</v>
      </c>
      <c r="AG187" s="128"/>
      <c r="AI187" s="64">
        <f t="shared" si="33"/>
        <v>1.7582417582417582E-3</v>
      </c>
      <c r="AJ187" s="313">
        <f>RTD("money.excel",,$G187,"PredictVolume")</f>
        <v>160</v>
      </c>
      <c r="AK187" s="348"/>
    </row>
    <row r="188" spans="1:37">
      <c r="A188" s="148" t="s">
        <v>3577</v>
      </c>
      <c r="B188" s="93">
        <v>-19</v>
      </c>
      <c r="C188" s="93">
        <v>-10</v>
      </c>
      <c r="D188" s="93">
        <v>14</v>
      </c>
      <c r="E188" s="93">
        <v>69</v>
      </c>
      <c r="F188" s="6">
        <v>8.2799999999999994</v>
      </c>
      <c r="G188" s="81">
        <v>4535</v>
      </c>
      <c r="H188" s="8" t="s">
        <v>313</v>
      </c>
      <c r="I188" s="16" t="s">
        <v>155</v>
      </c>
      <c r="J188" s="75">
        <v>76.86</v>
      </c>
      <c r="K188" s="75">
        <v>0.16</v>
      </c>
      <c r="L188" s="75">
        <v>0.1</v>
      </c>
      <c r="N188" s="325">
        <f t="shared" si="31"/>
        <v>77.11999999999999</v>
      </c>
      <c r="O188" s="27"/>
      <c r="P188" s="56"/>
      <c r="Q188" s="26"/>
      <c r="S188" s="330">
        <v>43.99</v>
      </c>
      <c r="T188" s="34">
        <v>0.7</v>
      </c>
      <c r="U188" s="366">
        <f t="shared" si="32"/>
        <v>1.9774011299435026E-2</v>
      </c>
      <c r="V188" s="97">
        <v>1.36</v>
      </c>
      <c r="W188" s="13">
        <f>RTD("money.excel",,"4535","Price")</f>
        <v>35.4</v>
      </c>
      <c r="X188" s="67"/>
      <c r="Y188" s="15">
        <f t="shared" si="27"/>
        <v>35.4</v>
      </c>
      <c r="Z188" s="3" t="e">
        <f t="shared" si="28"/>
        <v>#DIV/0!</v>
      </c>
      <c r="AB188" s="16" t="s">
        <v>155</v>
      </c>
      <c r="AE188" s="33">
        <f t="shared" si="29"/>
        <v>0</v>
      </c>
      <c r="AF188" s="122" t="s">
        <v>3020</v>
      </c>
      <c r="AG188" s="128"/>
      <c r="AI188" s="64">
        <f t="shared" si="33"/>
        <v>1.4531043593130779E-4</v>
      </c>
      <c r="AJ188" s="313">
        <f>RTD("money.excel",,$G188,"PredictVolume")</f>
        <v>11</v>
      </c>
      <c r="AK188" s="348"/>
    </row>
    <row r="189" spans="1:37">
      <c r="A189" s="148" t="s">
        <v>3578</v>
      </c>
      <c r="B189" s="93">
        <v>-66</v>
      </c>
      <c r="C189" s="93">
        <v>-82</v>
      </c>
      <c r="D189" s="93">
        <v>13</v>
      </c>
      <c r="E189" s="93">
        <v>83</v>
      </c>
      <c r="F189" s="6">
        <v>3.21</v>
      </c>
      <c r="G189" s="81">
        <v>4538</v>
      </c>
      <c r="H189" s="8" t="s">
        <v>313</v>
      </c>
      <c r="I189" s="16" t="s">
        <v>3579</v>
      </c>
      <c r="J189" s="75">
        <v>74.39</v>
      </c>
      <c r="K189" s="75">
        <v>0</v>
      </c>
      <c r="L189" s="75">
        <v>0.21</v>
      </c>
      <c r="N189" s="325">
        <f t="shared" si="31"/>
        <v>74.599999999999994</v>
      </c>
      <c r="O189" s="27"/>
      <c r="P189" s="56"/>
      <c r="Q189" s="26"/>
      <c r="S189" s="330">
        <v>0</v>
      </c>
      <c r="T189" s="34">
        <v>0.8</v>
      </c>
      <c r="U189" s="366">
        <f t="shared" si="32"/>
        <v>3.5320088300220757E-2</v>
      </c>
      <c r="V189" s="97">
        <v>0.5</v>
      </c>
      <c r="W189" s="13">
        <f>RTD("money.excel",,"4550","Price")</f>
        <v>22.65</v>
      </c>
      <c r="X189" s="67"/>
      <c r="Y189" s="15">
        <f t="shared" si="27"/>
        <v>22.65</v>
      </c>
      <c r="Z189" s="3" t="e">
        <f t="shared" si="28"/>
        <v>#DIV/0!</v>
      </c>
      <c r="AB189" s="16" t="s">
        <v>3579</v>
      </c>
      <c r="AE189" s="33">
        <f t="shared" si="29"/>
        <v>0</v>
      </c>
      <c r="AF189" s="43" t="s">
        <v>3580</v>
      </c>
      <c r="AG189" s="128"/>
      <c r="AI189" s="64">
        <f t="shared" si="33"/>
        <v>1.9801980198019803E-4</v>
      </c>
      <c r="AJ189" s="313">
        <f>RTD("money.excel",,$G189,"PredictVolume")</f>
        <v>10</v>
      </c>
      <c r="AK189" s="348"/>
    </row>
    <row r="190" spans="1:37">
      <c r="A190" s="148" t="s">
        <v>3672</v>
      </c>
      <c r="B190" s="81">
        <v>280</v>
      </c>
      <c r="C190" s="81">
        <v>175</v>
      </c>
      <c r="D190" s="82">
        <v>-2</v>
      </c>
      <c r="E190" s="81">
        <v>10</v>
      </c>
      <c r="F190" s="6">
        <v>8.81</v>
      </c>
      <c r="G190" s="81">
        <v>4540</v>
      </c>
      <c r="H190" s="8" t="s">
        <v>313</v>
      </c>
      <c r="I190" s="22" t="s">
        <v>1142</v>
      </c>
      <c r="J190" s="75">
        <v>50.36</v>
      </c>
      <c r="K190" s="75">
        <v>3.17</v>
      </c>
      <c r="L190" s="75">
        <v>6.62</v>
      </c>
      <c r="M190" s="330">
        <v>13.43</v>
      </c>
      <c r="N190" s="325">
        <f t="shared" si="31"/>
        <v>73.58</v>
      </c>
      <c r="O190" s="27"/>
      <c r="P190" s="56"/>
      <c r="Q190" s="26"/>
      <c r="R190" s="308" t="s">
        <v>4373</v>
      </c>
      <c r="S190" s="330">
        <v>0.74</v>
      </c>
      <c r="T190" s="34">
        <v>0.8</v>
      </c>
      <c r="U190" s="366">
        <f t="shared" si="32"/>
        <v>1.752464403066813E-2</v>
      </c>
      <c r="V190" s="58">
        <v>2.4900000000000002</v>
      </c>
      <c r="W190" s="36">
        <f>RTD("money.excel",,"4540","Price")</f>
        <v>45.65</v>
      </c>
      <c r="X190" s="67"/>
      <c r="Y190" s="15">
        <f t="shared" si="27"/>
        <v>45.65</v>
      </c>
      <c r="Z190" s="3" t="e">
        <f t="shared" si="28"/>
        <v>#DIV/0!</v>
      </c>
      <c r="AA190" s="174" t="s">
        <v>1943</v>
      </c>
      <c r="AB190" s="22" t="s">
        <v>1142</v>
      </c>
      <c r="AE190" s="33">
        <f t="shared" si="29"/>
        <v>0</v>
      </c>
      <c r="AF190" s="43" t="s">
        <v>1591</v>
      </c>
      <c r="AG190" s="128"/>
      <c r="AI190" s="64">
        <f t="shared" si="33"/>
        <v>1.4225053078556263E-3</v>
      </c>
      <c r="AJ190" s="313">
        <f>RTD("money.excel",,$G190,"PredictVolume")</f>
        <v>134</v>
      </c>
      <c r="AK190" s="348"/>
    </row>
    <row r="191" spans="1:37">
      <c r="A191" s="148" t="s">
        <v>3538</v>
      </c>
      <c r="B191" s="93">
        <v>-67</v>
      </c>
      <c r="C191" s="93">
        <v>-6</v>
      </c>
      <c r="D191" s="93">
        <v>8</v>
      </c>
      <c r="E191" s="93">
        <v>-27</v>
      </c>
      <c r="F191" s="6">
        <v>3.09</v>
      </c>
      <c r="G191" s="81">
        <v>4543</v>
      </c>
      <c r="H191" s="8" t="s">
        <v>313</v>
      </c>
      <c r="I191" s="16" t="s">
        <v>578</v>
      </c>
      <c r="J191" s="75">
        <v>81.81</v>
      </c>
      <c r="K191" s="75">
        <v>6.37</v>
      </c>
      <c r="L191" s="75">
        <v>1</v>
      </c>
      <c r="N191" s="325">
        <f t="shared" si="31"/>
        <v>89.18</v>
      </c>
      <c r="O191" s="27"/>
      <c r="P191" s="56"/>
      <c r="Q191" s="26"/>
      <c r="S191" s="330">
        <v>27.51</v>
      </c>
      <c r="T191" s="34">
        <v>0</v>
      </c>
      <c r="U191" s="366">
        <f t="shared" si="32"/>
        <v>0</v>
      </c>
      <c r="V191" s="97">
        <v>0.19</v>
      </c>
      <c r="W191" s="13">
        <f>RTD("money.excel",,"4543","Price")</f>
        <v>18.2</v>
      </c>
      <c r="X191" s="67"/>
      <c r="Y191" s="15">
        <f t="shared" si="27"/>
        <v>18.2</v>
      </c>
      <c r="Z191" s="3" t="e">
        <f t="shared" si="28"/>
        <v>#DIV/0!</v>
      </c>
      <c r="AB191" s="16" t="s">
        <v>578</v>
      </c>
      <c r="AE191" s="33">
        <f t="shared" si="29"/>
        <v>0</v>
      </c>
      <c r="AF191" s="43" t="s">
        <v>3019</v>
      </c>
      <c r="AG191" s="128"/>
      <c r="AI191" s="64">
        <f t="shared" si="33"/>
        <v>2.2807017543859649E-4</v>
      </c>
      <c r="AJ191" s="313">
        <f>RTD("money.excel",,$G191,"PredictVolume")</f>
        <v>13</v>
      </c>
      <c r="AK191" s="348"/>
    </row>
    <row r="192" spans="1:37">
      <c r="A192" s="132" t="s">
        <v>1805</v>
      </c>
      <c r="B192" s="82">
        <v>-52</v>
      </c>
      <c r="C192" s="82">
        <v>-61</v>
      </c>
      <c r="D192" s="82">
        <v>-2</v>
      </c>
      <c r="E192" s="82">
        <v>-20</v>
      </c>
      <c r="F192" s="58">
        <v>24.17</v>
      </c>
      <c r="G192" s="81">
        <v>4549</v>
      </c>
      <c r="H192" s="8" t="s">
        <v>313</v>
      </c>
      <c r="I192" s="16" t="s">
        <v>579</v>
      </c>
      <c r="J192" s="330">
        <v>73.010000000000005</v>
      </c>
      <c r="K192" s="75">
        <v>4.92</v>
      </c>
      <c r="L192" s="330">
        <v>1.39</v>
      </c>
      <c r="N192" s="325">
        <f t="shared" ref="N192:N222" si="34">J192+K192+L192+M192</f>
        <v>79.320000000000007</v>
      </c>
      <c r="O192" s="27"/>
      <c r="P192" s="56"/>
      <c r="Q192" s="26"/>
      <c r="S192" s="330">
        <v>0.03</v>
      </c>
      <c r="T192" s="67">
        <v>4.5</v>
      </c>
      <c r="U192" s="366">
        <f t="shared" ref="U192:U222" si="35">T192/W192</f>
        <v>4.8754062838569881E-2</v>
      </c>
      <c r="V192" s="97">
        <v>5.49</v>
      </c>
      <c r="W192" s="36">
        <f>RTD("money.excel",,"4549","Price")</f>
        <v>92.3</v>
      </c>
      <c r="X192" s="67"/>
      <c r="Y192" s="15">
        <f t="shared" ref="Y192:Y222" si="36">W192-X192</f>
        <v>92.3</v>
      </c>
      <c r="Z192" s="3" t="e">
        <f t="shared" ref="Z192:Z222" si="37">Y192/X192</f>
        <v>#DIV/0!</v>
      </c>
      <c r="AA192" s="174" t="s">
        <v>2185</v>
      </c>
      <c r="AB192" s="16" t="s">
        <v>579</v>
      </c>
      <c r="AE192" s="33">
        <f t="shared" ref="AE192:AE222" si="38">AD192-AC192</f>
        <v>0</v>
      </c>
      <c r="AF192" s="43" t="s">
        <v>3018</v>
      </c>
      <c r="AG192" s="128"/>
      <c r="AI192" s="64">
        <f t="shared" ref="AI192:AI222" si="39">AJ192/(A192*10000)</f>
        <v>1.3915094339622641E-3</v>
      </c>
      <c r="AJ192" s="313">
        <f>RTD("money.excel",,$G192,"PredictVolume")</f>
        <v>59</v>
      </c>
      <c r="AK192" s="348"/>
    </row>
    <row r="193" spans="1:37">
      <c r="A193" s="148" t="s">
        <v>1910</v>
      </c>
      <c r="B193" s="93">
        <v>-55</v>
      </c>
      <c r="C193" s="93">
        <v>-67</v>
      </c>
      <c r="D193" s="93">
        <v>-23</v>
      </c>
      <c r="E193" s="93">
        <v>379</v>
      </c>
      <c r="F193" s="6">
        <v>4.08</v>
      </c>
      <c r="G193" s="81">
        <v>4550</v>
      </c>
      <c r="H193" s="8" t="s">
        <v>313</v>
      </c>
      <c r="I193" s="16" t="s">
        <v>580</v>
      </c>
      <c r="J193" s="75">
        <v>67.02</v>
      </c>
      <c r="K193" s="75">
        <v>0</v>
      </c>
      <c r="L193" s="75">
        <v>4.03</v>
      </c>
      <c r="N193" s="325">
        <f t="shared" si="34"/>
        <v>71.05</v>
      </c>
      <c r="O193" s="27"/>
      <c r="P193" s="56"/>
      <c r="Q193" s="26"/>
      <c r="S193" s="330">
        <v>27.51</v>
      </c>
      <c r="T193" s="34">
        <v>1.68</v>
      </c>
      <c r="U193" s="366">
        <f t="shared" si="35"/>
        <v>7.4172185430463583E-2</v>
      </c>
      <c r="V193" s="97">
        <v>2.2799999999999998</v>
      </c>
      <c r="W193" s="13">
        <f>RTD("money.excel",,"4550","Price")</f>
        <v>22.65</v>
      </c>
      <c r="X193" s="67"/>
      <c r="Y193" s="15">
        <f t="shared" si="36"/>
        <v>22.65</v>
      </c>
      <c r="Z193" s="3" t="e">
        <f t="shared" si="37"/>
        <v>#DIV/0!</v>
      </c>
      <c r="AB193" s="16" t="s">
        <v>580</v>
      </c>
      <c r="AE193" s="33">
        <f t="shared" si="38"/>
        <v>0</v>
      </c>
      <c r="AF193" s="43" t="s">
        <v>3017</v>
      </c>
      <c r="AG193" s="128"/>
      <c r="AI193" s="64">
        <f t="shared" si="39"/>
        <v>2.380952380952381E-4</v>
      </c>
      <c r="AJ193" s="313">
        <f>RTD("money.excel",,$G193,"PredictVolume")</f>
        <v>9</v>
      </c>
      <c r="AK193" s="348"/>
    </row>
    <row r="194" spans="1:37">
      <c r="A194" s="148" t="s">
        <v>1920</v>
      </c>
      <c r="B194" s="93">
        <v>-59</v>
      </c>
      <c r="C194" s="93">
        <v>-59</v>
      </c>
      <c r="D194" s="93">
        <v>-10</v>
      </c>
      <c r="E194" s="93">
        <v>-21</v>
      </c>
      <c r="F194" s="6">
        <v>9.64</v>
      </c>
      <c r="G194" s="81">
        <v>4552</v>
      </c>
      <c r="H194" s="8" t="s">
        <v>313</v>
      </c>
      <c r="I194" s="22" t="s">
        <v>269</v>
      </c>
      <c r="J194" s="75">
        <v>51.02</v>
      </c>
      <c r="K194" s="330">
        <v>53.19</v>
      </c>
      <c r="L194" s="330">
        <v>6.45</v>
      </c>
      <c r="N194" s="325">
        <f t="shared" si="34"/>
        <v>110.66000000000001</v>
      </c>
      <c r="O194" s="27"/>
      <c r="P194" s="56"/>
      <c r="Q194" s="26"/>
      <c r="S194" s="330">
        <v>47.94</v>
      </c>
      <c r="T194" s="34">
        <v>1.1100000000000001</v>
      </c>
      <c r="U194" s="366">
        <f t="shared" si="35"/>
        <v>3.3383458646616543E-2</v>
      </c>
      <c r="V194" s="58">
        <v>2.2200000000000002</v>
      </c>
      <c r="W194" s="13">
        <f>RTD("money.excel",,"4552","Price")</f>
        <v>33.25</v>
      </c>
      <c r="X194" s="67"/>
      <c r="Y194" s="15">
        <f t="shared" si="36"/>
        <v>33.25</v>
      </c>
      <c r="Z194" s="3" t="e">
        <f t="shared" si="37"/>
        <v>#DIV/0!</v>
      </c>
      <c r="AA194" s="174" t="s">
        <v>1943</v>
      </c>
      <c r="AB194" s="22" t="s">
        <v>269</v>
      </c>
      <c r="AE194" s="33">
        <f t="shared" si="38"/>
        <v>0</v>
      </c>
      <c r="AF194" s="43" t="s">
        <v>2590</v>
      </c>
      <c r="AG194" s="128"/>
      <c r="AI194" s="64">
        <f t="shared" si="39"/>
        <v>4.4827586206896552E-4</v>
      </c>
      <c r="AJ194" s="313">
        <f>RTD("money.excel",,$G194,"PredictVolume")</f>
        <v>52</v>
      </c>
      <c r="AK194" s="348"/>
    </row>
    <row r="195" spans="1:37">
      <c r="A195" s="132" t="s">
        <v>3671</v>
      </c>
      <c r="B195" s="81">
        <v>160</v>
      </c>
      <c r="C195" s="81">
        <v>173</v>
      </c>
      <c r="D195" s="81">
        <v>39</v>
      </c>
      <c r="E195" s="81">
        <v>17</v>
      </c>
      <c r="F195" s="58">
        <v>10.4</v>
      </c>
      <c r="G195" s="81">
        <v>4555</v>
      </c>
      <c r="H195" s="8" t="s">
        <v>313</v>
      </c>
      <c r="I195" s="22" t="s">
        <v>615</v>
      </c>
      <c r="J195" s="75">
        <v>76.540000000000006</v>
      </c>
      <c r="K195" s="330">
        <v>0.51</v>
      </c>
      <c r="L195" s="75">
        <v>6.75</v>
      </c>
      <c r="N195" s="325">
        <f t="shared" si="34"/>
        <v>83.800000000000011</v>
      </c>
      <c r="O195" s="27"/>
      <c r="P195" s="56"/>
      <c r="Q195" s="26"/>
      <c r="S195" s="330">
        <v>0</v>
      </c>
      <c r="T195" s="34">
        <v>1.5</v>
      </c>
      <c r="U195" s="366">
        <f t="shared" si="35"/>
        <v>2.6785714285714284E-2</v>
      </c>
      <c r="V195" s="58">
        <v>2.04</v>
      </c>
      <c r="W195" s="36">
        <f>RTD("money.excel",,"4555","Price")</f>
        <v>56</v>
      </c>
      <c r="X195" s="67"/>
      <c r="Y195" s="15">
        <f t="shared" si="36"/>
        <v>56</v>
      </c>
      <c r="Z195" s="3" t="e">
        <f t="shared" si="37"/>
        <v>#DIV/0!</v>
      </c>
      <c r="AA195" s="174" t="s">
        <v>1943</v>
      </c>
      <c r="AB195" s="22" t="s">
        <v>615</v>
      </c>
      <c r="AE195" s="33">
        <f t="shared" si="38"/>
        <v>0</v>
      </c>
      <c r="AF195" s="43" t="s">
        <v>2275</v>
      </c>
      <c r="AG195" s="128"/>
      <c r="AI195" s="64">
        <f t="shared" si="39"/>
        <v>6.7164179104477607E-4</v>
      </c>
      <c r="AJ195" s="313">
        <f>RTD("money.excel",,$G195,"PredictVolume")</f>
        <v>45</v>
      </c>
      <c r="AK195" s="348"/>
    </row>
    <row r="196" spans="1:37">
      <c r="B196" s="81"/>
      <c r="C196" s="81"/>
      <c r="D196" s="81"/>
      <c r="E196" s="81"/>
      <c r="F196" s="58"/>
      <c r="G196" s="81"/>
      <c r="H196" s="8"/>
      <c r="I196" s="22"/>
      <c r="J196" s="75"/>
      <c r="K196" s="330"/>
      <c r="N196" s="325"/>
      <c r="O196" s="27"/>
      <c r="P196" s="56"/>
      <c r="Q196" s="26"/>
      <c r="T196" s="34"/>
      <c r="U196" s="366"/>
      <c r="V196" s="58"/>
      <c r="W196" s="36"/>
      <c r="X196" s="67"/>
      <c r="Y196" s="15"/>
      <c r="Z196" s="3"/>
      <c r="AB196" s="22"/>
      <c r="AE196" s="33"/>
      <c r="AF196" s="43"/>
      <c r="AG196" s="128"/>
      <c r="AI196" s="64"/>
      <c r="AJ196" s="313"/>
      <c r="AK196" s="348"/>
    </row>
    <row r="197" spans="1:37">
      <c r="A197" s="132" t="s">
        <v>3560</v>
      </c>
      <c r="B197" s="81">
        <v>297</v>
      </c>
      <c r="C197" s="81">
        <v>266</v>
      </c>
      <c r="D197" s="93"/>
      <c r="E197" s="93"/>
      <c r="F197" s="58">
        <v>11.54</v>
      </c>
      <c r="G197" s="81">
        <v>4558</v>
      </c>
      <c r="H197" s="8" t="s">
        <v>313</v>
      </c>
      <c r="I197" s="16" t="s">
        <v>6492</v>
      </c>
      <c r="J197" s="330">
        <v>49.81</v>
      </c>
      <c r="K197" s="330">
        <v>0</v>
      </c>
      <c r="N197" s="325">
        <f t="shared" ref="N197" si="40">J197+K197+L197+M197</f>
        <v>49.81</v>
      </c>
      <c r="O197" s="27"/>
      <c r="P197" s="56"/>
      <c r="Q197" s="26"/>
      <c r="T197" s="34">
        <v>1</v>
      </c>
      <c r="U197" s="366">
        <f t="shared" ref="U197" si="41">T197/W197</f>
        <v>1.7953321364452424E-2</v>
      </c>
      <c r="V197" s="97" t="s">
        <v>4029</v>
      </c>
      <c r="W197" s="13">
        <f>RTD("money.excel",,"4558","Price")</f>
        <v>55.7</v>
      </c>
      <c r="X197" s="67"/>
      <c r="Y197" s="15">
        <f t="shared" ref="Y197" si="42">W197-X197</f>
        <v>55.7</v>
      </c>
      <c r="Z197" s="3" t="e">
        <f t="shared" ref="Z197" si="43">Y197/X197</f>
        <v>#DIV/0!</v>
      </c>
      <c r="AB197" s="16" t="s">
        <v>6492</v>
      </c>
      <c r="AE197" s="33">
        <f t="shared" ref="AE197" si="44">AD197-AC197</f>
        <v>0</v>
      </c>
      <c r="AF197" s="43" t="s">
        <v>6493</v>
      </c>
      <c r="AG197" s="128"/>
      <c r="AI197" s="64">
        <f t="shared" ref="AI197" si="45">AJ197/(A197*10000)</f>
        <v>1.3151927437641724E-3</v>
      </c>
      <c r="AJ197" s="313">
        <f>RTD("money.excel",,$G197,"PredictVolume")</f>
        <v>58</v>
      </c>
      <c r="AK197" s="348"/>
    </row>
    <row r="198" spans="1:37">
      <c r="A198" s="132" t="s">
        <v>3631</v>
      </c>
      <c r="B198" s="82">
        <v>-6</v>
      </c>
      <c r="C198" s="82">
        <v>-29</v>
      </c>
      <c r="D198" s="81">
        <v>18</v>
      </c>
      <c r="E198" s="82">
        <v>-37</v>
      </c>
      <c r="F198" s="58">
        <v>18.440000000000001</v>
      </c>
      <c r="G198" s="81">
        <v>4560</v>
      </c>
      <c r="H198" s="8" t="s">
        <v>313</v>
      </c>
      <c r="I198" s="22" t="s">
        <v>617</v>
      </c>
      <c r="J198" s="330">
        <v>83.41</v>
      </c>
      <c r="K198" s="330">
        <v>83.33</v>
      </c>
      <c r="L198" s="75">
        <v>1.59</v>
      </c>
      <c r="N198" s="325">
        <f t="shared" si="34"/>
        <v>168.33</v>
      </c>
      <c r="O198" s="27"/>
      <c r="P198" s="56"/>
      <c r="Q198" s="26"/>
      <c r="S198" s="330">
        <v>40.49</v>
      </c>
      <c r="T198" s="67">
        <v>3.99</v>
      </c>
      <c r="U198" s="366">
        <f t="shared" si="35"/>
        <v>9.6144578313253015E-2</v>
      </c>
      <c r="V198" s="58">
        <v>1.1200000000000001</v>
      </c>
      <c r="W198" s="13">
        <f>RTD("money.excel",,"4560","Price")</f>
        <v>41.5</v>
      </c>
      <c r="X198" s="67"/>
      <c r="Y198" s="15">
        <f t="shared" si="36"/>
        <v>41.5</v>
      </c>
      <c r="Z198" s="3" t="e">
        <f t="shared" si="37"/>
        <v>#DIV/0!</v>
      </c>
      <c r="AA198" s="174" t="s">
        <v>2185</v>
      </c>
      <c r="AB198" s="22" t="s">
        <v>617</v>
      </c>
      <c r="AE198" s="33">
        <f t="shared" si="38"/>
        <v>0</v>
      </c>
      <c r="AF198" s="43" t="s">
        <v>3271</v>
      </c>
      <c r="AG198" s="128"/>
      <c r="AI198" s="64">
        <f t="shared" si="39"/>
        <v>6.3049853372434018E-4</v>
      </c>
      <c r="AJ198" s="313">
        <f>RTD("money.excel",,$G198,"PredictVolume")</f>
        <v>43</v>
      </c>
      <c r="AK198" s="348"/>
    </row>
    <row r="199" spans="1:37">
      <c r="A199" s="132" t="s">
        <v>2571</v>
      </c>
      <c r="B199" s="81">
        <v>191</v>
      </c>
      <c r="C199" s="81">
        <v>224</v>
      </c>
      <c r="D199" s="81">
        <v>24</v>
      </c>
      <c r="E199" s="81">
        <v>15</v>
      </c>
      <c r="F199" s="58">
        <v>16.059999999999999</v>
      </c>
      <c r="G199" s="81">
        <v>4561</v>
      </c>
      <c r="H199" s="8" t="s">
        <v>313</v>
      </c>
      <c r="I199" s="16" t="s">
        <v>581</v>
      </c>
      <c r="J199" s="330">
        <v>56.75</v>
      </c>
      <c r="K199" s="330">
        <v>0.13</v>
      </c>
      <c r="L199" s="330">
        <v>4.9800000000000004</v>
      </c>
      <c r="M199" s="75">
        <v>40.36</v>
      </c>
      <c r="N199" s="325">
        <f t="shared" si="34"/>
        <v>102.22</v>
      </c>
      <c r="O199" s="27" t="s">
        <v>6143</v>
      </c>
      <c r="P199" s="56"/>
      <c r="Q199" s="26"/>
      <c r="R199" s="308" t="s">
        <v>6144</v>
      </c>
      <c r="S199" s="330">
        <v>9.6000000000000002E-2</v>
      </c>
      <c r="T199" s="34">
        <v>0.9</v>
      </c>
      <c r="U199" s="366">
        <f t="shared" si="35"/>
        <v>3.1468531468531465E-2</v>
      </c>
      <c r="V199" s="58">
        <v>2.84</v>
      </c>
      <c r="W199" s="36">
        <f>RTD("money.excel",,"4561","Price")</f>
        <v>28.6</v>
      </c>
      <c r="X199" s="67"/>
      <c r="Y199" s="15">
        <f t="shared" si="36"/>
        <v>28.6</v>
      </c>
      <c r="Z199" s="3" t="e">
        <f t="shared" si="37"/>
        <v>#DIV/0!</v>
      </c>
      <c r="AA199" s="174" t="s">
        <v>1943</v>
      </c>
      <c r="AB199" s="16" t="s">
        <v>581</v>
      </c>
      <c r="AE199" s="33">
        <f t="shared" si="38"/>
        <v>0</v>
      </c>
      <c r="AF199" s="43" t="s">
        <v>3016</v>
      </c>
      <c r="AG199" s="125"/>
      <c r="AI199" s="64">
        <f t="shared" si="39"/>
        <v>1.8803418803418803E-4</v>
      </c>
      <c r="AJ199" s="313">
        <f>RTD("money.excel",,$G199,"PredictVolume")</f>
        <v>11</v>
      </c>
      <c r="AK199" s="83">
        <v>11.24</v>
      </c>
    </row>
    <row r="200" spans="1:37">
      <c r="A200" s="148" t="s">
        <v>4417</v>
      </c>
      <c r="B200" s="81">
        <v>0</v>
      </c>
      <c r="C200" s="81">
        <v>6</v>
      </c>
      <c r="D200" s="82">
        <v>-18</v>
      </c>
      <c r="E200" s="82">
        <v>-4</v>
      </c>
      <c r="F200" s="6">
        <v>-11.72</v>
      </c>
      <c r="G200" s="81">
        <v>4562</v>
      </c>
      <c r="H200" s="8" t="s">
        <v>313</v>
      </c>
      <c r="I200" s="22" t="s">
        <v>618</v>
      </c>
      <c r="J200" s="330">
        <v>65.86</v>
      </c>
      <c r="K200" s="330">
        <v>1.2</v>
      </c>
      <c r="L200" s="75">
        <v>3.59</v>
      </c>
      <c r="M200" s="330">
        <v>30.76</v>
      </c>
      <c r="N200" s="325">
        <f t="shared" si="34"/>
        <v>101.41000000000001</v>
      </c>
      <c r="O200" s="27" t="s">
        <v>6112</v>
      </c>
      <c r="P200" s="56"/>
      <c r="Q200" s="26"/>
      <c r="R200" s="308" t="s">
        <v>4373</v>
      </c>
      <c r="S200" s="330">
        <v>0.11</v>
      </c>
      <c r="T200" s="34">
        <v>0</v>
      </c>
      <c r="U200" s="366">
        <f t="shared" si="35"/>
        <v>0</v>
      </c>
      <c r="V200" s="58">
        <v>-2.2400000000000002</v>
      </c>
      <c r="W200" s="36">
        <f>RTD("money.excel",,"4562","Price")</f>
        <v>15.45</v>
      </c>
      <c r="X200" s="67"/>
      <c r="Y200" s="15">
        <f t="shared" si="36"/>
        <v>15.45</v>
      </c>
      <c r="Z200" s="3" t="e">
        <f t="shared" si="37"/>
        <v>#DIV/0!</v>
      </c>
      <c r="AB200" s="22" t="s">
        <v>618</v>
      </c>
      <c r="AE200" s="33">
        <f t="shared" si="38"/>
        <v>0</v>
      </c>
      <c r="AF200" s="43" t="s">
        <v>3272</v>
      </c>
      <c r="AG200" s="128"/>
      <c r="AI200" s="64">
        <f t="shared" si="39"/>
        <v>4.297142857142857E-3</v>
      </c>
      <c r="AJ200" s="313">
        <f>RTD("money.excel",,$G200,"PredictVolume")</f>
        <v>376</v>
      </c>
      <c r="AK200" s="348"/>
    </row>
    <row r="201" spans="1:37">
      <c r="A201" s="148" t="s">
        <v>3567</v>
      </c>
      <c r="B201" s="82">
        <v>-288</v>
      </c>
      <c r="C201" s="82">
        <v>-184</v>
      </c>
      <c r="D201" s="81">
        <v>35</v>
      </c>
      <c r="E201" s="82">
        <v>-25</v>
      </c>
      <c r="F201" s="6">
        <v>-10.09</v>
      </c>
      <c r="G201" s="81">
        <v>4563</v>
      </c>
      <c r="H201" s="8" t="s">
        <v>313</v>
      </c>
      <c r="I201" s="16" t="s">
        <v>582</v>
      </c>
      <c r="J201" s="330">
        <v>63.19</v>
      </c>
      <c r="K201" s="75">
        <v>3.64</v>
      </c>
      <c r="L201" s="75">
        <v>1.68</v>
      </c>
      <c r="N201" s="325">
        <f t="shared" si="34"/>
        <v>68.510000000000005</v>
      </c>
      <c r="O201" s="27"/>
      <c r="P201" s="56"/>
      <c r="Q201" s="26"/>
      <c r="S201" s="330">
        <v>0</v>
      </c>
      <c r="T201" s="34">
        <v>0</v>
      </c>
      <c r="U201" s="366">
        <f t="shared" si="35"/>
        <v>0</v>
      </c>
      <c r="V201" s="58">
        <v>-6.78</v>
      </c>
      <c r="W201" s="36">
        <f>RTD("money.excel",,"4563","Price")</f>
        <v>30.05</v>
      </c>
      <c r="X201" s="67"/>
      <c r="Y201" s="15">
        <f t="shared" si="36"/>
        <v>30.05</v>
      </c>
      <c r="Z201" s="3" t="e">
        <f t="shared" si="37"/>
        <v>#DIV/0!</v>
      </c>
      <c r="AA201" s="174" t="s">
        <v>1943</v>
      </c>
      <c r="AB201" s="16" t="s">
        <v>582</v>
      </c>
      <c r="AE201" s="33">
        <f t="shared" si="38"/>
        <v>0</v>
      </c>
      <c r="AF201" s="43" t="s">
        <v>2153</v>
      </c>
      <c r="AG201" s="128"/>
      <c r="AI201" s="64">
        <f t="shared" si="39"/>
        <v>4.909090909090909E-4</v>
      </c>
      <c r="AJ201" s="313">
        <f>RTD("money.excel",,$G201,"PredictVolume")</f>
        <v>27</v>
      </c>
      <c r="AK201" s="348"/>
    </row>
    <row r="202" spans="1:37">
      <c r="A202" s="132" t="s">
        <v>1945</v>
      </c>
      <c r="B202" s="93">
        <v>-53</v>
      </c>
      <c r="C202" s="93">
        <v>-48</v>
      </c>
      <c r="D202" s="93">
        <v>1</v>
      </c>
      <c r="E202" s="93">
        <v>75</v>
      </c>
      <c r="F202" s="58">
        <v>19.59</v>
      </c>
      <c r="G202" s="81">
        <v>4564</v>
      </c>
      <c r="H202" s="8" t="s">
        <v>313</v>
      </c>
      <c r="I202" s="22" t="s">
        <v>3673</v>
      </c>
      <c r="J202" s="75">
        <v>41.4</v>
      </c>
      <c r="K202" s="75">
        <v>1.73</v>
      </c>
      <c r="L202" s="75">
        <v>6.65</v>
      </c>
      <c r="N202" s="325">
        <f t="shared" si="34"/>
        <v>49.779999999999994</v>
      </c>
      <c r="O202" s="27"/>
      <c r="P202" s="56"/>
      <c r="Q202" s="26"/>
      <c r="S202" s="330">
        <v>0.01</v>
      </c>
      <c r="T202" s="34">
        <v>1.3</v>
      </c>
      <c r="U202" s="366">
        <f t="shared" si="35"/>
        <v>3.7735849056603772E-2</v>
      </c>
      <c r="V202" s="97">
        <v>1.65</v>
      </c>
      <c r="W202" s="13">
        <f>RTD("money.excel",,"4564","Price")</f>
        <v>34.450000000000003</v>
      </c>
      <c r="X202" s="67"/>
      <c r="Y202" s="15">
        <f t="shared" si="36"/>
        <v>34.450000000000003</v>
      </c>
      <c r="Z202" s="3" t="e">
        <f t="shared" si="37"/>
        <v>#DIV/0!</v>
      </c>
      <c r="AB202" s="22" t="s">
        <v>3673</v>
      </c>
      <c r="AE202" s="33">
        <f t="shared" si="38"/>
        <v>0</v>
      </c>
      <c r="AF202" s="43" t="s">
        <v>3674</v>
      </c>
      <c r="AG202" s="128"/>
      <c r="AI202" s="64">
        <f t="shared" si="39"/>
        <v>7.5824175824175822E-4</v>
      </c>
      <c r="AJ202" s="313">
        <f>RTD("money.excel",,$G202,"PredictVolume")</f>
        <v>138</v>
      </c>
      <c r="AK202" s="348"/>
    </row>
    <row r="203" spans="1:37">
      <c r="A203" s="148" t="s">
        <v>6065</v>
      </c>
      <c r="B203" s="81">
        <v>109</v>
      </c>
      <c r="C203" s="81">
        <v>81</v>
      </c>
      <c r="D203" s="81">
        <v>16</v>
      </c>
      <c r="E203" s="81">
        <v>2</v>
      </c>
      <c r="F203" s="6">
        <v>6.09</v>
      </c>
      <c r="G203" s="81">
        <v>4566</v>
      </c>
      <c r="H203" s="8" t="s">
        <v>313</v>
      </c>
      <c r="I203" s="22" t="s">
        <v>1149</v>
      </c>
      <c r="J203" s="330">
        <v>70.37</v>
      </c>
      <c r="K203" s="330">
        <v>0.75</v>
      </c>
      <c r="L203" s="75">
        <v>7.86</v>
      </c>
      <c r="M203" s="330">
        <v>33.64</v>
      </c>
      <c r="N203" s="325">
        <f t="shared" si="34"/>
        <v>112.62</v>
      </c>
      <c r="O203" s="27"/>
      <c r="P203" s="56"/>
      <c r="Q203" s="26"/>
      <c r="R203" s="308" t="s">
        <v>6064</v>
      </c>
      <c r="S203" s="330">
        <v>0.31</v>
      </c>
      <c r="T203" s="34">
        <v>1.19</v>
      </c>
      <c r="U203" s="366">
        <f t="shared" si="35"/>
        <v>2.7168949771689498E-2</v>
      </c>
      <c r="V203" s="97">
        <v>2.56</v>
      </c>
      <c r="W203" s="36">
        <f>RTD("money.excel",,"4566","Price")</f>
        <v>43.8</v>
      </c>
      <c r="X203" s="67"/>
      <c r="Y203" s="15">
        <f t="shared" si="36"/>
        <v>43.8</v>
      </c>
      <c r="Z203" s="3" t="e">
        <f t="shared" si="37"/>
        <v>#DIV/0!</v>
      </c>
      <c r="AA203" s="174" t="s">
        <v>1943</v>
      </c>
      <c r="AB203" s="22" t="s">
        <v>1149</v>
      </c>
      <c r="AE203" s="33">
        <f t="shared" si="38"/>
        <v>0</v>
      </c>
      <c r="AF203" s="43" t="s">
        <v>3268</v>
      </c>
      <c r="AG203" s="128"/>
      <c r="AI203" s="64">
        <f t="shared" si="39"/>
        <v>2.3643949930458972E-4</v>
      </c>
      <c r="AJ203" s="313">
        <f>RTD("money.excel",,$G203,"PredictVolume")</f>
        <v>17</v>
      </c>
      <c r="AK203" s="348"/>
    </row>
    <row r="204" spans="1:37">
      <c r="A204" s="132" t="s">
        <v>3581</v>
      </c>
      <c r="B204" s="81">
        <v>7</v>
      </c>
      <c r="C204" s="81">
        <v>33</v>
      </c>
      <c r="D204" s="81">
        <v>88</v>
      </c>
      <c r="E204" s="81">
        <v>99</v>
      </c>
      <c r="F204" s="58">
        <v>16.82</v>
      </c>
      <c r="G204" s="81">
        <v>4568</v>
      </c>
      <c r="H204" s="8" t="s">
        <v>313</v>
      </c>
      <c r="I204" s="16" t="s">
        <v>1146</v>
      </c>
      <c r="J204" s="75">
        <v>58.41</v>
      </c>
      <c r="K204" s="75">
        <v>6.63</v>
      </c>
      <c r="L204" s="75">
        <v>5.01</v>
      </c>
      <c r="N204" s="325">
        <f t="shared" si="34"/>
        <v>70.05</v>
      </c>
      <c r="O204" s="27"/>
      <c r="P204" s="56"/>
      <c r="Q204" s="26"/>
      <c r="S204" s="330">
        <v>0</v>
      </c>
      <c r="T204" s="67">
        <v>4</v>
      </c>
      <c r="U204" s="366">
        <f t="shared" si="35"/>
        <v>5.8823529411764705E-2</v>
      </c>
      <c r="V204" s="58">
        <v>4.93</v>
      </c>
      <c r="W204" s="36">
        <f>RTD("money.excel",,"4568","Price")</f>
        <v>68</v>
      </c>
      <c r="X204" s="67"/>
      <c r="Y204" s="15">
        <f t="shared" si="36"/>
        <v>68</v>
      </c>
      <c r="Z204" s="3" t="e">
        <f t="shared" si="37"/>
        <v>#DIV/0!</v>
      </c>
      <c r="AA204" s="174" t="s">
        <v>2185</v>
      </c>
      <c r="AB204" s="16" t="s">
        <v>1146</v>
      </c>
      <c r="AE204" s="33">
        <f t="shared" si="38"/>
        <v>0</v>
      </c>
      <c r="AF204" s="43" t="s">
        <v>2339</v>
      </c>
      <c r="AG204" s="128"/>
      <c r="AI204" s="64">
        <f t="shared" si="39"/>
        <v>2.631578947368421E-4</v>
      </c>
      <c r="AJ204" s="313">
        <f>RTD("money.excel",,$G204,"PredictVolume")</f>
        <v>8</v>
      </c>
      <c r="AK204" s="348"/>
    </row>
    <row r="205" spans="1:37">
      <c r="A205" s="132" t="s">
        <v>4332</v>
      </c>
      <c r="B205" s="81">
        <v>76</v>
      </c>
      <c r="C205" s="81">
        <v>70</v>
      </c>
      <c r="D205" s="81">
        <v>7</v>
      </c>
      <c r="E205" s="82">
        <v>-14</v>
      </c>
      <c r="F205" s="58">
        <v>17.43</v>
      </c>
      <c r="G205" s="81">
        <v>4571</v>
      </c>
      <c r="H205" s="8" t="s">
        <v>313</v>
      </c>
      <c r="I205" s="22" t="s">
        <v>1896</v>
      </c>
      <c r="J205" s="330">
        <v>55.59</v>
      </c>
      <c r="K205" s="75">
        <v>66.77</v>
      </c>
      <c r="L205" s="330">
        <v>5.78</v>
      </c>
      <c r="N205" s="325">
        <f t="shared" si="34"/>
        <v>128.13999999999999</v>
      </c>
      <c r="O205" s="27"/>
      <c r="P205" s="56"/>
      <c r="Q205" s="26"/>
      <c r="S205" s="330">
        <v>0.39</v>
      </c>
      <c r="T205" s="67">
        <v>3.6</v>
      </c>
      <c r="U205" s="366">
        <f t="shared" si="35"/>
        <v>3.9955604883462822E-2</v>
      </c>
      <c r="V205" s="58">
        <v>9.1199999999999992</v>
      </c>
      <c r="W205" s="13">
        <f>RTD("money.excel",,"4571","Price")</f>
        <v>90.1</v>
      </c>
      <c r="X205" s="67"/>
      <c r="Y205" s="15">
        <f t="shared" si="36"/>
        <v>90.1</v>
      </c>
      <c r="Z205" s="3" t="e">
        <f t="shared" si="37"/>
        <v>#DIV/0!</v>
      </c>
      <c r="AA205" s="174" t="s">
        <v>2185</v>
      </c>
      <c r="AB205" s="22" t="s">
        <v>1896</v>
      </c>
      <c r="AE205" s="33">
        <f t="shared" si="38"/>
        <v>0</v>
      </c>
      <c r="AF205" s="43" t="s">
        <v>2348</v>
      </c>
      <c r="AG205" s="128"/>
      <c r="AI205" s="64">
        <f t="shared" si="39"/>
        <v>8.9887640449438206E-4</v>
      </c>
      <c r="AJ205" s="313">
        <f>RTD("money.excel",,$G205,"PredictVolume")</f>
        <v>48</v>
      </c>
      <c r="AK205" s="348"/>
    </row>
    <row r="206" spans="1:37">
      <c r="A206" s="132" t="s">
        <v>1567</v>
      </c>
      <c r="B206" s="82">
        <v>-83</v>
      </c>
      <c r="C206" s="82">
        <v>-80</v>
      </c>
      <c r="D206" s="82">
        <v>-32</v>
      </c>
      <c r="E206" s="82">
        <v>-67</v>
      </c>
      <c r="F206" s="58">
        <v>15.32</v>
      </c>
      <c r="G206" s="81">
        <v>4572</v>
      </c>
      <c r="H206" s="8" t="s">
        <v>313</v>
      </c>
      <c r="I206" s="22" t="s">
        <v>1897</v>
      </c>
      <c r="J206" s="330">
        <v>42.07</v>
      </c>
      <c r="K206" s="75">
        <v>0.42</v>
      </c>
      <c r="L206" s="75">
        <v>3.46</v>
      </c>
      <c r="N206" s="325">
        <f t="shared" si="34"/>
        <v>45.95</v>
      </c>
      <c r="O206" s="27"/>
      <c r="P206" s="56"/>
      <c r="Q206" s="26"/>
      <c r="S206" s="330">
        <v>0.04</v>
      </c>
      <c r="T206" s="67">
        <v>5</v>
      </c>
      <c r="U206" s="366">
        <f t="shared" si="35"/>
        <v>5.1546391752577317E-2</v>
      </c>
      <c r="V206" s="97">
        <v>0.92</v>
      </c>
      <c r="W206" s="36">
        <f>RTD("money.excel",,"4572","Price")</f>
        <v>97</v>
      </c>
      <c r="X206" s="67"/>
      <c r="Y206" s="15">
        <f t="shared" si="36"/>
        <v>97</v>
      </c>
      <c r="Z206" s="3" t="e">
        <f t="shared" si="37"/>
        <v>#DIV/0!</v>
      </c>
      <c r="AA206" s="174" t="s">
        <v>1986</v>
      </c>
      <c r="AB206" s="22" t="s">
        <v>1897</v>
      </c>
      <c r="AE206" s="33">
        <f t="shared" si="38"/>
        <v>0</v>
      </c>
      <c r="AF206" s="43" t="s">
        <v>3273</v>
      </c>
      <c r="AG206" s="128"/>
      <c r="AI206" s="64">
        <f t="shared" si="39"/>
        <v>2.5139664804469275E-4</v>
      </c>
      <c r="AJ206" s="313">
        <f>RTD("money.excel",,$G206,"PredictVolume")</f>
        <v>9</v>
      </c>
      <c r="AK206" s="348"/>
    </row>
    <row r="207" spans="1:37">
      <c r="A207" s="148" t="s">
        <v>1807</v>
      </c>
      <c r="B207" s="81">
        <v>283</v>
      </c>
      <c r="C207" s="81">
        <v>869</v>
      </c>
      <c r="D207" s="81">
        <v>45</v>
      </c>
      <c r="E207" s="81">
        <v>13</v>
      </c>
      <c r="F207" s="6">
        <v>7.68</v>
      </c>
      <c r="G207" s="81">
        <v>4576</v>
      </c>
      <c r="H207" s="8" t="s">
        <v>313</v>
      </c>
      <c r="I207" s="22" t="s">
        <v>2080</v>
      </c>
      <c r="J207" s="75">
        <v>63.15</v>
      </c>
      <c r="K207" s="75">
        <v>3.15</v>
      </c>
      <c r="L207" s="75">
        <v>7.56</v>
      </c>
      <c r="N207" s="325">
        <f t="shared" si="34"/>
        <v>73.86</v>
      </c>
      <c r="O207" s="27"/>
      <c r="P207" s="56"/>
      <c r="Q207" s="26"/>
      <c r="S207" s="330">
        <v>0.15</v>
      </c>
      <c r="T207" s="34">
        <v>0.4</v>
      </c>
      <c r="U207" s="366">
        <f t="shared" si="35"/>
        <v>3.7209302325581397E-3</v>
      </c>
      <c r="V207" s="58">
        <v>1.1399999999999999</v>
      </c>
      <c r="W207" s="36">
        <f>RTD("money.excel",,"4576","Price")</f>
        <v>107.5</v>
      </c>
      <c r="X207" s="67"/>
      <c r="Y207" s="15">
        <f t="shared" si="36"/>
        <v>107.5</v>
      </c>
      <c r="Z207" s="3" t="e">
        <f t="shared" si="37"/>
        <v>#DIV/0!</v>
      </c>
      <c r="AA207" s="174" t="s">
        <v>1943</v>
      </c>
      <c r="AB207" s="22" t="s">
        <v>2080</v>
      </c>
      <c r="AE207" s="33">
        <f t="shared" si="38"/>
        <v>0</v>
      </c>
      <c r="AF207" s="43" t="s">
        <v>2856</v>
      </c>
      <c r="AG207" s="128"/>
      <c r="AI207" s="64">
        <f t="shared" si="39"/>
        <v>6.5254237288135588E-4</v>
      </c>
      <c r="AJ207" s="313">
        <f>RTD("money.excel",,$G207,"PredictVolume")</f>
        <v>77</v>
      </c>
      <c r="AK207" s="348"/>
    </row>
    <row r="208" spans="1:37">
      <c r="A208" s="132" t="s">
        <v>2121</v>
      </c>
      <c r="B208" s="81">
        <v>3</v>
      </c>
      <c r="C208" s="81">
        <v>6</v>
      </c>
      <c r="D208" s="81">
        <v>10</v>
      </c>
      <c r="E208" s="82">
        <v>-22</v>
      </c>
      <c r="F208" s="58">
        <v>17.88</v>
      </c>
      <c r="G208" s="81">
        <v>4580</v>
      </c>
      <c r="H208" s="8" t="s">
        <v>313</v>
      </c>
      <c r="I208" s="16" t="s">
        <v>2023</v>
      </c>
      <c r="J208" s="330">
        <v>46.86</v>
      </c>
      <c r="K208" s="75">
        <v>2.82</v>
      </c>
      <c r="L208" s="75">
        <v>1.31</v>
      </c>
      <c r="N208" s="325">
        <f t="shared" si="34"/>
        <v>50.99</v>
      </c>
      <c r="O208" s="27"/>
      <c r="P208" s="56"/>
      <c r="Q208" s="26"/>
      <c r="S208" s="330">
        <v>0</v>
      </c>
      <c r="T208" s="67">
        <v>5.1100000000000003</v>
      </c>
      <c r="U208" s="366">
        <f t="shared" si="35"/>
        <v>5.4361702127659575E-2</v>
      </c>
      <c r="V208" s="97">
        <v>7.55</v>
      </c>
      <c r="W208" s="36">
        <f>RTD("money.excel",,"4580","Price")</f>
        <v>94</v>
      </c>
      <c r="X208" s="67"/>
      <c r="Y208" s="15">
        <f t="shared" si="36"/>
        <v>94</v>
      </c>
      <c r="Z208" s="3" t="e">
        <f t="shared" si="37"/>
        <v>#DIV/0!</v>
      </c>
      <c r="AA208" s="174" t="s">
        <v>2185</v>
      </c>
      <c r="AB208" s="16" t="s">
        <v>2023</v>
      </c>
      <c r="AE208" s="33">
        <f t="shared" si="38"/>
        <v>0</v>
      </c>
      <c r="AF208" s="124" t="s">
        <v>2024</v>
      </c>
      <c r="AG208" s="128"/>
      <c r="AI208" s="64">
        <f t="shared" si="39"/>
        <v>6.3938618925831207E-4</v>
      </c>
      <c r="AJ208" s="313">
        <f>RTD("money.excel",,$G208,"PredictVolume")</f>
        <v>25</v>
      </c>
      <c r="AK208" s="348"/>
    </row>
    <row r="209" spans="1:37">
      <c r="A209" s="148" t="s">
        <v>1548</v>
      </c>
      <c r="B209" s="82">
        <v>-51</v>
      </c>
      <c r="C209" s="82">
        <v>-49</v>
      </c>
      <c r="D209" s="82">
        <v>-6</v>
      </c>
      <c r="E209" s="82">
        <v>-1</v>
      </c>
      <c r="F209" s="6">
        <v>8.6199999999999992</v>
      </c>
      <c r="G209" s="81">
        <v>5288</v>
      </c>
      <c r="H209" s="8" t="s">
        <v>313</v>
      </c>
      <c r="I209" s="22" t="s">
        <v>619</v>
      </c>
      <c r="J209" s="330">
        <v>66.569999999999993</v>
      </c>
      <c r="K209" s="330">
        <v>64.88</v>
      </c>
      <c r="L209" s="330">
        <v>3.91</v>
      </c>
      <c r="N209" s="325">
        <f t="shared" si="34"/>
        <v>135.35999999999999</v>
      </c>
      <c r="O209" s="27"/>
      <c r="P209" s="56"/>
      <c r="Q209" s="26"/>
      <c r="S209" s="330">
        <v>0.01</v>
      </c>
      <c r="T209" s="67">
        <v>4</v>
      </c>
      <c r="U209" s="366">
        <f t="shared" si="35"/>
        <v>2.7027027027027029E-2</v>
      </c>
      <c r="V209" s="97">
        <v>8.4</v>
      </c>
      <c r="W209" s="13">
        <f>RTD("money.excel",,"5288","Price")</f>
        <v>148</v>
      </c>
      <c r="X209" s="67"/>
      <c r="Y209" s="15">
        <f t="shared" si="36"/>
        <v>148</v>
      </c>
      <c r="Z209" s="3" t="e">
        <f t="shared" si="37"/>
        <v>#DIV/0!</v>
      </c>
      <c r="AA209" s="174" t="s">
        <v>1986</v>
      </c>
      <c r="AB209" s="22" t="s">
        <v>619</v>
      </c>
      <c r="AE209" s="33">
        <f t="shared" si="38"/>
        <v>0</v>
      </c>
      <c r="AF209" s="43" t="s">
        <v>3274</v>
      </c>
      <c r="AG209" s="128"/>
      <c r="AI209" s="64">
        <f t="shared" si="39"/>
        <v>5.7750759878419454E-4</v>
      </c>
      <c r="AJ209" s="313">
        <f>RTD("money.excel",,$G209,"PredictVolume")</f>
        <v>38</v>
      </c>
      <c r="AK209" s="348"/>
    </row>
    <row r="210" spans="1:37">
      <c r="A210" s="148" t="s">
        <v>3582</v>
      </c>
      <c r="B210" s="82">
        <v>-90</v>
      </c>
      <c r="C210" s="82">
        <v>-29</v>
      </c>
      <c r="D210" s="81">
        <v>69</v>
      </c>
      <c r="E210" s="82">
        <v>-45</v>
      </c>
      <c r="F210" s="6">
        <v>1.73</v>
      </c>
      <c r="G210" s="81">
        <v>6122</v>
      </c>
      <c r="H210" s="8" t="s">
        <v>313</v>
      </c>
      <c r="I210" s="16" t="s">
        <v>583</v>
      </c>
      <c r="J210" s="75">
        <v>23.66</v>
      </c>
      <c r="K210" s="75">
        <v>0.94</v>
      </c>
      <c r="L210" s="75">
        <v>13.4</v>
      </c>
      <c r="N210" s="325">
        <f t="shared" si="34"/>
        <v>38</v>
      </c>
      <c r="O210" s="27"/>
      <c r="P210" s="56"/>
      <c r="Q210" s="26"/>
      <c r="S210" s="330">
        <v>0</v>
      </c>
      <c r="T210" s="34">
        <v>0.3</v>
      </c>
      <c r="U210" s="366">
        <f t="shared" si="35"/>
        <v>2.3529411764705882E-2</v>
      </c>
      <c r="V210" s="97">
        <v>0.23</v>
      </c>
      <c r="W210" s="36">
        <f>RTD("money.excel",,"6122","Price")</f>
        <v>12.75</v>
      </c>
      <c r="X210" s="67"/>
      <c r="Y210" s="15">
        <f t="shared" si="36"/>
        <v>12.75</v>
      </c>
      <c r="Z210" s="3" t="e">
        <f t="shared" si="37"/>
        <v>#DIV/0!</v>
      </c>
      <c r="AB210" s="16" t="s">
        <v>583</v>
      </c>
      <c r="AE210" s="33">
        <f t="shared" si="38"/>
        <v>0</v>
      </c>
      <c r="AF210" s="43" t="s">
        <v>3015</v>
      </c>
      <c r="AG210" s="128"/>
      <c r="AI210" s="64">
        <f t="shared" si="39"/>
        <v>2.401129943502825E-3</v>
      </c>
      <c r="AJ210" s="313">
        <f>RTD("money.excel",,$G210,"PredictVolume")</f>
        <v>170</v>
      </c>
      <c r="AK210" s="348"/>
    </row>
    <row r="211" spans="1:37">
      <c r="A211" s="148" t="s">
        <v>3584</v>
      </c>
      <c r="B211" s="81">
        <v>69</v>
      </c>
      <c r="C211" s="81">
        <v>72</v>
      </c>
      <c r="D211" s="81">
        <v>55</v>
      </c>
      <c r="E211" s="81">
        <v>20</v>
      </c>
      <c r="F211" s="6">
        <v>-2.91</v>
      </c>
      <c r="G211" s="81">
        <v>6425</v>
      </c>
      <c r="H211" s="8" t="s">
        <v>313</v>
      </c>
      <c r="I211" s="16" t="s">
        <v>3583</v>
      </c>
      <c r="J211" s="330">
        <v>44.65</v>
      </c>
      <c r="K211" s="75">
        <v>0.97</v>
      </c>
      <c r="L211" s="75">
        <v>9.57</v>
      </c>
      <c r="N211" s="325">
        <f t="shared" si="34"/>
        <v>55.19</v>
      </c>
      <c r="O211" s="27"/>
      <c r="P211" s="56"/>
      <c r="Q211" s="26"/>
      <c r="S211" s="330">
        <v>0</v>
      </c>
      <c r="T211" s="34">
        <v>0.5</v>
      </c>
      <c r="U211" s="366">
        <f t="shared" si="35"/>
        <v>1.9960079840319361E-2</v>
      </c>
      <c r="V211" s="97">
        <v>-1.01</v>
      </c>
      <c r="W211" s="36">
        <f>RTD("money.excel",,"6425","Price")</f>
        <v>25.05</v>
      </c>
      <c r="X211" s="67"/>
      <c r="Y211" s="15">
        <f t="shared" si="36"/>
        <v>25.05</v>
      </c>
      <c r="Z211" s="3" t="e">
        <f t="shared" si="37"/>
        <v>#DIV/0!</v>
      </c>
      <c r="AB211" s="16" t="s">
        <v>3583</v>
      </c>
      <c r="AE211" s="33">
        <f t="shared" si="38"/>
        <v>0</v>
      </c>
      <c r="AF211" s="43" t="s">
        <v>4007</v>
      </c>
      <c r="AG211" s="128"/>
      <c r="AI211" s="64">
        <f t="shared" si="39"/>
        <v>3.8990825688073392E-4</v>
      </c>
      <c r="AJ211" s="313">
        <f>RTD("money.excel",,$G211,"PredictVolume")</f>
        <v>17</v>
      </c>
      <c r="AK211" s="348"/>
    </row>
    <row r="212" spans="1:37">
      <c r="A212" s="148" t="s">
        <v>1895</v>
      </c>
      <c r="B212" s="82">
        <v>-720</v>
      </c>
      <c r="C212" s="82">
        <v>-162</v>
      </c>
      <c r="D212" s="82">
        <v>-1</v>
      </c>
      <c r="E212" s="81">
        <v>117</v>
      </c>
      <c r="F212" s="6">
        <v>-1.99</v>
      </c>
      <c r="G212" s="81">
        <v>6603</v>
      </c>
      <c r="H212" s="8" t="s">
        <v>313</v>
      </c>
      <c r="I212" s="16" t="s">
        <v>584</v>
      </c>
      <c r="J212" s="330">
        <v>42.54</v>
      </c>
      <c r="K212" s="75">
        <v>0.6</v>
      </c>
      <c r="L212" s="330">
        <v>13.79</v>
      </c>
      <c r="N212" s="325">
        <f t="shared" si="34"/>
        <v>56.93</v>
      </c>
      <c r="O212" s="27"/>
      <c r="P212" s="56"/>
      <c r="Q212" s="26"/>
      <c r="S212" s="330">
        <v>0.17</v>
      </c>
      <c r="T212" s="34">
        <v>0.1</v>
      </c>
      <c r="U212" s="366">
        <f t="shared" si="35"/>
        <v>5.9523809523809521E-3</v>
      </c>
      <c r="V212" s="97">
        <v>0.08</v>
      </c>
      <c r="W212" s="36">
        <f>RTD("money.excel",,"6603","Price")</f>
        <v>16.8</v>
      </c>
      <c r="X212" s="67"/>
      <c r="Y212" s="15">
        <f t="shared" si="36"/>
        <v>16.8</v>
      </c>
      <c r="Z212" s="3" t="e">
        <f t="shared" si="37"/>
        <v>#DIV/0!</v>
      </c>
      <c r="AA212" s="174" t="s">
        <v>1943</v>
      </c>
      <c r="AB212" s="16" t="s">
        <v>584</v>
      </c>
      <c r="AE212" s="33">
        <f t="shared" si="38"/>
        <v>0</v>
      </c>
      <c r="AF212" s="43" t="s">
        <v>3014</v>
      </c>
      <c r="AG212" s="128"/>
      <c r="AI212" s="64">
        <f t="shared" si="39"/>
        <v>2.8445945945945947E-3</v>
      </c>
      <c r="AJ212" s="313">
        <f>RTD("money.excel",,$G212,"PredictVolume")</f>
        <v>421</v>
      </c>
      <c r="AK212" s="348"/>
    </row>
    <row r="213" spans="1:37">
      <c r="A213" s="148" t="s">
        <v>1754</v>
      </c>
      <c r="B213" s="82">
        <v>-97</v>
      </c>
      <c r="C213" s="82">
        <v>-72</v>
      </c>
      <c r="D213" s="82">
        <v>-3</v>
      </c>
      <c r="E213" s="81">
        <v>2</v>
      </c>
      <c r="F213" s="6">
        <v>2.77</v>
      </c>
      <c r="G213" s="81">
        <v>6609</v>
      </c>
      <c r="H213" s="8" t="s">
        <v>313</v>
      </c>
      <c r="I213" s="16" t="s">
        <v>585</v>
      </c>
      <c r="J213" s="330">
        <v>55.97</v>
      </c>
      <c r="K213" s="330">
        <v>52.53</v>
      </c>
      <c r="L213" s="330">
        <v>1.61</v>
      </c>
      <c r="N213" s="325">
        <f t="shared" si="34"/>
        <v>110.11</v>
      </c>
      <c r="O213" s="27"/>
      <c r="P213" s="56"/>
      <c r="Q213" s="26"/>
      <c r="S213" s="330">
        <v>0.02</v>
      </c>
      <c r="T213" s="34">
        <v>0.8</v>
      </c>
      <c r="U213" s="366">
        <f t="shared" si="35"/>
        <v>2.5396825396825397E-2</v>
      </c>
      <c r="V213" s="58">
        <v>0.27</v>
      </c>
      <c r="W213" s="13">
        <f>RTD("money.excel",,"6609","Price")</f>
        <v>31.5</v>
      </c>
      <c r="X213" s="67"/>
      <c r="Y213" s="15">
        <f t="shared" si="36"/>
        <v>31.5</v>
      </c>
      <c r="Z213" s="3" t="e">
        <f t="shared" si="37"/>
        <v>#DIV/0!</v>
      </c>
      <c r="AA213" s="174" t="s">
        <v>1943</v>
      </c>
      <c r="AB213" s="16" t="s">
        <v>585</v>
      </c>
      <c r="AE213" s="33">
        <f t="shared" si="38"/>
        <v>0</v>
      </c>
      <c r="AF213" s="43" t="s">
        <v>3457</v>
      </c>
      <c r="AG213" s="128"/>
      <c r="AI213" s="64">
        <f t="shared" si="39"/>
        <v>3.9172413793103445E-3</v>
      </c>
      <c r="AJ213" s="313">
        <f>RTD("money.excel",,$G213,"PredictVolume")</f>
        <v>284</v>
      </c>
      <c r="AK213" s="348"/>
    </row>
    <row r="214" spans="1:37">
      <c r="A214" s="132" t="s">
        <v>6475</v>
      </c>
      <c r="B214" s="237">
        <v>32360</v>
      </c>
      <c r="C214" s="237">
        <v>40163</v>
      </c>
      <c r="D214" s="81">
        <v>69</v>
      </c>
      <c r="E214" s="82">
        <v>-45</v>
      </c>
      <c r="F214" s="58">
        <v>18.260000000000002</v>
      </c>
      <c r="G214" s="81">
        <v>6829</v>
      </c>
      <c r="H214" s="8" t="s">
        <v>313</v>
      </c>
      <c r="I214" s="16" t="s">
        <v>6470</v>
      </c>
      <c r="J214" s="330">
        <v>77.42</v>
      </c>
      <c r="K214" s="330"/>
      <c r="L214" s="330"/>
      <c r="M214" s="330"/>
      <c r="N214" s="325">
        <f t="shared" ref="N214" si="46">J214+K214+L214+M214</f>
        <v>77.42</v>
      </c>
      <c r="O214" s="27"/>
      <c r="P214" s="56"/>
      <c r="Q214" s="26"/>
      <c r="S214" s="330">
        <v>0</v>
      </c>
      <c r="T214" s="34"/>
      <c r="U214" s="366">
        <f t="shared" si="35"/>
        <v>0</v>
      </c>
      <c r="V214" s="58" t="s">
        <v>4029</v>
      </c>
      <c r="W214" s="36">
        <f>RTD("money.excel",,"6829","Price")</f>
        <v>73.5</v>
      </c>
      <c r="X214" s="67"/>
      <c r="Y214" s="15">
        <f t="shared" ref="Y214" si="47">W214-X214</f>
        <v>73.5</v>
      </c>
      <c r="Z214" s="3" t="e">
        <f t="shared" ref="Z214" si="48">Y214/X214</f>
        <v>#DIV/0!</v>
      </c>
      <c r="AB214" s="16" t="s">
        <v>6470</v>
      </c>
      <c r="AE214" s="33">
        <f t="shared" ref="AE214" si="49">AD214-AC214</f>
        <v>0</v>
      </c>
      <c r="AF214" s="128" t="s">
        <v>6479</v>
      </c>
      <c r="AG214" s="243"/>
      <c r="AI214" s="64">
        <f t="shared" si="39"/>
        <v>2.6728624535315985E-2</v>
      </c>
      <c r="AJ214" s="313">
        <f>RTD("money.excel",,$G214,"PredictVolume")</f>
        <v>1438</v>
      </c>
      <c r="AK214" s="348"/>
    </row>
    <row r="215" spans="1:37">
      <c r="A215" s="132" t="s">
        <v>2385</v>
      </c>
      <c r="B215" s="81">
        <v>278</v>
      </c>
      <c r="C215" s="81">
        <v>332</v>
      </c>
      <c r="D215" s="82">
        <v>-19</v>
      </c>
      <c r="E215" s="81">
        <v>0</v>
      </c>
      <c r="F215" s="58">
        <v>14.53</v>
      </c>
      <c r="G215" s="81">
        <v>8027</v>
      </c>
      <c r="H215" s="8" t="s">
        <v>313</v>
      </c>
      <c r="I215" s="16" t="s">
        <v>586</v>
      </c>
      <c r="J215" s="330">
        <v>26.29</v>
      </c>
      <c r="K215" s="75">
        <v>5.89</v>
      </c>
      <c r="L215" s="330">
        <v>45.4</v>
      </c>
      <c r="N215" s="325">
        <f t="shared" si="34"/>
        <v>77.58</v>
      </c>
      <c r="O215" s="27"/>
      <c r="P215" s="56"/>
      <c r="Q215" s="26"/>
      <c r="S215" s="330">
        <v>1.58</v>
      </c>
      <c r="T215" s="34">
        <v>1.19</v>
      </c>
      <c r="U215" s="366">
        <f t="shared" si="35"/>
        <v>1.7221418234442835E-2</v>
      </c>
      <c r="V215" s="97">
        <v>3.18</v>
      </c>
      <c r="W215" s="36">
        <f>RTD("money.excel",,"8027","Price")</f>
        <v>69.099999999999994</v>
      </c>
      <c r="X215" s="67"/>
      <c r="Y215" s="15">
        <f t="shared" si="36"/>
        <v>69.099999999999994</v>
      </c>
      <c r="Z215" s="3" t="e">
        <f t="shared" si="37"/>
        <v>#DIV/0!</v>
      </c>
      <c r="AA215" s="174" t="s">
        <v>1943</v>
      </c>
      <c r="AB215" s="16" t="s">
        <v>586</v>
      </c>
      <c r="AE215" s="33">
        <f t="shared" si="38"/>
        <v>0</v>
      </c>
      <c r="AF215" s="43" t="s">
        <v>3417</v>
      </c>
      <c r="AG215" s="128"/>
      <c r="AI215" s="64">
        <f t="shared" si="39"/>
        <v>1.6900000000000001E-3</v>
      </c>
      <c r="AJ215" s="313">
        <f>RTD("money.excel",,$G215,"PredictVolume")</f>
        <v>169</v>
      </c>
      <c r="AK215" s="348"/>
    </row>
    <row r="216" spans="1:37">
      <c r="A216" s="132" t="s">
        <v>1568</v>
      </c>
      <c r="B216" s="81">
        <v>4</v>
      </c>
      <c r="C216" s="81">
        <v>16</v>
      </c>
      <c r="D216" s="82">
        <v>-13</v>
      </c>
      <c r="E216" s="81">
        <v>41</v>
      </c>
      <c r="F216" s="58">
        <v>27.4</v>
      </c>
      <c r="G216" s="81">
        <v>8083</v>
      </c>
      <c r="H216" s="151" t="s">
        <v>313</v>
      </c>
      <c r="I216" s="16" t="s">
        <v>173</v>
      </c>
      <c r="J216" s="75">
        <v>39.770000000000003</v>
      </c>
      <c r="K216" s="330">
        <v>0.94</v>
      </c>
      <c r="L216" s="330">
        <v>1.1599999999999999</v>
      </c>
      <c r="N216" s="325">
        <f t="shared" si="34"/>
        <v>41.87</v>
      </c>
      <c r="O216" s="27"/>
      <c r="P216" s="56"/>
      <c r="Q216" s="26"/>
      <c r="S216" s="330">
        <v>0</v>
      </c>
      <c r="T216" s="67">
        <v>10</v>
      </c>
      <c r="U216" s="366">
        <f t="shared" si="35"/>
        <v>5.6179775280898875E-2</v>
      </c>
      <c r="V216" s="97">
        <v>11.1</v>
      </c>
      <c r="W216" s="36">
        <f>RTD("money.excel",,"8083","Price")</f>
        <v>178</v>
      </c>
      <c r="X216" s="67"/>
      <c r="Y216" s="15">
        <f t="shared" si="36"/>
        <v>178</v>
      </c>
      <c r="Z216" s="3" t="e">
        <f t="shared" si="37"/>
        <v>#DIV/0!</v>
      </c>
      <c r="AA216" s="174" t="s">
        <v>1986</v>
      </c>
      <c r="AB216" s="16" t="s">
        <v>173</v>
      </c>
      <c r="AE216" s="33">
        <f t="shared" si="38"/>
        <v>0</v>
      </c>
      <c r="AF216" s="122" t="s">
        <v>3013</v>
      </c>
      <c r="AG216" s="128"/>
      <c r="AI216" s="64">
        <f t="shared" si="39"/>
        <v>6.2678062678062682E-4</v>
      </c>
      <c r="AJ216" s="313">
        <f>RTD("money.excel",,$G216,"PredictVolume")</f>
        <v>22</v>
      </c>
      <c r="AK216" s="348"/>
    </row>
    <row r="217" spans="1:37">
      <c r="A217" s="148" t="s">
        <v>2447</v>
      </c>
      <c r="B217" s="93">
        <v>-117</v>
      </c>
      <c r="C217" s="93">
        <v>-266</v>
      </c>
      <c r="D217" s="93">
        <v>-12</v>
      </c>
      <c r="E217" s="93">
        <v>51</v>
      </c>
      <c r="F217" s="6">
        <v>-12.41</v>
      </c>
      <c r="G217" s="81">
        <v>8107</v>
      </c>
      <c r="H217" s="8" t="s">
        <v>313</v>
      </c>
      <c r="I217" s="16" t="s">
        <v>3912</v>
      </c>
      <c r="J217" s="330">
        <v>53.89</v>
      </c>
      <c r="K217" s="75">
        <v>1.89</v>
      </c>
      <c r="L217" s="330">
        <v>23.58</v>
      </c>
      <c r="N217" s="325">
        <f t="shared" si="34"/>
        <v>79.36</v>
      </c>
      <c r="O217" s="27"/>
      <c r="P217" s="56"/>
      <c r="Q217" s="26"/>
      <c r="S217" s="330">
        <v>12.7</v>
      </c>
      <c r="T217" s="34">
        <v>7.0000000000000007E-2</v>
      </c>
      <c r="U217" s="366">
        <f t="shared" si="35"/>
        <v>3.5714285714285713E-3</v>
      </c>
      <c r="V217" s="97">
        <v>0.06</v>
      </c>
      <c r="W217" s="13">
        <f>RTD("money.excel",,"8107","Price")</f>
        <v>19.600000000000001</v>
      </c>
      <c r="X217" s="67"/>
      <c r="Y217" s="15">
        <f t="shared" si="36"/>
        <v>19.600000000000001</v>
      </c>
      <c r="Z217" s="3" t="e">
        <f t="shared" si="37"/>
        <v>#DIV/0!</v>
      </c>
      <c r="AB217" s="16" t="s">
        <v>3912</v>
      </c>
      <c r="AE217" s="33">
        <f t="shared" si="38"/>
        <v>0</v>
      </c>
      <c r="AF217" s="43" t="s">
        <v>3012</v>
      </c>
      <c r="AG217" s="128"/>
      <c r="AI217" s="64">
        <f t="shared" si="39"/>
        <v>2.5600000000000002E-3</v>
      </c>
      <c r="AJ217" s="313">
        <f>RTD("money.excel",,$G217,"PredictVolume")</f>
        <v>192</v>
      </c>
      <c r="AK217" s="348"/>
    </row>
    <row r="218" spans="1:37">
      <c r="A218" s="148" t="s">
        <v>3675</v>
      </c>
      <c r="B218" s="93">
        <v>-134</v>
      </c>
      <c r="C218" s="93">
        <v>-190</v>
      </c>
      <c r="D218" s="93">
        <v>55</v>
      </c>
      <c r="E218" s="93">
        <v>-63</v>
      </c>
      <c r="F218" s="6">
        <v>-9.52</v>
      </c>
      <c r="G218" s="81">
        <v>8222</v>
      </c>
      <c r="H218" s="8" t="s">
        <v>313</v>
      </c>
      <c r="I218" s="22" t="s">
        <v>620</v>
      </c>
      <c r="J218" s="75">
        <v>44.79</v>
      </c>
      <c r="K218" s="75">
        <v>0.31</v>
      </c>
      <c r="L218" s="75">
        <v>6.92</v>
      </c>
      <c r="N218" s="325">
        <f t="shared" si="34"/>
        <v>52.02</v>
      </c>
      <c r="O218" s="27"/>
      <c r="P218" s="56"/>
      <c r="Q218" s="26"/>
      <c r="S218" s="330">
        <v>23.24</v>
      </c>
      <c r="T218" s="34">
        <v>0</v>
      </c>
      <c r="U218" s="366">
        <f t="shared" si="35"/>
        <v>0</v>
      </c>
      <c r="V218" s="97">
        <v>-0.57999999999999996</v>
      </c>
      <c r="W218" s="36">
        <f>RTD("money.excel",,"8222","Price")</f>
        <v>14.3</v>
      </c>
      <c r="X218" s="67"/>
      <c r="Y218" s="15">
        <f t="shared" si="36"/>
        <v>14.3</v>
      </c>
      <c r="Z218" s="3" t="e">
        <f t="shared" si="37"/>
        <v>#DIV/0!</v>
      </c>
      <c r="AB218" s="22" t="s">
        <v>620</v>
      </c>
      <c r="AE218" s="33">
        <f t="shared" si="38"/>
        <v>0</v>
      </c>
      <c r="AF218" s="43" t="s">
        <v>3275</v>
      </c>
      <c r="AG218" s="128"/>
      <c r="AI218" s="64">
        <f t="shared" si="39"/>
        <v>8.6005830903790087E-4</v>
      </c>
      <c r="AJ218" s="313">
        <f>RTD("money.excel",,$G218,"PredictVolume")</f>
        <v>59</v>
      </c>
      <c r="AK218" s="348"/>
    </row>
    <row r="219" spans="1:37">
      <c r="A219" s="148" t="s">
        <v>1576</v>
      </c>
      <c r="B219" s="82">
        <v>-44</v>
      </c>
      <c r="C219" s="82">
        <v>-62</v>
      </c>
      <c r="D219" s="81">
        <v>9</v>
      </c>
      <c r="E219" s="81">
        <v>23</v>
      </c>
      <c r="F219" s="6">
        <v>4.41</v>
      </c>
      <c r="G219" s="81">
        <v>8255</v>
      </c>
      <c r="H219" s="8" t="s">
        <v>313</v>
      </c>
      <c r="I219" s="16" t="s">
        <v>4466</v>
      </c>
      <c r="J219" s="330">
        <v>42.79</v>
      </c>
      <c r="K219" s="75">
        <v>3.4</v>
      </c>
      <c r="L219" s="75">
        <v>13.56</v>
      </c>
      <c r="N219" s="325">
        <f t="shared" si="34"/>
        <v>59.75</v>
      </c>
      <c r="O219" s="27"/>
      <c r="P219" s="56"/>
      <c r="Q219" s="26"/>
      <c r="S219" s="330">
        <v>0.13</v>
      </c>
      <c r="T219" s="67">
        <v>3</v>
      </c>
      <c r="U219" s="366">
        <f t="shared" si="35"/>
        <v>1.405152224824356E-2</v>
      </c>
      <c r="V219" s="97">
        <v>3.09</v>
      </c>
      <c r="W219" s="36">
        <f>RTD("money.excel",,"8255","Price")</f>
        <v>213.5</v>
      </c>
      <c r="X219" s="67"/>
      <c r="Y219" s="15">
        <f t="shared" si="36"/>
        <v>213.5</v>
      </c>
      <c r="Z219" s="3" t="e">
        <f t="shared" si="37"/>
        <v>#DIV/0!</v>
      </c>
      <c r="AA219" s="174" t="s">
        <v>2185</v>
      </c>
      <c r="AB219" s="16" t="s">
        <v>4466</v>
      </c>
      <c r="AE219" s="33">
        <f t="shared" si="38"/>
        <v>0</v>
      </c>
      <c r="AF219" s="122" t="s">
        <v>2861</v>
      </c>
      <c r="AG219" s="128"/>
      <c r="AI219" s="64">
        <f t="shared" si="39"/>
        <v>6.2404371584699452E-3</v>
      </c>
      <c r="AJ219" s="313">
        <f>RTD("money.excel",,$G219,"PredictVolume")</f>
        <v>571</v>
      </c>
      <c r="AK219" s="348"/>
    </row>
    <row r="220" spans="1:37">
      <c r="A220" s="148" t="s">
        <v>3554</v>
      </c>
      <c r="B220" s="93">
        <v>289</v>
      </c>
      <c r="C220" s="93">
        <v>451</v>
      </c>
      <c r="D220" s="93">
        <v>19</v>
      </c>
      <c r="E220" s="93">
        <v>91</v>
      </c>
      <c r="F220" s="6">
        <v>6.7</v>
      </c>
      <c r="G220" s="81">
        <v>8374</v>
      </c>
      <c r="H220" s="8" t="s">
        <v>313</v>
      </c>
      <c r="I220" s="22" t="s">
        <v>621</v>
      </c>
      <c r="J220" s="75">
        <v>54.02</v>
      </c>
      <c r="K220" s="75">
        <v>4.4000000000000004</v>
      </c>
      <c r="L220" s="75">
        <v>10.24</v>
      </c>
      <c r="N220" s="325">
        <f t="shared" si="34"/>
        <v>68.66</v>
      </c>
      <c r="O220" s="27"/>
      <c r="P220" s="56"/>
      <c r="Q220" s="26"/>
      <c r="S220" s="330">
        <v>21.89</v>
      </c>
      <c r="T220" s="34">
        <v>0.3</v>
      </c>
      <c r="U220" s="366">
        <f t="shared" si="35"/>
        <v>9.9009900990099011E-3</v>
      </c>
      <c r="V220" s="97">
        <v>0.78</v>
      </c>
      <c r="W220" s="13">
        <f>RTD("money.excel",,"8374","Price")</f>
        <v>30.3</v>
      </c>
      <c r="X220" s="67"/>
      <c r="Y220" s="15">
        <f t="shared" si="36"/>
        <v>30.3</v>
      </c>
      <c r="Z220" s="3" t="e">
        <f t="shared" si="37"/>
        <v>#DIV/0!</v>
      </c>
      <c r="AB220" s="22" t="s">
        <v>621</v>
      </c>
      <c r="AE220" s="33">
        <f t="shared" si="38"/>
        <v>0</v>
      </c>
      <c r="AF220" s="43" t="s">
        <v>3276</v>
      </c>
      <c r="AG220" s="128"/>
      <c r="AI220" s="64">
        <f t="shared" si="39"/>
        <v>3.0357142857142855E-4</v>
      </c>
      <c r="AJ220" s="313">
        <f>RTD("money.excel",,$G220,"PredictVolume")</f>
        <v>34</v>
      </c>
      <c r="AK220" s="348"/>
    </row>
    <row r="221" spans="1:37">
      <c r="A221" s="148" t="s">
        <v>2045</v>
      </c>
      <c r="B221" s="81">
        <v>8</v>
      </c>
      <c r="C221" s="82">
        <v>-5</v>
      </c>
      <c r="D221" s="82">
        <v>-15</v>
      </c>
      <c r="E221" s="82">
        <v>-26</v>
      </c>
      <c r="F221" s="6">
        <v>8.02</v>
      </c>
      <c r="G221" s="81">
        <v>8996</v>
      </c>
      <c r="H221" s="8" t="s">
        <v>313</v>
      </c>
      <c r="I221" s="22" t="s">
        <v>622</v>
      </c>
      <c r="J221" s="330">
        <v>43.55</v>
      </c>
      <c r="K221" s="330">
        <v>3.57</v>
      </c>
      <c r="L221" s="330">
        <v>36.659999999999997</v>
      </c>
      <c r="N221" s="325">
        <f t="shared" si="34"/>
        <v>83.78</v>
      </c>
      <c r="O221" s="27"/>
      <c r="P221" s="56"/>
      <c r="Q221" s="26"/>
      <c r="S221" s="330">
        <v>1.53</v>
      </c>
      <c r="T221" s="34">
        <v>1.7</v>
      </c>
      <c r="U221" s="366">
        <f t="shared" si="35"/>
        <v>2.6033690658499236E-2</v>
      </c>
      <c r="V221" s="97">
        <v>1.26</v>
      </c>
      <c r="W221" s="36">
        <f>RTD("money.excel",,"8996","Price")</f>
        <v>65.3</v>
      </c>
      <c r="X221" s="67"/>
      <c r="Y221" s="15">
        <f t="shared" si="36"/>
        <v>65.3</v>
      </c>
      <c r="Z221" s="3" t="e">
        <f t="shared" si="37"/>
        <v>#DIV/0!</v>
      </c>
      <c r="AA221" s="174" t="s">
        <v>1943</v>
      </c>
      <c r="AB221" s="22" t="s">
        <v>622</v>
      </c>
      <c r="AE221" s="33">
        <f t="shared" si="38"/>
        <v>0</v>
      </c>
      <c r="AF221" s="43" t="s">
        <v>3791</v>
      </c>
      <c r="AG221" s="128"/>
      <c r="AI221" s="64">
        <f t="shared" si="39"/>
        <v>8.5581655480984342E-2</v>
      </c>
      <c r="AJ221" s="313">
        <f>RTD("money.excel",,$G221,"PredictVolume")</f>
        <v>7651</v>
      </c>
      <c r="AK221" s="348"/>
    </row>
    <row r="222" spans="1:37">
      <c r="A222" s="148" t="s">
        <v>1850</v>
      </c>
      <c r="B222" s="82">
        <v>-27</v>
      </c>
      <c r="C222" s="82">
        <v>-36</v>
      </c>
      <c r="D222" s="82">
        <v>-28</v>
      </c>
      <c r="E222" s="81">
        <v>9</v>
      </c>
      <c r="F222" s="6">
        <v>9.76</v>
      </c>
      <c r="G222" s="81">
        <v>9951</v>
      </c>
      <c r="H222" s="8" t="s">
        <v>313</v>
      </c>
      <c r="I222" s="16" t="s">
        <v>238</v>
      </c>
      <c r="J222" s="75">
        <v>43.6</v>
      </c>
      <c r="K222" s="75">
        <v>9.99</v>
      </c>
      <c r="L222" s="75">
        <v>12.62</v>
      </c>
      <c r="N222" s="325">
        <f t="shared" si="34"/>
        <v>66.210000000000008</v>
      </c>
      <c r="O222" s="27"/>
      <c r="P222" s="56"/>
      <c r="Q222" s="26"/>
      <c r="S222" s="330">
        <v>0.01</v>
      </c>
      <c r="T222" s="67">
        <v>4.7</v>
      </c>
      <c r="U222" s="366">
        <f t="shared" si="35"/>
        <v>6.3087248322147654E-2</v>
      </c>
      <c r="V222" s="97">
        <v>6.69</v>
      </c>
      <c r="W222" s="36">
        <f>RTD("money.excel",,"9951","Price")</f>
        <v>74.5</v>
      </c>
      <c r="X222" s="67"/>
      <c r="Y222" s="15">
        <f t="shared" si="36"/>
        <v>74.5</v>
      </c>
      <c r="Z222" s="3" t="e">
        <f t="shared" si="37"/>
        <v>#DIV/0!</v>
      </c>
      <c r="AA222" s="174" t="s">
        <v>2185</v>
      </c>
      <c r="AB222" s="16" t="s">
        <v>238</v>
      </c>
      <c r="AE222" s="33">
        <f t="shared" si="38"/>
        <v>0</v>
      </c>
      <c r="AF222" s="122" t="s">
        <v>3065</v>
      </c>
      <c r="AG222" s="128"/>
      <c r="AI222" s="64">
        <f t="shared" si="39"/>
        <v>2.5367156208277704E-4</v>
      </c>
      <c r="AJ222" s="313">
        <f>RTD("money.excel",,$G222,"PredictVolume")</f>
        <v>19</v>
      </c>
      <c r="AK222" s="348"/>
    </row>
    <row r="223" spans="1:37">
      <c r="A223" s="148"/>
      <c r="B223" s="82"/>
      <c r="C223" s="82"/>
      <c r="D223" s="82"/>
      <c r="E223" s="81"/>
      <c r="F223" s="6"/>
      <c r="G223" s="81"/>
      <c r="H223" s="8"/>
      <c r="I223" s="16"/>
      <c r="J223" s="75"/>
      <c r="K223" s="75"/>
      <c r="N223" s="325"/>
      <c r="O223" s="27"/>
      <c r="P223" s="56"/>
      <c r="Q223" s="26"/>
      <c r="T223" s="67"/>
      <c r="V223" s="97"/>
      <c r="W223" s="36"/>
      <c r="X223" s="67"/>
      <c r="Y223" s="15"/>
      <c r="Z223" s="3"/>
      <c r="AB223" s="16"/>
      <c r="AE223" s="33"/>
      <c r="AF223" s="122"/>
      <c r="AG223" s="128"/>
      <c r="AI223" s="64"/>
      <c r="AJ223" s="313"/>
      <c r="AK223" s="348"/>
    </row>
    <row r="224" spans="1:37">
      <c r="A224" s="132" t="s">
        <v>1854</v>
      </c>
      <c r="B224" s="93" t="s">
        <v>1657</v>
      </c>
      <c r="C224" s="93" t="s">
        <v>1658</v>
      </c>
      <c r="D224" s="93" t="s">
        <v>1659</v>
      </c>
      <c r="E224" s="93" t="s">
        <v>1660</v>
      </c>
      <c r="F224" s="8" t="s">
        <v>1122</v>
      </c>
      <c r="G224" s="27" t="s">
        <v>997</v>
      </c>
      <c r="H224" s="55" t="s">
        <v>342</v>
      </c>
      <c r="I224" s="50" t="s">
        <v>4306</v>
      </c>
      <c r="J224" s="324" t="s">
        <v>1529</v>
      </c>
      <c r="K224" s="324" t="s">
        <v>1217</v>
      </c>
      <c r="L224" s="324" t="s">
        <v>298</v>
      </c>
      <c r="M224" s="324" t="s">
        <v>1115</v>
      </c>
      <c r="N224" s="324" t="s">
        <v>6091</v>
      </c>
      <c r="O224" s="27" t="s">
        <v>6253</v>
      </c>
      <c r="P224" s="56" t="s">
        <v>6219</v>
      </c>
      <c r="Q224" s="26" t="s">
        <v>6313</v>
      </c>
      <c r="R224" s="309" t="s">
        <v>4371</v>
      </c>
      <c r="S224" s="335" t="s">
        <v>4398</v>
      </c>
      <c r="T224" s="10" t="s">
        <v>75</v>
      </c>
      <c r="U224" s="364" t="s">
        <v>6152</v>
      </c>
      <c r="V224" s="69" t="s">
        <v>4022</v>
      </c>
      <c r="W224" s="28" t="s">
        <v>2</v>
      </c>
      <c r="X224" s="17" t="s">
        <v>1465</v>
      </c>
      <c r="Y224" s="14" t="s">
        <v>5</v>
      </c>
      <c r="Z224" s="21" t="s">
        <v>3</v>
      </c>
      <c r="AA224" s="322" t="s">
        <v>117</v>
      </c>
      <c r="AB224" s="50" t="s">
        <v>4306</v>
      </c>
      <c r="AC224" s="73" t="s">
        <v>1466</v>
      </c>
      <c r="AD224" s="74" t="s">
        <v>1223</v>
      </c>
      <c r="AE224" s="32" t="s">
        <v>1224</v>
      </c>
      <c r="AF224" s="43"/>
      <c r="AG224" s="128"/>
      <c r="AI224" s="8" t="s">
        <v>4414</v>
      </c>
      <c r="AJ224" s="50" t="s">
        <v>4121</v>
      </c>
      <c r="AK224" s="348" t="s">
        <v>6074</v>
      </c>
    </row>
    <row r="225" spans="1:37">
      <c r="A225" s="148" t="s">
        <v>2289</v>
      </c>
      <c r="B225" s="81">
        <v>3</v>
      </c>
      <c r="C225" s="82">
        <v>-6</v>
      </c>
      <c r="D225" s="82">
        <v>-1</v>
      </c>
      <c r="E225" s="82">
        <v>-52</v>
      </c>
      <c r="F225" s="6">
        <v>6.51</v>
      </c>
      <c r="G225" s="81">
        <v>1603</v>
      </c>
      <c r="H225" s="8" t="s">
        <v>4306</v>
      </c>
      <c r="I225" s="22" t="s">
        <v>1000</v>
      </c>
      <c r="J225" s="75">
        <v>85.23</v>
      </c>
      <c r="K225" s="75">
        <v>1.62</v>
      </c>
      <c r="L225" s="75">
        <v>5.43</v>
      </c>
      <c r="N225" s="325">
        <f t="shared" ref="N225" si="50">J225+K225+L225+M225</f>
        <v>92.28</v>
      </c>
      <c r="O225" s="27"/>
      <c r="P225" s="56"/>
      <c r="Q225" s="26"/>
      <c r="S225" s="330">
        <v>0</v>
      </c>
      <c r="T225" s="34">
        <v>0.5</v>
      </c>
      <c r="U225" s="366">
        <f t="shared" ref="U225:U241" si="51">T225/W225</f>
        <v>1.7605633802816902E-2</v>
      </c>
      <c r="V225" s="97">
        <v>2.0499999999999998</v>
      </c>
      <c r="W225" s="36">
        <f>RTD("money.excel",,"1603","Price")</f>
        <v>28.4</v>
      </c>
      <c r="X225" s="67"/>
      <c r="Y225" s="15">
        <f t="shared" ref="Y225:Y241" si="52">W225-X225</f>
        <v>28.4</v>
      </c>
      <c r="Z225" s="3" t="e">
        <f t="shared" ref="Z225:Z241" si="53">Y225/X225</f>
        <v>#DIV/0!</v>
      </c>
      <c r="AA225" s="174" t="s">
        <v>1943</v>
      </c>
      <c r="AB225" s="22" t="s">
        <v>1000</v>
      </c>
      <c r="AE225" s="33">
        <f t="shared" ref="AE225:AE241" si="54">AD225-AC225</f>
        <v>0</v>
      </c>
      <c r="AF225" s="43" t="s">
        <v>3320</v>
      </c>
      <c r="AG225" s="128"/>
      <c r="AI225" s="64">
        <f t="shared" ref="AI225:AI241" si="55">AJ225/(A225*10000)</f>
        <v>1.4502617801047119E-3</v>
      </c>
      <c r="AJ225" s="313">
        <f>RTD("money.excel",,$G225,"PredictVolume")</f>
        <v>277</v>
      </c>
      <c r="AK225" s="348"/>
    </row>
    <row r="226" spans="1:37">
      <c r="A226" s="148" t="s">
        <v>1802</v>
      </c>
      <c r="B226" s="81">
        <v>35</v>
      </c>
      <c r="C226" s="81">
        <v>51</v>
      </c>
      <c r="D226" s="82">
        <v>-3</v>
      </c>
      <c r="E226" s="81">
        <v>14</v>
      </c>
      <c r="F226" s="6">
        <v>8.9600000000000009</v>
      </c>
      <c r="G226" s="81">
        <v>1604</v>
      </c>
      <c r="H226" s="8" t="s">
        <v>4306</v>
      </c>
      <c r="I226" s="22" t="s">
        <v>1001</v>
      </c>
      <c r="J226" s="75">
        <v>51.5</v>
      </c>
      <c r="K226" s="75">
        <v>10.69</v>
      </c>
      <c r="L226" s="75">
        <v>0.98</v>
      </c>
      <c r="N226" s="325">
        <f t="shared" ref="N226:N241" si="56">J226+K226+L226+M226</f>
        <v>63.169999999999995</v>
      </c>
      <c r="O226" s="27"/>
      <c r="P226" s="56"/>
      <c r="Q226" s="26"/>
      <c r="S226" s="330">
        <v>2.84</v>
      </c>
      <c r="T226" s="34">
        <v>2.5</v>
      </c>
      <c r="U226" s="366">
        <f t="shared" si="51"/>
        <v>7.9617834394904469E-2</v>
      </c>
      <c r="V226" s="97">
        <v>5.12</v>
      </c>
      <c r="W226" s="36">
        <f>RTD("money.excel",,"1604","Price")</f>
        <v>31.4</v>
      </c>
      <c r="X226" s="67"/>
      <c r="Y226" s="15">
        <f t="shared" si="52"/>
        <v>31.4</v>
      </c>
      <c r="Z226" s="3" t="e">
        <f t="shared" si="53"/>
        <v>#DIV/0!</v>
      </c>
      <c r="AA226" s="174" t="s">
        <v>1943</v>
      </c>
      <c r="AB226" s="22" t="s">
        <v>1001</v>
      </c>
      <c r="AE226" s="33">
        <f t="shared" si="54"/>
        <v>0</v>
      </c>
      <c r="AF226" s="43" t="s">
        <v>3321</v>
      </c>
      <c r="AG226" s="269"/>
      <c r="AI226" s="64">
        <f t="shared" si="55"/>
        <v>1.1162790697674418E-3</v>
      </c>
      <c r="AJ226" s="313">
        <f>RTD("money.excel",,$G226,"PredictVolume")</f>
        <v>432</v>
      </c>
      <c r="AK226" s="348"/>
    </row>
    <row r="227" spans="1:37">
      <c r="A227" s="148" t="s">
        <v>2785</v>
      </c>
      <c r="B227" s="81">
        <v>95</v>
      </c>
      <c r="C227" s="81">
        <v>161</v>
      </c>
      <c r="D227" s="82">
        <v>-1</v>
      </c>
      <c r="E227" s="82">
        <v>6</v>
      </c>
      <c r="F227" s="6">
        <v>6.07</v>
      </c>
      <c r="G227" s="81">
        <v>1605</v>
      </c>
      <c r="H227" s="206" t="s">
        <v>4306</v>
      </c>
      <c r="I227" s="22" t="s">
        <v>4467</v>
      </c>
      <c r="J227" s="75">
        <v>72.709999999999994</v>
      </c>
      <c r="K227" s="75">
        <v>28.99</v>
      </c>
      <c r="L227" s="75">
        <v>5.01</v>
      </c>
      <c r="N227" s="325">
        <f t="shared" si="56"/>
        <v>106.71</v>
      </c>
      <c r="O227" s="27"/>
      <c r="P227" s="56"/>
      <c r="Q227" s="26"/>
      <c r="S227" s="330">
        <v>0.1</v>
      </c>
      <c r="T227" s="34">
        <v>0.9</v>
      </c>
      <c r="U227" s="366">
        <f t="shared" si="51"/>
        <v>3.1358885017421602E-2</v>
      </c>
      <c r="V227" s="97">
        <v>2.04</v>
      </c>
      <c r="W227" s="36">
        <f>RTD("money.excel",,"1605","Price")</f>
        <v>28.7</v>
      </c>
      <c r="X227" s="67"/>
      <c r="Y227" s="15">
        <f t="shared" si="52"/>
        <v>28.7</v>
      </c>
      <c r="Z227" s="3" t="e">
        <f t="shared" si="53"/>
        <v>#DIV/0!</v>
      </c>
      <c r="AA227" s="174" t="s">
        <v>1943</v>
      </c>
      <c r="AB227" s="22" t="s">
        <v>4467</v>
      </c>
      <c r="AE227" s="33">
        <f t="shared" si="54"/>
        <v>0</v>
      </c>
      <c r="AF227" s="122" t="s">
        <v>2803</v>
      </c>
      <c r="AG227" s="128"/>
      <c r="AI227" s="64">
        <f t="shared" si="55"/>
        <v>4.4116618075801754E-3</v>
      </c>
      <c r="AJ227" s="313">
        <f>RTD("money.excel",,$G227,"PredictVolume")</f>
        <v>15132</v>
      </c>
      <c r="AK227" s="348"/>
    </row>
    <row r="228" spans="1:37">
      <c r="A228" s="148" t="s">
        <v>2524</v>
      </c>
      <c r="B228" s="81">
        <v>359</v>
      </c>
      <c r="C228" s="81">
        <v>958</v>
      </c>
      <c r="D228" s="82">
        <v>-10</v>
      </c>
      <c r="E228" s="81">
        <v>41</v>
      </c>
      <c r="F228" s="6">
        <v>8.4499999999999993</v>
      </c>
      <c r="G228" s="81">
        <v>1608</v>
      </c>
      <c r="H228" s="8" t="s">
        <v>4306</v>
      </c>
      <c r="I228" s="22" t="s">
        <v>1003</v>
      </c>
      <c r="J228" s="75">
        <v>62.09</v>
      </c>
      <c r="K228" s="330">
        <v>2.85</v>
      </c>
      <c r="L228" s="330">
        <v>8.6199999999999992</v>
      </c>
      <c r="N228" s="325">
        <f t="shared" si="56"/>
        <v>73.56</v>
      </c>
      <c r="O228" s="27"/>
      <c r="P228" s="56"/>
      <c r="Q228" s="26"/>
      <c r="S228" s="330">
        <v>0.2</v>
      </c>
      <c r="T228" s="34">
        <v>0.7</v>
      </c>
      <c r="U228" s="366">
        <f t="shared" si="51"/>
        <v>3.3898305084745763E-2</v>
      </c>
      <c r="V228" s="58">
        <v>3.84</v>
      </c>
      <c r="W228" s="36">
        <f>RTD("money.excel",,"1608","Price")</f>
        <v>20.65</v>
      </c>
      <c r="X228" s="67"/>
      <c r="Y228" s="15">
        <f t="shared" si="52"/>
        <v>20.65</v>
      </c>
      <c r="Z228" s="3" t="e">
        <f t="shared" si="53"/>
        <v>#DIV/0!</v>
      </c>
      <c r="AA228" s="174" t="s">
        <v>1943</v>
      </c>
      <c r="AB228" s="22" t="s">
        <v>1003</v>
      </c>
      <c r="AE228" s="33">
        <f t="shared" si="54"/>
        <v>0</v>
      </c>
      <c r="AF228" s="43" t="s">
        <v>3322</v>
      </c>
      <c r="AG228" s="128"/>
      <c r="AI228" s="64">
        <f t="shared" si="55"/>
        <v>1.699367088607595E-3</v>
      </c>
      <c r="AJ228" s="313">
        <f>RTD("money.excel",,$G228,"PredictVolume")</f>
        <v>1074</v>
      </c>
      <c r="AK228" s="348"/>
    </row>
    <row r="229" spans="1:37">
      <c r="A229" s="148" t="s">
        <v>4330</v>
      </c>
      <c r="B229" s="81">
        <v>32</v>
      </c>
      <c r="C229" s="81">
        <v>363</v>
      </c>
      <c r="D229" s="82">
        <v>-4</v>
      </c>
      <c r="E229" s="81">
        <v>46</v>
      </c>
      <c r="F229" s="6">
        <v>5.61</v>
      </c>
      <c r="G229" s="81">
        <v>1609</v>
      </c>
      <c r="H229" s="8" t="s">
        <v>4306</v>
      </c>
      <c r="I229" s="22" t="s">
        <v>1004</v>
      </c>
      <c r="J229" s="75">
        <v>29.1</v>
      </c>
      <c r="K229" s="330">
        <v>7.62</v>
      </c>
      <c r="L229" s="330">
        <v>12.72</v>
      </c>
      <c r="N229" s="325">
        <f t="shared" si="56"/>
        <v>49.44</v>
      </c>
      <c r="O229" s="27"/>
      <c r="P229" s="56"/>
      <c r="Q229" s="26"/>
      <c r="R229" s="308" t="s">
        <v>4372</v>
      </c>
      <c r="S229" s="330">
        <v>0.72</v>
      </c>
      <c r="T229" s="34">
        <v>0.7</v>
      </c>
      <c r="U229" s="366">
        <f t="shared" si="51"/>
        <v>2.9227557411273485E-2</v>
      </c>
      <c r="V229" s="97">
        <v>1.74</v>
      </c>
      <c r="W229" s="36">
        <f>RTD("money.excel",,"1609","Price")</f>
        <v>23.95</v>
      </c>
      <c r="X229" s="67"/>
      <c r="Y229" s="15">
        <f t="shared" si="52"/>
        <v>23.95</v>
      </c>
      <c r="Z229" s="3" t="e">
        <f t="shared" si="53"/>
        <v>#DIV/0!</v>
      </c>
      <c r="AA229" s="174" t="s">
        <v>1943</v>
      </c>
      <c r="AB229" s="22" t="s">
        <v>1004</v>
      </c>
      <c r="AE229" s="33">
        <f t="shared" si="54"/>
        <v>0</v>
      </c>
      <c r="AF229" s="43" t="s">
        <v>3323</v>
      </c>
      <c r="AG229" s="128"/>
      <c r="AI229" s="64">
        <f t="shared" si="55"/>
        <v>4.3891472868217056E-3</v>
      </c>
      <c r="AJ229" s="313">
        <f>RTD("money.excel",,$G229,"PredictVolume")</f>
        <v>2831</v>
      </c>
      <c r="AK229" s="348"/>
    </row>
    <row r="230" spans="1:37">
      <c r="A230" s="148" t="s">
        <v>3733</v>
      </c>
      <c r="B230" s="93">
        <v>197</v>
      </c>
      <c r="C230" s="93">
        <v>3</v>
      </c>
      <c r="D230" s="93">
        <v>5</v>
      </c>
      <c r="E230" s="93">
        <v>5</v>
      </c>
      <c r="F230" s="6">
        <v>5.37</v>
      </c>
      <c r="G230" s="81">
        <v>1611</v>
      </c>
      <c r="H230" s="8" t="s">
        <v>4306</v>
      </c>
      <c r="I230" s="22" t="s">
        <v>118</v>
      </c>
      <c r="J230" s="75">
        <v>67.55</v>
      </c>
      <c r="K230" s="75">
        <v>11.46</v>
      </c>
      <c r="L230" s="75">
        <v>5.16</v>
      </c>
      <c r="N230" s="325">
        <f t="shared" si="56"/>
        <v>84.169999999999987</v>
      </c>
      <c r="O230" s="27"/>
      <c r="P230" s="56"/>
      <c r="Q230" s="26"/>
      <c r="S230" s="330">
        <v>10.45</v>
      </c>
      <c r="T230" s="34">
        <v>0.3</v>
      </c>
      <c r="U230" s="366">
        <f t="shared" si="51"/>
        <v>1.5665796344647522E-2</v>
      </c>
      <c r="V230" s="97">
        <v>0.23</v>
      </c>
      <c r="W230" s="13">
        <f>RTD("money.excel",,"1611","Price")</f>
        <v>19.149999999999999</v>
      </c>
      <c r="X230" s="67"/>
      <c r="Y230" s="15">
        <f t="shared" si="52"/>
        <v>19.149999999999999</v>
      </c>
      <c r="Z230" s="3" t="e">
        <f t="shared" si="53"/>
        <v>#DIV/0!</v>
      </c>
      <c r="AB230" s="22" t="s">
        <v>118</v>
      </c>
      <c r="AE230" s="33">
        <f t="shared" si="54"/>
        <v>0</v>
      </c>
      <c r="AF230" s="43" t="s">
        <v>3324</v>
      </c>
      <c r="AG230" s="128"/>
      <c r="AI230" s="64">
        <f t="shared" si="55"/>
        <v>6.0372670807453413E-2</v>
      </c>
      <c r="AJ230" s="313">
        <f>RTD("money.excel",,$G230,"PredictVolume")</f>
        <v>19440</v>
      </c>
      <c r="AK230" s="348"/>
    </row>
    <row r="231" spans="1:37">
      <c r="A231" s="132" t="s">
        <v>2191</v>
      </c>
      <c r="B231" s="81">
        <v>245</v>
      </c>
      <c r="C231" s="81">
        <v>95</v>
      </c>
      <c r="D231" s="82">
        <v>-9</v>
      </c>
      <c r="E231" s="81">
        <v>63</v>
      </c>
      <c r="F231" s="58">
        <v>10.35</v>
      </c>
      <c r="G231" s="81">
        <v>1612</v>
      </c>
      <c r="H231" s="8" t="s">
        <v>4306</v>
      </c>
      <c r="I231" s="22" t="s">
        <v>1005</v>
      </c>
      <c r="J231" s="75">
        <v>52.34</v>
      </c>
      <c r="K231" s="75">
        <v>10.9</v>
      </c>
      <c r="L231" s="330">
        <v>5.86</v>
      </c>
      <c r="N231" s="325">
        <f t="shared" si="56"/>
        <v>69.100000000000009</v>
      </c>
      <c r="O231" s="27"/>
      <c r="P231" s="56"/>
      <c r="Q231" s="26"/>
      <c r="S231" s="330">
        <v>0.86</v>
      </c>
      <c r="T231" s="34">
        <v>1.2</v>
      </c>
      <c r="U231" s="366">
        <f t="shared" si="51"/>
        <v>4.4117647058823532E-2</v>
      </c>
      <c r="V231" s="58">
        <v>2.44</v>
      </c>
      <c r="W231" s="36">
        <f>RTD("money.excel",,"1612","Price")</f>
        <v>27.2</v>
      </c>
      <c r="X231" s="67"/>
      <c r="Y231" s="15">
        <f t="shared" si="52"/>
        <v>27.2</v>
      </c>
      <c r="Z231" s="3" t="e">
        <f t="shared" si="53"/>
        <v>#DIV/0!</v>
      </c>
      <c r="AA231" s="174" t="s">
        <v>1943</v>
      </c>
      <c r="AB231" s="22" t="s">
        <v>1005</v>
      </c>
      <c r="AE231" s="33">
        <f t="shared" si="54"/>
        <v>0</v>
      </c>
      <c r="AF231" s="43" t="s">
        <v>1102</v>
      </c>
      <c r="AG231" s="128"/>
      <c r="AI231" s="64">
        <f t="shared" si="55"/>
        <v>6.0189873417721522E-3</v>
      </c>
      <c r="AJ231" s="313">
        <f>RTD("money.excel",,$G231,"PredictVolume")</f>
        <v>1902</v>
      </c>
      <c r="AK231" s="348"/>
    </row>
    <row r="232" spans="1:37">
      <c r="A232" s="148" t="s">
        <v>1891</v>
      </c>
      <c r="B232" s="81">
        <v>60</v>
      </c>
      <c r="C232" s="81">
        <v>69</v>
      </c>
      <c r="D232" s="81">
        <v>12</v>
      </c>
      <c r="E232" s="81">
        <v>20</v>
      </c>
      <c r="F232" s="6">
        <v>6.43</v>
      </c>
      <c r="G232" s="81">
        <v>1614</v>
      </c>
      <c r="H232" s="8" t="s">
        <v>4306</v>
      </c>
      <c r="I232" s="22" t="s">
        <v>1006</v>
      </c>
      <c r="J232" s="75">
        <v>82.32</v>
      </c>
      <c r="K232" s="75">
        <v>2.11</v>
      </c>
      <c r="L232" s="75">
        <v>1.02</v>
      </c>
      <c r="N232" s="325">
        <f t="shared" si="56"/>
        <v>85.449999999999989</v>
      </c>
      <c r="O232" s="27"/>
      <c r="P232" s="56"/>
      <c r="Q232" s="26"/>
      <c r="S232" s="330">
        <v>0</v>
      </c>
      <c r="T232" s="34">
        <v>0.95</v>
      </c>
      <c r="U232" s="366">
        <f t="shared" si="51"/>
        <v>2.5333333333333333E-2</v>
      </c>
      <c r="V232" s="97">
        <v>1.36</v>
      </c>
      <c r="W232" s="36">
        <f>RTD("money.excel",,"1614","Price")</f>
        <v>37.5</v>
      </c>
      <c r="X232" s="67"/>
      <c r="Y232" s="15">
        <f t="shared" si="52"/>
        <v>37.5</v>
      </c>
      <c r="Z232" s="3" t="e">
        <f t="shared" si="53"/>
        <v>#DIV/0!</v>
      </c>
      <c r="AA232" s="174" t="s">
        <v>1943</v>
      </c>
      <c r="AB232" s="22" t="s">
        <v>1006</v>
      </c>
      <c r="AE232" s="33">
        <f t="shared" si="54"/>
        <v>0</v>
      </c>
      <c r="AF232" s="43" t="s">
        <v>3321</v>
      </c>
      <c r="AG232" s="128"/>
      <c r="AI232" s="64">
        <f t="shared" si="55"/>
        <v>2.7509293680297395E-4</v>
      </c>
      <c r="AJ232" s="313">
        <f>RTD("money.excel",,$G232,"PredictVolume")</f>
        <v>74</v>
      </c>
      <c r="AK232" s="348"/>
    </row>
    <row r="233" spans="1:37">
      <c r="A233" s="148" t="s">
        <v>1887</v>
      </c>
      <c r="B233" s="93">
        <v>44</v>
      </c>
      <c r="C233" s="93">
        <v>51</v>
      </c>
      <c r="D233" s="93">
        <v>-26</v>
      </c>
      <c r="E233" s="93">
        <v>48</v>
      </c>
      <c r="F233" s="58">
        <v>11.39</v>
      </c>
      <c r="G233" s="81">
        <v>1615</v>
      </c>
      <c r="H233" s="8" t="s">
        <v>4306</v>
      </c>
      <c r="I233" s="22" t="s">
        <v>1007</v>
      </c>
      <c r="J233" s="75">
        <v>81.81</v>
      </c>
      <c r="K233" s="75">
        <v>0.09</v>
      </c>
      <c r="L233" s="75">
        <v>3.43</v>
      </c>
      <c r="N233" s="325">
        <f t="shared" si="56"/>
        <v>85.330000000000013</v>
      </c>
      <c r="O233" s="27"/>
      <c r="P233" s="56"/>
      <c r="Q233" s="26"/>
      <c r="S233" s="330">
        <v>37.770000000000003</v>
      </c>
      <c r="T233" s="34">
        <v>2</v>
      </c>
      <c r="U233" s="366">
        <f t="shared" si="51"/>
        <v>6.1633281972265017E-2</v>
      </c>
      <c r="V233" s="97">
        <v>2.73</v>
      </c>
      <c r="W233" s="13">
        <f>RTD("money.excel",,"1615","Price")</f>
        <v>32.450000000000003</v>
      </c>
      <c r="X233" s="67"/>
      <c r="Y233" s="15">
        <f t="shared" si="52"/>
        <v>32.450000000000003</v>
      </c>
      <c r="Z233" s="3" t="e">
        <f t="shared" si="53"/>
        <v>#DIV/0!</v>
      </c>
      <c r="AA233" s="174" t="s">
        <v>1943</v>
      </c>
      <c r="AB233" s="22" t="s">
        <v>1007</v>
      </c>
      <c r="AE233" s="33">
        <f t="shared" si="54"/>
        <v>0</v>
      </c>
      <c r="AF233" s="43" t="s">
        <v>3323</v>
      </c>
      <c r="AG233" s="128"/>
      <c r="AI233" s="64">
        <f t="shared" si="55"/>
        <v>4.3902439024390245E-4</v>
      </c>
      <c r="AJ233" s="313">
        <f>RTD("money.excel",,$G233,"PredictVolume")</f>
        <v>54</v>
      </c>
      <c r="AK233" s="348"/>
    </row>
    <row r="234" spans="1:37">
      <c r="A234" s="148" t="s">
        <v>1815</v>
      </c>
      <c r="B234" s="93">
        <v>116</v>
      </c>
      <c r="C234" s="93">
        <v>40</v>
      </c>
      <c r="D234" s="93">
        <v>-29</v>
      </c>
      <c r="E234" s="93">
        <v>16</v>
      </c>
      <c r="F234" s="6">
        <v>0.94</v>
      </c>
      <c r="G234" s="81">
        <v>1616</v>
      </c>
      <c r="H234" s="8" t="s">
        <v>4306</v>
      </c>
      <c r="I234" s="22" t="s">
        <v>1008</v>
      </c>
      <c r="J234" s="75">
        <v>67.05</v>
      </c>
      <c r="K234" s="75">
        <v>0.09</v>
      </c>
      <c r="L234" s="75">
        <v>0</v>
      </c>
      <c r="N234" s="325">
        <f t="shared" si="56"/>
        <v>67.14</v>
      </c>
      <c r="O234" s="27"/>
      <c r="P234" s="56"/>
      <c r="Q234" s="26"/>
      <c r="S234" s="330">
        <v>30.15</v>
      </c>
      <c r="T234" s="34">
        <v>0</v>
      </c>
      <c r="U234" s="366">
        <f t="shared" si="51"/>
        <v>0</v>
      </c>
      <c r="V234" s="97">
        <v>0.01</v>
      </c>
      <c r="W234" s="13">
        <f>RTD("money.excel",,"1616","Price")</f>
        <v>10.050000000000001</v>
      </c>
      <c r="X234" s="67"/>
      <c r="Y234" s="15">
        <f t="shared" si="52"/>
        <v>10.050000000000001</v>
      </c>
      <c r="Z234" s="3" t="e">
        <f t="shared" si="53"/>
        <v>#DIV/0!</v>
      </c>
      <c r="AA234" s="174" t="s">
        <v>1943</v>
      </c>
      <c r="AB234" s="22" t="s">
        <v>1008</v>
      </c>
      <c r="AE234" s="33">
        <f t="shared" si="54"/>
        <v>0</v>
      </c>
      <c r="AF234" s="43" t="s">
        <v>3323</v>
      </c>
      <c r="AG234" s="128"/>
      <c r="AI234" s="64">
        <f t="shared" si="55"/>
        <v>2.4948453608247424E-3</v>
      </c>
      <c r="AJ234" s="313">
        <f>RTD("money.excel",,$G234,"PredictVolume")</f>
        <v>484</v>
      </c>
      <c r="AK234" s="348"/>
    </row>
    <row r="235" spans="1:37">
      <c r="A235" s="148" t="s">
        <v>1837</v>
      </c>
      <c r="B235" s="81">
        <v>39</v>
      </c>
      <c r="C235" s="81">
        <v>54</v>
      </c>
      <c r="D235" s="82">
        <v>-7</v>
      </c>
      <c r="E235" s="81">
        <v>20</v>
      </c>
      <c r="F235" s="6">
        <v>6.5</v>
      </c>
      <c r="G235" s="81">
        <v>1617</v>
      </c>
      <c r="H235" s="8" t="s">
        <v>4306</v>
      </c>
      <c r="I235" s="22" t="s">
        <v>1009</v>
      </c>
      <c r="J235" s="75">
        <v>76.7</v>
      </c>
      <c r="K235" s="75">
        <v>21.41</v>
      </c>
      <c r="L235" s="75">
        <v>1.62</v>
      </c>
      <c r="M235" s="75">
        <v>50.48</v>
      </c>
      <c r="N235" s="75">
        <f t="shared" si="56"/>
        <v>150.21</v>
      </c>
      <c r="O235" s="27"/>
      <c r="P235" s="56"/>
      <c r="Q235" s="26"/>
      <c r="R235" s="308" t="s">
        <v>4372</v>
      </c>
      <c r="S235" s="330">
        <v>0.03</v>
      </c>
      <c r="T235" s="34">
        <v>0.6</v>
      </c>
      <c r="U235" s="366">
        <f t="shared" si="51"/>
        <v>3.3149171270718231E-2</v>
      </c>
      <c r="V235" s="58">
        <v>1.39</v>
      </c>
      <c r="W235" s="36">
        <f>RTD("money.excel",,"1617","Price")</f>
        <v>18.100000000000001</v>
      </c>
      <c r="X235" s="67"/>
      <c r="Y235" s="15">
        <f t="shared" si="52"/>
        <v>18.100000000000001</v>
      </c>
      <c r="Z235" s="3" t="e">
        <f t="shared" si="53"/>
        <v>#DIV/0!</v>
      </c>
      <c r="AA235" s="174" t="s">
        <v>1943</v>
      </c>
      <c r="AB235" s="22" t="s">
        <v>1009</v>
      </c>
      <c r="AE235" s="33">
        <f t="shared" si="54"/>
        <v>0</v>
      </c>
      <c r="AF235" s="43" t="s">
        <v>3194</v>
      </c>
      <c r="AG235" s="128"/>
      <c r="AI235" s="64">
        <f t="shared" si="55"/>
        <v>2.2222222222222223E-4</v>
      </c>
      <c r="AJ235" s="313">
        <f>RTD("money.excel",,$G235,"PredictVolume")</f>
        <v>32</v>
      </c>
      <c r="AK235" s="348"/>
    </row>
    <row r="236" spans="1:37">
      <c r="A236" s="148" t="s">
        <v>3661</v>
      </c>
      <c r="B236" s="93">
        <v>641</v>
      </c>
      <c r="C236" s="142">
        <v>1258</v>
      </c>
      <c r="D236" s="93">
        <v>74</v>
      </c>
      <c r="E236" s="93">
        <v>185</v>
      </c>
      <c r="F236" s="6">
        <v>2.79</v>
      </c>
      <c r="G236" s="81">
        <v>1618</v>
      </c>
      <c r="H236" s="8" t="s">
        <v>4306</v>
      </c>
      <c r="I236" s="22" t="s">
        <v>1010</v>
      </c>
      <c r="J236" s="75">
        <v>68.239999999999995</v>
      </c>
      <c r="K236" s="75">
        <v>1.24</v>
      </c>
      <c r="L236" s="75">
        <v>21.11</v>
      </c>
      <c r="N236" s="325">
        <f t="shared" si="56"/>
        <v>90.589999999999989</v>
      </c>
      <c r="O236" s="27"/>
      <c r="P236" s="56"/>
      <c r="Q236" s="26"/>
      <c r="S236" s="330">
        <v>35.56</v>
      </c>
      <c r="T236" s="34">
        <v>0.3</v>
      </c>
      <c r="U236" s="366">
        <f t="shared" si="51"/>
        <v>2.2556390977443608E-2</v>
      </c>
      <c r="V236" s="97">
        <v>1.01</v>
      </c>
      <c r="W236" s="13">
        <f>RTD("money.excel",,"1618","Price")</f>
        <v>13.3</v>
      </c>
      <c r="X236" s="67"/>
      <c r="Y236" s="15">
        <f t="shared" si="52"/>
        <v>13.3</v>
      </c>
      <c r="Z236" s="3" t="e">
        <f t="shared" si="53"/>
        <v>#DIV/0!</v>
      </c>
      <c r="AA236" s="174" t="s">
        <v>1943</v>
      </c>
      <c r="AB236" s="22" t="s">
        <v>1010</v>
      </c>
      <c r="AE236" s="33">
        <f t="shared" si="54"/>
        <v>0</v>
      </c>
      <c r="AF236" s="43" t="s">
        <v>3323</v>
      </c>
      <c r="AG236" s="128"/>
      <c r="AI236" s="64">
        <f t="shared" si="55"/>
        <v>6.7916666666666668E-4</v>
      </c>
      <c r="AJ236" s="313">
        <f>RTD("money.excel",,$G236,"PredictVolume")</f>
        <v>163</v>
      </c>
      <c r="AK236" s="348"/>
    </row>
    <row r="237" spans="1:37">
      <c r="A237" s="148" t="s">
        <v>2139</v>
      </c>
      <c r="B237" s="82">
        <v>-26</v>
      </c>
      <c r="C237" s="82">
        <v>-15</v>
      </c>
      <c r="D237" s="82">
        <v>-49</v>
      </c>
      <c r="E237" s="81">
        <v>40</v>
      </c>
      <c r="F237" s="6">
        <v>5</v>
      </c>
      <c r="G237" s="81">
        <v>1626</v>
      </c>
      <c r="H237" s="8" t="s">
        <v>4306</v>
      </c>
      <c r="I237" s="22" t="s">
        <v>1184</v>
      </c>
      <c r="J237" s="330">
        <v>73.849999999999994</v>
      </c>
      <c r="K237" s="330">
        <v>48.46</v>
      </c>
      <c r="L237" s="75">
        <v>12.64</v>
      </c>
      <c r="N237" s="325">
        <f t="shared" si="56"/>
        <v>134.94999999999999</v>
      </c>
      <c r="O237" s="27"/>
      <c r="P237" s="56"/>
      <c r="Q237" s="26"/>
      <c r="S237" s="330">
        <v>7.0000000000000007E-2</v>
      </c>
      <c r="T237" s="34">
        <v>1</v>
      </c>
      <c r="U237" s="366">
        <f t="shared" si="51"/>
        <v>5.037783375314861E-2</v>
      </c>
      <c r="V237" s="97">
        <v>1.1299999999999999</v>
      </c>
      <c r="W237" s="13">
        <f>RTD("money.excel",,"1626","Price")</f>
        <v>19.850000000000001</v>
      </c>
      <c r="X237" s="67"/>
      <c r="Y237" s="15">
        <f t="shared" si="52"/>
        <v>19.850000000000001</v>
      </c>
      <c r="Z237" s="3" t="e">
        <f t="shared" si="53"/>
        <v>#DIV/0!</v>
      </c>
      <c r="AA237" s="174" t="s">
        <v>1943</v>
      </c>
      <c r="AB237" s="22" t="s">
        <v>1184</v>
      </c>
      <c r="AE237" s="33">
        <f t="shared" si="54"/>
        <v>0</v>
      </c>
      <c r="AF237" s="43" t="s">
        <v>3103</v>
      </c>
      <c r="AG237" s="128"/>
      <c r="AI237" s="64">
        <f t="shared" si="55"/>
        <v>2.2302158273381295E-4</v>
      </c>
      <c r="AJ237" s="313">
        <f>RTD("money.excel",,$G237,"PredictVolume")</f>
        <v>31</v>
      </c>
      <c r="AK237" s="348"/>
    </row>
    <row r="238" spans="1:37">
      <c r="A238" s="148" t="s">
        <v>2215</v>
      </c>
      <c r="B238" s="81">
        <v>550</v>
      </c>
      <c r="C238" s="81">
        <v>196</v>
      </c>
      <c r="D238" s="82">
        <v>-10</v>
      </c>
      <c r="E238" s="81">
        <v>60</v>
      </c>
      <c r="F238" s="6">
        <v>4.66</v>
      </c>
      <c r="G238" s="81">
        <v>2061</v>
      </c>
      <c r="H238" s="8" t="s">
        <v>4306</v>
      </c>
      <c r="I238" s="16" t="s">
        <v>998</v>
      </c>
      <c r="J238" s="330">
        <v>47.94</v>
      </c>
      <c r="K238" s="75">
        <v>0.47</v>
      </c>
      <c r="N238" s="325">
        <f t="shared" si="56"/>
        <v>48.41</v>
      </c>
      <c r="O238" s="27"/>
      <c r="P238" s="56"/>
      <c r="Q238" s="26"/>
      <c r="T238" s="34">
        <v>0</v>
      </c>
      <c r="U238" s="366">
        <f t="shared" si="51"/>
        <v>0</v>
      </c>
      <c r="V238" s="97">
        <v>1.64</v>
      </c>
      <c r="W238" s="36">
        <f>RTD("money.excel",,"2061","Price")</f>
        <v>19.399999999999999</v>
      </c>
      <c r="X238" s="67"/>
      <c r="Y238" s="15">
        <f t="shared" si="52"/>
        <v>19.399999999999999</v>
      </c>
      <c r="Z238" s="3" t="e">
        <f t="shared" si="53"/>
        <v>#DIV/0!</v>
      </c>
      <c r="AB238" s="16" t="s">
        <v>998</v>
      </c>
      <c r="AE238" s="33">
        <f t="shared" si="54"/>
        <v>0</v>
      </c>
      <c r="AF238" s="43" t="s">
        <v>3194</v>
      </c>
      <c r="AG238" s="128"/>
      <c r="AI238" s="64">
        <f t="shared" si="55"/>
        <v>1.4925373134328356E-4</v>
      </c>
      <c r="AJ238" s="313">
        <f>RTD("money.excel",,$G238,"PredictVolume")</f>
        <v>7</v>
      </c>
      <c r="AK238" s="348"/>
    </row>
    <row r="239" spans="1:37">
      <c r="A239" s="148" t="s">
        <v>1556</v>
      </c>
      <c r="B239" s="93">
        <v>-171</v>
      </c>
      <c r="C239" s="93">
        <v>-43</v>
      </c>
      <c r="D239" s="93">
        <v>-12</v>
      </c>
      <c r="E239" s="93">
        <v>-7</v>
      </c>
      <c r="F239" s="6">
        <v>-27.59</v>
      </c>
      <c r="G239" s="81">
        <v>4609</v>
      </c>
      <c r="H239" s="8" t="s">
        <v>4306</v>
      </c>
      <c r="I239" s="16" t="s">
        <v>999</v>
      </c>
      <c r="J239" s="75">
        <v>71.19</v>
      </c>
      <c r="K239" s="75">
        <v>0.02</v>
      </c>
      <c r="N239" s="325">
        <f t="shared" si="56"/>
        <v>71.209999999999994</v>
      </c>
      <c r="O239" s="27"/>
      <c r="P239" s="56"/>
      <c r="Q239" s="26"/>
      <c r="S239" s="330">
        <v>14.4</v>
      </c>
      <c r="T239" s="34">
        <v>0</v>
      </c>
      <c r="U239" s="366" t="e">
        <f t="shared" si="51"/>
        <v>#VALUE!</v>
      </c>
      <c r="V239" s="97">
        <v>-1.06</v>
      </c>
      <c r="W239" s="13" t="str">
        <f>RTD("money.excel",,"4609","Price")</f>
        <v>無資料</v>
      </c>
      <c r="X239" s="67"/>
      <c r="Y239" s="15" t="e">
        <f t="shared" si="52"/>
        <v>#VALUE!</v>
      </c>
      <c r="Z239" s="3" t="e">
        <f t="shared" si="53"/>
        <v>#VALUE!</v>
      </c>
      <c r="AB239" s="16" t="s">
        <v>999</v>
      </c>
      <c r="AE239" s="33">
        <f t="shared" si="54"/>
        <v>0</v>
      </c>
      <c r="AF239" s="43" t="s">
        <v>3103</v>
      </c>
      <c r="AG239" s="128"/>
      <c r="AI239" s="64">
        <f t="shared" si="55"/>
        <v>0</v>
      </c>
      <c r="AJ239" s="313">
        <f>RTD("money.excel",,$G239,"PredictVolume")</f>
        <v>0</v>
      </c>
      <c r="AK239" s="348"/>
    </row>
    <row r="240" spans="1:37">
      <c r="A240" s="148" t="s">
        <v>1793</v>
      </c>
      <c r="B240" s="81">
        <v>940</v>
      </c>
      <c r="C240" s="81">
        <v>849</v>
      </c>
      <c r="D240" s="81">
        <v>0</v>
      </c>
      <c r="E240" s="81">
        <v>19</v>
      </c>
      <c r="F240" s="6">
        <v>5.71</v>
      </c>
      <c r="G240" s="81">
        <v>4930</v>
      </c>
      <c r="H240" s="8" t="s">
        <v>4306</v>
      </c>
      <c r="I240" s="22" t="s">
        <v>1011</v>
      </c>
      <c r="J240" s="330">
        <v>60.47</v>
      </c>
      <c r="K240" s="330">
        <v>9.09</v>
      </c>
      <c r="L240" s="330">
        <v>13.3</v>
      </c>
      <c r="N240" s="325">
        <f t="shared" si="56"/>
        <v>82.86</v>
      </c>
      <c r="O240" s="27"/>
      <c r="P240" s="56"/>
      <c r="Q240" s="26"/>
      <c r="S240" s="330">
        <v>0.65</v>
      </c>
      <c r="T240" s="67">
        <v>3.5</v>
      </c>
      <c r="U240" s="366">
        <f t="shared" si="51"/>
        <v>0.13307984790874525</v>
      </c>
      <c r="V240" s="58">
        <v>2.84</v>
      </c>
      <c r="W240" s="36">
        <f>RTD("money.excel",,"4930","Price")</f>
        <v>26.3</v>
      </c>
      <c r="X240" s="67"/>
      <c r="Y240" s="15">
        <f t="shared" si="52"/>
        <v>26.3</v>
      </c>
      <c r="Z240" s="3" t="e">
        <f t="shared" si="53"/>
        <v>#DIV/0!</v>
      </c>
      <c r="AA240" s="174" t="s">
        <v>1986</v>
      </c>
      <c r="AB240" s="22" t="s">
        <v>1011</v>
      </c>
      <c r="AE240" s="33">
        <f t="shared" si="54"/>
        <v>0</v>
      </c>
      <c r="AF240" s="43" t="s">
        <v>3325</v>
      </c>
      <c r="AI240" s="64">
        <f t="shared" si="55"/>
        <v>4.0074626865671641E-3</v>
      </c>
      <c r="AJ240" s="313">
        <f>RTD("money.excel",,$G240,"PredictVolume")</f>
        <v>537</v>
      </c>
    </row>
    <row r="241" spans="1:37">
      <c r="A241" s="132" t="s">
        <v>2591</v>
      </c>
      <c r="B241" s="82">
        <v>-16</v>
      </c>
      <c r="C241" s="82">
        <v>-23</v>
      </c>
      <c r="D241" s="82">
        <v>-12</v>
      </c>
      <c r="E241" s="81">
        <v>15</v>
      </c>
      <c r="F241" s="58">
        <v>15.03</v>
      </c>
      <c r="G241" s="81">
        <v>5283</v>
      </c>
      <c r="H241" s="8" t="s">
        <v>4306</v>
      </c>
      <c r="I241" s="22" t="s">
        <v>1882</v>
      </c>
      <c r="J241" s="75">
        <v>62.75</v>
      </c>
      <c r="K241" s="75">
        <v>2.33</v>
      </c>
      <c r="L241" s="75">
        <v>0.64</v>
      </c>
      <c r="M241" s="330">
        <v>24.73</v>
      </c>
      <c r="N241" s="325">
        <f t="shared" si="56"/>
        <v>90.45</v>
      </c>
      <c r="O241" s="27"/>
      <c r="P241" s="56"/>
      <c r="Q241" s="26"/>
      <c r="R241" s="308" t="s">
        <v>4373</v>
      </c>
      <c r="S241" s="330">
        <v>0.49</v>
      </c>
      <c r="T241" s="67">
        <v>4</v>
      </c>
      <c r="U241" s="366">
        <f t="shared" si="51"/>
        <v>3.3195020746887967E-2</v>
      </c>
      <c r="V241" s="58">
        <v>11.03</v>
      </c>
      <c r="W241" s="36">
        <f>RTD("money.excel",,"5283","Price")</f>
        <v>120.5</v>
      </c>
      <c r="X241" s="67"/>
      <c r="Y241" s="15">
        <f t="shared" si="52"/>
        <v>120.5</v>
      </c>
      <c r="Z241" s="3" t="e">
        <f t="shared" si="53"/>
        <v>#DIV/0!</v>
      </c>
      <c r="AA241" s="174" t="s">
        <v>2185</v>
      </c>
      <c r="AB241" s="22" t="s">
        <v>1882</v>
      </c>
      <c r="AE241" s="33">
        <f t="shared" si="54"/>
        <v>0</v>
      </c>
      <c r="AF241" s="43" t="s">
        <v>3326</v>
      </c>
      <c r="AG241" s="128"/>
      <c r="AI241" s="64">
        <f t="shared" si="55"/>
        <v>1.4657534246575342E-3</v>
      </c>
      <c r="AJ241" s="313">
        <f>RTD("money.excel",,$G241,"PredictVolume")</f>
        <v>107</v>
      </c>
      <c r="AK241" s="348"/>
    </row>
    <row r="242" spans="1:37">
      <c r="B242" s="82"/>
      <c r="C242" s="82"/>
      <c r="D242" s="82"/>
      <c r="E242" s="81"/>
      <c r="F242" s="58"/>
      <c r="G242" s="81"/>
      <c r="H242" s="8"/>
      <c r="I242" s="22"/>
      <c r="J242" s="75"/>
      <c r="K242" s="75"/>
      <c r="M242" s="330"/>
      <c r="N242" s="325"/>
      <c r="O242" s="27"/>
      <c r="P242" s="56"/>
      <c r="Q242" s="26"/>
      <c r="T242" s="67"/>
      <c r="V242" s="58"/>
      <c r="W242" s="36"/>
      <c r="X242" s="67"/>
      <c r="Y242" s="15"/>
      <c r="Z242" s="3"/>
      <c r="AB242" s="22"/>
      <c r="AE242" s="33"/>
      <c r="AF242" s="43"/>
      <c r="AG242" s="128"/>
      <c r="AI242" s="64"/>
      <c r="AJ242" s="313"/>
      <c r="AK242" s="348"/>
    </row>
    <row r="243" spans="1:37">
      <c r="A243" s="132" t="s">
        <v>1854</v>
      </c>
      <c r="B243" s="93" t="s">
        <v>1657</v>
      </c>
      <c r="C243" s="93" t="s">
        <v>1658</v>
      </c>
      <c r="D243" s="93" t="s">
        <v>1659</v>
      </c>
      <c r="E243" s="93" t="s">
        <v>1660</v>
      </c>
      <c r="F243" s="8" t="s">
        <v>1122</v>
      </c>
      <c r="G243" s="27" t="s">
        <v>4270</v>
      </c>
      <c r="H243" s="55" t="s">
        <v>342</v>
      </c>
      <c r="I243" s="50" t="s">
        <v>806</v>
      </c>
      <c r="J243" s="324" t="s">
        <v>1529</v>
      </c>
      <c r="K243" s="324" t="s">
        <v>1217</v>
      </c>
      <c r="L243" s="324" t="s">
        <v>298</v>
      </c>
      <c r="M243" s="324" t="s">
        <v>1115</v>
      </c>
      <c r="N243" s="324" t="s">
        <v>6091</v>
      </c>
      <c r="O243" s="27" t="s">
        <v>6253</v>
      </c>
      <c r="P243" s="56" t="s">
        <v>6219</v>
      </c>
      <c r="Q243" s="26" t="s">
        <v>6313</v>
      </c>
      <c r="R243" s="309" t="s">
        <v>4371</v>
      </c>
      <c r="S243" s="335" t="s">
        <v>4398</v>
      </c>
      <c r="T243" s="10" t="s">
        <v>75</v>
      </c>
      <c r="U243" s="364" t="s">
        <v>6152</v>
      </c>
      <c r="V243" s="69" t="s">
        <v>4022</v>
      </c>
      <c r="W243" s="28" t="s">
        <v>2</v>
      </c>
      <c r="X243" s="17" t="s">
        <v>1465</v>
      </c>
      <c r="Y243" s="14" t="s">
        <v>5</v>
      </c>
      <c r="Z243" s="21" t="s">
        <v>3</v>
      </c>
      <c r="AA243" s="322" t="s">
        <v>117</v>
      </c>
      <c r="AB243" s="50" t="s">
        <v>806</v>
      </c>
      <c r="AC243" s="73" t="s">
        <v>1466</v>
      </c>
      <c r="AD243" s="74" t="s">
        <v>1223</v>
      </c>
      <c r="AE243" s="32" t="s">
        <v>1224</v>
      </c>
      <c r="AF243" s="43"/>
      <c r="AG243" s="128"/>
      <c r="AI243" s="8" t="s">
        <v>4414</v>
      </c>
      <c r="AJ243" s="50" t="s">
        <v>4121</v>
      </c>
      <c r="AK243" s="348" t="s">
        <v>6074</v>
      </c>
    </row>
    <row r="244" spans="1:37">
      <c r="A244" s="132" t="s">
        <v>1934</v>
      </c>
      <c r="B244" s="81">
        <v>294</v>
      </c>
      <c r="C244" s="81">
        <v>91</v>
      </c>
      <c r="D244" s="81">
        <v>3</v>
      </c>
      <c r="E244" s="81">
        <v>20</v>
      </c>
      <c r="F244" s="58">
        <v>10.51</v>
      </c>
      <c r="G244" s="81">
        <v>1708</v>
      </c>
      <c r="H244" s="8" t="s">
        <v>4445</v>
      </c>
      <c r="I244" s="22" t="s">
        <v>809</v>
      </c>
      <c r="J244" s="330">
        <v>39.56</v>
      </c>
      <c r="K244" s="75">
        <v>7.16</v>
      </c>
      <c r="L244" s="330">
        <v>14.11</v>
      </c>
      <c r="N244" s="325">
        <f t="shared" ref="N244" si="57">J244+K244+L244+M244</f>
        <v>60.83</v>
      </c>
      <c r="O244" s="27"/>
      <c r="P244" s="56"/>
      <c r="Q244" s="26"/>
      <c r="S244" s="330">
        <v>0.19</v>
      </c>
      <c r="T244" s="34">
        <v>1.8</v>
      </c>
      <c r="U244" s="366">
        <f t="shared" ref="U244:U285" si="58">T244/W244</f>
        <v>4.0909090909090909E-2</v>
      </c>
      <c r="V244" s="97">
        <v>1.36</v>
      </c>
      <c r="W244" s="36">
        <f>RTD("money.excel",,"1708","Price")</f>
        <v>44</v>
      </c>
      <c r="X244" s="67"/>
      <c r="Y244" s="15">
        <f t="shared" ref="Y244:Y285" si="59">W244-X244</f>
        <v>44</v>
      </c>
      <c r="Z244" s="3" t="e">
        <f t="shared" ref="Z244:Z285" si="60">Y244/X244</f>
        <v>#DIV/0!</v>
      </c>
      <c r="AA244" s="174" t="s">
        <v>1943</v>
      </c>
      <c r="AB244" s="22" t="s">
        <v>809</v>
      </c>
      <c r="AE244" s="33">
        <f t="shared" ref="AE244:AE285" si="61">AD244-AC244</f>
        <v>0</v>
      </c>
      <c r="AF244" s="43" t="s">
        <v>1606</v>
      </c>
      <c r="AG244" s="128"/>
      <c r="AI244" s="64">
        <f t="shared" ref="AI244:AI285" si="62">AJ244/(A244*10000)</f>
        <v>0.10957028112449799</v>
      </c>
      <c r="AJ244" s="313">
        <f>RTD("money.excel",,$G244,"PredictVolume")</f>
        <v>27283</v>
      </c>
      <c r="AK244" s="348"/>
    </row>
    <row r="245" spans="1:37">
      <c r="A245" s="148" t="s">
        <v>3699</v>
      </c>
      <c r="B245" s="93">
        <v>126</v>
      </c>
      <c r="C245" s="93">
        <v>97</v>
      </c>
      <c r="D245" s="93">
        <v>22</v>
      </c>
      <c r="E245" s="93">
        <v>5</v>
      </c>
      <c r="F245" s="6">
        <v>7.88</v>
      </c>
      <c r="G245" s="81">
        <v>1709</v>
      </c>
      <c r="H245" s="8" t="s">
        <v>4445</v>
      </c>
      <c r="I245" s="22" t="s">
        <v>810</v>
      </c>
      <c r="J245" s="75">
        <v>69.099999999999994</v>
      </c>
      <c r="K245" s="75">
        <v>3.74</v>
      </c>
      <c r="L245" s="75">
        <v>1.67</v>
      </c>
      <c r="N245" s="325">
        <f t="shared" ref="N245:N285" si="63">J245+K245+L245+M245</f>
        <v>74.509999999999991</v>
      </c>
      <c r="O245" s="27"/>
      <c r="P245" s="56"/>
      <c r="Q245" s="26"/>
      <c r="S245" s="330">
        <v>18.72</v>
      </c>
      <c r="T245" s="34">
        <v>1.2</v>
      </c>
      <c r="U245" s="366">
        <f t="shared" si="58"/>
        <v>4.4280442804428041E-2</v>
      </c>
      <c r="V245" s="97">
        <v>1.1599999999999999</v>
      </c>
      <c r="W245" s="13">
        <f>RTD("money.excel",,"1709","Price")</f>
        <v>27.1</v>
      </c>
      <c r="X245" s="67"/>
      <c r="Y245" s="15">
        <f t="shared" si="59"/>
        <v>27.1</v>
      </c>
      <c r="Z245" s="3" t="e">
        <f t="shared" si="60"/>
        <v>#DIV/0!</v>
      </c>
      <c r="AA245" s="174" t="s">
        <v>1943</v>
      </c>
      <c r="AB245" s="22" t="s">
        <v>810</v>
      </c>
      <c r="AE245" s="33">
        <f t="shared" si="61"/>
        <v>0</v>
      </c>
      <c r="AF245" s="43" t="s">
        <v>1607</v>
      </c>
      <c r="AG245" s="128"/>
      <c r="AI245" s="64">
        <f t="shared" si="62"/>
        <v>3.6113207547169811E-2</v>
      </c>
      <c r="AJ245" s="313">
        <f>RTD("money.excel",,$G245,"PredictVolume")</f>
        <v>17226</v>
      </c>
      <c r="AK245" s="348"/>
    </row>
    <row r="246" spans="1:37">
      <c r="A246" s="148" t="s">
        <v>2043</v>
      </c>
      <c r="B246" s="82">
        <v>-506</v>
      </c>
      <c r="C246" s="81">
        <v>90</v>
      </c>
      <c r="D246" s="82">
        <v>-1</v>
      </c>
      <c r="E246" s="82">
        <v>-28</v>
      </c>
      <c r="F246" s="6">
        <v>-0.25</v>
      </c>
      <c r="G246" s="81">
        <v>1710</v>
      </c>
      <c r="H246" s="8" t="s">
        <v>4445</v>
      </c>
      <c r="I246" s="22" t="s">
        <v>339</v>
      </c>
      <c r="J246" s="330">
        <v>66.459999999999994</v>
      </c>
      <c r="K246" s="330">
        <v>9.73</v>
      </c>
      <c r="L246" s="330">
        <v>1.68</v>
      </c>
      <c r="N246" s="325">
        <f t="shared" si="63"/>
        <v>77.87</v>
      </c>
      <c r="O246" s="27"/>
      <c r="P246" s="56"/>
      <c r="Q246" s="26"/>
      <c r="S246" s="330">
        <v>0.05</v>
      </c>
      <c r="T246" s="34">
        <v>0</v>
      </c>
      <c r="U246" s="366">
        <f t="shared" si="58"/>
        <v>0</v>
      </c>
      <c r="V246" s="97">
        <v>-1.22</v>
      </c>
      <c r="W246" s="36">
        <f>RTD("money.excel",,"1710","Price")</f>
        <v>21.7</v>
      </c>
      <c r="X246" s="67"/>
      <c r="Y246" s="15">
        <f t="shared" si="59"/>
        <v>21.7</v>
      </c>
      <c r="Z246" s="3" t="e">
        <f t="shared" si="60"/>
        <v>#DIV/0!</v>
      </c>
      <c r="AA246" s="174" t="s">
        <v>1943</v>
      </c>
      <c r="AB246" s="22" t="s">
        <v>339</v>
      </c>
      <c r="AE246" s="33">
        <f t="shared" si="61"/>
        <v>0</v>
      </c>
      <c r="AF246" s="43" t="s">
        <v>1479</v>
      </c>
      <c r="AI246" s="64">
        <f t="shared" si="62"/>
        <v>1.2700564971751412E-3</v>
      </c>
      <c r="AJ246" s="313">
        <f>RTD("money.excel",,$G246,"PredictVolume")</f>
        <v>1124</v>
      </c>
    </row>
    <row r="247" spans="1:37">
      <c r="A247" s="148" t="s">
        <v>2054</v>
      </c>
      <c r="B247" s="81">
        <v>224</v>
      </c>
      <c r="C247" s="81">
        <v>523</v>
      </c>
      <c r="D247" s="81">
        <v>10</v>
      </c>
      <c r="E247" s="81">
        <v>26</v>
      </c>
      <c r="F247" s="6">
        <v>7.08</v>
      </c>
      <c r="G247" s="81">
        <v>1711</v>
      </c>
      <c r="H247" s="8" t="s">
        <v>4445</v>
      </c>
      <c r="I247" s="22" t="s">
        <v>811</v>
      </c>
      <c r="J247" s="75">
        <v>43.37</v>
      </c>
      <c r="K247" s="75">
        <v>7.36</v>
      </c>
      <c r="L247" s="75">
        <v>15.87</v>
      </c>
      <c r="M247" s="330">
        <v>26.71</v>
      </c>
      <c r="N247" s="325">
        <f t="shared" si="63"/>
        <v>93.31</v>
      </c>
      <c r="O247" s="27"/>
      <c r="P247" s="56"/>
      <c r="Q247" s="26"/>
      <c r="R247" s="308" t="s">
        <v>6058</v>
      </c>
      <c r="S247" s="330">
        <v>6.15</v>
      </c>
      <c r="T247" s="34">
        <v>0</v>
      </c>
      <c r="U247" s="366">
        <f t="shared" si="58"/>
        <v>0</v>
      </c>
      <c r="V247" s="97">
        <v>0.88</v>
      </c>
      <c r="W247" s="36">
        <f>RTD("money.excel",,"1711","Price")</f>
        <v>25.15</v>
      </c>
      <c r="X247" s="67"/>
      <c r="Y247" s="15">
        <f t="shared" si="59"/>
        <v>25.15</v>
      </c>
      <c r="Z247" s="3" t="e">
        <f t="shared" si="60"/>
        <v>#DIV/0!</v>
      </c>
      <c r="AA247" s="174" t="s">
        <v>1943</v>
      </c>
      <c r="AB247" s="22" t="s">
        <v>811</v>
      </c>
      <c r="AE247" s="33">
        <f t="shared" si="61"/>
        <v>0</v>
      </c>
      <c r="AF247" s="43" t="s">
        <v>3161</v>
      </c>
      <c r="AG247" s="128"/>
      <c r="AI247" s="64">
        <f t="shared" si="62"/>
        <v>3.2387568555758681E-2</v>
      </c>
      <c r="AJ247" s="313">
        <f>RTD("money.excel",,$G247,"PredictVolume")</f>
        <v>17716</v>
      </c>
      <c r="AK247" s="348"/>
    </row>
    <row r="248" spans="1:37">
      <c r="A248" s="148" t="s">
        <v>2401</v>
      </c>
      <c r="B248" s="82">
        <v>-5</v>
      </c>
      <c r="C248" s="82">
        <v>33</v>
      </c>
      <c r="D248" s="82">
        <v>-3</v>
      </c>
      <c r="E248" s="82">
        <v>-2</v>
      </c>
      <c r="F248" s="6">
        <v>6.67</v>
      </c>
      <c r="G248" s="81">
        <v>1712</v>
      </c>
      <c r="H248" s="8" t="s">
        <v>4445</v>
      </c>
      <c r="I248" s="22" t="s">
        <v>812</v>
      </c>
      <c r="J248" s="75">
        <v>51.99</v>
      </c>
      <c r="K248" s="330">
        <v>12.28</v>
      </c>
      <c r="L248" s="330">
        <v>1.51</v>
      </c>
      <c r="N248" s="325">
        <f t="shared" si="63"/>
        <v>65.78</v>
      </c>
      <c r="O248" s="27"/>
      <c r="P248" s="56"/>
      <c r="Q248" s="26"/>
      <c r="S248" s="330">
        <v>0.08</v>
      </c>
      <c r="T248" s="34">
        <v>1.3</v>
      </c>
      <c r="U248" s="366">
        <f t="shared" si="58"/>
        <v>4.0944881889763779E-2</v>
      </c>
      <c r="V248" s="97">
        <v>1.7</v>
      </c>
      <c r="W248" s="36">
        <f>RTD("money.excel",,"1712","Price")</f>
        <v>31.75</v>
      </c>
      <c r="X248" s="67"/>
      <c r="Y248" s="15">
        <f t="shared" si="59"/>
        <v>31.75</v>
      </c>
      <c r="Z248" s="3" t="e">
        <f t="shared" si="60"/>
        <v>#DIV/0!</v>
      </c>
      <c r="AB248" s="22" t="s">
        <v>812</v>
      </c>
      <c r="AE248" s="33">
        <f t="shared" si="61"/>
        <v>0</v>
      </c>
      <c r="AF248" s="43" t="s">
        <v>3377</v>
      </c>
      <c r="AG248" s="128"/>
      <c r="AI248" s="64">
        <f t="shared" si="62"/>
        <v>2.2142857142857142E-3</v>
      </c>
      <c r="AJ248" s="313">
        <f>RTD("money.excel",,$G248,"PredictVolume")</f>
        <v>930</v>
      </c>
      <c r="AK248" s="348"/>
    </row>
    <row r="249" spans="1:37">
      <c r="A249" s="148" t="s">
        <v>2052</v>
      </c>
      <c r="B249" s="93">
        <v>-37</v>
      </c>
      <c r="C249" s="93">
        <v>8</v>
      </c>
      <c r="D249" s="93">
        <v>-14</v>
      </c>
      <c r="E249" s="93">
        <v>29</v>
      </c>
      <c r="F249" s="6">
        <v>3.95</v>
      </c>
      <c r="G249" s="81">
        <v>1713</v>
      </c>
      <c r="H249" s="8" t="s">
        <v>4445</v>
      </c>
      <c r="I249" s="22" t="s">
        <v>813</v>
      </c>
      <c r="J249" s="75">
        <v>72.489999999999995</v>
      </c>
      <c r="K249" s="75">
        <v>5.09</v>
      </c>
      <c r="L249" s="75">
        <v>11.91</v>
      </c>
      <c r="N249" s="325">
        <f t="shared" si="63"/>
        <v>89.49</v>
      </c>
      <c r="O249" s="27"/>
      <c r="P249" s="56"/>
      <c r="Q249" s="26"/>
      <c r="S249" s="330">
        <v>13.9</v>
      </c>
      <c r="T249" s="34">
        <v>0.66</v>
      </c>
      <c r="U249" s="366">
        <f t="shared" si="58"/>
        <v>2.75E-2</v>
      </c>
      <c r="V249" s="97">
        <v>0.61</v>
      </c>
      <c r="W249" s="13">
        <f>RTD("money.excel",,"1713","Price")</f>
        <v>24</v>
      </c>
      <c r="X249" s="67"/>
      <c r="Y249" s="15">
        <f t="shared" si="59"/>
        <v>24</v>
      </c>
      <c r="Z249" s="3" t="e">
        <f t="shared" si="60"/>
        <v>#DIV/0!</v>
      </c>
      <c r="AA249" s="174" t="s">
        <v>1943</v>
      </c>
      <c r="AB249" s="22" t="s">
        <v>813</v>
      </c>
      <c r="AE249" s="33">
        <f t="shared" si="61"/>
        <v>0</v>
      </c>
      <c r="AF249" s="43" t="s">
        <v>3378</v>
      </c>
      <c r="AG249" s="128"/>
      <c r="AI249" s="64">
        <f t="shared" si="62"/>
        <v>3.1788079470198677E-4</v>
      </c>
      <c r="AJ249" s="313">
        <f>RTD("money.excel",,$G249,"PredictVolume")</f>
        <v>48</v>
      </c>
      <c r="AK249" s="348"/>
    </row>
    <row r="250" spans="1:37">
      <c r="A250" s="132" t="s">
        <v>3700</v>
      </c>
      <c r="B250" s="82">
        <v>-47</v>
      </c>
      <c r="C250" s="82">
        <v>-47</v>
      </c>
      <c r="D250" s="82">
        <v>-6</v>
      </c>
      <c r="E250" s="82">
        <v>-5</v>
      </c>
      <c r="F250" s="58">
        <v>10.7</v>
      </c>
      <c r="G250" s="81">
        <v>1714</v>
      </c>
      <c r="H250" s="8" t="s">
        <v>4445</v>
      </c>
      <c r="I250" s="22" t="s">
        <v>814</v>
      </c>
      <c r="J250" s="75">
        <v>52.81</v>
      </c>
      <c r="K250" s="75">
        <v>18.54</v>
      </c>
      <c r="L250" s="330">
        <v>7.94</v>
      </c>
      <c r="N250" s="325">
        <f t="shared" si="63"/>
        <v>79.289999999999992</v>
      </c>
      <c r="O250" s="27"/>
      <c r="P250" s="56"/>
      <c r="Q250" s="26"/>
      <c r="S250" s="330">
        <v>0.18</v>
      </c>
      <c r="T250" s="34">
        <v>0.7</v>
      </c>
      <c r="U250" s="366">
        <f t="shared" si="58"/>
        <v>6.7632850241545889E-2</v>
      </c>
      <c r="V250" s="58">
        <v>0.52</v>
      </c>
      <c r="W250" s="36">
        <f>RTD("money.excel",,"1714","Price")</f>
        <v>10.35</v>
      </c>
      <c r="X250" s="67"/>
      <c r="Y250" s="15">
        <f t="shared" si="59"/>
        <v>10.35</v>
      </c>
      <c r="Z250" s="3" t="e">
        <f t="shared" si="60"/>
        <v>#DIV/0!</v>
      </c>
      <c r="AB250" s="22" t="s">
        <v>814</v>
      </c>
      <c r="AE250" s="33">
        <f t="shared" si="61"/>
        <v>0</v>
      </c>
      <c r="AF250" s="43" t="s">
        <v>3379</v>
      </c>
      <c r="AG250" s="128"/>
      <c r="AI250" s="64">
        <f t="shared" si="62"/>
        <v>5.4415841584158414E-3</v>
      </c>
      <c r="AJ250" s="313">
        <f>RTD("money.excel",,$G250,"PredictVolume")</f>
        <v>5496</v>
      </c>
      <c r="AK250" s="348"/>
    </row>
    <row r="251" spans="1:37">
      <c r="A251" s="148" t="s">
        <v>2376</v>
      </c>
      <c r="B251" s="82">
        <v>-36</v>
      </c>
      <c r="C251" s="81">
        <v>2</v>
      </c>
      <c r="D251" s="81">
        <v>5</v>
      </c>
      <c r="E251" s="81">
        <v>13</v>
      </c>
      <c r="F251" s="6">
        <v>6.63</v>
      </c>
      <c r="G251" s="81">
        <v>1717</v>
      </c>
      <c r="H251" s="8" t="s">
        <v>4445</v>
      </c>
      <c r="I251" s="22" t="s">
        <v>140</v>
      </c>
      <c r="J251" s="75">
        <v>68.849999999999994</v>
      </c>
      <c r="K251" s="75">
        <v>13.84</v>
      </c>
      <c r="L251" s="75">
        <v>3.75</v>
      </c>
      <c r="N251" s="325">
        <f t="shared" si="63"/>
        <v>86.44</v>
      </c>
      <c r="O251" s="27"/>
      <c r="P251" s="56"/>
      <c r="Q251" s="26"/>
      <c r="S251" s="330">
        <v>0.04</v>
      </c>
      <c r="T251" s="34">
        <v>1.5</v>
      </c>
      <c r="U251" s="366">
        <f t="shared" si="58"/>
        <v>4.1322314049586778E-2</v>
      </c>
      <c r="V251" s="97">
        <v>2.0499999999999998</v>
      </c>
      <c r="W251" s="36">
        <f>RTD("money.excel",,"1717","Price")</f>
        <v>36.299999999999997</v>
      </c>
      <c r="X251" s="67"/>
      <c r="Y251" s="15">
        <f t="shared" si="59"/>
        <v>36.299999999999997</v>
      </c>
      <c r="Z251" s="3" t="e">
        <f t="shared" si="60"/>
        <v>#DIV/0!</v>
      </c>
      <c r="AA251" s="174" t="s">
        <v>1943</v>
      </c>
      <c r="AB251" s="22" t="s">
        <v>140</v>
      </c>
      <c r="AE251" s="33">
        <f t="shared" si="61"/>
        <v>0</v>
      </c>
      <c r="AF251" s="43" t="s">
        <v>3380</v>
      </c>
      <c r="AG251" s="128"/>
      <c r="AI251" s="64">
        <f t="shared" si="62"/>
        <v>1.0709677419354839E-3</v>
      </c>
      <c r="AJ251" s="313">
        <f>RTD("money.excel",,$G251,"PredictVolume")</f>
        <v>1328</v>
      </c>
      <c r="AK251" s="348"/>
    </row>
    <row r="252" spans="1:37">
      <c r="A252" s="132" t="s">
        <v>2044</v>
      </c>
      <c r="B252" s="81">
        <v>144</v>
      </c>
      <c r="C252" s="81">
        <v>78</v>
      </c>
      <c r="D252" s="81">
        <v>12</v>
      </c>
      <c r="E252" s="81">
        <v>7</v>
      </c>
      <c r="F252" s="58">
        <v>13.98</v>
      </c>
      <c r="G252" s="81">
        <v>1718</v>
      </c>
      <c r="H252" s="8" t="s">
        <v>4445</v>
      </c>
      <c r="I252" s="22" t="s">
        <v>815</v>
      </c>
      <c r="J252" s="330">
        <v>45.36</v>
      </c>
      <c r="K252" s="75">
        <v>8.84</v>
      </c>
      <c r="L252" s="330">
        <v>8.24</v>
      </c>
      <c r="N252" s="325">
        <f t="shared" si="63"/>
        <v>62.440000000000005</v>
      </c>
      <c r="O252" s="27"/>
      <c r="P252" s="56"/>
      <c r="Q252" s="26"/>
      <c r="S252" s="330">
        <v>1.43</v>
      </c>
      <c r="T252" s="34">
        <v>0.5</v>
      </c>
      <c r="U252" s="366">
        <f t="shared" si="58"/>
        <v>5.3995680345572353E-2</v>
      </c>
      <c r="V252" s="97">
        <v>1.28</v>
      </c>
      <c r="W252" s="36">
        <f>RTD("money.excel",,"1718","Price")</f>
        <v>9.26</v>
      </c>
      <c r="X252" s="67"/>
      <c r="Y252" s="15">
        <f t="shared" si="59"/>
        <v>9.26</v>
      </c>
      <c r="Z252" s="3" t="e">
        <f t="shared" si="60"/>
        <v>#DIV/0!</v>
      </c>
      <c r="AA252" s="174" t="s">
        <v>1943</v>
      </c>
      <c r="AB252" s="22" t="s">
        <v>815</v>
      </c>
      <c r="AE252" s="33">
        <f t="shared" si="61"/>
        <v>0</v>
      </c>
      <c r="AF252" s="43" t="s">
        <v>4194</v>
      </c>
      <c r="AG252" s="128"/>
      <c r="AI252" s="64">
        <f t="shared" si="62"/>
        <v>1.5592592592592594E-3</v>
      </c>
      <c r="AJ252" s="313">
        <f>RTD("money.excel",,$G252,"PredictVolume")</f>
        <v>2526</v>
      </c>
      <c r="AK252" s="348"/>
    </row>
    <row r="253" spans="1:37">
      <c r="A253" s="148" t="s">
        <v>1733</v>
      </c>
      <c r="B253" s="209">
        <v>22889</v>
      </c>
      <c r="C253" s="208">
        <v>-1706</v>
      </c>
      <c r="D253" s="93">
        <v>32</v>
      </c>
      <c r="E253" s="93">
        <v>6</v>
      </c>
      <c r="F253" s="6">
        <v>-8.0399999999999991</v>
      </c>
      <c r="G253" s="81">
        <v>1721</v>
      </c>
      <c r="H253" s="8" t="s">
        <v>4445</v>
      </c>
      <c r="I253" s="22" t="s">
        <v>816</v>
      </c>
      <c r="J253" s="75">
        <v>66.33</v>
      </c>
      <c r="K253" s="75">
        <v>2.78</v>
      </c>
      <c r="L253" s="75">
        <v>12.04</v>
      </c>
      <c r="N253" s="325">
        <f t="shared" si="63"/>
        <v>81.150000000000006</v>
      </c>
      <c r="O253" s="27"/>
      <c r="P253" s="56"/>
      <c r="Q253" s="26"/>
      <c r="S253" s="330">
        <v>13.91</v>
      </c>
      <c r="T253" s="34">
        <v>0.5</v>
      </c>
      <c r="U253" s="366">
        <f t="shared" si="58"/>
        <v>2.4937655860349125E-2</v>
      </c>
      <c r="V253" s="97">
        <v>2.42</v>
      </c>
      <c r="W253" s="13">
        <f>RTD("money.excel",,"1721","Price")</f>
        <v>20.05</v>
      </c>
      <c r="X253" s="67"/>
      <c r="Y253" s="15">
        <f t="shared" si="59"/>
        <v>20.05</v>
      </c>
      <c r="Z253" s="3" t="e">
        <f t="shared" si="60"/>
        <v>#DIV/0!</v>
      </c>
      <c r="AB253" s="22" t="s">
        <v>816</v>
      </c>
      <c r="AE253" s="33">
        <f t="shared" si="61"/>
        <v>0</v>
      </c>
      <c r="AF253" s="43" t="s">
        <v>3381</v>
      </c>
      <c r="AG253" s="128"/>
      <c r="AI253" s="64">
        <f t="shared" si="62"/>
        <v>9.3968253968253965E-3</v>
      </c>
      <c r="AJ253" s="313">
        <f>RTD("money.excel",,$G253,"PredictVolume")</f>
        <v>1776</v>
      </c>
      <c r="AK253" s="348"/>
    </row>
    <row r="254" spans="1:37">
      <c r="A254" s="132" t="s">
        <v>2404</v>
      </c>
      <c r="B254" s="81">
        <v>35</v>
      </c>
      <c r="C254" s="82">
        <v>-3</v>
      </c>
      <c r="D254" s="81">
        <v>-9</v>
      </c>
      <c r="E254" s="82">
        <v>-51</v>
      </c>
      <c r="F254" s="58">
        <v>13.32</v>
      </c>
      <c r="G254" s="81">
        <v>1722</v>
      </c>
      <c r="H254" s="8" t="s">
        <v>4445</v>
      </c>
      <c r="I254" s="22" t="s">
        <v>4468</v>
      </c>
      <c r="J254" s="75">
        <v>52.55</v>
      </c>
      <c r="K254" s="75">
        <v>12.04</v>
      </c>
      <c r="L254" s="75">
        <v>2.2200000000000002</v>
      </c>
      <c r="N254" s="325">
        <f t="shared" si="63"/>
        <v>66.81</v>
      </c>
      <c r="O254" s="27"/>
      <c r="P254" s="56"/>
      <c r="Q254" s="26"/>
      <c r="S254" s="330">
        <v>0.04</v>
      </c>
      <c r="T254" s="34">
        <v>2.2999999999999998</v>
      </c>
      <c r="U254" s="366">
        <f t="shared" si="58"/>
        <v>3.2078103207810314E-2</v>
      </c>
      <c r="V254" s="97">
        <v>2.5</v>
      </c>
      <c r="W254" s="36">
        <f>RTD("money.excel",,"1722","Price")</f>
        <v>71.7</v>
      </c>
      <c r="X254" s="67"/>
      <c r="Y254" s="15">
        <f t="shared" si="59"/>
        <v>71.7</v>
      </c>
      <c r="Z254" s="3" t="e">
        <f t="shared" si="60"/>
        <v>#DIV/0!</v>
      </c>
      <c r="AB254" s="22" t="s">
        <v>4468</v>
      </c>
      <c r="AE254" s="33">
        <f t="shared" si="61"/>
        <v>0</v>
      </c>
      <c r="AF254" s="122" t="s">
        <v>3334</v>
      </c>
      <c r="AG254" s="128"/>
      <c r="AI254" s="64">
        <f t="shared" si="62"/>
        <v>3.5418367346938774E-3</v>
      </c>
      <c r="AJ254" s="313">
        <f>RTD("money.excel",,$G254,"PredictVolume")</f>
        <v>3471</v>
      </c>
      <c r="AK254" s="348"/>
    </row>
    <row r="255" spans="1:37">
      <c r="A255" s="132" t="s">
        <v>1768</v>
      </c>
      <c r="B255" s="82">
        <v>-53</v>
      </c>
      <c r="C255" s="82">
        <v>-46</v>
      </c>
      <c r="D255" s="81">
        <v>7</v>
      </c>
      <c r="E255" s="82">
        <v>-27</v>
      </c>
      <c r="F255" s="58">
        <v>14.05</v>
      </c>
      <c r="G255" s="81">
        <v>1723</v>
      </c>
      <c r="H255" s="8" t="s">
        <v>4445</v>
      </c>
      <c r="I255" s="22" t="s">
        <v>141</v>
      </c>
      <c r="J255" s="330">
        <v>61.14</v>
      </c>
      <c r="K255" s="330">
        <v>8.42</v>
      </c>
      <c r="L255" s="330">
        <v>0.25</v>
      </c>
      <c r="N255" s="325">
        <f t="shared" si="63"/>
        <v>69.81</v>
      </c>
      <c r="O255" s="27"/>
      <c r="P255" s="56"/>
      <c r="Q255" s="26"/>
      <c r="S255" s="330">
        <v>0</v>
      </c>
      <c r="T255" s="34">
        <v>2.8</v>
      </c>
      <c r="U255" s="366">
        <f t="shared" si="58"/>
        <v>2.3829787234042551E-2</v>
      </c>
      <c r="V255" s="97">
        <v>3.09</v>
      </c>
      <c r="W255" s="36">
        <f>RTD("money.excel",,"1723","Price")</f>
        <v>117.5</v>
      </c>
      <c r="X255" s="67"/>
      <c r="Y255" s="15">
        <f t="shared" si="59"/>
        <v>117.5</v>
      </c>
      <c r="Z255" s="3" t="e">
        <f t="shared" si="60"/>
        <v>#DIV/0!</v>
      </c>
      <c r="AB255" s="22" t="s">
        <v>141</v>
      </c>
      <c r="AE255" s="33">
        <f t="shared" si="61"/>
        <v>0</v>
      </c>
      <c r="AF255" s="122" t="s">
        <v>1493</v>
      </c>
      <c r="AG255" s="269"/>
      <c r="AI255" s="64">
        <f t="shared" si="62"/>
        <v>1.8771186440677966E-3</v>
      </c>
      <c r="AJ255" s="313">
        <f>RTD("money.excel",,$G255,"PredictVolume")</f>
        <v>443</v>
      </c>
      <c r="AK255" s="348"/>
    </row>
    <row r="256" spans="1:37">
      <c r="A256" s="148" t="s">
        <v>4469</v>
      </c>
      <c r="B256" s="93">
        <v>-16</v>
      </c>
      <c r="C256" s="93">
        <v>-23</v>
      </c>
      <c r="D256" s="93">
        <v>-6</v>
      </c>
      <c r="E256" s="93">
        <v>26</v>
      </c>
      <c r="F256" s="6">
        <v>2</v>
      </c>
      <c r="G256" s="81">
        <v>1725</v>
      </c>
      <c r="H256" s="8" t="s">
        <v>4445</v>
      </c>
      <c r="I256" s="22" t="s">
        <v>817</v>
      </c>
      <c r="J256" s="75">
        <v>95.67</v>
      </c>
      <c r="K256" s="75">
        <v>0.15</v>
      </c>
      <c r="L256" s="75">
        <v>0.42</v>
      </c>
      <c r="N256" s="325">
        <f t="shared" si="63"/>
        <v>96.240000000000009</v>
      </c>
      <c r="O256" s="27"/>
      <c r="P256" s="56"/>
      <c r="Q256" s="26"/>
      <c r="S256" s="330">
        <v>11.83</v>
      </c>
      <c r="T256" s="34">
        <v>0.96</v>
      </c>
      <c r="U256" s="366">
        <f t="shared" si="58"/>
        <v>3.7137330754352028E-2</v>
      </c>
      <c r="V256" s="97">
        <v>1.37</v>
      </c>
      <c r="W256" s="13">
        <f>RTD("money.excel",,"1725","Price")</f>
        <v>25.85</v>
      </c>
      <c r="X256" s="67"/>
      <c r="Y256" s="15">
        <f t="shared" si="59"/>
        <v>25.85</v>
      </c>
      <c r="Z256" s="3" t="e">
        <f t="shared" si="60"/>
        <v>#DIV/0!</v>
      </c>
      <c r="AB256" s="22" t="s">
        <v>817</v>
      </c>
      <c r="AE256" s="33">
        <f t="shared" si="61"/>
        <v>0</v>
      </c>
      <c r="AF256" s="43" t="s">
        <v>4470</v>
      </c>
      <c r="AG256" s="128"/>
      <c r="AI256" s="64">
        <f t="shared" si="62"/>
        <v>3.3149171270718233E-4</v>
      </c>
      <c r="AJ256" s="313">
        <f>RTD("money.excel",,$G256,"PredictVolume")</f>
        <v>60</v>
      </c>
      <c r="AK256" s="348"/>
    </row>
    <row r="257" spans="1:37">
      <c r="A257" s="148" t="s">
        <v>4471</v>
      </c>
      <c r="B257" s="93">
        <v>-23</v>
      </c>
      <c r="C257" s="93">
        <v>-7</v>
      </c>
      <c r="D257" s="93">
        <v>15</v>
      </c>
      <c r="E257" s="93">
        <v>12</v>
      </c>
      <c r="F257" s="6">
        <v>9.59</v>
      </c>
      <c r="G257" s="81">
        <v>1726</v>
      </c>
      <c r="H257" s="8" t="s">
        <v>4445</v>
      </c>
      <c r="I257" s="22" t="s">
        <v>4472</v>
      </c>
      <c r="J257" s="75">
        <v>88.18</v>
      </c>
      <c r="K257" s="75">
        <v>14.77</v>
      </c>
      <c r="L257" s="75">
        <v>0.14000000000000001</v>
      </c>
      <c r="N257" s="325">
        <f t="shared" si="63"/>
        <v>103.09</v>
      </c>
      <c r="O257" s="27"/>
      <c r="P257" s="56"/>
      <c r="Q257" s="26"/>
      <c r="S257" s="330">
        <v>49.87</v>
      </c>
      <c r="T257" s="67">
        <v>3.5</v>
      </c>
      <c r="U257" s="366">
        <f t="shared" si="58"/>
        <v>4.7425474254742549E-2</v>
      </c>
      <c r="V257" s="97">
        <v>5.13</v>
      </c>
      <c r="W257" s="13">
        <f>RTD("money.excel",,"1726","Price")</f>
        <v>73.8</v>
      </c>
      <c r="X257" s="67"/>
      <c r="Y257" s="15">
        <f t="shared" si="59"/>
        <v>73.8</v>
      </c>
      <c r="Z257" s="3" t="e">
        <f t="shared" si="60"/>
        <v>#DIV/0!</v>
      </c>
      <c r="AA257" s="174" t="s">
        <v>4473</v>
      </c>
      <c r="AB257" s="22" t="s">
        <v>4472</v>
      </c>
      <c r="AE257" s="33">
        <f t="shared" si="61"/>
        <v>0</v>
      </c>
      <c r="AF257" s="43" t="s">
        <v>4474</v>
      </c>
      <c r="AG257" s="128"/>
      <c r="AI257" s="64">
        <f t="shared" si="62"/>
        <v>9.8765432098765426E-5</v>
      </c>
      <c r="AJ257" s="313">
        <f>RTD("money.excel",,$G257,"PredictVolume")</f>
        <v>16</v>
      </c>
      <c r="AK257" s="348"/>
    </row>
    <row r="258" spans="1:37">
      <c r="A258" s="148" t="s">
        <v>4475</v>
      </c>
      <c r="B258" s="82">
        <v>-942</v>
      </c>
      <c r="C258" s="82">
        <v>-263</v>
      </c>
      <c r="D258" s="81">
        <v>-5</v>
      </c>
      <c r="E258" s="82">
        <v>-19</v>
      </c>
      <c r="F258" s="6">
        <v>-2.86</v>
      </c>
      <c r="G258" s="81">
        <v>1727</v>
      </c>
      <c r="H258" s="8" t="s">
        <v>4445</v>
      </c>
      <c r="I258" s="160" t="s">
        <v>4476</v>
      </c>
      <c r="J258" s="330">
        <v>55.39</v>
      </c>
      <c r="K258" s="75">
        <v>1.21</v>
      </c>
      <c r="L258" s="330">
        <v>0.31</v>
      </c>
      <c r="N258" s="325">
        <f t="shared" si="63"/>
        <v>56.910000000000004</v>
      </c>
      <c r="O258" s="27"/>
      <c r="P258" s="56"/>
      <c r="Q258" s="26"/>
      <c r="S258" s="330">
        <v>0</v>
      </c>
      <c r="T258" s="199">
        <v>0.5</v>
      </c>
      <c r="U258" s="366">
        <f t="shared" si="58"/>
        <v>1.2970168612191959E-2</v>
      </c>
      <c r="V258" s="97">
        <v>-1.26</v>
      </c>
      <c r="W258" s="13">
        <f>RTD("money.excel",,"1727","Price")</f>
        <v>38.549999999999997</v>
      </c>
      <c r="X258" s="67"/>
      <c r="Y258" s="15">
        <f t="shared" si="59"/>
        <v>38.549999999999997</v>
      </c>
      <c r="Z258" s="3" t="e">
        <f t="shared" si="60"/>
        <v>#DIV/0!</v>
      </c>
      <c r="AA258" s="174" t="s">
        <v>4477</v>
      </c>
      <c r="AB258" s="22" t="s">
        <v>4476</v>
      </c>
      <c r="AE258" s="33">
        <f t="shared" si="61"/>
        <v>0</v>
      </c>
      <c r="AF258" s="43" t="s">
        <v>4478</v>
      </c>
      <c r="AG258" s="128"/>
      <c r="AI258" s="64">
        <f t="shared" si="62"/>
        <v>5.4351851851851853E-3</v>
      </c>
      <c r="AJ258" s="313">
        <f>RTD("money.excel",,$G258,"PredictVolume")</f>
        <v>587</v>
      </c>
      <c r="AK258" s="348"/>
    </row>
    <row r="259" spans="1:37">
      <c r="A259" s="132" t="s">
        <v>4479</v>
      </c>
      <c r="B259" s="93">
        <v>100</v>
      </c>
      <c r="C259" s="93">
        <v>152</v>
      </c>
      <c r="D259" s="93">
        <v>1</v>
      </c>
      <c r="E259" s="93">
        <v>-28</v>
      </c>
      <c r="F259" s="58">
        <v>14.79</v>
      </c>
      <c r="G259" s="81">
        <v>1730</v>
      </c>
      <c r="H259" s="8" t="s">
        <v>4445</v>
      </c>
      <c r="I259" s="22" t="s">
        <v>4480</v>
      </c>
      <c r="J259" s="75">
        <v>58.17</v>
      </c>
      <c r="K259" s="75">
        <v>8.34</v>
      </c>
      <c r="L259" s="75">
        <v>2.2200000000000002</v>
      </c>
      <c r="N259" s="325">
        <f t="shared" si="63"/>
        <v>68.73</v>
      </c>
      <c r="O259" s="27"/>
      <c r="P259" s="56"/>
      <c r="Q259" s="26"/>
      <c r="S259" s="330">
        <v>22.97</v>
      </c>
      <c r="T259" s="67">
        <v>3.86</v>
      </c>
      <c r="U259" s="366">
        <f t="shared" si="58"/>
        <v>6.1958266452648479E-2</v>
      </c>
      <c r="V259" s="97">
        <v>5.51</v>
      </c>
      <c r="W259" s="13">
        <f>RTD("money.excel",,"1730","Price")</f>
        <v>62.3</v>
      </c>
      <c r="X259" s="67"/>
      <c r="Y259" s="15">
        <f t="shared" si="59"/>
        <v>62.3</v>
      </c>
      <c r="Z259" s="3" t="e">
        <f t="shared" si="60"/>
        <v>#DIV/0!</v>
      </c>
      <c r="AA259" s="174" t="s">
        <v>4473</v>
      </c>
      <c r="AB259" s="22" t="s">
        <v>4480</v>
      </c>
      <c r="AE259" s="33">
        <f t="shared" si="61"/>
        <v>0</v>
      </c>
      <c r="AF259" s="43" t="s">
        <v>4481</v>
      </c>
      <c r="AG259" s="128"/>
      <c r="AI259" s="64">
        <f t="shared" si="62"/>
        <v>9.1772151898734174E-4</v>
      </c>
      <c r="AJ259" s="313">
        <f>RTD("money.excel",,$G259,"PredictVolume")</f>
        <v>58</v>
      </c>
      <c r="AK259" s="348"/>
    </row>
    <row r="260" spans="1:37">
      <c r="A260" s="148" t="s">
        <v>1805</v>
      </c>
      <c r="B260" s="82">
        <v>-35</v>
      </c>
      <c r="C260" s="82">
        <v>-58</v>
      </c>
      <c r="D260" s="81">
        <v>20</v>
      </c>
      <c r="E260" s="81">
        <v>-6</v>
      </c>
      <c r="F260" s="6">
        <v>3.26</v>
      </c>
      <c r="G260" s="81">
        <v>1732</v>
      </c>
      <c r="H260" s="8" t="s">
        <v>806</v>
      </c>
      <c r="I260" s="22" t="s">
        <v>4483</v>
      </c>
      <c r="J260" s="330">
        <v>44.27</v>
      </c>
      <c r="K260" s="75">
        <v>3.85</v>
      </c>
      <c r="L260" s="75">
        <v>26.81</v>
      </c>
      <c r="M260" s="330">
        <v>28.64</v>
      </c>
      <c r="N260" s="325">
        <f t="shared" si="63"/>
        <v>103.57000000000001</v>
      </c>
      <c r="O260" s="27" t="s">
        <v>6194</v>
      </c>
      <c r="P260" s="56"/>
      <c r="Q260" s="26"/>
      <c r="R260" s="309" t="s">
        <v>6122</v>
      </c>
      <c r="S260" s="330">
        <v>6.01</v>
      </c>
      <c r="T260" s="34">
        <v>0.5</v>
      </c>
      <c r="U260" s="366">
        <f t="shared" si="58"/>
        <v>1.5698587127158554E-2</v>
      </c>
      <c r="V260" s="97">
        <v>0.7</v>
      </c>
      <c r="W260" s="36">
        <f>RTD("money.excel",,"1732","Price")</f>
        <v>31.85</v>
      </c>
      <c r="X260" s="67"/>
      <c r="Y260" s="15">
        <f t="shared" si="59"/>
        <v>31.85</v>
      </c>
      <c r="Z260" s="3" t="e">
        <f t="shared" si="60"/>
        <v>#DIV/0!</v>
      </c>
      <c r="AA260" s="174" t="s">
        <v>1943</v>
      </c>
      <c r="AB260" s="22" t="s">
        <v>4483</v>
      </c>
      <c r="AE260" s="33">
        <f t="shared" si="61"/>
        <v>0</v>
      </c>
      <c r="AF260" s="43" t="s">
        <v>4485</v>
      </c>
      <c r="AG260" s="128"/>
      <c r="AI260" s="64">
        <f t="shared" si="62"/>
        <v>1.4575471698113207E-2</v>
      </c>
      <c r="AJ260" s="313">
        <f>RTD("money.excel",,$G260,"PredictVolume")</f>
        <v>618</v>
      </c>
      <c r="AK260" s="348">
        <v>172.15</v>
      </c>
    </row>
    <row r="261" spans="1:37">
      <c r="A261" s="148" t="s">
        <v>4486</v>
      </c>
      <c r="B261" s="93">
        <v>-76</v>
      </c>
      <c r="C261" s="93">
        <v>-58</v>
      </c>
      <c r="D261" s="93">
        <v>-16</v>
      </c>
      <c r="E261" s="93">
        <v>62</v>
      </c>
      <c r="F261" s="6">
        <v>3.69</v>
      </c>
      <c r="G261" s="81">
        <v>1735</v>
      </c>
      <c r="H261" s="8" t="s">
        <v>4445</v>
      </c>
      <c r="I261" s="22" t="s">
        <v>4487</v>
      </c>
      <c r="J261" s="75">
        <v>85.21</v>
      </c>
      <c r="K261" s="75">
        <v>50.2</v>
      </c>
      <c r="L261" s="75">
        <v>1.71</v>
      </c>
      <c r="N261" s="325">
        <f t="shared" si="63"/>
        <v>137.12</v>
      </c>
      <c r="O261" s="27"/>
      <c r="P261" s="56"/>
      <c r="Q261" s="26"/>
      <c r="S261" s="330">
        <v>65</v>
      </c>
      <c r="T261" s="34">
        <v>0.5</v>
      </c>
      <c r="U261" s="366">
        <f t="shared" si="58"/>
        <v>2.7777777777777776E-2</v>
      </c>
      <c r="V261" s="58">
        <v>0.75</v>
      </c>
      <c r="W261" s="13">
        <f>RTD("money.excel",,"1735","Price")</f>
        <v>18</v>
      </c>
      <c r="X261" s="67"/>
      <c r="Y261" s="15">
        <f t="shared" si="59"/>
        <v>18</v>
      </c>
      <c r="Z261" s="3" t="e">
        <f t="shared" si="60"/>
        <v>#DIV/0!</v>
      </c>
      <c r="AB261" s="22" t="s">
        <v>4487</v>
      </c>
      <c r="AE261" s="33">
        <f t="shared" si="61"/>
        <v>0</v>
      </c>
      <c r="AF261" s="43" t="s">
        <v>3075</v>
      </c>
      <c r="AG261" s="128"/>
      <c r="AI261" s="64">
        <f t="shared" si="62"/>
        <v>3.0181086519114689E-5</v>
      </c>
      <c r="AJ261" s="313">
        <f>RTD("money.excel",,$G261,"PredictVolume")</f>
        <v>3</v>
      </c>
      <c r="AK261" s="348"/>
    </row>
    <row r="262" spans="1:37">
      <c r="A262" s="148" t="s">
        <v>4488</v>
      </c>
      <c r="B262" s="93">
        <v>-101</v>
      </c>
      <c r="C262" s="93">
        <v>-59</v>
      </c>
      <c r="D262" s="93">
        <v>163</v>
      </c>
      <c r="E262" s="93">
        <v>57</v>
      </c>
      <c r="F262" s="6">
        <v>7.69</v>
      </c>
      <c r="G262" s="81">
        <v>1742</v>
      </c>
      <c r="H262" s="8" t="s">
        <v>4445</v>
      </c>
      <c r="I262" s="16" t="s">
        <v>4489</v>
      </c>
      <c r="J262" s="75">
        <v>55.9</v>
      </c>
      <c r="K262" s="75">
        <v>0.81</v>
      </c>
      <c r="L262" s="75">
        <v>43.64</v>
      </c>
      <c r="N262" s="325">
        <f t="shared" si="63"/>
        <v>100.35</v>
      </c>
      <c r="O262" s="27"/>
      <c r="P262" s="56"/>
      <c r="Q262" s="26"/>
      <c r="S262" s="330">
        <v>11.11</v>
      </c>
      <c r="T262" s="34">
        <v>0</v>
      </c>
      <c r="U262" s="366">
        <f t="shared" si="58"/>
        <v>0</v>
      </c>
      <c r="V262" s="97">
        <v>-0.09</v>
      </c>
      <c r="W262" s="13">
        <f>RTD("money.excel",,"1742","Price")</f>
        <v>20.75</v>
      </c>
      <c r="X262" s="67"/>
      <c r="Y262" s="15">
        <f t="shared" si="59"/>
        <v>20.75</v>
      </c>
      <c r="Z262" s="3" t="e">
        <f t="shared" si="60"/>
        <v>#DIV/0!</v>
      </c>
      <c r="AB262" s="16" t="s">
        <v>4489</v>
      </c>
      <c r="AE262" s="33">
        <f t="shared" si="61"/>
        <v>0</v>
      </c>
      <c r="AF262" s="43" t="s">
        <v>4490</v>
      </c>
      <c r="AG262" s="128"/>
      <c r="AI262" s="64">
        <f t="shared" si="62"/>
        <v>2.1508379888268156E-3</v>
      </c>
      <c r="AJ262" s="313">
        <f>RTD("money.excel",,$G262,"PredictVolume")</f>
        <v>154</v>
      </c>
      <c r="AK262" s="348"/>
    </row>
    <row r="263" spans="1:37">
      <c r="A263" s="132" t="s">
        <v>4491</v>
      </c>
      <c r="B263" s="81">
        <v>47</v>
      </c>
      <c r="C263" s="81">
        <v>56</v>
      </c>
      <c r="D263" s="81">
        <v>2</v>
      </c>
      <c r="E263" s="82">
        <v>-4</v>
      </c>
      <c r="F263" s="58">
        <v>16.309999999999999</v>
      </c>
      <c r="G263" s="81">
        <v>1773</v>
      </c>
      <c r="H263" s="8" t="s">
        <v>4445</v>
      </c>
      <c r="I263" s="22" t="s">
        <v>4492</v>
      </c>
      <c r="J263" s="330">
        <v>72.48</v>
      </c>
      <c r="K263" s="330">
        <v>2.5099999999999998</v>
      </c>
      <c r="L263" s="330">
        <v>3.17</v>
      </c>
      <c r="N263" s="325">
        <f t="shared" si="63"/>
        <v>78.160000000000011</v>
      </c>
      <c r="O263" s="27"/>
      <c r="P263" s="56"/>
      <c r="Q263" s="26"/>
      <c r="S263" s="330">
        <v>0.18</v>
      </c>
      <c r="T263" s="67">
        <v>4.5999999999999996</v>
      </c>
      <c r="U263" s="366">
        <f t="shared" si="58"/>
        <v>2.227602905569007E-2</v>
      </c>
      <c r="V263" s="97">
        <v>6.81</v>
      </c>
      <c r="W263" s="36">
        <f>RTD("money.excel",,"1773","Price")</f>
        <v>206.5</v>
      </c>
      <c r="X263" s="67"/>
      <c r="Y263" s="15">
        <f t="shared" si="59"/>
        <v>206.5</v>
      </c>
      <c r="Z263" s="3" t="e">
        <f t="shared" si="60"/>
        <v>#DIV/0!</v>
      </c>
      <c r="AA263" s="174" t="s">
        <v>4493</v>
      </c>
      <c r="AB263" s="22" t="s">
        <v>4492</v>
      </c>
      <c r="AE263" s="33">
        <f t="shared" si="61"/>
        <v>0</v>
      </c>
      <c r="AF263" s="43" t="s">
        <v>4494</v>
      </c>
      <c r="AG263" s="128"/>
      <c r="AI263" s="64">
        <f t="shared" si="62"/>
        <v>9.1000000000000004E-3</v>
      </c>
      <c r="AJ263" s="313">
        <f>RTD("money.excel",,$G263,"PredictVolume")</f>
        <v>1638</v>
      </c>
      <c r="AK263" s="348"/>
    </row>
    <row r="264" spans="1:37">
      <c r="A264" s="148" t="s">
        <v>4495</v>
      </c>
      <c r="B264" s="93">
        <v>-39</v>
      </c>
      <c r="C264" s="93">
        <v>-11</v>
      </c>
      <c r="D264" s="93">
        <v>-13</v>
      </c>
      <c r="E264" s="93">
        <v>14</v>
      </c>
      <c r="F264" s="6">
        <v>4.91</v>
      </c>
      <c r="G264" s="81">
        <v>1776</v>
      </c>
      <c r="H264" s="8" t="s">
        <v>4445</v>
      </c>
      <c r="I264" s="22" t="s">
        <v>4496</v>
      </c>
      <c r="J264" s="75">
        <v>72.7</v>
      </c>
      <c r="K264" s="75">
        <v>0.04</v>
      </c>
      <c r="L264" s="75">
        <v>0.42</v>
      </c>
      <c r="N264" s="325">
        <f t="shared" si="63"/>
        <v>73.160000000000011</v>
      </c>
      <c r="O264" s="27"/>
      <c r="P264" s="56"/>
      <c r="Q264" s="26"/>
      <c r="S264" s="330">
        <v>10.4</v>
      </c>
      <c r="T264" s="34">
        <v>1</v>
      </c>
      <c r="U264" s="366">
        <f t="shared" si="58"/>
        <v>4.7619047619047616E-2</v>
      </c>
      <c r="V264" s="97">
        <v>0.65</v>
      </c>
      <c r="W264" s="13">
        <f>RTD("money.excel",,"1776","Price")</f>
        <v>21</v>
      </c>
      <c r="X264" s="67"/>
      <c r="Y264" s="15">
        <f t="shared" si="59"/>
        <v>21</v>
      </c>
      <c r="Z264" s="3" t="e">
        <f t="shared" si="60"/>
        <v>#DIV/0!</v>
      </c>
      <c r="AB264" s="22" t="s">
        <v>4496</v>
      </c>
      <c r="AE264" s="33">
        <f t="shared" si="61"/>
        <v>0</v>
      </c>
      <c r="AF264" s="43" t="s">
        <v>4497</v>
      </c>
      <c r="AG264" s="128"/>
      <c r="AI264" s="64">
        <f t="shared" si="62"/>
        <v>7.3968705547652913E-4</v>
      </c>
      <c r="AJ264" s="313">
        <f>RTD("money.excel",,$G264,"PredictVolume")</f>
        <v>52</v>
      </c>
      <c r="AK264" s="348"/>
    </row>
    <row r="265" spans="1:37">
      <c r="A265" s="148" t="s">
        <v>4498</v>
      </c>
      <c r="B265" s="82">
        <v>-82</v>
      </c>
      <c r="C265" s="82">
        <v>-86</v>
      </c>
      <c r="D265" s="81">
        <v>21</v>
      </c>
      <c r="E265" s="81">
        <v>2</v>
      </c>
      <c r="F265" s="6">
        <v>1.01</v>
      </c>
      <c r="G265" s="81">
        <v>3708</v>
      </c>
      <c r="H265" s="8" t="s">
        <v>806</v>
      </c>
      <c r="I265" s="22" t="s">
        <v>4499</v>
      </c>
      <c r="J265" s="330">
        <v>37.04</v>
      </c>
      <c r="K265" s="75">
        <v>9.2200000000000006</v>
      </c>
      <c r="L265" s="330">
        <v>27.34</v>
      </c>
      <c r="M265" s="75">
        <v>10.130000000000001</v>
      </c>
      <c r="N265" s="325">
        <f t="shared" si="63"/>
        <v>83.72999999999999</v>
      </c>
      <c r="O265" s="27"/>
      <c r="P265" s="56"/>
      <c r="Q265" s="26"/>
      <c r="R265" s="309" t="s">
        <v>4373</v>
      </c>
      <c r="S265" s="330">
        <v>6.14</v>
      </c>
      <c r="T265" s="67">
        <v>3.5</v>
      </c>
      <c r="U265" s="366">
        <f t="shared" si="58"/>
        <v>3.9325842696629212E-2</v>
      </c>
      <c r="V265" s="97">
        <v>2.09</v>
      </c>
      <c r="W265" s="36">
        <f>RTD("money.excel",,"3708","Price")</f>
        <v>89</v>
      </c>
      <c r="X265" s="67"/>
      <c r="Y265" s="15">
        <f t="shared" si="59"/>
        <v>89</v>
      </c>
      <c r="Z265" s="3" t="e">
        <f t="shared" si="60"/>
        <v>#DIV/0!</v>
      </c>
      <c r="AA265" s="174" t="s">
        <v>2185</v>
      </c>
      <c r="AB265" s="22" t="s">
        <v>4499</v>
      </c>
      <c r="AE265" s="33">
        <f t="shared" si="61"/>
        <v>0</v>
      </c>
      <c r="AF265" s="43" t="s">
        <v>4501</v>
      </c>
      <c r="AG265" s="128"/>
      <c r="AI265" s="64">
        <f t="shared" si="62"/>
        <v>2.6096256684491979E-3</v>
      </c>
      <c r="AJ265" s="313">
        <f>RTD("money.excel",,$G265,"PredictVolume")</f>
        <v>244</v>
      </c>
      <c r="AK265" s="348">
        <v>24.53</v>
      </c>
    </row>
    <row r="266" spans="1:37">
      <c r="A266" s="148" t="s">
        <v>4502</v>
      </c>
      <c r="B266" s="93">
        <v>-109</v>
      </c>
      <c r="C266" s="208">
        <v>-1092</v>
      </c>
      <c r="D266" s="93">
        <v>95</v>
      </c>
      <c r="E266" s="93">
        <v>60</v>
      </c>
      <c r="F266" s="6">
        <v>-3.92</v>
      </c>
      <c r="G266" s="81">
        <v>4702</v>
      </c>
      <c r="H266" s="8" t="s">
        <v>4445</v>
      </c>
      <c r="I266" s="16" t="s">
        <v>4503</v>
      </c>
      <c r="J266" s="75">
        <v>71.290000000000006</v>
      </c>
      <c r="K266" s="75">
        <v>49.31</v>
      </c>
      <c r="N266" s="325">
        <f t="shared" si="63"/>
        <v>120.60000000000001</v>
      </c>
      <c r="O266" s="27"/>
      <c r="P266" s="56"/>
      <c r="Q266" s="26"/>
      <c r="S266" s="330">
        <v>42.65</v>
      </c>
      <c r="T266" s="34">
        <v>0</v>
      </c>
      <c r="U266" s="366">
        <f t="shared" si="58"/>
        <v>0</v>
      </c>
      <c r="V266" s="58">
        <v>0.6</v>
      </c>
      <c r="W266" s="13">
        <f>RTD("money.excel",,"4702","Price")</f>
        <v>14.9</v>
      </c>
      <c r="X266" s="67"/>
      <c r="Y266" s="15">
        <f t="shared" si="59"/>
        <v>14.9</v>
      </c>
      <c r="Z266" s="3" t="e">
        <f t="shared" si="60"/>
        <v>#DIV/0!</v>
      </c>
      <c r="AB266" s="16" t="s">
        <v>4503</v>
      </c>
      <c r="AE266" s="33">
        <f t="shared" si="61"/>
        <v>0</v>
      </c>
      <c r="AF266" s="43" t="s">
        <v>3161</v>
      </c>
      <c r="AG266" s="128"/>
      <c r="AI266" s="64">
        <f t="shared" si="62"/>
        <v>3.1673582295988933E-2</v>
      </c>
      <c r="AJ266" s="313">
        <f>RTD("money.excel",,$G266,"PredictVolume")</f>
        <v>2290</v>
      </c>
      <c r="AK266" s="348"/>
    </row>
    <row r="267" spans="1:37">
      <c r="A267" s="148" t="s">
        <v>4504</v>
      </c>
      <c r="B267" s="93">
        <v>-4</v>
      </c>
      <c r="C267" s="93">
        <v>-15</v>
      </c>
      <c r="D267" s="93">
        <v>8</v>
      </c>
      <c r="E267" s="93">
        <v>36</v>
      </c>
      <c r="F267" s="6">
        <v>6.64</v>
      </c>
      <c r="G267" s="81">
        <v>4706</v>
      </c>
      <c r="H267" s="8" t="s">
        <v>4445</v>
      </c>
      <c r="I267" s="16" t="s">
        <v>4505</v>
      </c>
      <c r="J267" s="75">
        <v>65.239999999999995</v>
      </c>
      <c r="K267" s="75">
        <v>30.65</v>
      </c>
      <c r="L267" s="75">
        <v>0.17</v>
      </c>
      <c r="N267" s="325">
        <f t="shared" si="63"/>
        <v>96.059999999999988</v>
      </c>
      <c r="O267" s="27"/>
      <c r="P267" s="56"/>
      <c r="Q267" s="26"/>
      <c r="S267" s="330">
        <v>45.2</v>
      </c>
      <c r="T267" s="34">
        <v>0.8</v>
      </c>
      <c r="U267" s="366">
        <f t="shared" si="58"/>
        <v>4.2666666666666672E-2</v>
      </c>
      <c r="V267" s="97">
        <v>1.22</v>
      </c>
      <c r="W267" s="13">
        <f>RTD("money.excel",,"4706","Price")</f>
        <v>18.75</v>
      </c>
      <c r="X267" s="67"/>
      <c r="Y267" s="15">
        <f t="shared" si="59"/>
        <v>18.75</v>
      </c>
      <c r="Z267" s="3" t="e">
        <f t="shared" si="60"/>
        <v>#DIV/0!</v>
      </c>
      <c r="AB267" s="16" t="s">
        <v>4505</v>
      </c>
      <c r="AE267" s="33">
        <f t="shared" si="61"/>
        <v>0</v>
      </c>
      <c r="AF267" s="43" t="s">
        <v>4506</v>
      </c>
      <c r="AG267" s="269"/>
      <c r="AI267" s="64">
        <f t="shared" si="62"/>
        <v>4.6835443037974685E-4</v>
      </c>
      <c r="AJ267" s="313">
        <f>RTD("money.excel",,$G267,"PredictVolume")</f>
        <v>37</v>
      </c>
      <c r="AK267" s="348"/>
    </row>
    <row r="268" spans="1:37">
      <c r="A268" s="148" t="s">
        <v>4507</v>
      </c>
      <c r="B268" s="93">
        <v>-17</v>
      </c>
      <c r="C268" s="93">
        <v>-23</v>
      </c>
      <c r="D268" s="93">
        <v>-22</v>
      </c>
      <c r="E268" s="93">
        <v>4</v>
      </c>
      <c r="F268" s="6">
        <v>1.81</v>
      </c>
      <c r="G268" s="81">
        <v>4707</v>
      </c>
      <c r="H268" s="8" t="s">
        <v>4445</v>
      </c>
      <c r="I268" s="16" t="s">
        <v>4508</v>
      </c>
      <c r="J268" s="75">
        <v>71.290000000000006</v>
      </c>
      <c r="K268" s="75">
        <v>0.15</v>
      </c>
      <c r="L268" s="75">
        <v>11.45</v>
      </c>
      <c r="N268" s="325">
        <f t="shared" si="63"/>
        <v>82.890000000000015</v>
      </c>
      <c r="O268" s="27"/>
      <c r="P268" s="56"/>
      <c r="Q268" s="26"/>
      <c r="S268" s="330">
        <v>11.74</v>
      </c>
      <c r="T268" s="34">
        <v>1</v>
      </c>
      <c r="U268" s="366">
        <f t="shared" si="58"/>
        <v>7.9365079365079361E-2</v>
      </c>
      <c r="V268" s="97">
        <v>0.84</v>
      </c>
      <c r="W268" s="13">
        <f>RTD("money.excel",,"4707","Price")</f>
        <v>12.6</v>
      </c>
      <c r="X268" s="67"/>
      <c r="Y268" s="15">
        <f t="shared" si="59"/>
        <v>12.6</v>
      </c>
      <c r="Z268" s="3" t="e">
        <f t="shared" si="60"/>
        <v>#DIV/0!</v>
      </c>
      <c r="AB268" s="16" t="s">
        <v>4508</v>
      </c>
      <c r="AE268" s="33">
        <f t="shared" si="61"/>
        <v>0</v>
      </c>
      <c r="AF268" s="43" t="s">
        <v>4509</v>
      </c>
      <c r="AG268" s="128"/>
      <c r="AI268" s="64">
        <f t="shared" si="62"/>
        <v>4.6357615894039735E-4</v>
      </c>
      <c r="AJ268" s="313">
        <f>RTD("money.excel",,$G268,"PredictVolume")</f>
        <v>140</v>
      </c>
      <c r="AK268" s="348"/>
    </row>
    <row r="269" spans="1:37">
      <c r="A269" s="148" t="s">
        <v>4510</v>
      </c>
      <c r="B269" s="93">
        <v>40</v>
      </c>
      <c r="C269" s="93">
        <v>8</v>
      </c>
      <c r="D269" s="93">
        <v>0</v>
      </c>
      <c r="E269" s="93">
        <v>30</v>
      </c>
      <c r="F269" s="6">
        <v>3.36</v>
      </c>
      <c r="G269" s="81">
        <v>4711</v>
      </c>
      <c r="H269" s="8" t="s">
        <v>4445</v>
      </c>
      <c r="I269" s="16" t="s">
        <v>4511</v>
      </c>
      <c r="J269" s="75">
        <v>65.53</v>
      </c>
      <c r="K269" s="75">
        <v>0.41</v>
      </c>
      <c r="L269" s="75">
        <v>1.1299999999999999</v>
      </c>
      <c r="N269" s="325">
        <f t="shared" si="63"/>
        <v>67.069999999999993</v>
      </c>
      <c r="O269" s="27"/>
      <c r="P269" s="56"/>
      <c r="Q269" s="26"/>
      <c r="S269" s="330">
        <v>21.32</v>
      </c>
      <c r="T269" s="34">
        <v>0.8</v>
      </c>
      <c r="U269" s="366">
        <f t="shared" si="58"/>
        <v>4.4692737430167606E-2</v>
      </c>
      <c r="V269" s="97">
        <v>0.91</v>
      </c>
      <c r="W269" s="13">
        <f>RTD("money.excel",,"4711","Price")</f>
        <v>17.899999999999999</v>
      </c>
      <c r="X269" s="67"/>
      <c r="Y269" s="15">
        <f t="shared" si="59"/>
        <v>17.899999999999999</v>
      </c>
      <c r="Z269" s="3" t="e">
        <f t="shared" si="60"/>
        <v>#DIV/0!</v>
      </c>
      <c r="AB269" s="16" t="s">
        <v>4511</v>
      </c>
      <c r="AE269" s="33">
        <f t="shared" si="61"/>
        <v>0</v>
      </c>
      <c r="AF269" s="43" t="s">
        <v>3162</v>
      </c>
      <c r="AG269" s="128"/>
      <c r="AI269" s="64">
        <f t="shared" si="62"/>
        <v>1.2274959083469722E-3</v>
      </c>
      <c r="AJ269" s="313">
        <f>RTD("money.excel",,$G269,"PredictVolume")</f>
        <v>75</v>
      </c>
      <c r="AK269" s="348"/>
    </row>
    <row r="270" spans="1:37">
      <c r="A270" s="148" t="s">
        <v>4512</v>
      </c>
      <c r="B270" s="82">
        <v>-40</v>
      </c>
      <c r="C270" s="82">
        <v>-198</v>
      </c>
      <c r="D270" s="81">
        <v>28</v>
      </c>
      <c r="E270" s="81">
        <v>543</v>
      </c>
      <c r="F270" s="6">
        <v>-7.18</v>
      </c>
      <c r="G270" s="81">
        <v>4714</v>
      </c>
      <c r="H270" s="8" t="s">
        <v>4445</v>
      </c>
      <c r="I270" s="16" t="s">
        <v>4513</v>
      </c>
      <c r="J270" s="330">
        <v>25.5</v>
      </c>
      <c r="K270" s="75">
        <v>1.24</v>
      </c>
      <c r="L270" s="75">
        <v>18.07</v>
      </c>
      <c r="N270" s="325">
        <f t="shared" si="63"/>
        <v>44.81</v>
      </c>
      <c r="O270" s="27"/>
      <c r="P270" s="56"/>
      <c r="Q270" s="26"/>
      <c r="S270" s="330">
        <v>0.1</v>
      </c>
      <c r="T270" s="34">
        <v>0.5</v>
      </c>
      <c r="U270" s="366">
        <f t="shared" si="58"/>
        <v>3.8167938931297711E-2</v>
      </c>
      <c r="V270" s="97">
        <v>0.56999999999999995</v>
      </c>
      <c r="W270" s="36">
        <f>RTD("money.excel",,"4714","Price")</f>
        <v>13.1</v>
      </c>
      <c r="X270" s="67"/>
      <c r="Y270" s="15">
        <f t="shared" si="59"/>
        <v>13.1</v>
      </c>
      <c r="Z270" s="3" t="e">
        <f t="shared" si="60"/>
        <v>#DIV/0!</v>
      </c>
      <c r="AA270" s="174" t="s">
        <v>4477</v>
      </c>
      <c r="AB270" s="16" t="s">
        <v>4513</v>
      </c>
      <c r="AE270" s="33">
        <f t="shared" si="61"/>
        <v>0</v>
      </c>
      <c r="AF270" s="43" t="s">
        <v>4514</v>
      </c>
      <c r="AG270" s="128"/>
      <c r="AI270" s="64">
        <f t="shared" si="62"/>
        <v>2.6896551724137933E-3</v>
      </c>
      <c r="AJ270" s="313">
        <f>RTD("money.excel",,$G270,"PredictVolume")</f>
        <v>312</v>
      </c>
      <c r="AK270" s="348"/>
    </row>
    <row r="271" spans="1:37">
      <c r="A271" s="148" t="s">
        <v>4515</v>
      </c>
      <c r="B271" s="81">
        <v>109</v>
      </c>
      <c r="C271" s="81">
        <v>13</v>
      </c>
      <c r="D271" s="82">
        <v>-14</v>
      </c>
      <c r="E271" s="81">
        <v>24</v>
      </c>
      <c r="F271" s="6">
        <v>4.76</v>
      </c>
      <c r="G271" s="81">
        <v>4716</v>
      </c>
      <c r="H271" s="8" t="s">
        <v>4445</v>
      </c>
      <c r="I271" s="16" t="s">
        <v>4516</v>
      </c>
      <c r="J271" s="330">
        <v>35.590000000000003</v>
      </c>
      <c r="K271" s="330">
        <v>0.24</v>
      </c>
      <c r="L271" s="330">
        <v>58.91</v>
      </c>
      <c r="N271" s="325">
        <f t="shared" si="63"/>
        <v>94.740000000000009</v>
      </c>
      <c r="O271" s="27"/>
      <c r="P271" s="56"/>
      <c r="Q271" s="26"/>
      <c r="S271" s="330">
        <v>0.12</v>
      </c>
      <c r="T271" s="34">
        <v>0.24</v>
      </c>
      <c r="U271" s="366">
        <f t="shared" si="58"/>
        <v>1.7204301075268817E-2</v>
      </c>
      <c r="V271" s="97">
        <v>0.25</v>
      </c>
      <c r="W271" s="36">
        <f>RTD("money.excel",,"4716","Price")</f>
        <v>13.95</v>
      </c>
      <c r="X271" s="67"/>
      <c r="Y271" s="15">
        <f t="shared" si="59"/>
        <v>13.95</v>
      </c>
      <c r="Z271" s="3" t="e">
        <f t="shared" si="60"/>
        <v>#DIV/0!</v>
      </c>
      <c r="AB271" s="16" t="s">
        <v>4516</v>
      </c>
      <c r="AE271" s="33">
        <f t="shared" si="61"/>
        <v>0</v>
      </c>
      <c r="AF271" s="43" t="s">
        <v>3162</v>
      </c>
      <c r="AG271" s="128"/>
      <c r="AI271" s="64">
        <f t="shared" si="62"/>
        <v>7.9787234042553187E-4</v>
      </c>
      <c r="AJ271" s="313">
        <f>RTD("money.excel",,$G271,"PredictVolume")</f>
        <v>60</v>
      </c>
      <c r="AK271" s="348"/>
    </row>
    <row r="272" spans="1:37">
      <c r="A272" s="148" t="s">
        <v>4517</v>
      </c>
      <c r="B272" s="82">
        <v>-10</v>
      </c>
      <c r="C272" s="81">
        <v>30</v>
      </c>
      <c r="D272" s="81">
        <v>21</v>
      </c>
      <c r="E272" s="81">
        <v>14</v>
      </c>
      <c r="F272" s="6">
        <v>2.37</v>
      </c>
      <c r="G272" s="81">
        <v>4720</v>
      </c>
      <c r="H272" s="8" t="s">
        <v>4445</v>
      </c>
      <c r="I272" s="22" t="s">
        <v>4518</v>
      </c>
      <c r="J272" s="75">
        <v>52.25</v>
      </c>
      <c r="K272" s="75">
        <v>3.29</v>
      </c>
      <c r="L272" s="330">
        <v>19.12</v>
      </c>
      <c r="N272" s="325">
        <f t="shared" si="63"/>
        <v>74.66</v>
      </c>
      <c r="O272" s="27"/>
      <c r="P272" s="56"/>
      <c r="Q272" s="26"/>
      <c r="S272" s="330">
        <v>0.23</v>
      </c>
      <c r="T272" s="34">
        <v>0.5</v>
      </c>
      <c r="U272" s="366">
        <f t="shared" si="58"/>
        <v>3.215434083601286E-2</v>
      </c>
      <c r="V272" s="97">
        <v>0.78</v>
      </c>
      <c r="W272" s="36">
        <f>RTD("money.excel",,"4720","Price")</f>
        <v>15.55</v>
      </c>
      <c r="X272" s="67"/>
      <c r="Y272" s="15">
        <f t="shared" si="59"/>
        <v>15.55</v>
      </c>
      <c r="Z272" s="3" t="e">
        <f t="shared" si="60"/>
        <v>#DIV/0!</v>
      </c>
      <c r="AA272" s="174" t="s">
        <v>4477</v>
      </c>
      <c r="AB272" s="22" t="s">
        <v>4518</v>
      </c>
      <c r="AE272" s="33">
        <f t="shared" si="61"/>
        <v>0</v>
      </c>
      <c r="AF272" s="43" t="s">
        <v>4519</v>
      </c>
      <c r="AG272" s="128"/>
      <c r="AI272" s="64">
        <f t="shared" si="62"/>
        <v>4.072847682119205E-3</v>
      </c>
      <c r="AJ272" s="313">
        <f>RTD("money.excel",,$G272,"PredictVolume")</f>
        <v>369</v>
      </c>
      <c r="AK272" s="348"/>
    </row>
    <row r="273" spans="1:37">
      <c r="A273" s="148" t="s">
        <v>4520</v>
      </c>
      <c r="B273" s="82">
        <v>-37</v>
      </c>
      <c r="C273" s="82">
        <v>-22</v>
      </c>
      <c r="D273" s="81">
        <v>79</v>
      </c>
      <c r="E273" s="81">
        <v>5</v>
      </c>
      <c r="F273" s="6">
        <v>6.79</v>
      </c>
      <c r="G273" s="81">
        <v>4721</v>
      </c>
      <c r="H273" s="8" t="s">
        <v>4445</v>
      </c>
      <c r="I273" s="16" t="s">
        <v>4521</v>
      </c>
      <c r="J273" s="330">
        <v>30.47</v>
      </c>
      <c r="K273" s="330">
        <v>1.85</v>
      </c>
      <c r="L273" s="330">
        <v>10.06</v>
      </c>
      <c r="N273" s="325">
        <f t="shared" si="63"/>
        <v>42.38</v>
      </c>
      <c r="O273" s="27"/>
      <c r="P273" s="56"/>
      <c r="Q273" s="26"/>
      <c r="S273" s="330">
        <v>0.08</v>
      </c>
      <c r="T273" s="34">
        <v>1.39</v>
      </c>
      <c r="U273" s="366">
        <f t="shared" si="58"/>
        <v>9.7202797202797196E-3</v>
      </c>
      <c r="V273" s="97">
        <v>1.64</v>
      </c>
      <c r="W273" s="36">
        <f>RTD("money.excel",,"4721","Price")</f>
        <v>143</v>
      </c>
      <c r="X273" s="67"/>
      <c r="Y273" s="15">
        <f t="shared" si="59"/>
        <v>143</v>
      </c>
      <c r="Z273" s="3" t="e">
        <f t="shared" si="60"/>
        <v>#DIV/0!</v>
      </c>
      <c r="AA273" s="174" t="s">
        <v>4477</v>
      </c>
      <c r="AB273" s="16" t="s">
        <v>4521</v>
      </c>
      <c r="AE273" s="33">
        <f t="shared" si="61"/>
        <v>0</v>
      </c>
      <c r="AF273" s="122" t="s">
        <v>2808</v>
      </c>
      <c r="AG273" s="128"/>
      <c r="AI273" s="64">
        <f t="shared" si="62"/>
        <v>4.7173333333333331E-2</v>
      </c>
      <c r="AJ273" s="313">
        <f>RTD("money.excel",,$G273,"PredictVolume")</f>
        <v>3538</v>
      </c>
      <c r="AK273" s="348"/>
    </row>
    <row r="274" spans="1:37">
      <c r="A274" s="148" t="s">
        <v>4522</v>
      </c>
      <c r="B274" s="93">
        <v>-4</v>
      </c>
      <c r="C274" s="93">
        <v>-1</v>
      </c>
      <c r="D274" s="93">
        <v>1</v>
      </c>
      <c r="E274" s="93">
        <v>67</v>
      </c>
      <c r="F274" s="6">
        <v>6.85</v>
      </c>
      <c r="G274" s="81">
        <v>4722</v>
      </c>
      <c r="H274" s="8" t="s">
        <v>4445</v>
      </c>
      <c r="I274" s="22" t="s">
        <v>4523</v>
      </c>
      <c r="J274" s="75">
        <v>51.69</v>
      </c>
      <c r="K274" s="75">
        <v>3.59</v>
      </c>
      <c r="L274" s="75">
        <v>1.1499999999999999</v>
      </c>
      <c r="N274" s="325">
        <f t="shared" si="63"/>
        <v>56.43</v>
      </c>
      <c r="O274" s="27"/>
      <c r="P274" s="56"/>
      <c r="Q274" s="26"/>
      <c r="S274" s="330">
        <v>12.44</v>
      </c>
      <c r="T274" s="34">
        <v>2</v>
      </c>
      <c r="U274" s="366">
        <f t="shared" si="58"/>
        <v>4.6189376443418015E-2</v>
      </c>
      <c r="V274" s="97">
        <v>2.81</v>
      </c>
      <c r="W274" s="13">
        <f>RTD("money.excel",,"4722","Price")</f>
        <v>43.3</v>
      </c>
      <c r="X274" s="67"/>
      <c r="Y274" s="15">
        <f t="shared" si="59"/>
        <v>43.3</v>
      </c>
      <c r="Z274" s="3" t="e">
        <f t="shared" si="60"/>
        <v>#DIV/0!</v>
      </c>
      <c r="AB274" s="22" t="s">
        <v>4523</v>
      </c>
      <c r="AE274" s="33">
        <f t="shared" si="61"/>
        <v>0</v>
      </c>
      <c r="AF274" s="43" t="s">
        <v>4524</v>
      </c>
      <c r="AG274" s="128"/>
      <c r="AI274" s="64">
        <f t="shared" si="62"/>
        <v>4.96E-3</v>
      </c>
      <c r="AJ274" s="313">
        <f>RTD("money.excel",,$G274,"PredictVolume")</f>
        <v>496</v>
      </c>
      <c r="AK274" s="348"/>
    </row>
    <row r="275" spans="1:37">
      <c r="A275" s="148" t="s">
        <v>1960</v>
      </c>
      <c r="B275" s="81">
        <v>170</v>
      </c>
      <c r="C275" s="81">
        <v>170</v>
      </c>
      <c r="D275" s="81">
        <v>1</v>
      </c>
      <c r="E275" s="81">
        <v>41</v>
      </c>
      <c r="F275" s="6">
        <v>7.96</v>
      </c>
      <c r="G275" s="81">
        <v>4739</v>
      </c>
      <c r="H275" s="8" t="s">
        <v>4445</v>
      </c>
      <c r="I275" s="22" t="s">
        <v>4526</v>
      </c>
      <c r="J275" s="75">
        <v>32.81</v>
      </c>
      <c r="K275" s="75">
        <v>7.04</v>
      </c>
      <c r="L275" s="75">
        <v>33.53</v>
      </c>
      <c r="M275" s="330">
        <v>26.67</v>
      </c>
      <c r="N275" s="325">
        <f t="shared" si="63"/>
        <v>100.05</v>
      </c>
      <c r="O275" s="27"/>
      <c r="P275" s="56" t="s">
        <v>6266</v>
      </c>
      <c r="Q275" s="26" t="s">
        <v>6260</v>
      </c>
      <c r="R275" s="309" t="s">
        <v>4374</v>
      </c>
      <c r="S275" s="330">
        <v>3.78</v>
      </c>
      <c r="T275" s="67">
        <v>3</v>
      </c>
      <c r="U275" s="366">
        <f t="shared" si="58"/>
        <v>1.8404907975460124E-2</v>
      </c>
      <c r="V275" s="97">
        <v>4.7</v>
      </c>
      <c r="W275" s="36">
        <f>RTD("money.excel",,"4739","Price")</f>
        <v>163</v>
      </c>
      <c r="X275" s="67"/>
      <c r="Y275" s="15">
        <f t="shared" si="59"/>
        <v>163</v>
      </c>
      <c r="Z275" s="3" t="e">
        <f t="shared" si="60"/>
        <v>#DIV/0!</v>
      </c>
      <c r="AA275" s="174" t="s">
        <v>2185</v>
      </c>
      <c r="AB275" s="22" t="s">
        <v>4526</v>
      </c>
      <c r="AE275" s="33">
        <f t="shared" si="61"/>
        <v>0</v>
      </c>
      <c r="AF275" s="122" t="s">
        <v>2808</v>
      </c>
      <c r="AG275" s="128"/>
      <c r="AI275" s="64">
        <f t="shared" si="62"/>
        <v>0.24768224299065419</v>
      </c>
      <c r="AJ275" s="313">
        <f>RTD("money.excel",,$G275,"PredictVolume")</f>
        <v>26502</v>
      </c>
      <c r="AK275" s="348">
        <v>55.56</v>
      </c>
    </row>
    <row r="276" spans="1:37">
      <c r="A276" s="148" t="s">
        <v>4527</v>
      </c>
      <c r="B276" s="82">
        <v>-27</v>
      </c>
      <c r="C276" s="82">
        <v>-38</v>
      </c>
      <c r="D276" s="81">
        <v>10</v>
      </c>
      <c r="E276" s="81">
        <v>78</v>
      </c>
      <c r="F276" s="6">
        <v>4.58</v>
      </c>
      <c r="G276" s="81">
        <v>4741</v>
      </c>
      <c r="H276" s="8" t="s">
        <v>4445</v>
      </c>
      <c r="I276" s="16" t="s">
        <v>4528</v>
      </c>
      <c r="J276" s="330">
        <v>46.58</v>
      </c>
      <c r="K276" s="75">
        <v>0.19</v>
      </c>
      <c r="L276" s="330">
        <v>2.59</v>
      </c>
      <c r="N276" s="325">
        <f t="shared" si="63"/>
        <v>49.36</v>
      </c>
      <c r="O276" s="27"/>
      <c r="P276" s="56"/>
      <c r="Q276" s="26"/>
      <c r="S276" s="330">
        <v>0</v>
      </c>
      <c r="T276" s="34">
        <v>0.6</v>
      </c>
      <c r="U276" s="366">
        <f t="shared" si="58"/>
        <v>2.2727272727272728E-2</v>
      </c>
      <c r="V276" s="97">
        <v>0.91</v>
      </c>
      <c r="W276" s="13">
        <f>RTD("money.excel",,"4741","Price")</f>
        <v>26.4</v>
      </c>
      <c r="X276" s="67"/>
      <c r="Y276" s="15">
        <f t="shared" si="59"/>
        <v>26.4</v>
      </c>
      <c r="Z276" s="3" t="e">
        <f t="shared" si="60"/>
        <v>#DIV/0!</v>
      </c>
      <c r="AB276" s="16" t="s">
        <v>4528</v>
      </c>
      <c r="AE276" s="33">
        <f t="shared" si="61"/>
        <v>0</v>
      </c>
      <c r="AF276" s="43" t="s">
        <v>4529</v>
      </c>
      <c r="AG276" s="128"/>
      <c r="AI276" s="64">
        <f t="shared" si="62"/>
        <v>1.8292682926829268E-4</v>
      </c>
      <c r="AJ276" s="313">
        <f>RTD("money.excel",,$G276,"PredictVolume")</f>
        <v>6</v>
      </c>
      <c r="AK276" s="348"/>
    </row>
    <row r="277" spans="1:37">
      <c r="A277" s="132" t="s">
        <v>4530</v>
      </c>
      <c r="B277" s="93">
        <v>-20</v>
      </c>
      <c r="C277" s="93">
        <v>-17</v>
      </c>
      <c r="D277" s="93">
        <v>21</v>
      </c>
      <c r="E277" s="93">
        <v>10</v>
      </c>
      <c r="F277" s="58">
        <v>14.47</v>
      </c>
      <c r="G277" s="81">
        <v>4754</v>
      </c>
      <c r="H277" s="8" t="s">
        <v>4445</v>
      </c>
      <c r="I277" s="16" t="s">
        <v>4531</v>
      </c>
      <c r="J277" s="75">
        <v>37.85</v>
      </c>
      <c r="K277" s="330">
        <v>0.28999999999999998</v>
      </c>
      <c r="N277" s="325">
        <f t="shared" si="63"/>
        <v>38.14</v>
      </c>
      <c r="O277" s="27"/>
      <c r="P277" s="56"/>
      <c r="Q277" s="26"/>
      <c r="S277" s="330">
        <v>37.36</v>
      </c>
      <c r="T277" s="34">
        <v>2.1</v>
      </c>
      <c r="U277" s="366">
        <f t="shared" si="58"/>
        <v>5.2697616060225848E-2</v>
      </c>
      <c r="V277" s="58">
        <v>2.6</v>
      </c>
      <c r="W277" s="36">
        <f>RTD("money.excel",,"4754","Price")</f>
        <v>39.85</v>
      </c>
      <c r="X277" s="67"/>
      <c r="Y277" s="15">
        <f t="shared" si="59"/>
        <v>39.85</v>
      </c>
      <c r="Z277" s="3" t="e">
        <f t="shared" si="60"/>
        <v>#DIV/0!</v>
      </c>
      <c r="AB277" s="16" t="s">
        <v>4531</v>
      </c>
      <c r="AE277" s="33">
        <f t="shared" si="61"/>
        <v>0</v>
      </c>
      <c r="AF277" s="43" t="s">
        <v>4532</v>
      </c>
      <c r="AG277" s="128"/>
      <c r="AI277" s="64">
        <f t="shared" si="62"/>
        <v>2.9166666666666668E-3</v>
      </c>
      <c r="AJ277" s="313">
        <f>RTD("money.excel",,$G277,"PredictVolume")</f>
        <v>63</v>
      </c>
      <c r="AK277" s="348"/>
    </row>
    <row r="278" spans="1:37">
      <c r="A278" s="132" t="s">
        <v>2385</v>
      </c>
      <c r="B278" s="81">
        <v>21</v>
      </c>
      <c r="C278" s="81">
        <v>4</v>
      </c>
      <c r="D278" s="81">
        <v>14</v>
      </c>
      <c r="E278" s="81">
        <v>79</v>
      </c>
      <c r="F278" s="58">
        <v>11.75</v>
      </c>
      <c r="G278" s="81">
        <v>4755</v>
      </c>
      <c r="H278" s="8" t="s">
        <v>806</v>
      </c>
      <c r="I278" s="22" t="s">
        <v>819</v>
      </c>
      <c r="J278" s="330">
        <v>69.63</v>
      </c>
      <c r="K278" s="75">
        <v>30.78</v>
      </c>
      <c r="L278" s="330">
        <v>8.74</v>
      </c>
      <c r="M278" s="330">
        <v>30.06</v>
      </c>
      <c r="N278" s="75">
        <f t="shared" si="63"/>
        <v>139.20999999999998</v>
      </c>
      <c r="O278" s="27" t="s">
        <v>1735</v>
      </c>
      <c r="P278" s="56" t="s">
        <v>6406</v>
      </c>
      <c r="Q278" s="26" t="s">
        <v>6407</v>
      </c>
      <c r="R278" s="309" t="s">
        <v>4373</v>
      </c>
      <c r="S278" s="330">
        <v>0.67</v>
      </c>
      <c r="T278" s="67">
        <v>3</v>
      </c>
      <c r="U278" s="366">
        <f t="shared" si="58"/>
        <v>1.9672131147540985E-2</v>
      </c>
      <c r="V278" s="58">
        <v>4.74</v>
      </c>
      <c r="W278" s="36">
        <f>RTD("money.excel",,"4755","Price")</f>
        <v>152.5</v>
      </c>
      <c r="X278" s="67"/>
      <c r="Y278" s="15">
        <f t="shared" si="59"/>
        <v>152.5</v>
      </c>
      <c r="Z278" s="3" t="e">
        <f t="shared" si="60"/>
        <v>#DIV/0!</v>
      </c>
      <c r="AA278" s="174" t="s">
        <v>2185</v>
      </c>
      <c r="AB278" s="22" t="s">
        <v>819</v>
      </c>
      <c r="AE278" s="33">
        <f t="shared" si="61"/>
        <v>0</v>
      </c>
      <c r="AF278" s="43" t="s">
        <v>4533</v>
      </c>
      <c r="AG278" s="128"/>
      <c r="AI278" s="64">
        <f t="shared" si="62"/>
        <v>3.9719999999999998E-2</v>
      </c>
      <c r="AJ278" s="313">
        <f>RTD("money.excel",,$G278,"PredictVolume")</f>
        <v>3972</v>
      </c>
      <c r="AK278" s="348">
        <v>27.64</v>
      </c>
    </row>
    <row r="279" spans="1:37">
      <c r="A279" s="132" t="s">
        <v>4534</v>
      </c>
      <c r="B279" s="82">
        <v>-36</v>
      </c>
      <c r="C279" s="82">
        <v>-12</v>
      </c>
      <c r="D279" s="82">
        <v>-9</v>
      </c>
      <c r="E279" s="81">
        <v>3</v>
      </c>
      <c r="F279" s="58">
        <v>14.62</v>
      </c>
      <c r="G279" s="81">
        <v>4763</v>
      </c>
      <c r="H279" s="8" t="s">
        <v>4445</v>
      </c>
      <c r="I279" s="22" t="s">
        <v>4535</v>
      </c>
      <c r="J279" s="330">
        <v>68.77</v>
      </c>
      <c r="K279" s="330">
        <v>65.94</v>
      </c>
      <c r="L279" s="75">
        <v>10.66</v>
      </c>
      <c r="N279" s="325">
        <f t="shared" si="63"/>
        <v>145.36999999999998</v>
      </c>
      <c r="O279" s="27"/>
      <c r="P279" s="56"/>
      <c r="Q279" s="26"/>
      <c r="S279" s="330">
        <v>2.31</v>
      </c>
      <c r="T279" s="67">
        <v>7</v>
      </c>
      <c r="U279" s="366">
        <f t="shared" si="58"/>
        <v>7.7519379844961239E-2</v>
      </c>
      <c r="V279" s="58">
        <v>9.18</v>
      </c>
      <c r="W279" s="13">
        <f>RTD("money.excel",,"4763","Price")</f>
        <v>90.3</v>
      </c>
      <c r="X279" s="67"/>
      <c r="Y279" s="15">
        <f t="shared" si="59"/>
        <v>90.3</v>
      </c>
      <c r="Z279" s="3" t="e">
        <f t="shared" si="60"/>
        <v>#DIV/0!</v>
      </c>
      <c r="AA279" s="174" t="s">
        <v>4493</v>
      </c>
      <c r="AB279" s="22" t="s">
        <v>4535</v>
      </c>
      <c r="AE279" s="33">
        <f t="shared" si="61"/>
        <v>0</v>
      </c>
      <c r="AF279" s="43" t="s">
        <v>4536</v>
      </c>
      <c r="AG279" s="128"/>
      <c r="AI279" s="64">
        <f t="shared" si="62"/>
        <v>1.0494880546075086E-2</v>
      </c>
      <c r="AJ279" s="313">
        <f>RTD("money.excel",,$G279,"PredictVolume")</f>
        <v>615</v>
      </c>
      <c r="AK279" s="348"/>
    </row>
    <row r="280" spans="1:37">
      <c r="A280" s="148" t="s">
        <v>4537</v>
      </c>
      <c r="B280" s="93">
        <v>-42</v>
      </c>
      <c r="C280" s="93">
        <v>-51</v>
      </c>
      <c r="D280" s="93">
        <v>-1</v>
      </c>
      <c r="E280" s="93">
        <v>-25</v>
      </c>
      <c r="F280" s="6">
        <v>9.6</v>
      </c>
      <c r="G280" s="81">
        <v>4764</v>
      </c>
      <c r="H280" s="8" t="s">
        <v>4445</v>
      </c>
      <c r="I280" s="22" t="s">
        <v>4538</v>
      </c>
      <c r="J280" s="75">
        <v>81.2</v>
      </c>
      <c r="K280" s="75">
        <v>37.25</v>
      </c>
      <c r="L280" s="75">
        <v>4.12</v>
      </c>
      <c r="N280" s="325">
        <f t="shared" si="63"/>
        <v>122.57000000000001</v>
      </c>
      <c r="O280" s="27"/>
      <c r="P280" s="56"/>
      <c r="Q280" s="26"/>
      <c r="S280" s="330">
        <v>10.02</v>
      </c>
      <c r="T280" s="34">
        <v>1</v>
      </c>
      <c r="U280" s="366">
        <f t="shared" si="58"/>
        <v>1.7152658662092625E-2</v>
      </c>
      <c r="V280" s="97">
        <v>0.81</v>
      </c>
      <c r="W280" s="36">
        <f>RTD("money.excel",,"4764","Price")</f>
        <v>58.3</v>
      </c>
      <c r="X280" s="67"/>
      <c r="Y280" s="15">
        <f t="shared" si="59"/>
        <v>58.3</v>
      </c>
      <c r="Z280" s="3" t="e">
        <f t="shared" si="60"/>
        <v>#DIV/0!</v>
      </c>
      <c r="AA280" s="174" t="s">
        <v>4477</v>
      </c>
      <c r="AB280" s="22" t="s">
        <v>4538</v>
      </c>
      <c r="AE280" s="33">
        <f t="shared" si="61"/>
        <v>0</v>
      </c>
      <c r="AF280" s="43" t="s">
        <v>4539</v>
      </c>
      <c r="AG280" s="128"/>
      <c r="AI280" s="64">
        <f t="shared" si="62"/>
        <v>1.0610079575596818E-4</v>
      </c>
      <c r="AJ280" s="313">
        <f>RTD("money.excel",,$G280,"PredictVolume")</f>
        <v>8</v>
      </c>
      <c r="AK280" s="348"/>
    </row>
    <row r="281" spans="1:37">
      <c r="A281" s="148" t="s">
        <v>4540</v>
      </c>
      <c r="B281" s="82">
        <v>-17</v>
      </c>
      <c r="C281" s="82">
        <v>-28</v>
      </c>
      <c r="D281" s="81">
        <v>9</v>
      </c>
      <c r="E281" s="82">
        <v>-8</v>
      </c>
      <c r="F281" s="6">
        <v>7.49</v>
      </c>
      <c r="G281" s="81">
        <v>4766</v>
      </c>
      <c r="H281" s="8" t="s">
        <v>4445</v>
      </c>
      <c r="I281" s="22" t="s">
        <v>4541</v>
      </c>
      <c r="J281" s="330">
        <v>74.75</v>
      </c>
      <c r="K281" s="75">
        <v>13.2</v>
      </c>
      <c r="L281" s="75">
        <v>1.24</v>
      </c>
      <c r="N281" s="325">
        <f t="shared" si="63"/>
        <v>89.19</v>
      </c>
      <c r="O281" s="27"/>
      <c r="P281" s="56"/>
      <c r="Q281" s="26"/>
      <c r="S281" s="330">
        <v>0.02</v>
      </c>
      <c r="T281" s="67">
        <v>7</v>
      </c>
      <c r="U281" s="366">
        <f t="shared" si="58"/>
        <v>5.204460966542751E-2</v>
      </c>
      <c r="V281" s="97">
        <v>10.119999999999999</v>
      </c>
      <c r="W281" s="36">
        <f>RTD("money.excel",,"4766","Price")</f>
        <v>134.5</v>
      </c>
      <c r="X281" s="67"/>
      <c r="Y281" s="15">
        <f t="shared" si="59"/>
        <v>134.5</v>
      </c>
      <c r="Z281" s="3" t="e">
        <f t="shared" si="60"/>
        <v>#DIV/0!</v>
      </c>
      <c r="AA281" s="174" t="s">
        <v>4493</v>
      </c>
      <c r="AB281" s="22" t="s">
        <v>4541</v>
      </c>
      <c r="AE281" s="33">
        <f t="shared" si="61"/>
        <v>0</v>
      </c>
      <c r="AF281" s="43" t="s">
        <v>4542</v>
      </c>
      <c r="AG281" s="128"/>
      <c r="AI281" s="64">
        <f t="shared" si="62"/>
        <v>1.6666666666666666E-4</v>
      </c>
      <c r="AJ281" s="313">
        <f>RTD("money.excel",,$G281,"PredictVolume")</f>
        <v>20</v>
      </c>
      <c r="AK281" s="348"/>
    </row>
    <row r="282" spans="1:37">
      <c r="A282" s="148" t="s">
        <v>4543</v>
      </c>
      <c r="B282" s="93">
        <v>16</v>
      </c>
      <c r="C282" s="93">
        <v>14</v>
      </c>
      <c r="D282" s="93">
        <v>14</v>
      </c>
      <c r="E282" s="93">
        <v>27</v>
      </c>
      <c r="F282" s="6">
        <v>7.25</v>
      </c>
      <c r="G282" s="81">
        <v>4767</v>
      </c>
      <c r="H282" s="8" t="s">
        <v>4445</v>
      </c>
      <c r="I282" s="16" t="s">
        <v>4544</v>
      </c>
      <c r="J282" s="75">
        <v>72.33</v>
      </c>
      <c r="K282" s="75">
        <v>2.38</v>
      </c>
      <c r="N282" s="325">
        <f t="shared" si="63"/>
        <v>74.709999999999994</v>
      </c>
      <c r="O282" s="27"/>
      <c r="P282" s="56"/>
      <c r="Q282" s="26"/>
      <c r="S282" s="330">
        <v>18.88</v>
      </c>
      <c r="T282" s="34">
        <v>1.2</v>
      </c>
      <c r="U282" s="366">
        <f t="shared" si="58"/>
        <v>4.074702886247878E-2</v>
      </c>
      <c r="V282" s="97">
        <v>2.31</v>
      </c>
      <c r="W282" s="13">
        <f>RTD("money.excel",,"4767","Price")</f>
        <v>29.45</v>
      </c>
      <c r="X282" s="67"/>
      <c r="Y282" s="15">
        <f t="shared" si="59"/>
        <v>29.45</v>
      </c>
      <c r="Z282" s="3" t="e">
        <f t="shared" si="60"/>
        <v>#DIV/0!</v>
      </c>
      <c r="AB282" s="16" t="s">
        <v>4544</v>
      </c>
      <c r="AE282" s="33">
        <f t="shared" si="61"/>
        <v>0</v>
      </c>
      <c r="AF282" s="43" t="s">
        <v>4545</v>
      </c>
      <c r="AG282" s="128"/>
      <c r="AI282" s="64">
        <f t="shared" si="62"/>
        <v>6.3694267515923564E-4</v>
      </c>
      <c r="AJ282" s="313">
        <f>RTD("money.excel",,$G282,"PredictVolume")</f>
        <v>20</v>
      </c>
      <c r="AK282" s="348"/>
    </row>
    <row r="283" spans="1:37">
      <c r="A283" s="132" t="s">
        <v>3586</v>
      </c>
      <c r="B283" s="81">
        <v>123</v>
      </c>
      <c r="C283" s="81">
        <v>116</v>
      </c>
      <c r="D283" s="81">
        <v>77</v>
      </c>
      <c r="E283" s="81">
        <v>107</v>
      </c>
      <c r="F283" s="58">
        <v>32.08</v>
      </c>
      <c r="G283" s="81">
        <v>4770</v>
      </c>
      <c r="H283" s="8" t="s">
        <v>4445</v>
      </c>
      <c r="I283" s="22" t="s">
        <v>4388</v>
      </c>
      <c r="J283" s="330">
        <v>63.69</v>
      </c>
      <c r="K283" s="75">
        <v>3.2</v>
      </c>
      <c r="L283" s="330"/>
      <c r="M283" s="330"/>
      <c r="N283" s="325">
        <f t="shared" ref="N283" si="64">K283+J283+L283+M283</f>
        <v>66.89</v>
      </c>
      <c r="O283" s="27"/>
      <c r="P283" s="56"/>
      <c r="Q283" s="26"/>
      <c r="T283" s="67">
        <v>4.3</v>
      </c>
      <c r="U283" s="366">
        <f t="shared" si="58"/>
        <v>1.7991631799163178E-2</v>
      </c>
      <c r="V283" s="58">
        <v>13.09</v>
      </c>
      <c r="W283" s="36">
        <f>RTD("money.excel",,"4770","Price")</f>
        <v>239</v>
      </c>
      <c r="X283" s="67"/>
      <c r="Y283" s="15">
        <f t="shared" si="59"/>
        <v>239</v>
      </c>
      <c r="Z283" s="3" t="e">
        <f t="shared" si="60"/>
        <v>#DIV/0!</v>
      </c>
      <c r="AA283" s="174" t="s">
        <v>4473</v>
      </c>
      <c r="AB283" s="22" t="s">
        <v>4546</v>
      </c>
      <c r="AE283" s="33">
        <f t="shared" si="61"/>
        <v>0</v>
      </c>
      <c r="AF283" s="43" t="s">
        <v>3162</v>
      </c>
      <c r="AG283" s="128"/>
      <c r="AI283" s="64">
        <f t="shared" si="62"/>
        <v>9.1719745222929938E-4</v>
      </c>
      <c r="AJ283" s="313">
        <f>RTD("money.excel",,$G283,"PredictVolume")</f>
        <v>72</v>
      </c>
      <c r="AK283" s="348"/>
    </row>
    <row r="284" spans="1:37">
      <c r="A284" s="148" t="s">
        <v>4547</v>
      </c>
      <c r="B284" s="93">
        <v>-28</v>
      </c>
      <c r="C284" s="93">
        <v>-54</v>
      </c>
      <c r="D284" s="93">
        <v>15</v>
      </c>
      <c r="E284" s="93">
        <v>16</v>
      </c>
      <c r="F284" s="6">
        <v>3.95</v>
      </c>
      <c r="G284" s="81">
        <v>6506</v>
      </c>
      <c r="H284" s="8" t="s">
        <v>4445</v>
      </c>
      <c r="I284" s="16" t="s">
        <v>4548</v>
      </c>
      <c r="J284" s="75">
        <v>61.95</v>
      </c>
      <c r="K284" s="75">
        <v>0.22</v>
      </c>
      <c r="L284" s="75">
        <v>2.17</v>
      </c>
      <c r="N284" s="325">
        <f t="shared" si="63"/>
        <v>64.34</v>
      </c>
      <c r="O284" s="27"/>
      <c r="P284" s="56"/>
      <c r="Q284" s="26"/>
      <c r="S284" s="330">
        <v>19.71</v>
      </c>
      <c r="T284" s="34">
        <v>0.8</v>
      </c>
      <c r="U284" s="366">
        <f t="shared" si="58"/>
        <v>4.2105263157894736E-2</v>
      </c>
      <c r="V284" s="97">
        <v>0.71</v>
      </c>
      <c r="W284" s="13">
        <f>RTD("money.excel",,"6506","Price")</f>
        <v>19</v>
      </c>
      <c r="X284" s="67"/>
      <c r="Y284" s="15">
        <f t="shared" si="59"/>
        <v>19</v>
      </c>
      <c r="Z284" s="3" t="e">
        <f t="shared" si="60"/>
        <v>#DIV/0!</v>
      </c>
      <c r="AB284" s="16" t="s">
        <v>4548</v>
      </c>
      <c r="AE284" s="33">
        <f t="shared" si="61"/>
        <v>0</v>
      </c>
      <c r="AF284" s="43" t="s">
        <v>4549</v>
      </c>
      <c r="AG284" s="128"/>
      <c r="AI284" s="64">
        <f t="shared" si="62"/>
        <v>3.8834951456310682E-4</v>
      </c>
      <c r="AJ284" s="313">
        <f>RTD("money.excel",,$G284,"PredictVolume")</f>
        <v>32</v>
      </c>
      <c r="AK284" s="348"/>
    </row>
    <row r="285" spans="1:37">
      <c r="A285" s="132" t="s">
        <v>4550</v>
      </c>
      <c r="B285" s="81">
        <v>43</v>
      </c>
      <c r="C285" s="81">
        <v>40</v>
      </c>
      <c r="D285" s="82">
        <v>-33</v>
      </c>
      <c r="E285" s="81">
        <v>29</v>
      </c>
      <c r="F285" s="58">
        <v>11.9</v>
      </c>
      <c r="G285" s="81">
        <v>6509</v>
      </c>
      <c r="H285" s="8" t="s">
        <v>4445</v>
      </c>
      <c r="I285" s="16" t="s">
        <v>4551</v>
      </c>
      <c r="J285" s="75">
        <v>21.67</v>
      </c>
      <c r="K285" s="330">
        <v>5.23</v>
      </c>
      <c r="L285" s="75">
        <v>20.63</v>
      </c>
      <c r="N285" s="325">
        <f t="shared" si="63"/>
        <v>47.53</v>
      </c>
      <c r="O285" s="27"/>
      <c r="P285" s="56"/>
      <c r="Q285" s="26"/>
      <c r="S285" s="330">
        <v>0.76</v>
      </c>
      <c r="T285" s="34">
        <v>1</v>
      </c>
      <c r="U285" s="366">
        <f t="shared" si="58"/>
        <v>1.7452006980802792E-2</v>
      </c>
      <c r="V285" s="97">
        <v>1.63</v>
      </c>
      <c r="W285" s="36">
        <f>RTD("money.excel",,"6509","Price")</f>
        <v>57.3</v>
      </c>
      <c r="X285" s="67"/>
      <c r="Y285" s="15">
        <f t="shared" si="59"/>
        <v>57.3</v>
      </c>
      <c r="Z285" s="3" t="e">
        <f t="shared" si="60"/>
        <v>#DIV/0!</v>
      </c>
      <c r="AA285" s="174" t="s">
        <v>4477</v>
      </c>
      <c r="AB285" s="16" t="s">
        <v>4551</v>
      </c>
      <c r="AE285" s="33">
        <f t="shared" si="61"/>
        <v>0</v>
      </c>
      <c r="AF285" s="122" t="s">
        <v>4552</v>
      </c>
      <c r="AG285" s="128"/>
      <c r="AI285" s="64">
        <f t="shared" si="62"/>
        <v>9.9364161849710975E-3</v>
      </c>
      <c r="AJ285" s="313">
        <f>RTD("money.excel",,$G285,"PredictVolume")</f>
        <v>1719</v>
      </c>
      <c r="AK285" s="348"/>
    </row>
    <row r="286" spans="1:37">
      <c r="B286" s="81"/>
      <c r="C286" s="81"/>
      <c r="D286" s="82"/>
      <c r="E286" s="81"/>
      <c r="F286" s="58"/>
      <c r="G286" s="81"/>
      <c r="H286" s="8"/>
      <c r="I286" s="16"/>
      <c r="J286" s="75"/>
      <c r="K286" s="330"/>
      <c r="N286" s="325"/>
      <c r="O286" s="27"/>
      <c r="P286" s="56"/>
      <c r="Q286" s="26"/>
      <c r="T286" s="34"/>
      <c r="V286" s="97"/>
      <c r="W286" s="36"/>
      <c r="X286" s="67"/>
      <c r="Y286" s="15"/>
      <c r="Z286" s="3"/>
      <c r="AB286" s="16"/>
      <c r="AE286" s="33"/>
      <c r="AF286" s="122"/>
      <c r="AG286" s="128"/>
      <c r="AI286" s="64"/>
      <c r="AJ286" s="313"/>
      <c r="AK286" s="348"/>
    </row>
    <row r="287" spans="1:37">
      <c r="A287" s="132" t="s">
        <v>4553</v>
      </c>
      <c r="B287" s="93" t="s">
        <v>4554</v>
      </c>
      <c r="C287" s="93" t="s">
        <v>4555</v>
      </c>
      <c r="D287" s="93" t="s">
        <v>4556</v>
      </c>
      <c r="E287" s="93" t="s">
        <v>4557</v>
      </c>
      <c r="F287" s="8" t="s">
        <v>4558</v>
      </c>
      <c r="G287" s="27" t="s">
        <v>4559</v>
      </c>
      <c r="H287" s="55" t="s">
        <v>342</v>
      </c>
      <c r="I287" s="50" t="s">
        <v>4560</v>
      </c>
      <c r="J287" s="324" t="s">
        <v>4561</v>
      </c>
      <c r="K287" s="324" t="s">
        <v>4562</v>
      </c>
      <c r="L287" s="324" t="s">
        <v>4563</v>
      </c>
      <c r="M287" s="324" t="s">
        <v>4564</v>
      </c>
      <c r="N287" s="324" t="s">
        <v>6091</v>
      </c>
      <c r="O287" s="27" t="s">
        <v>6253</v>
      </c>
      <c r="P287" s="56" t="s">
        <v>6219</v>
      </c>
      <c r="Q287" s="26" t="s">
        <v>6313</v>
      </c>
      <c r="R287" s="309" t="s">
        <v>4565</v>
      </c>
      <c r="S287" s="335" t="s">
        <v>4566</v>
      </c>
      <c r="T287" s="10" t="s">
        <v>4567</v>
      </c>
      <c r="U287" s="364" t="s">
        <v>6152</v>
      </c>
      <c r="V287" s="69" t="s">
        <v>4568</v>
      </c>
      <c r="W287" s="28" t="s">
        <v>4569</v>
      </c>
      <c r="X287" s="17" t="s">
        <v>4570</v>
      </c>
      <c r="Y287" s="14" t="s">
        <v>4571</v>
      </c>
      <c r="Z287" s="21" t="s">
        <v>4572</v>
      </c>
      <c r="AA287" s="322" t="s">
        <v>4573</v>
      </c>
      <c r="AB287" s="50" t="s">
        <v>4560</v>
      </c>
      <c r="AC287" s="73" t="s">
        <v>4574</v>
      </c>
      <c r="AD287" s="74" t="s">
        <v>4575</v>
      </c>
      <c r="AE287" s="32" t="s">
        <v>4576</v>
      </c>
      <c r="AF287" s="43"/>
      <c r="AG287" s="128"/>
      <c r="AI287" s="8" t="s">
        <v>4577</v>
      </c>
      <c r="AJ287" s="50" t="s">
        <v>4578</v>
      </c>
      <c r="AK287" s="348" t="s">
        <v>6074</v>
      </c>
    </row>
    <row r="288" spans="1:37">
      <c r="A288" s="132" t="s">
        <v>4579</v>
      </c>
      <c r="B288" s="81">
        <v>11</v>
      </c>
      <c r="C288" s="81">
        <v>10</v>
      </c>
      <c r="D288" s="82">
        <v>-7</v>
      </c>
      <c r="E288" s="81">
        <v>41</v>
      </c>
      <c r="F288" s="58">
        <v>21.94</v>
      </c>
      <c r="G288" s="81">
        <v>1565</v>
      </c>
      <c r="H288" s="151" t="s">
        <v>328</v>
      </c>
      <c r="I288" s="16" t="s">
        <v>4580</v>
      </c>
      <c r="J288" s="330">
        <v>21.62</v>
      </c>
      <c r="K288" s="330">
        <v>32.11</v>
      </c>
      <c r="L288" s="330">
        <v>8.67</v>
      </c>
      <c r="N288" s="325">
        <f t="shared" ref="N288" si="65">J288+K288+L288+M288</f>
        <v>62.400000000000006</v>
      </c>
      <c r="O288" s="27"/>
      <c r="P288" s="56"/>
      <c r="Q288" s="26"/>
      <c r="S288" s="330">
        <v>0.27</v>
      </c>
      <c r="T288" s="67">
        <v>12</v>
      </c>
      <c r="U288" s="366">
        <f t="shared" ref="U288:U319" si="66">T288/W288</f>
        <v>4.2553191489361701E-2</v>
      </c>
      <c r="V288" s="97">
        <v>15.65</v>
      </c>
      <c r="W288" s="36">
        <f>RTD("money.excel",,"1565","Price")</f>
        <v>282</v>
      </c>
      <c r="X288" s="67"/>
      <c r="Y288" s="15">
        <f t="shared" ref="Y288:Y351" si="67">W288-X288</f>
        <v>282</v>
      </c>
      <c r="Z288" s="3" t="e">
        <f t="shared" ref="Z288:Z351" si="68">Y288/X288</f>
        <v>#DIV/0!</v>
      </c>
      <c r="AA288" s="174" t="s">
        <v>4493</v>
      </c>
      <c r="AB288" s="16" t="s">
        <v>4580</v>
      </c>
      <c r="AE288" s="33">
        <f t="shared" ref="AE288:AE351" si="69">AD288-AC288</f>
        <v>0</v>
      </c>
      <c r="AF288" s="122" t="s">
        <v>4581</v>
      </c>
      <c r="AG288" s="125"/>
      <c r="AI288" s="64">
        <f t="shared" ref="AI288:AI319" si="70">AJ288/(A288*10000)</f>
        <v>9.1269841269841275E-4</v>
      </c>
      <c r="AJ288" s="313">
        <f>RTD("money.excel",,$G288,"PredictVolume")</f>
        <v>46</v>
      </c>
      <c r="AK288" s="348"/>
    </row>
    <row r="289" spans="1:37">
      <c r="A289" s="132" t="s">
        <v>4582</v>
      </c>
      <c r="B289" s="81">
        <v>6</v>
      </c>
      <c r="C289" s="82">
        <v>-9</v>
      </c>
      <c r="D289" s="81">
        <v>16</v>
      </c>
      <c r="E289" s="81">
        <v>151</v>
      </c>
      <c r="F289" s="58">
        <v>12.94</v>
      </c>
      <c r="G289" s="81">
        <v>1593</v>
      </c>
      <c r="H289" s="8" t="s">
        <v>328</v>
      </c>
      <c r="I289" s="16" t="s">
        <v>4583</v>
      </c>
      <c r="J289" s="75">
        <v>19.38</v>
      </c>
      <c r="K289" s="330">
        <v>1.86</v>
      </c>
      <c r="L289" s="330">
        <v>26.5</v>
      </c>
      <c r="N289" s="325">
        <f t="shared" ref="N289:N300" si="71">J289+K289+L289+M289</f>
        <v>47.739999999999995</v>
      </c>
      <c r="O289" s="27"/>
      <c r="P289" s="56"/>
      <c r="Q289" s="26"/>
      <c r="S289" s="330">
        <v>10.050000000000001</v>
      </c>
      <c r="T289" s="67">
        <v>3.6</v>
      </c>
      <c r="U289" s="366">
        <f t="shared" si="66"/>
        <v>5.0490883590462839E-2</v>
      </c>
      <c r="V289" s="97">
        <v>4.49</v>
      </c>
      <c r="W289" s="36">
        <f>RTD("money.excel",,"1593","Price")</f>
        <v>71.3</v>
      </c>
      <c r="X289" s="67"/>
      <c r="Y289" s="15">
        <f t="shared" si="67"/>
        <v>71.3</v>
      </c>
      <c r="Z289" s="3" t="e">
        <f t="shared" si="68"/>
        <v>#DIV/0!</v>
      </c>
      <c r="AA289" s="174" t="s">
        <v>4473</v>
      </c>
      <c r="AB289" s="16" t="s">
        <v>4583</v>
      </c>
      <c r="AE289" s="33">
        <f t="shared" si="69"/>
        <v>0</v>
      </c>
      <c r="AF289" s="43" t="s">
        <v>2312</v>
      </c>
      <c r="AG289" s="128"/>
      <c r="AI289" s="64">
        <f t="shared" si="70"/>
        <v>1.7994100294985251E-3</v>
      </c>
      <c r="AJ289" s="313">
        <f>RTD("money.excel",,$G289,"PredictVolume")</f>
        <v>61</v>
      </c>
      <c r="AK289" s="348"/>
    </row>
    <row r="290" spans="1:37">
      <c r="A290" s="148" t="s">
        <v>4584</v>
      </c>
      <c r="B290" s="82">
        <v>-31</v>
      </c>
      <c r="C290" s="82">
        <v>-27</v>
      </c>
      <c r="D290" s="82">
        <v>-12</v>
      </c>
      <c r="E290" s="82">
        <v>-52</v>
      </c>
      <c r="F290" s="6">
        <v>7.84</v>
      </c>
      <c r="G290" s="81">
        <v>1598</v>
      </c>
      <c r="H290" s="8" t="s">
        <v>328</v>
      </c>
      <c r="I290" s="22" t="s">
        <v>4585</v>
      </c>
      <c r="J290" s="330">
        <v>50.49</v>
      </c>
      <c r="K290" s="330">
        <v>5.96</v>
      </c>
      <c r="L290" s="330">
        <v>18.07</v>
      </c>
      <c r="M290" s="330">
        <v>9.89</v>
      </c>
      <c r="N290" s="325">
        <f t="shared" si="71"/>
        <v>84.410000000000011</v>
      </c>
      <c r="O290" s="27"/>
      <c r="P290" s="56"/>
      <c r="Q290" s="26"/>
      <c r="R290" s="308" t="s">
        <v>4500</v>
      </c>
      <c r="S290" s="330">
        <v>4.71</v>
      </c>
      <c r="T290" s="67">
        <v>7.47</v>
      </c>
      <c r="U290" s="366">
        <f t="shared" si="66"/>
        <v>0.17251732101616629</v>
      </c>
      <c r="V290" s="58">
        <v>9.18</v>
      </c>
      <c r="W290" s="36">
        <f>RTD("money.excel",,"1598","Price")</f>
        <v>43.3</v>
      </c>
      <c r="X290" s="67"/>
      <c r="Y290" s="15">
        <f t="shared" si="67"/>
        <v>43.3</v>
      </c>
      <c r="Z290" s="3" t="e">
        <f t="shared" si="68"/>
        <v>#DIV/0!</v>
      </c>
      <c r="AA290" s="174" t="s">
        <v>4586</v>
      </c>
      <c r="AB290" s="22" t="s">
        <v>4585</v>
      </c>
      <c r="AE290" s="33">
        <f t="shared" si="69"/>
        <v>0</v>
      </c>
      <c r="AF290" s="43" t="s">
        <v>4587</v>
      </c>
      <c r="AI290" s="64">
        <f t="shared" si="70"/>
        <v>2.1641791044776119E-3</v>
      </c>
      <c r="AJ290" s="313">
        <f>RTD("money.excel",,$G290,"PredictVolume")</f>
        <v>290</v>
      </c>
    </row>
    <row r="291" spans="1:37">
      <c r="A291" s="148" t="s">
        <v>4588</v>
      </c>
      <c r="B291" s="81">
        <v>60</v>
      </c>
      <c r="C291" s="81">
        <v>32</v>
      </c>
      <c r="D291" s="81">
        <v>2</v>
      </c>
      <c r="E291" s="81">
        <v>0</v>
      </c>
      <c r="F291" s="6">
        <v>6.72</v>
      </c>
      <c r="G291" s="81">
        <v>1701</v>
      </c>
      <c r="H291" s="8" t="s">
        <v>328</v>
      </c>
      <c r="I291" s="22" t="s">
        <v>4589</v>
      </c>
      <c r="J291" s="330">
        <v>52.38</v>
      </c>
      <c r="K291" s="75">
        <v>11.53</v>
      </c>
      <c r="L291" s="330">
        <v>8.73</v>
      </c>
      <c r="N291" s="325">
        <f t="shared" si="71"/>
        <v>72.64</v>
      </c>
      <c r="O291" s="27"/>
      <c r="P291" s="56"/>
      <c r="Q291" s="26"/>
      <c r="S291" s="330">
        <v>0.06</v>
      </c>
      <c r="T291" s="34">
        <v>1</v>
      </c>
      <c r="U291" s="366">
        <f t="shared" si="66"/>
        <v>4.5977011494252873E-2</v>
      </c>
      <c r="V291" s="97">
        <v>1.88</v>
      </c>
      <c r="W291" s="36">
        <f>RTD("money.excel",,"1701","Price")</f>
        <v>21.75</v>
      </c>
      <c r="X291" s="67"/>
      <c r="Y291" s="15">
        <f t="shared" si="67"/>
        <v>21.75</v>
      </c>
      <c r="Z291" s="3" t="e">
        <f t="shared" si="68"/>
        <v>#DIV/0!</v>
      </c>
      <c r="AA291" s="174" t="s">
        <v>4477</v>
      </c>
      <c r="AB291" s="22" t="s">
        <v>4589</v>
      </c>
      <c r="AE291" s="33">
        <f t="shared" si="69"/>
        <v>0</v>
      </c>
      <c r="AF291" s="43" t="s">
        <v>4590</v>
      </c>
      <c r="AG291" s="128"/>
      <c r="AI291" s="64">
        <f t="shared" si="70"/>
        <v>6.3087248322147649E-4</v>
      </c>
      <c r="AJ291" s="313">
        <f>RTD("money.excel",,$G291,"PredictVolume")</f>
        <v>188</v>
      </c>
      <c r="AK291" s="348"/>
    </row>
    <row r="292" spans="1:37">
      <c r="A292" s="132" t="s">
        <v>4591</v>
      </c>
      <c r="B292" s="82">
        <v>-3</v>
      </c>
      <c r="C292" s="82">
        <v>-2</v>
      </c>
      <c r="D292" s="81">
        <v>8</v>
      </c>
      <c r="E292" s="81">
        <v>5</v>
      </c>
      <c r="F292" s="58">
        <v>23.98</v>
      </c>
      <c r="G292" s="81">
        <v>1707</v>
      </c>
      <c r="H292" s="206" t="s">
        <v>328</v>
      </c>
      <c r="I292" s="22" t="s">
        <v>4592</v>
      </c>
      <c r="J292" s="330">
        <v>57.08</v>
      </c>
      <c r="K292" s="75">
        <v>11.68</v>
      </c>
      <c r="L292" s="75">
        <v>2.71</v>
      </c>
      <c r="N292" s="325">
        <f t="shared" si="71"/>
        <v>71.469999999999985</v>
      </c>
      <c r="O292" s="27"/>
      <c r="P292" s="56"/>
      <c r="Q292" s="26"/>
      <c r="S292" s="330">
        <v>0.01</v>
      </c>
      <c r="T292" s="67">
        <v>6.4</v>
      </c>
      <c r="U292" s="366">
        <f t="shared" si="66"/>
        <v>4.3986254295532649E-2</v>
      </c>
      <c r="V292" s="97">
        <v>9.35</v>
      </c>
      <c r="W292" s="36">
        <f>RTD("money.excel",,"1707","Price")</f>
        <v>145.5</v>
      </c>
      <c r="X292" s="67"/>
      <c r="Y292" s="15">
        <f t="shared" si="67"/>
        <v>145.5</v>
      </c>
      <c r="Z292" s="3" t="e">
        <f t="shared" si="68"/>
        <v>#DIV/0!</v>
      </c>
      <c r="AA292" s="174" t="s">
        <v>4493</v>
      </c>
      <c r="AB292" s="22" t="s">
        <v>4592</v>
      </c>
      <c r="AE292" s="33">
        <f t="shared" si="69"/>
        <v>0</v>
      </c>
      <c r="AF292" s="122" t="s">
        <v>4593</v>
      </c>
      <c r="AG292" s="128"/>
      <c r="AI292" s="64">
        <f t="shared" si="70"/>
        <v>4.4391891891891891E-3</v>
      </c>
      <c r="AJ292" s="313">
        <f>RTD("money.excel",,$G292,"PredictVolume")</f>
        <v>657</v>
      </c>
      <c r="AK292" s="348"/>
    </row>
    <row r="293" spans="1:37">
      <c r="A293" s="132" t="s">
        <v>4594</v>
      </c>
      <c r="B293" s="93">
        <v>11</v>
      </c>
      <c r="C293" s="93">
        <v>28</v>
      </c>
      <c r="D293" s="93">
        <v>-4</v>
      </c>
      <c r="E293" s="93">
        <v>1</v>
      </c>
      <c r="F293" s="58">
        <v>12.16</v>
      </c>
      <c r="G293" s="81">
        <v>1720</v>
      </c>
      <c r="H293" s="206" t="s">
        <v>328</v>
      </c>
      <c r="I293" s="22" t="s">
        <v>4595</v>
      </c>
      <c r="J293" s="75">
        <v>63.84</v>
      </c>
      <c r="K293" s="75">
        <v>2.35</v>
      </c>
      <c r="L293" s="75">
        <v>3.77</v>
      </c>
      <c r="N293" s="325">
        <f t="shared" si="71"/>
        <v>69.959999999999994</v>
      </c>
      <c r="O293" s="27"/>
      <c r="P293" s="56"/>
      <c r="Q293" s="26"/>
      <c r="S293" s="330">
        <v>26.52</v>
      </c>
      <c r="T293" s="34">
        <v>1.5</v>
      </c>
      <c r="U293" s="366">
        <f t="shared" si="66"/>
        <v>3.5211267605633804E-2</v>
      </c>
      <c r="V293" s="97">
        <v>2.93</v>
      </c>
      <c r="W293" s="13">
        <f>RTD("money.excel",,"1720","Price")</f>
        <v>42.6</v>
      </c>
      <c r="X293" s="67"/>
      <c r="Y293" s="15">
        <f t="shared" si="67"/>
        <v>42.6</v>
      </c>
      <c r="Z293" s="3" t="e">
        <f t="shared" si="68"/>
        <v>#DIV/0!</v>
      </c>
      <c r="AA293" s="174" t="s">
        <v>4477</v>
      </c>
      <c r="AB293" s="22" t="s">
        <v>4595</v>
      </c>
      <c r="AE293" s="33">
        <f t="shared" si="69"/>
        <v>0</v>
      </c>
      <c r="AF293" s="122" t="s">
        <v>4596</v>
      </c>
      <c r="AG293" s="269"/>
      <c r="AI293" s="64">
        <f t="shared" si="70"/>
        <v>1.4494382022471909E-3</v>
      </c>
      <c r="AJ293" s="313">
        <f>RTD("money.excel",,$G293,"PredictVolume")</f>
        <v>258</v>
      </c>
      <c r="AK293" s="348"/>
    </row>
    <row r="294" spans="1:37">
      <c r="A294" s="132" t="s">
        <v>4597</v>
      </c>
      <c r="B294" s="81">
        <v>46</v>
      </c>
      <c r="C294" s="81">
        <v>6</v>
      </c>
      <c r="D294" s="81">
        <v>0</v>
      </c>
      <c r="E294" s="81">
        <v>23</v>
      </c>
      <c r="F294" s="58">
        <v>17.63</v>
      </c>
      <c r="G294" s="81">
        <v>1731</v>
      </c>
      <c r="H294" s="206" t="s">
        <v>328</v>
      </c>
      <c r="I294" s="22" t="s">
        <v>4598</v>
      </c>
      <c r="J294" s="75">
        <v>46.8</v>
      </c>
      <c r="K294" s="75">
        <v>1.41</v>
      </c>
      <c r="L294" s="75">
        <v>9.48</v>
      </c>
      <c r="N294" s="325">
        <f t="shared" si="71"/>
        <v>57.69</v>
      </c>
      <c r="O294" s="27"/>
      <c r="P294" s="56"/>
      <c r="Q294" s="26"/>
      <c r="S294" s="330">
        <v>0.02</v>
      </c>
      <c r="T294" s="34">
        <v>1</v>
      </c>
      <c r="U294" s="366">
        <f t="shared" si="66"/>
        <v>5.10204081632653E-2</v>
      </c>
      <c r="V294" s="97">
        <v>1.29</v>
      </c>
      <c r="W294" s="36">
        <f>RTD("money.excel",,"1731","Price")</f>
        <v>19.600000000000001</v>
      </c>
      <c r="X294" s="67"/>
      <c r="Y294" s="15">
        <f t="shared" si="67"/>
        <v>19.600000000000001</v>
      </c>
      <c r="Z294" s="3" t="e">
        <f t="shared" si="68"/>
        <v>#DIV/0!</v>
      </c>
      <c r="AA294" s="174" t="s">
        <v>4477</v>
      </c>
      <c r="AB294" s="22" t="s">
        <v>4598</v>
      </c>
      <c r="AE294" s="33">
        <f t="shared" si="69"/>
        <v>0</v>
      </c>
      <c r="AF294" s="43" t="s">
        <v>4599</v>
      </c>
      <c r="AG294" s="128"/>
      <c r="AI294" s="64">
        <f t="shared" si="70"/>
        <v>7.1212121212121211E-4</v>
      </c>
      <c r="AJ294" s="313">
        <f>RTD("money.excel",,$G294,"PredictVolume")</f>
        <v>94</v>
      </c>
      <c r="AK294" s="348"/>
    </row>
    <row r="295" spans="1:37">
      <c r="A295" s="148" t="s">
        <v>4522</v>
      </c>
      <c r="B295" s="93">
        <v>89</v>
      </c>
      <c r="C295" s="93">
        <v>13</v>
      </c>
      <c r="D295" s="93">
        <v>27</v>
      </c>
      <c r="E295" s="93">
        <v>32</v>
      </c>
      <c r="F295" s="6">
        <v>6.6</v>
      </c>
      <c r="G295" s="81">
        <v>1733</v>
      </c>
      <c r="H295" s="206" t="s">
        <v>328</v>
      </c>
      <c r="I295" s="22" t="s">
        <v>4600</v>
      </c>
      <c r="J295" s="330">
        <v>21.45</v>
      </c>
      <c r="K295" s="330">
        <v>10.01</v>
      </c>
      <c r="L295" s="75">
        <v>8.81</v>
      </c>
      <c r="N295" s="325">
        <f t="shared" si="71"/>
        <v>40.270000000000003</v>
      </c>
      <c r="O295" s="27"/>
      <c r="P295" s="56"/>
      <c r="Q295" s="26"/>
      <c r="S295" s="330">
        <v>10.15</v>
      </c>
      <c r="T295" s="34">
        <v>1.1000000000000001</v>
      </c>
      <c r="U295" s="366">
        <f t="shared" si="66"/>
        <v>4.3564356435643568E-2</v>
      </c>
      <c r="V295" s="97">
        <v>0.95</v>
      </c>
      <c r="W295" s="36">
        <f>RTD("money.excel",,"1733","Price")</f>
        <v>25.25</v>
      </c>
      <c r="X295" s="67"/>
      <c r="Y295" s="15">
        <f t="shared" si="67"/>
        <v>25.25</v>
      </c>
      <c r="Z295" s="3" t="e">
        <f t="shared" si="68"/>
        <v>#DIV/0!</v>
      </c>
      <c r="AB295" s="22" t="s">
        <v>4600</v>
      </c>
      <c r="AE295" s="33">
        <f t="shared" si="69"/>
        <v>0</v>
      </c>
      <c r="AF295" s="43" t="s">
        <v>4601</v>
      </c>
      <c r="AG295" s="128"/>
      <c r="AI295" s="64">
        <f t="shared" si="70"/>
        <v>3.3899999999999998E-3</v>
      </c>
      <c r="AJ295" s="313">
        <f>RTD("money.excel",,$G295,"PredictVolume")</f>
        <v>339</v>
      </c>
      <c r="AK295" s="348"/>
    </row>
    <row r="296" spans="1:37">
      <c r="A296" s="148" t="s">
        <v>4602</v>
      </c>
      <c r="B296" s="82">
        <v>-16</v>
      </c>
      <c r="C296" s="81">
        <v>16</v>
      </c>
      <c r="D296" s="81">
        <v>11</v>
      </c>
      <c r="E296" s="82">
        <v>-15</v>
      </c>
      <c r="F296" s="6">
        <v>-5.12</v>
      </c>
      <c r="G296" s="81">
        <v>1734</v>
      </c>
      <c r="H296" s="206" t="s">
        <v>328</v>
      </c>
      <c r="I296" s="22" t="s">
        <v>4603</v>
      </c>
      <c r="J296" s="330">
        <v>24.49</v>
      </c>
      <c r="K296" s="75">
        <v>2.87</v>
      </c>
      <c r="L296" s="75">
        <v>17.920000000000002</v>
      </c>
      <c r="N296" s="325">
        <f t="shared" si="71"/>
        <v>45.28</v>
      </c>
      <c r="O296" s="27"/>
      <c r="P296" s="56"/>
      <c r="Q296" s="26"/>
      <c r="S296" s="330">
        <v>0.02</v>
      </c>
      <c r="T296" s="34">
        <v>0.2</v>
      </c>
      <c r="U296" s="366">
        <f t="shared" si="66"/>
        <v>7.168458781362008E-3</v>
      </c>
      <c r="V296" s="97">
        <v>-0.17</v>
      </c>
      <c r="W296" s="36">
        <f>RTD("money.excel",,"1734","Price")</f>
        <v>27.9</v>
      </c>
      <c r="X296" s="67"/>
      <c r="Y296" s="15">
        <f t="shared" si="67"/>
        <v>27.9</v>
      </c>
      <c r="Z296" s="3" t="e">
        <f t="shared" si="68"/>
        <v>#DIV/0!</v>
      </c>
      <c r="AA296" s="174" t="s">
        <v>4477</v>
      </c>
      <c r="AB296" s="22" t="s">
        <v>4603</v>
      </c>
      <c r="AE296" s="33">
        <f t="shared" si="69"/>
        <v>0</v>
      </c>
      <c r="AF296" s="43" t="s">
        <v>4596</v>
      </c>
      <c r="AG296" s="128"/>
      <c r="AI296" s="64">
        <f t="shared" si="70"/>
        <v>2E-3</v>
      </c>
      <c r="AJ296" s="313">
        <f>RTD("money.excel",,$G296,"PredictVolume")</f>
        <v>334</v>
      </c>
      <c r="AK296" s="348"/>
    </row>
    <row r="297" spans="1:37">
      <c r="A297" s="148" t="s">
        <v>4604</v>
      </c>
      <c r="B297" s="81">
        <v>140</v>
      </c>
      <c r="C297" s="81">
        <v>123</v>
      </c>
      <c r="D297" s="82">
        <v>-9</v>
      </c>
      <c r="E297" s="82">
        <v>-5</v>
      </c>
      <c r="F297" s="6">
        <v>0.56000000000000005</v>
      </c>
      <c r="G297" s="81">
        <v>1736</v>
      </c>
      <c r="H297" s="206" t="s">
        <v>328</v>
      </c>
      <c r="I297" s="22" t="s">
        <v>4605</v>
      </c>
      <c r="J297" s="330">
        <v>77.53</v>
      </c>
      <c r="K297" s="330">
        <v>7.8</v>
      </c>
      <c r="L297" s="75">
        <v>3.34</v>
      </c>
      <c r="N297" s="325">
        <f t="shared" si="71"/>
        <v>88.67</v>
      </c>
      <c r="O297" s="27"/>
      <c r="P297" s="56"/>
      <c r="Q297" s="26"/>
      <c r="S297" s="330">
        <v>2.37</v>
      </c>
      <c r="T297" s="34">
        <v>1.1200000000000001</v>
      </c>
      <c r="U297" s="366">
        <f t="shared" si="66"/>
        <v>2.1292775665399243E-2</v>
      </c>
      <c r="V297" s="58">
        <v>3.34</v>
      </c>
      <c r="W297" s="36">
        <f>RTD("money.excel",,"1736","Price")</f>
        <v>52.6</v>
      </c>
      <c r="X297" s="67"/>
      <c r="Y297" s="15">
        <f t="shared" si="67"/>
        <v>52.6</v>
      </c>
      <c r="Z297" s="3" t="e">
        <f t="shared" si="68"/>
        <v>#DIV/0!</v>
      </c>
      <c r="AA297" s="174" t="s">
        <v>4477</v>
      </c>
      <c r="AB297" s="22" t="s">
        <v>4605</v>
      </c>
      <c r="AE297" s="33">
        <f t="shared" si="69"/>
        <v>0</v>
      </c>
      <c r="AF297" s="43" t="s">
        <v>2327</v>
      </c>
      <c r="AG297" s="128"/>
      <c r="AI297" s="64">
        <f t="shared" si="70"/>
        <v>6.6666666666666664E-4</v>
      </c>
      <c r="AJ297" s="313">
        <f>RTD("money.excel",,$G297,"PredictVolume")</f>
        <v>202</v>
      </c>
      <c r="AK297" s="348"/>
    </row>
    <row r="298" spans="1:37">
      <c r="A298" s="132" t="s">
        <v>4606</v>
      </c>
      <c r="B298" s="82">
        <v>-28</v>
      </c>
      <c r="C298" s="82">
        <v>-21</v>
      </c>
      <c r="D298" s="82">
        <v>-13</v>
      </c>
      <c r="E298" s="82">
        <v>-7</v>
      </c>
      <c r="F298" s="58">
        <v>13.97</v>
      </c>
      <c r="G298" s="81">
        <v>1752</v>
      </c>
      <c r="H298" s="151" t="s">
        <v>328</v>
      </c>
      <c r="I298" s="16" t="s">
        <v>4607</v>
      </c>
      <c r="J298" s="75">
        <v>58.45</v>
      </c>
      <c r="K298" s="75">
        <v>1.24</v>
      </c>
      <c r="L298" s="75">
        <v>8.2200000000000006</v>
      </c>
      <c r="N298" s="325">
        <f t="shared" si="71"/>
        <v>67.910000000000011</v>
      </c>
      <c r="O298" s="27"/>
      <c r="P298" s="56"/>
      <c r="Q298" s="26"/>
      <c r="S298" s="330">
        <v>0</v>
      </c>
      <c r="T298" s="34">
        <v>1.6</v>
      </c>
      <c r="U298" s="366">
        <f t="shared" si="66"/>
        <v>4.2553191489361701E-2</v>
      </c>
      <c r="V298" s="58">
        <v>1.64</v>
      </c>
      <c r="W298" s="36">
        <f>RTD("money.excel",,"1752","Price")</f>
        <v>37.6</v>
      </c>
      <c r="X298" s="67"/>
      <c r="Y298" s="15">
        <f t="shared" si="67"/>
        <v>37.6</v>
      </c>
      <c r="Z298" s="3" t="e">
        <f t="shared" si="68"/>
        <v>#DIV/0!</v>
      </c>
      <c r="AA298" s="174" t="s">
        <v>4477</v>
      </c>
      <c r="AB298" s="16" t="s">
        <v>4607</v>
      </c>
      <c r="AE298" s="33">
        <f t="shared" si="69"/>
        <v>0</v>
      </c>
      <c r="AF298" s="122" t="s">
        <v>4608</v>
      </c>
      <c r="AG298" s="128"/>
      <c r="AI298" s="64">
        <f t="shared" si="70"/>
        <v>7.0297029702970294E-4</v>
      </c>
      <c r="AJ298" s="313">
        <f>RTD("money.excel",,$G298,"PredictVolume")</f>
        <v>71</v>
      </c>
      <c r="AK298" s="348"/>
    </row>
    <row r="299" spans="1:37">
      <c r="A299" s="132" t="s">
        <v>4222</v>
      </c>
      <c r="B299" s="95">
        <v>1221</v>
      </c>
      <c r="C299" s="81">
        <v>187</v>
      </c>
      <c r="D299" s="82">
        <v>-33</v>
      </c>
      <c r="E299" s="82">
        <v>-18</v>
      </c>
      <c r="F299" s="58">
        <v>10.33</v>
      </c>
      <c r="G299" s="81">
        <v>1760</v>
      </c>
      <c r="H299" s="206" t="s">
        <v>328</v>
      </c>
      <c r="I299" s="22" t="s">
        <v>673</v>
      </c>
      <c r="J299" s="330">
        <v>23.7</v>
      </c>
      <c r="K299" s="75">
        <v>3.29</v>
      </c>
      <c r="L299" s="330">
        <v>25.48</v>
      </c>
      <c r="M299" s="330">
        <v>20.74</v>
      </c>
      <c r="N299" s="325">
        <f t="shared" si="71"/>
        <v>73.209999999999994</v>
      </c>
      <c r="O299" s="27" t="s">
        <v>6200</v>
      </c>
      <c r="P299" s="56"/>
      <c r="Q299" s="26"/>
      <c r="R299" s="309" t="s">
        <v>6197</v>
      </c>
      <c r="S299" s="330">
        <v>3.95</v>
      </c>
      <c r="T299" s="34">
        <v>0.7</v>
      </c>
      <c r="U299" s="366">
        <f t="shared" si="66"/>
        <v>7.1210579857578834E-3</v>
      </c>
      <c r="V299" s="97">
        <v>1.91</v>
      </c>
      <c r="W299" s="36">
        <f>RTD("money.excel",,"1760","Price")</f>
        <v>98.3</v>
      </c>
      <c r="X299" s="67"/>
      <c r="Y299" s="15">
        <f t="shared" si="67"/>
        <v>98.3</v>
      </c>
      <c r="Z299" s="3" t="e">
        <f t="shared" si="68"/>
        <v>#DIV/0!</v>
      </c>
      <c r="AA299" s="174" t="s">
        <v>1943</v>
      </c>
      <c r="AB299" s="22" t="s">
        <v>673</v>
      </c>
      <c r="AE299" s="33">
        <f t="shared" si="69"/>
        <v>0</v>
      </c>
      <c r="AF299" s="43" t="s">
        <v>3333</v>
      </c>
      <c r="AG299" s="128"/>
      <c r="AI299" s="64">
        <f t="shared" si="70"/>
        <v>1.5495915985997666E-2</v>
      </c>
      <c r="AJ299" s="313">
        <f>RTD("money.excel",,$G299,"PredictVolume")</f>
        <v>1328</v>
      </c>
      <c r="AK299" s="348">
        <v>43.65</v>
      </c>
    </row>
    <row r="300" spans="1:37">
      <c r="A300" s="132" t="s">
        <v>4609</v>
      </c>
      <c r="B300" s="81">
        <v>440</v>
      </c>
      <c r="C300" s="81">
        <v>90</v>
      </c>
      <c r="D300" s="81">
        <v>288</v>
      </c>
      <c r="E300" s="81">
        <v>191</v>
      </c>
      <c r="F300" s="58">
        <v>14.84</v>
      </c>
      <c r="G300" s="81">
        <v>1762</v>
      </c>
      <c r="H300" s="206" t="s">
        <v>328</v>
      </c>
      <c r="I300" s="22" t="s">
        <v>4610</v>
      </c>
      <c r="J300" s="330">
        <v>33.869999999999997</v>
      </c>
      <c r="K300" s="330">
        <v>4.72</v>
      </c>
      <c r="L300" s="330">
        <v>33.96</v>
      </c>
      <c r="N300" s="325">
        <f t="shared" si="71"/>
        <v>72.55</v>
      </c>
      <c r="O300" s="27"/>
      <c r="P300" s="56"/>
      <c r="Q300" s="26"/>
      <c r="S300" s="330">
        <v>2.06</v>
      </c>
      <c r="T300" s="34">
        <v>1.5</v>
      </c>
      <c r="U300" s="366">
        <f t="shared" si="66"/>
        <v>2.8790786948176581E-2</v>
      </c>
      <c r="V300" s="97">
        <v>6.86</v>
      </c>
      <c r="W300" s="36">
        <f>RTD("money.excel",,"1762","Price")</f>
        <v>52.1</v>
      </c>
      <c r="X300" s="67"/>
      <c r="Y300" s="15">
        <f t="shared" si="67"/>
        <v>52.1</v>
      </c>
      <c r="Z300" s="3" t="e">
        <f t="shared" si="68"/>
        <v>#DIV/0!</v>
      </c>
      <c r="AA300" s="174" t="s">
        <v>4477</v>
      </c>
      <c r="AB300" s="22" t="s">
        <v>4610</v>
      </c>
      <c r="AE300" s="33">
        <f t="shared" si="69"/>
        <v>0</v>
      </c>
      <c r="AF300" s="43" t="s">
        <v>4611</v>
      </c>
      <c r="AG300" s="128"/>
      <c r="AI300" s="64">
        <f t="shared" si="70"/>
        <v>4.2268041237113405E-3</v>
      </c>
      <c r="AJ300" s="313">
        <f>RTD("money.excel",,$G300,"PredictVolume")</f>
        <v>328</v>
      </c>
      <c r="AK300" s="348"/>
    </row>
    <row r="301" spans="1:37">
      <c r="A301" s="132" t="s">
        <v>4612</v>
      </c>
      <c r="B301" s="82">
        <v>-32</v>
      </c>
      <c r="C301" s="82">
        <v>-32</v>
      </c>
      <c r="D301" s="81">
        <v>63</v>
      </c>
      <c r="E301" s="82">
        <v>-40</v>
      </c>
      <c r="F301" s="58">
        <v>22.79</v>
      </c>
      <c r="G301" s="81">
        <v>1777</v>
      </c>
      <c r="H301" s="151" t="s">
        <v>328</v>
      </c>
      <c r="I301" s="16" t="s">
        <v>4613</v>
      </c>
      <c r="J301" s="75">
        <v>50.38</v>
      </c>
      <c r="K301" s="330">
        <v>0.15</v>
      </c>
      <c r="L301" s="330">
        <v>2.23</v>
      </c>
      <c r="M301" s="75">
        <v>29.77</v>
      </c>
      <c r="N301" s="325">
        <f>K301+J301+L301+M301</f>
        <v>82.53</v>
      </c>
      <c r="O301" s="27"/>
      <c r="P301" s="56"/>
      <c r="Q301" s="26"/>
      <c r="R301" s="308" t="s">
        <v>6055</v>
      </c>
      <c r="S301" s="330">
        <v>0.06</v>
      </c>
      <c r="T301" s="67">
        <v>4</v>
      </c>
      <c r="U301" s="366">
        <f t="shared" si="66"/>
        <v>6.0514372163388813E-2</v>
      </c>
      <c r="V301" s="97">
        <v>4.57</v>
      </c>
      <c r="W301" s="36">
        <f>RTD("money.excel",,"1777","Price")</f>
        <v>66.099999999999994</v>
      </c>
      <c r="X301" s="67"/>
      <c r="Y301" s="15">
        <f t="shared" si="67"/>
        <v>66.099999999999994</v>
      </c>
      <c r="Z301" s="3" t="e">
        <f t="shared" si="68"/>
        <v>#DIV/0!</v>
      </c>
      <c r="AA301" s="174" t="s">
        <v>4493</v>
      </c>
      <c r="AB301" s="16" t="s">
        <v>4613</v>
      </c>
      <c r="AE301" s="33">
        <f t="shared" si="69"/>
        <v>0</v>
      </c>
      <c r="AF301" s="122" t="s">
        <v>2971</v>
      </c>
      <c r="AG301" s="128"/>
      <c r="AI301" s="64">
        <f t="shared" si="70"/>
        <v>7.9800498753117212E-4</v>
      </c>
      <c r="AJ301" s="313">
        <f>RTD("money.excel",,$G301,"PredictVolume")</f>
        <v>32</v>
      </c>
      <c r="AK301" s="348"/>
    </row>
    <row r="302" spans="1:37">
      <c r="A302" s="148" t="s">
        <v>4614</v>
      </c>
      <c r="B302" s="81">
        <v>369</v>
      </c>
      <c r="C302" s="82">
        <v>-81</v>
      </c>
      <c r="D302" s="82">
        <v>-10</v>
      </c>
      <c r="E302" s="81">
        <v>27</v>
      </c>
      <c r="F302" s="6">
        <v>-8.26</v>
      </c>
      <c r="G302" s="81">
        <v>1781</v>
      </c>
      <c r="H302" s="8" t="s">
        <v>328</v>
      </c>
      <c r="I302" s="16" t="s">
        <v>4615</v>
      </c>
      <c r="J302" s="330">
        <v>27.75</v>
      </c>
      <c r="K302" s="75">
        <v>0.35</v>
      </c>
      <c r="L302" s="330">
        <v>0</v>
      </c>
      <c r="N302" s="325">
        <f t="shared" ref="N302:N365" si="72">J302+K302+L302+M302</f>
        <v>28.1</v>
      </c>
      <c r="O302" s="27"/>
      <c r="P302" s="56"/>
      <c r="Q302" s="26"/>
      <c r="S302" s="330">
        <v>0</v>
      </c>
      <c r="T302" s="34">
        <v>0</v>
      </c>
      <c r="U302" s="366">
        <f t="shared" si="66"/>
        <v>0</v>
      </c>
      <c r="V302" s="97">
        <v>4.97</v>
      </c>
      <c r="W302" s="36">
        <f>RTD("money.excel",,"1781","Price")</f>
        <v>14</v>
      </c>
      <c r="X302" s="67"/>
      <c r="Y302" s="15">
        <f t="shared" si="67"/>
        <v>14</v>
      </c>
      <c r="Z302" s="3" t="e">
        <f t="shared" si="68"/>
        <v>#DIV/0!</v>
      </c>
      <c r="AB302" s="16" t="s">
        <v>4615</v>
      </c>
      <c r="AE302" s="33">
        <f t="shared" si="69"/>
        <v>0</v>
      </c>
      <c r="AF302" s="43" t="s">
        <v>4616</v>
      </c>
      <c r="AG302" s="128"/>
      <c r="AI302" s="64">
        <f t="shared" si="70"/>
        <v>1.0970464135021097E-3</v>
      </c>
      <c r="AJ302" s="313">
        <f>RTD("money.excel",,$G302,"PredictVolume")</f>
        <v>52</v>
      </c>
      <c r="AK302" s="348"/>
    </row>
    <row r="303" spans="1:37">
      <c r="A303" s="132" t="s">
        <v>4617</v>
      </c>
      <c r="B303" s="93">
        <v>-18</v>
      </c>
      <c r="C303" s="93">
        <v>-32</v>
      </c>
      <c r="D303" s="93">
        <v>-61</v>
      </c>
      <c r="E303" s="93">
        <v>3</v>
      </c>
      <c r="F303" s="58">
        <v>13.49</v>
      </c>
      <c r="G303" s="81">
        <v>1783</v>
      </c>
      <c r="H303" s="206" t="s">
        <v>328</v>
      </c>
      <c r="I303" s="22" t="s">
        <v>4618</v>
      </c>
      <c r="J303" s="75">
        <v>44</v>
      </c>
      <c r="K303" s="75">
        <v>17.239999999999998</v>
      </c>
      <c r="L303" s="75">
        <v>17.62</v>
      </c>
      <c r="N303" s="325">
        <f t="shared" si="72"/>
        <v>78.86</v>
      </c>
      <c r="O303" s="27"/>
      <c r="P303" s="56"/>
      <c r="Q303" s="26"/>
      <c r="S303" s="330">
        <v>13.28</v>
      </c>
      <c r="T303" s="34">
        <v>0.81</v>
      </c>
      <c r="U303" s="366">
        <f t="shared" si="66"/>
        <v>2.0124223602484472E-2</v>
      </c>
      <c r="V303" s="97">
        <v>0.91</v>
      </c>
      <c r="W303" s="36">
        <f>RTD("money.excel",,"1783","Price")</f>
        <v>40.25</v>
      </c>
      <c r="X303" s="67"/>
      <c r="Y303" s="15">
        <f t="shared" si="67"/>
        <v>40.25</v>
      </c>
      <c r="Z303" s="3" t="e">
        <f t="shared" si="68"/>
        <v>#DIV/0!</v>
      </c>
      <c r="AA303" s="174" t="s">
        <v>4477</v>
      </c>
      <c r="AB303" s="22" t="s">
        <v>4618</v>
      </c>
      <c r="AE303" s="33">
        <f t="shared" si="69"/>
        <v>0</v>
      </c>
      <c r="AF303" s="43" t="s">
        <v>4619</v>
      </c>
      <c r="AG303" s="128"/>
      <c r="AI303" s="64">
        <f t="shared" si="70"/>
        <v>1.2230215827338129E-3</v>
      </c>
      <c r="AJ303" s="313">
        <f>RTD("money.excel",,$G303,"PredictVolume")</f>
        <v>85</v>
      </c>
      <c r="AK303" s="348"/>
    </row>
    <row r="304" spans="1:37">
      <c r="A304" s="148" t="s">
        <v>4620</v>
      </c>
      <c r="B304" s="82">
        <v>-94</v>
      </c>
      <c r="C304" s="82">
        <v>-146</v>
      </c>
      <c r="D304" s="81">
        <v>20</v>
      </c>
      <c r="E304" s="81">
        <v>17</v>
      </c>
      <c r="F304" s="6">
        <v>-0.47</v>
      </c>
      <c r="G304" s="81">
        <v>1784</v>
      </c>
      <c r="H304" s="8" t="s">
        <v>328</v>
      </c>
      <c r="I304" s="16" t="s">
        <v>4621</v>
      </c>
      <c r="J304" s="75">
        <v>16.89</v>
      </c>
      <c r="K304" s="330">
        <v>2.37</v>
      </c>
      <c r="L304" s="75">
        <v>22.7</v>
      </c>
      <c r="N304" s="325">
        <f t="shared" si="72"/>
        <v>41.96</v>
      </c>
      <c r="O304" s="27"/>
      <c r="P304" s="56"/>
      <c r="Q304" s="26"/>
      <c r="S304" s="330">
        <v>0.02</v>
      </c>
      <c r="T304" s="34">
        <v>0.18</v>
      </c>
      <c r="U304" s="366">
        <f t="shared" si="66"/>
        <v>4.9450549450549448E-3</v>
      </c>
      <c r="V304" s="97">
        <v>0.27</v>
      </c>
      <c r="W304" s="36">
        <f>RTD("money.excel",,"1784","Price")</f>
        <v>36.4</v>
      </c>
      <c r="X304" s="67"/>
      <c r="Y304" s="15">
        <f t="shared" si="67"/>
        <v>36.4</v>
      </c>
      <c r="Z304" s="3" t="e">
        <f t="shared" si="68"/>
        <v>#DIV/0!</v>
      </c>
      <c r="AB304" s="16" t="s">
        <v>4621</v>
      </c>
      <c r="AE304" s="33">
        <f t="shared" si="69"/>
        <v>0</v>
      </c>
      <c r="AF304" s="43" t="s">
        <v>4622</v>
      </c>
      <c r="AG304" s="128"/>
      <c r="AI304" s="64">
        <f t="shared" si="70"/>
        <v>5.2419354838709675E-4</v>
      </c>
      <c r="AJ304" s="313">
        <f>RTD("money.excel",,$G304,"PredictVolume")</f>
        <v>26</v>
      </c>
      <c r="AK304" s="348"/>
    </row>
    <row r="305" spans="1:37">
      <c r="A305" s="132" t="s">
        <v>4623</v>
      </c>
      <c r="B305" s="93">
        <v>14</v>
      </c>
      <c r="C305" s="93">
        <v>16</v>
      </c>
      <c r="D305" s="93">
        <v>-38</v>
      </c>
      <c r="E305" s="93">
        <v>-22</v>
      </c>
      <c r="F305" s="58">
        <v>22.33</v>
      </c>
      <c r="G305" s="81">
        <v>1786</v>
      </c>
      <c r="H305" s="206" t="s">
        <v>328</v>
      </c>
      <c r="I305" s="22" t="s">
        <v>4624</v>
      </c>
      <c r="J305" s="75">
        <v>48.12</v>
      </c>
      <c r="K305" s="330">
        <v>1.25</v>
      </c>
      <c r="L305" s="75">
        <v>39.299999999999997</v>
      </c>
      <c r="N305" s="325">
        <f t="shared" si="72"/>
        <v>88.669999999999987</v>
      </c>
      <c r="O305" s="27"/>
      <c r="P305" s="56"/>
      <c r="Q305" s="26"/>
      <c r="S305" s="330">
        <v>17.25</v>
      </c>
      <c r="T305" s="34">
        <v>1.81</v>
      </c>
      <c r="U305" s="366">
        <f t="shared" si="66"/>
        <v>4.3667068757539201E-2</v>
      </c>
      <c r="V305" s="97">
        <v>2.15</v>
      </c>
      <c r="W305" s="36">
        <f>RTD("money.excel",,"1786","Price")</f>
        <v>41.45</v>
      </c>
      <c r="X305" s="67"/>
      <c r="Y305" s="15">
        <f t="shared" si="67"/>
        <v>41.45</v>
      </c>
      <c r="Z305" s="3" t="e">
        <f t="shared" si="68"/>
        <v>#DIV/0!</v>
      </c>
      <c r="AB305" s="22" t="s">
        <v>4624</v>
      </c>
      <c r="AE305" s="33">
        <f t="shared" si="69"/>
        <v>0</v>
      </c>
      <c r="AF305" s="43" t="s">
        <v>4625</v>
      </c>
      <c r="AG305" s="128"/>
      <c r="AI305" s="64">
        <f t="shared" si="70"/>
        <v>2.2950819672131148E-3</v>
      </c>
      <c r="AJ305" s="313">
        <f>RTD("money.excel",,$G305,"PredictVolume")</f>
        <v>140</v>
      </c>
      <c r="AK305" s="348"/>
    </row>
    <row r="306" spans="1:37">
      <c r="A306" s="132" t="s">
        <v>4626</v>
      </c>
      <c r="B306" s="81">
        <v>36</v>
      </c>
      <c r="C306" s="81">
        <v>26</v>
      </c>
      <c r="D306" s="81">
        <v>-10</v>
      </c>
      <c r="E306" s="81">
        <v>6</v>
      </c>
      <c r="F306" s="58">
        <v>11</v>
      </c>
      <c r="G306" s="81">
        <v>1788</v>
      </c>
      <c r="H306" s="8" t="s">
        <v>328</v>
      </c>
      <c r="I306" s="16" t="s">
        <v>4627</v>
      </c>
      <c r="J306" s="330">
        <v>54.48</v>
      </c>
      <c r="K306" s="330">
        <v>11.46</v>
      </c>
      <c r="L306" s="330">
        <v>0.09</v>
      </c>
      <c r="N306" s="325">
        <f t="shared" si="72"/>
        <v>66.03</v>
      </c>
      <c r="O306" s="27"/>
      <c r="P306" s="56"/>
      <c r="Q306" s="26"/>
      <c r="S306" s="330">
        <v>0</v>
      </c>
      <c r="T306" s="67">
        <v>7</v>
      </c>
      <c r="U306" s="366">
        <f t="shared" si="66"/>
        <v>4.7945205479452052E-2</v>
      </c>
      <c r="V306" s="97">
        <v>8.77</v>
      </c>
      <c r="W306" s="36">
        <f>RTD("money.excel",,"1788","Price")</f>
        <v>146</v>
      </c>
      <c r="X306" s="67"/>
      <c r="Y306" s="15">
        <f t="shared" si="67"/>
        <v>146</v>
      </c>
      <c r="Z306" s="3" t="e">
        <f t="shared" si="68"/>
        <v>#DIV/0!</v>
      </c>
      <c r="AA306" s="174" t="s">
        <v>4473</v>
      </c>
      <c r="AB306" s="16" t="s">
        <v>4627</v>
      </c>
      <c r="AE306" s="33">
        <f t="shared" si="69"/>
        <v>0</v>
      </c>
      <c r="AF306" s="43" t="s">
        <v>4628</v>
      </c>
      <c r="AG306" s="128"/>
      <c r="AI306" s="64">
        <f t="shared" si="70"/>
        <v>1.8617021276595746E-4</v>
      </c>
      <c r="AJ306" s="313">
        <f>RTD("money.excel",,$G306,"PredictVolume")</f>
        <v>7</v>
      </c>
      <c r="AK306" s="348"/>
    </row>
    <row r="307" spans="1:37">
      <c r="A307" s="132" t="s">
        <v>4629</v>
      </c>
      <c r="B307" s="81">
        <v>63</v>
      </c>
      <c r="C307" s="81">
        <v>68</v>
      </c>
      <c r="D307" s="81">
        <v>15</v>
      </c>
      <c r="E307" s="81">
        <v>43</v>
      </c>
      <c r="F307" s="58">
        <v>16.04</v>
      </c>
      <c r="G307" s="81">
        <v>1789</v>
      </c>
      <c r="H307" s="206" t="s">
        <v>328</v>
      </c>
      <c r="I307" s="22" t="s">
        <v>4630</v>
      </c>
      <c r="J307" s="330">
        <v>76.37</v>
      </c>
      <c r="K307" s="75">
        <v>4.28</v>
      </c>
      <c r="L307" s="75">
        <v>3.89</v>
      </c>
      <c r="N307" s="325">
        <f t="shared" si="72"/>
        <v>84.54</v>
      </c>
      <c r="O307" s="27"/>
      <c r="P307" s="56"/>
      <c r="Q307" s="26"/>
      <c r="S307" s="330">
        <v>0.02</v>
      </c>
      <c r="T307" s="34">
        <v>0.5</v>
      </c>
      <c r="U307" s="366">
        <f t="shared" si="66"/>
        <v>2.1551724137931036E-2</v>
      </c>
      <c r="V307" s="97">
        <v>0.36</v>
      </c>
      <c r="W307" s="36">
        <f>RTD("money.excel",,"1789","Price")</f>
        <v>23.2</v>
      </c>
      <c r="X307" s="67"/>
      <c r="Y307" s="15">
        <f t="shared" si="67"/>
        <v>23.2</v>
      </c>
      <c r="Z307" s="3" t="e">
        <f t="shared" si="68"/>
        <v>#DIV/0!</v>
      </c>
      <c r="AB307" s="22" t="s">
        <v>4630</v>
      </c>
      <c r="AE307" s="33">
        <f t="shared" si="69"/>
        <v>0</v>
      </c>
      <c r="AF307" s="122" t="s">
        <v>4631</v>
      </c>
      <c r="AG307" s="128"/>
      <c r="AI307" s="64">
        <f t="shared" si="70"/>
        <v>3.9873417721518988E-4</v>
      </c>
      <c r="AJ307" s="313">
        <f>RTD("money.excel",,$G307,"PredictVolume")</f>
        <v>315</v>
      </c>
      <c r="AK307" s="348"/>
    </row>
    <row r="308" spans="1:37">
      <c r="A308" s="132" t="s">
        <v>4632</v>
      </c>
      <c r="B308" s="81">
        <v>61</v>
      </c>
      <c r="C308" s="81">
        <v>63</v>
      </c>
      <c r="D308" s="81">
        <v>13</v>
      </c>
      <c r="E308" s="81">
        <v>3</v>
      </c>
      <c r="F308" s="58">
        <v>19.32</v>
      </c>
      <c r="G308" s="81">
        <v>1795</v>
      </c>
      <c r="H308" s="8" t="s">
        <v>328</v>
      </c>
      <c r="I308" s="22" t="s">
        <v>4633</v>
      </c>
      <c r="J308" s="75">
        <v>68.02</v>
      </c>
      <c r="K308" s="330">
        <v>75.930000000000007</v>
      </c>
      <c r="L308" s="75">
        <v>18.09</v>
      </c>
      <c r="M308" s="330">
        <v>57.5</v>
      </c>
      <c r="N308" s="75">
        <f t="shared" si="72"/>
        <v>219.54</v>
      </c>
      <c r="O308" s="27"/>
      <c r="P308" s="56"/>
      <c r="Q308" s="26"/>
      <c r="R308" s="308" t="s">
        <v>4500</v>
      </c>
      <c r="S308" s="330">
        <v>4.24</v>
      </c>
      <c r="T308" s="34">
        <v>0.35</v>
      </c>
      <c r="U308" s="366">
        <f t="shared" si="66"/>
        <v>3.4146341463414634E-3</v>
      </c>
      <c r="V308" s="58">
        <v>5.68</v>
      </c>
      <c r="W308" s="13">
        <f>RTD("money.excel",,"1795","Price")</f>
        <v>102.5</v>
      </c>
      <c r="X308" s="67"/>
      <c r="Y308" s="15">
        <f t="shared" si="67"/>
        <v>102.5</v>
      </c>
      <c r="Z308" s="3" t="e">
        <f t="shared" si="68"/>
        <v>#DIV/0!</v>
      </c>
      <c r="AB308" s="22" t="s">
        <v>4633</v>
      </c>
      <c r="AE308" s="33">
        <f t="shared" si="69"/>
        <v>0</v>
      </c>
      <c r="AF308" s="43" t="s">
        <v>4634</v>
      </c>
      <c r="AG308" s="128"/>
      <c r="AI308" s="64">
        <f t="shared" si="70"/>
        <v>2.4992366412213741E-2</v>
      </c>
      <c r="AJ308" s="313">
        <f>RTD("money.excel",,$G308,"PredictVolume")</f>
        <v>6548</v>
      </c>
      <c r="AK308" s="348"/>
    </row>
    <row r="309" spans="1:37">
      <c r="A309" s="148" t="s">
        <v>4635</v>
      </c>
      <c r="B309" s="81">
        <v>38</v>
      </c>
      <c r="C309" s="81">
        <v>26</v>
      </c>
      <c r="D309" s="81">
        <v>213</v>
      </c>
      <c r="E309" s="81">
        <v>109</v>
      </c>
      <c r="F309" s="6">
        <v>-59.35</v>
      </c>
      <c r="G309" s="81">
        <v>1799</v>
      </c>
      <c r="H309" s="8" t="s">
        <v>328</v>
      </c>
      <c r="I309" s="16" t="s">
        <v>4636</v>
      </c>
      <c r="J309" s="75">
        <v>66.510000000000005</v>
      </c>
      <c r="K309" s="75">
        <v>13.37</v>
      </c>
      <c r="N309" s="325">
        <f t="shared" si="72"/>
        <v>79.88000000000001</v>
      </c>
      <c r="O309" s="27"/>
      <c r="P309" s="56"/>
      <c r="Q309" s="26"/>
      <c r="T309" s="34">
        <v>0</v>
      </c>
      <c r="U309" s="366">
        <f t="shared" si="66"/>
        <v>0</v>
      </c>
      <c r="V309" s="58">
        <v>-1.32</v>
      </c>
      <c r="W309" s="36">
        <f>RTD("money.excel",,"1799","Price")</f>
        <v>14.3</v>
      </c>
      <c r="X309" s="67"/>
      <c r="Y309" s="15">
        <f t="shared" si="67"/>
        <v>14.3</v>
      </c>
      <c r="Z309" s="3" t="e">
        <f t="shared" si="68"/>
        <v>#DIV/0!</v>
      </c>
      <c r="AB309" s="16" t="s">
        <v>4636</v>
      </c>
      <c r="AE309" s="33">
        <f t="shared" si="69"/>
        <v>0</v>
      </c>
      <c r="AF309" s="43" t="s">
        <v>2971</v>
      </c>
      <c r="AG309" s="128"/>
      <c r="AI309" s="64">
        <f t="shared" si="70"/>
        <v>2.8776978417266186E-5</v>
      </c>
      <c r="AJ309" s="313">
        <f>RTD("money.excel",,$G309,"PredictVolume")</f>
        <v>4</v>
      </c>
      <c r="AK309" s="348"/>
    </row>
    <row r="310" spans="1:37">
      <c r="A310" s="148" t="s">
        <v>4637</v>
      </c>
      <c r="B310" s="93">
        <v>-113</v>
      </c>
      <c r="C310" s="93">
        <v>-415</v>
      </c>
      <c r="D310" s="93">
        <v>23</v>
      </c>
      <c r="E310" s="93">
        <v>30</v>
      </c>
      <c r="F310" s="6">
        <v>-12.88</v>
      </c>
      <c r="G310" s="81">
        <v>1813</v>
      </c>
      <c r="H310" s="8" t="s">
        <v>328</v>
      </c>
      <c r="I310" s="16" t="s">
        <v>4638</v>
      </c>
      <c r="J310" s="75">
        <v>40.6</v>
      </c>
      <c r="K310" s="330">
        <v>10.07</v>
      </c>
      <c r="L310" s="330">
        <v>1.82</v>
      </c>
      <c r="N310" s="325">
        <f t="shared" si="72"/>
        <v>52.49</v>
      </c>
      <c r="O310" s="27"/>
      <c r="P310" s="56"/>
      <c r="Q310" s="26"/>
      <c r="S310" s="330">
        <v>33.89</v>
      </c>
      <c r="T310" s="34">
        <v>0</v>
      </c>
      <c r="U310" s="366">
        <f t="shared" si="66"/>
        <v>0</v>
      </c>
      <c r="V310" s="97">
        <v>0</v>
      </c>
      <c r="W310" s="36">
        <f>RTD("money.excel",,"1813","Price")</f>
        <v>18.899999999999999</v>
      </c>
      <c r="X310" s="67"/>
      <c r="Y310" s="15">
        <f t="shared" si="67"/>
        <v>18.899999999999999</v>
      </c>
      <c r="Z310" s="3" t="e">
        <f t="shared" si="68"/>
        <v>#DIV/0!</v>
      </c>
      <c r="AB310" s="16" t="s">
        <v>4638</v>
      </c>
      <c r="AE310" s="33">
        <f t="shared" si="69"/>
        <v>0</v>
      </c>
      <c r="AF310" s="43" t="s">
        <v>4639</v>
      </c>
      <c r="AG310" s="128"/>
      <c r="AI310" s="64">
        <f t="shared" si="70"/>
        <v>2.3605150214592275E-4</v>
      </c>
      <c r="AJ310" s="313">
        <f>RTD("money.excel",,$G310,"PredictVolume")</f>
        <v>11</v>
      </c>
      <c r="AK310" s="348"/>
    </row>
    <row r="311" spans="1:37">
      <c r="A311" s="148" t="s">
        <v>4640</v>
      </c>
      <c r="B311" s="93">
        <v>8</v>
      </c>
      <c r="C311" s="93">
        <v>3</v>
      </c>
      <c r="D311" s="93">
        <v>-34</v>
      </c>
      <c r="E311" s="93">
        <v>76</v>
      </c>
      <c r="F311" s="6">
        <v>9</v>
      </c>
      <c r="G311" s="81">
        <v>3118</v>
      </c>
      <c r="H311" s="8" t="s">
        <v>328</v>
      </c>
      <c r="I311" s="16" t="s">
        <v>4641</v>
      </c>
      <c r="J311" s="75">
        <v>40.590000000000003</v>
      </c>
      <c r="K311" s="75">
        <v>10.06</v>
      </c>
      <c r="L311" s="75">
        <v>1.52</v>
      </c>
      <c r="N311" s="325">
        <f t="shared" si="72"/>
        <v>52.170000000000009</v>
      </c>
      <c r="O311" s="27"/>
      <c r="P311" s="56"/>
      <c r="Q311" s="26"/>
      <c r="S311" s="330">
        <v>24.85</v>
      </c>
      <c r="T311" s="34">
        <v>1.6</v>
      </c>
      <c r="U311" s="366">
        <f t="shared" si="66"/>
        <v>5.5172413793103454E-2</v>
      </c>
      <c r="V311" s="97">
        <v>1.79</v>
      </c>
      <c r="W311" s="36">
        <f>RTD("money.excel",,"3118","Price")</f>
        <v>29</v>
      </c>
      <c r="X311" s="67"/>
      <c r="Y311" s="15">
        <f t="shared" si="67"/>
        <v>29</v>
      </c>
      <c r="Z311" s="3" t="e">
        <f t="shared" si="68"/>
        <v>#DIV/0!</v>
      </c>
      <c r="AB311" s="16" t="s">
        <v>4641</v>
      </c>
      <c r="AE311" s="33">
        <f t="shared" si="69"/>
        <v>0</v>
      </c>
      <c r="AF311" s="43" t="s">
        <v>4642</v>
      </c>
      <c r="AG311" s="128"/>
      <c r="AI311" s="64">
        <f t="shared" si="70"/>
        <v>4.3076923076923077E-4</v>
      </c>
      <c r="AJ311" s="313">
        <f>RTD("money.excel",,$G311,"PredictVolume")</f>
        <v>14</v>
      </c>
      <c r="AK311" s="348"/>
    </row>
    <row r="312" spans="1:37">
      <c r="A312" s="132" t="s">
        <v>4643</v>
      </c>
      <c r="B312" s="93">
        <v>-13</v>
      </c>
      <c r="C312" s="93">
        <v>-3</v>
      </c>
      <c r="D312" s="93">
        <v>38</v>
      </c>
      <c r="E312" s="93">
        <v>69</v>
      </c>
      <c r="F312" s="58">
        <v>30.06</v>
      </c>
      <c r="G312" s="81">
        <v>3164</v>
      </c>
      <c r="H312" s="206" t="s">
        <v>328</v>
      </c>
      <c r="I312" s="22" t="s">
        <v>4644</v>
      </c>
      <c r="J312" s="75">
        <v>52.03</v>
      </c>
      <c r="K312" s="75">
        <v>0.87</v>
      </c>
      <c r="L312" s="75">
        <v>26</v>
      </c>
      <c r="N312" s="325">
        <f t="shared" si="72"/>
        <v>78.900000000000006</v>
      </c>
      <c r="O312" s="27"/>
      <c r="P312" s="56"/>
      <c r="Q312" s="26"/>
      <c r="S312" s="330">
        <v>12.39</v>
      </c>
      <c r="T312" s="34">
        <v>0.7</v>
      </c>
      <c r="U312" s="366">
        <f t="shared" si="66"/>
        <v>2.9288702928870293E-2</v>
      </c>
      <c r="V312" s="97">
        <v>0.69</v>
      </c>
      <c r="W312" s="13">
        <f>RTD("money.excel",,"3164","Price")</f>
        <v>23.9</v>
      </c>
      <c r="X312" s="67"/>
      <c r="Y312" s="15">
        <f t="shared" si="67"/>
        <v>23.9</v>
      </c>
      <c r="Z312" s="3" t="e">
        <f t="shared" si="68"/>
        <v>#DIV/0!</v>
      </c>
      <c r="AB312" s="22" t="s">
        <v>4644</v>
      </c>
      <c r="AE312" s="33">
        <f t="shared" si="69"/>
        <v>0</v>
      </c>
      <c r="AF312" s="43" t="s">
        <v>4645</v>
      </c>
      <c r="AG312" s="128"/>
      <c r="AI312" s="64">
        <f t="shared" si="70"/>
        <v>4.7508690614136723E-4</v>
      </c>
      <c r="AJ312" s="313">
        <f>RTD("money.excel",,$G312,"PredictVolume")</f>
        <v>41</v>
      </c>
      <c r="AK312" s="348"/>
    </row>
    <row r="313" spans="1:37">
      <c r="A313" s="148" t="s">
        <v>4635</v>
      </c>
      <c r="B313" s="82">
        <v>-23</v>
      </c>
      <c r="C313" s="82">
        <v>-19</v>
      </c>
      <c r="D313" s="81">
        <v>36</v>
      </c>
      <c r="E313" s="81">
        <v>33</v>
      </c>
      <c r="F313" s="75">
        <v>-148.19</v>
      </c>
      <c r="G313" s="81">
        <v>3176</v>
      </c>
      <c r="H313" s="8" t="s">
        <v>328</v>
      </c>
      <c r="I313" s="16" t="s">
        <v>4646</v>
      </c>
      <c r="J313" s="330">
        <v>25.09</v>
      </c>
      <c r="K313" s="75">
        <v>3.47</v>
      </c>
      <c r="N313" s="325">
        <f t="shared" si="72"/>
        <v>28.56</v>
      </c>
      <c r="O313" s="27"/>
      <c r="P313" s="56"/>
      <c r="Q313" s="26"/>
      <c r="T313" s="34">
        <v>0</v>
      </c>
      <c r="U313" s="366">
        <f t="shared" si="66"/>
        <v>0</v>
      </c>
      <c r="V313" s="97">
        <v>-2.4300000000000002</v>
      </c>
      <c r="W313" s="36">
        <f>RTD("money.excel",,"3176","Price")</f>
        <v>50</v>
      </c>
      <c r="X313" s="67"/>
      <c r="Y313" s="15">
        <f t="shared" si="67"/>
        <v>50</v>
      </c>
      <c r="Z313" s="3" t="e">
        <f t="shared" si="68"/>
        <v>#DIV/0!</v>
      </c>
      <c r="AA313" s="174" t="s">
        <v>4477</v>
      </c>
      <c r="AB313" s="16" t="s">
        <v>4646</v>
      </c>
      <c r="AE313" s="33">
        <f t="shared" si="69"/>
        <v>0</v>
      </c>
      <c r="AF313" s="43" t="s">
        <v>4647</v>
      </c>
      <c r="AG313" s="128"/>
      <c r="AI313" s="64">
        <f t="shared" si="70"/>
        <v>1.3741007194244604E-3</v>
      </c>
      <c r="AJ313" s="313">
        <f>RTD("money.excel",,$G313,"PredictVolume")</f>
        <v>191</v>
      </c>
      <c r="AK313" s="348"/>
    </row>
    <row r="314" spans="1:37">
      <c r="A314" s="148" t="s">
        <v>4527</v>
      </c>
      <c r="B314" s="93">
        <v>26</v>
      </c>
      <c r="C314" s="93">
        <v>27</v>
      </c>
      <c r="D314" s="93">
        <v>9</v>
      </c>
      <c r="E314" s="93">
        <v>39</v>
      </c>
      <c r="F314" s="6">
        <v>-13.98</v>
      </c>
      <c r="G314" s="81">
        <v>3205</v>
      </c>
      <c r="H314" s="8" t="s">
        <v>328</v>
      </c>
      <c r="I314" s="16" t="s">
        <v>4648</v>
      </c>
      <c r="J314" s="75">
        <v>37.4</v>
      </c>
      <c r="K314" s="75">
        <v>11.27</v>
      </c>
      <c r="L314" s="75">
        <v>15.65</v>
      </c>
      <c r="N314" s="325">
        <f t="shared" si="72"/>
        <v>64.320000000000007</v>
      </c>
      <c r="O314" s="27"/>
      <c r="P314" s="56"/>
      <c r="Q314" s="26"/>
      <c r="S314" s="330">
        <v>14.1</v>
      </c>
      <c r="T314" s="34">
        <v>0</v>
      </c>
      <c r="U314" s="366">
        <f t="shared" si="66"/>
        <v>0</v>
      </c>
      <c r="V314" s="97">
        <v>-2.77</v>
      </c>
      <c r="W314" s="36">
        <f>RTD("money.excel",,"3205","Price")</f>
        <v>22.65</v>
      </c>
      <c r="X314" s="67"/>
      <c r="Y314" s="15">
        <f t="shared" si="67"/>
        <v>22.65</v>
      </c>
      <c r="Z314" s="3" t="e">
        <f t="shared" si="68"/>
        <v>#DIV/0!</v>
      </c>
      <c r="AB314" s="16" t="s">
        <v>4648</v>
      </c>
      <c r="AE314" s="33">
        <f t="shared" si="69"/>
        <v>0</v>
      </c>
      <c r="AF314" s="43" t="s">
        <v>4649</v>
      </c>
      <c r="AG314" s="128"/>
      <c r="AI314" s="64">
        <f t="shared" si="70"/>
        <v>2.4390243902439024E-4</v>
      </c>
      <c r="AJ314" s="313">
        <f>RTD("money.excel",,$G314,"PredictVolume")</f>
        <v>8</v>
      </c>
      <c r="AK314" s="348"/>
    </row>
    <row r="315" spans="1:37">
      <c r="A315" s="132" t="s">
        <v>4650</v>
      </c>
      <c r="B315" s="81">
        <v>45</v>
      </c>
      <c r="C315" s="81">
        <v>47</v>
      </c>
      <c r="D315" s="81">
        <v>1</v>
      </c>
      <c r="E315" s="81">
        <v>9</v>
      </c>
      <c r="F315" s="58">
        <v>29.23</v>
      </c>
      <c r="G315" s="81">
        <v>3218</v>
      </c>
      <c r="H315" s="8" t="s">
        <v>328</v>
      </c>
      <c r="I315" s="16" t="s">
        <v>4651</v>
      </c>
      <c r="J315" s="75">
        <v>61.98</v>
      </c>
      <c r="K315" s="75">
        <v>33.58</v>
      </c>
      <c r="L315" s="330">
        <v>4.66</v>
      </c>
      <c r="N315" s="325">
        <f t="shared" si="72"/>
        <v>100.22</v>
      </c>
      <c r="O315" s="27"/>
      <c r="P315" s="56"/>
      <c r="Q315" s="26"/>
      <c r="S315" s="330">
        <v>8.68</v>
      </c>
      <c r="T315" s="67">
        <v>4.2</v>
      </c>
      <c r="U315" s="366">
        <f t="shared" si="66"/>
        <v>1.3976705490848586E-2</v>
      </c>
      <c r="V315" s="97">
        <v>7.3</v>
      </c>
      <c r="W315" s="36">
        <f>RTD("money.excel",,"3218","Price")</f>
        <v>300.5</v>
      </c>
      <c r="X315" s="67"/>
      <c r="Y315" s="15">
        <f t="shared" si="67"/>
        <v>300.5</v>
      </c>
      <c r="Z315" s="3" t="e">
        <f t="shared" si="68"/>
        <v>#DIV/0!</v>
      </c>
      <c r="AA315" s="174" t="s">
        <v>4493</v>
      </c>
      <c r="AB315" s="16" t="s">
        <v>4651</v>
      </c>
      <c r="AE315" s="33">
        <f t="shared" si="69"/>
        <v>0</v>
      </c>
      <c r="AF315" s="43" t="s">
        <v>4652</v>
      </c>
      <c r="AG315" s="128"/>
      <c r="AI315" s="64">
        <f t="shared" si="70"/>
        <v>2.252299605781866E-2</v>
      </c>
      <c r="AJ315" s="313">
        <f>RTD("money.excel",,$G315,"PredictVolume")</f>
        <v>1714</v>
      </c>
      <c r="AK315" s="348"/>
    </row>
    <row r="316" spans="1:37">
      <c r="A316" s="132" t="s">
        <v>4653</v>
      </c>
      <c r="B316" s="93">
        <v>18</v>
      </c>
      <c r="C316" s="93">
        <v>18</v>
      </c>
      <c r="D316" s="93">
        <v>-12</v>
      </c>
      <c r="E316" s="93">
        <v>4</v>
      </c>
      <c r="F316" s="58">
        <v>12.65</v>
      </c>
      <c r="G316" s="81">
        <v>3705</v>
      </c>
      <c r="H316" s="206" t="s">
        <v>328</v>
      </c>
      <c r="I316" s="22" t="s">
        <v>4654</v>
      </c>
      <c r="J316" s="75">
        <v>66.22</v>
      </c>
      <c r="K316" s="75">
        <v>12.91</v>
      </c>
      <c r="L316" s="75">
        <v>1.31</v>
      </c>
      <c r="N316" s="325">
        <f t="shared" si="72"/>
        <v>80.44</v>
      </c>
      <c r="O316" s="27"/>
      <c r="P316" s="56"/>
      <c r="Q316" s="26"/>
      <c r="S316" s="330">
        <v>18.829999999999998</v>
      </c>
      <c r="T316" s="34">
        <v>2</v>
      </c>
      <c r="U316" s="366">
        <f t="shared" si="66"/>
        <v>4.700352526439483E-2</v>
      </c>
      <c r="V316" s="97">
        <v>2.97</v>
      </c>
      <c r="W316" s="13">
        <f>RTD("money.excel",,"3705","Price")</f>
        <v>42.55</v>
      </c>
      <c r="X316" s="67"/>
      <c r="Y316" s="15">
        <f t="shared" si="67"/>
        <v>42.55</v>
      </c>
      <c r="Z316" s="3" t="e">
        <f t="shared" si="68"/>
        <v>#DIV/0!</v>
      </c>
      <c r="AB316" s="22" t="s">
        <v>4654</v>
      </c>
      <c r="AE316" s="33">
        <f t="shared" si="69"/>
        <v>0</v>
      </c>
      <c r="AF316" s="43" t="s">
        <v>4655</v>
      </c>
      <c r="AG316" s="128"/>
      <c r="AI316" s="64">
        <f t="shared" si="70"/>
        <v>3.9097744360902254E-4</v>
      </c>
      <c r="AJ316" s="313">
        <f>RTD("money.excel",,$G316,"PredictVolume")</f>
        <v>104</v>
      </c>
      <c r="AK316" s="348"/>
    </row>
    <row r="317" spans="1:37">
      <c r="A317" s="148" t="s">
        <v>4482</v>
      </c>
      <c r="B317" s="82">
        <v>-4</v>
      </c>
      <c r="C317" s="81">
        <v>34</v>
      </c>
      <c r="D317" s="81">
        <v>23</v>
      </c>
      <c r="E317" s="81">
        <v>4</v>
      </c>
      <c r="F317" s="6">
        <v>6.35</v>
      </c>
      <c r="G317" s="81">
        <v>4102</v>
      </c>
      <c r="H317" s="8" t="s">
        <v>328</v>
      </c>
      <c r="I317" s="16" t="s">
        <v>4656</v>
      </c>
      <c r="J317" s="75">
        <v>26.56</v>
      </c>
      <c r="K317" s="75">
        <v>1.61</v>
      </c>
      <c r="L317" s="75">
        <v>23.53</v>
      </c>
      <c r="N317" s="325">
        <f t="shared" si="72"/>
        <v>51.7</v>
      </c>
      <c r="O317" s="27"/>
      <c r="P317" s="56"/>
      <c r="Q317" s="26"/>
      <c r="S317" s="330">
        <v>0.16</v>
      </c>
      <c r="T317" s="34">
        <v>0.1</v>
      </c>
      <c r="U317" s="366">
        <f t="shared" si="66"/>
        <v>5.0000000000000001E-3</v>
      </c>
      <c r="V317" s="97">
        <v>0.73</v>
      </c>
      <c r="W317" s="36">
        <f>RTD("money.excel",,"4102","Price")</f>
        <v>20</v>
      </c>
      <c r="X317" s="67"/>
      <c r="Y317" s="15">
        <f t="shared" si="67"/>
        <v>20</v>
      </c>
      <c r="Z317" s="3" t="e">
        <f t="shared" si="68"/>
        <v>#DIV/0!</v>
      </c>
      <c r="AB317" s="16" t="s">
        <v>4656</v>
      </c>
      <c r="AE317" s="33">
        <f t="shared" si="69"/>
        <v>0</v>
      </c>
      <c r="AF317" s="43" t="s">
        <v>4657</v>
      </c>
      <c r="AG317" s="128"/>
      <c r="AI317" s="64">
        <f t="shared" si="70"/>
        <v>1.0849056603773584E-3</v>
      </c>
      <c r="AJ317" s="313">
        <f>RTD("money.excel",,$G317,"PredictVolume")</f>
        <v>46</v>
      </c>
      <c r="AK317" s="348"/>
    </row>
    <row r="318" spans="1:37">
      <c r="A318" s="148" t="s">
        <v>4658</v>
      </c>
      <c r="B318" s="81">
        <v>8</v>
      </c>
      <c r="C318" s="81">
        <v>9</v>
      </c>
      <c r="D318" s="81">
        <v>4</v>
      </c>
      <c r="E318" s="81">
        <v>-5</v>
      </c>
      <c r="F318" s="6">
        <v>8.69</v>
      </c>
      <c r="G318" s="81">
        <v>4104</v>
      </c>
      <c r="H318" s="206" t="s">
        <v>328</v>
      </c>
      <c r="I318" s="22" t="s">
        <v>4659</v>
      </c>
      <c r="J318" s="330">
        <v>46.94</v>
      </c>
      <c r="K318" s="330">
        <v>7.14</v>
      </c>
      <c r="L318" s="330">
        <v>1.48</v>
      </c>
      <c r="N318" s="325">
        <f t="shared" si="72"/>
        <v>55.559999999999995</v>
      </c>
      <c r="O318" s="27"/>
      <c r="P318" s="56"/>
      <c r="Q318" s="26"/>
      <c r="S318" s="330">
        <v>0</v>
      </c>
      <c r="T318" s="67">
        <v>3.5</v>
      </c>
      <c r="U318" s="366">
        <f t="shared" si="66"/>
        <v>5.8430717863105178E-2</v>
      </c>
      <c r="V318" s="97">
        <v>4.08</v>
      </c>
      <c r="W318" s="36">
        <f>RTD("money.excel",,"4104","Price")</f>
        <v>59.9</v>
      </c>
      <c r="X318" s="67"/>
      <c r="Y318" s="15">
        <f t="shared" si="67"/>
        <v>59.9</v>
      </c>
      <c r="Z318" s="3" t="e">
        <f t="shared" si="68"/>
        <v>#DIV/0!</v>
      </c>
      <c r="AA318" s="174" t="s">
        <v>4473</v>
      </c>
      <c r="AB318" s="22" t="s">
        <v>4659</v>
      </c>
      <c r="AE318" s="33">
        <f t="shared" si="69"/>
        <v>0</v>
      </c>
      <c r="AF318" s="43" t="s">
        <v>4660</v>
      </c>
      <c r="AG318" s="128"/>
      <c r="AI318" s="64">
        <f t="shared" si="70"/>
        <v>1.8226950354609929E-3</v>
      </c>
      <c r="AJ318" s="313">
        <f>RTD("money.excel",,$G318,"PredictVolume")</f>
        <v>257</v>
      </c>
      <c r="AK318" s="348"/>
    </row>
    <row r="319" spans="1:37">
      <c r="A319" s="132" t="s">
        <v>4661</v>
      </c>
      <c r="B319" s="82">
        <v>-31</v>
      </c>
      <c r="C319" s="81">
        <v>7</v>
      </c>
      <c r="D319" s="82">
        <v>-23</v>
      </c>
      <c r="E319" s="81">
        <v>37</v>
      </c>
      <c r="F319" s="58">
        <v>24.91</v>
      </c>
      <c r="G319" s="81">
        <v>4105</v>
      </c>
      <c r="H319" s="8" t="s">
        <v>328</v>
      </c>
      <c r="I319" s="16" t="s">
        <v>4662</v>
      </c>
      <c r="J319" s="330">
        <v>40.24</v>
      </c>
      <c r="K319" s="75">
        <v>14.45</v>
      </c>
      <c r="L319" s="330">
        <v>4.95</v>
      </c>
      <c r="M319" s="330">
        <v>12.44</v>
      </c>
      <c r="N319" s="325">
        <f t="shared" si="72"/>
        <v>72.08</v>
      </c>
      <c r="O319" s="27"/>
      <c r="P319" s="56"/>
      <c r="Q319" s="26"/>
      <c r="R319" s="308" t="s">
        <v>4484</v>
      </c>
      <c r="S319" s="330">
        <v>2.0299999999999998</v>
      </c>
      <c r="T319" s="67">
        <v>4</v>
      </c>
      <c r="U319" s="366">
        <f t="shared" si="66"/>
        <v>5.8224163027656477E-2</v>
      </c>
      <c r="V319" s="97">
        <v>3.02</v>
      </c>
      <c r="W319" s="36">
        <f>RTD("money.excel",,"4105","Price")</f>
        <v>68.7</v>
      </c>
      <c r="X319" s="67"/>
      <c r="Y319" s="15">
        <f t="shared" si="67"/>
        <v>68.7</v>
      </c>
      <c r="Z319" s="3" t="e">
        <f t="shared" si="68"/>
        <v>#DIV/0!</v>
      </c>
      <c r="AA319" s="174" t="s">
        <v>4493</v>
      </c>
      <c r="AB319" s="16" t="s">
        <v>4662</v>
      </c>
      <c r="AE319" s="33">
        <f t="shared" si="69"/>
        <v>0</v>
      </c>
      <c r="AF319" s="122" t="s">
        <v>4663</v>
      </c>
      <c r="AG319" s="51"/>
      <c r="AI319" s="64">
        <f t="shared" si="70"/>
        <v>1.0161290322580644E-3</v>
      </c>
      <c r="AJ319" s="313">
        <f>RTD("money.excel",,$G319,"PredictVolume")</f>
        <v>252</v>
      </c>
      <c r="AK319" s="348"/>
    </row>
    <row r="320" spans="1:37">
      <c r="A320" s="148" t="s">
        <v>4522</v>
      </c>
      <c r="B320" s="81">
        <v>301</v>
      </c>
      <c r="C320" s="81">
        <v>448</v>
      </c>
      <c r="D320" s="82">
        <v>-6</v>
      </c>
      <c r="E320" s="81">
        <v>11</v>
      </c>
      <c r="F320" s="6">
        <v>8</v>
      </c>
      <c r="G320" s="81">
        <v>4106</v>
      </c>
      <c r="H320" s="206" t="s">
        <v>328</v>
      </c>
      <c r="I320" s="22" t="s">
        <v>4664</v>
      </c>
      <c r="J320" s="330">
        <v>44.92</v>
      </c>
      <c r="K320" s="75">
        <v>5.33</v>
      </c>
      <c r="L320" s="330">
        <v>17.260000000000002</v>
      </c>
      <c r="N320" s="325">
        <f t="shared" si="72"/>
        <v>67.510000000000005</v>
      </c>
      <c r="O320" s="27"/>
      <c r="P320" s="56"/>
      <c r="Q320" s="26"/>
      <c r="S320" s="330">
        <v>6.14</v>
      </c>
      <c r="T320" s="34">
        <v>0.55000000000000004</v>
      </c>
      <c r="U320" s="366">
        <f t="shared" ref="U320:U351" si="73">T320/W320</f>
        <v>2.1317829457364341E-2</v>
      </c>
      <c r="V320" s="97">
        <v>1.25</v>
      </c>
      <c r="W320" s="36">
        <f>RTD("money.excel",,"4106","Price")</f>
        <v>25.8</v>
      </c>
      <c r="X320" s="67"/>
      <c r="Y320" s="15">
        <f t="shared" si="67"/>
        <v>25.8</v>
      </c>
      <c r="Z320" s="3" t="e">
        <f t="shared" si="68"/>
        <v>#DIV/0!</v>
      </c>
      <c r="AA320" s="174" t="s">
        <v>4477</v>
      </c>
      <c r="AB320" s="22" t="s">
        <v>675</v>
      </c>
      <c r="AE320" s="33">
        <f t="shared" si="69"/>
        <v>0</v>
      </c>
      <c r="AF320" s="43" t="s">
        <v>4665</v>
      </c>
      <c r="AG320" s="128"/>
      <c r="AI320" s="64">
        <f t="shared" ref="AI320:AI351" si="74">AJ320/(A320*10000)</f>
        <v>1.1800000000000001E-3</v>
      </c>
      <c r="AJ320" s="313">
        <f>RTD("money.excel",,$G320,"PredictVolume")</f>
        <v>118</v>
      </c>
      <c r="AK320" s="348"/>
    </row>
    <row r="321" spans="1:37">
      <c r="A321" s="132" t="s">
        <v>4666</v>
      </c>
      <c r="B321" s="82">
        <v>-6</v>
      </c>
      <c r="C321" s="82">
        <v>-1</v>
      </c>
      <c r="D321" s="81">
        <v>1</v>
      </c>
      <c r="E321" s="81">
        <v>27</v>
      </c>
      <c r="F321" s="58">
        <v>30.31</v>
      </c>
      <c r="G321" s="81">
        <v>4107</v>
      </c>
      <c r="H321" s="8" t="s">
        <v>328</v>
      </c>
      <c r="I321" s="16" t="s">
        <v>4667</v>
      </c>
      <c r="J321" s="75">
        <v>43.5</v>
      </c>
      <c r="K321" s="75">
        <v>39.659999999999997</v>
      </c>
      <c r="L321" s="330">
        <v>2.92</v>
      </c>
      <c r="N321" s="325">
        <f t="shared" si="72"/>
        <v>86.08</v>
      </c>
      <c r="O321" s="27"/>
      <c r="P321" s="56"/>
      <c r="Q321" s="26"/>
      <c r="S321" s="330">
        <v>0</v>
      </c>
      <c r="T321" s="67">
        <v>4</v>
      </c>
      <c r="U321" s="366">
        <f t="shared" si="73"/>
        <v>3.8095238095238099E-2</v>
      </c>
      <c r="V321" s="97">
        <v>7.05</v>
      </c>
      <c r="W321" s="36">
        <f>RTD("money.excel",,"4107","Price")</f>
        <v>105</v>
      </c>
      <c r="X321" s="67"/>
      <c r="Y321" s="15">
        <f t="shared" si="67"/>
        <v>105</v>
      </c>
      <c r="Z321" s="3" t="e">
        <f t="shared" si="68"/>
        <v>#DIV/0!</v>
      </c>
      <c r="AA321" s="174" t="s">
        <v>4473</v>
      </c>
      <c r="AB321" s="16" t="s">
        <v>4667</v>
      </c>
      <c r="AE321" s="33">
        <f t="shared" si="69"/>
        <v>0</v>
      </c>
      <c r="AF321" s="43" t="s">
        <v>4668</v>
      </c>
      <c r="AG321" s="128"/>
      <c r="AI321" s="64">
        <f t="shared" si="74"/>
        <v>1.240981240981241E-3</v>
      </c>
      <c r="AJ321" s="313">
        <f>RTD("money.excel",,$G321,"PredictVolume")</f>
        <v>86</v>
      </c>
      <c r="AK321" s="348"/>
    </row>
    <row r="322" spans="1:37">
      <c r="A322" s="148" t="s">
        <v>4669</v>
      </c>
      <c r="B322" s="81">
        <v>42</v>
      </c>
      <c r="C322" s="81">
        <v>16</v>
      </c>
      <c r="D322" s="81">
        <v>13</v>
      </c>
      <c r="E322" s="81">
        <v>37</v>
      </c>
      <c r="F322" s="75">
        <v>-185.64</v>
      </c>
      <c r="G322" s="81">
        <v>4108</v>
      </c>
      <c r="H322" s="206" t="s">
        <v>328</v>
      </c>
      <c r="I322" s="22" t="s">
        <v>4670</v>
      </c>
      <c r="J322" s="75">
        <v>22.56</v>
      </c>
      <c r="K322" s="75">
        <v>0.79</v>
      </c>
      <c r="N322" s="325">
        <f t="shared" si="72"/>
        <v>23.349999999999998</v>
      </c>
      <c r="O322" s="27"/>
      <c r="P322" s="56"/>
      <c r="Q322" s="26"/>
      <c r="T322" s="34">
        <v>0</v>
      </c>
      <c r="U322" s="366">
        <f t="shared" si="73"/>
        <v>0</v>
      </c>
      <c r="V322" s="97">
        <v>-0.54</v>
      </c>
      <c r="W322" s="36">
        <f>RTD("money.excel",,"4108","Price")</f>
        <v>20.3</v>
      </c>
      <c r="X322" s="67"/>
      <c r="Y322" s="15">
        <f t="shared" si="67"/>
        <v>20.3</v>
      </c>
      <c r="Z322" s="3" t="e">
        <f t="shared" si="68"/>
        <v>#DIV/0!</v>
      </c>
      <c r="AA322" s="174" t="s">
        <v>4477</v>
      </c>
      <c r="AB322" s="22" t="s">
        <v>4670</v>
      </c>
      <c r="AE322" s="33">
        <f t="shared" si="69"/>
        <v>0</v>
      </c>
      <c r="AF322" s="43" t="s">
        <v>2858</v>
      </c>
      <c r="AG322" s="128"/>
      <c r="AI322" s="64">
        <f t="shared" si="74"/>
        <v>7.7777777777777773E-4</v>
      </c>
      <c r="AJ322" s="313">
        <f>RTD("money.excel",,$G322,"PredictVolume")</f>
        <v>154</v>
      </c>
      <c r="AK322" s="348"/>
    </row>
    <row r="323" spans="1:37">
      <c r="A323" s="148" t="s">
        <v>4671</v>
      </c>
      <c r="B323" s="93">
        <v>-128</v>
      </c>
      <c r="C323" s="93">
        <v>-678</v>
      </c>
      <c r="D323" s="93">
        <v>-21</v>
      </c>
      <c r="E323" s="93">
        <v>-23</v>
      </c>
      <c r="F323" s="6">
        <v>-18.29</v>
      </c>
      <c r="G323" s="81">
        <v>4109</v>
      </c>
      <c r="H323" s="8" t="s">
        <v>328</v>
      </c>
      <c r="I323" s="16" t="s">
        <v>4672</v>
      </c>
      <c r="J323" s="75">
        <v>28.91</v>
      </c>
      <c r="K323" s="75">
        <v>3.1</v>
      </c>
      <c r="L323" s="75">
        <v>0</v>
      </c>
      <c r="N323" s="325">
        <f t="shared" si="72"/>
        <v>32.01</v>
      </c>
      <c r="O323" s="27"/>
      <c r="P323" s="56"/>
      <c r="Q323" s="26"/>
      <c r="S323" s="330">
        <v>10.07</v>
      </c>
      <c r="T323" s="34">
        <v>0</v>
      </c>
      <c r="U323" s="366">
        <f t="shared" si="73"/>
        <v>0</v>
      </c>
      <c r="V323" s="97">
        <v>-0.46</v>
      </c>
      <c r="W323" s="36">
        <f>RTD("money.excel",,"4109","Price")</f>
        <v>12.95</v>
      </c>
      <c r="X323" s="67"/>
      <c r="Y323" s="15">
        <f t="shared" si="67"/>
        <v>12.95</v>
      </c>
      <c r="Z323" s="3" t="e">
        <f t="shared" si="68"/>
        <v>#DIV/0!</v>
      </c>
      <c r="AB323" s="16" t="s">
        <v>4672</v>
      </c>
      <c r="AE323" s="33">
        <f t="shared" si="69"/>
        <v>0</v>
      </c>
      <c r="AF323" s="43" t="s">
        <v>4673</v>
      </c>
      <c r="AG323" s="128"/>
      <c r="AI323" s="64">
        <f t="shared" si="74"/>
        <v>4.3869516310461192E-4</v>
      </c>
      <c r="AJ323" s="313">
        <f>RTD("money.excel",,$G323,"PredictVolume")</f>
        <v>39</v>
      </c>
      <c r="AK323" s="348"/>
    </row>
    <row r="324" spans="1:37">
      <c r="A324" s="148" t="s">
        <v>4674</v>
      </c>
      <c r="B324" s="93">
        <v>-1</v>
      </c>
      <c r="C324" s="93">
        <v>-1</v>
      </c>
      <c r="D324" s="93">
        <v>10</v>
      </c>
      <c r="E324" s="93">
        <v>-8</v>
      </c>
      <c r="F324" s="6">
        <v>7.99</v>
      </c>
      <c r="G324" s="81">
        <v>4111</v>
      </c>
      <c r="H324" s="8" t="s">
        <v>328</v>
      </c>
      <c r="I324" s="16" t="s">
        <v>4675</v>
      </c>
      <c r="J324" s="75">
        <v>37.89</v>
      </c>
      <c r="K324" s="75">
        <v>1.38</v>
      </c>
      <c r="L324" s="75">
        <v>5.04</v>
      </c>
      <c r="N324" s="325">
        <f t="shared" si="72"/>
        <v>44.31</v>
      </c>
      <c r="O324" s="27"/>
      <c r="P324" s="56"/>
      <c r="Q324" s="26"/>
      <c r="S324" s="330">
        <v>13.78</v>
      </c>
      <c r="T324" s="34">
        <v>1</v>
      </c>
      <c r="U324" s="366">
        <f t="shared" si="73"/>
        <v>4.357298474945534E-2</v>
      </c>
      <c r="V324" s="97">
        <v>1.04</v>
      </c>
      <c r="W324" s="36">
        <f>RTD("money.excel",,"4111","Price")</f>
        <v>22.95</v>
      </c>
      <c r="X324" s="67"/>
      <c r="Y324" s="15">
        <f t="shared" si="67"/>
        <v>22.95</v>
      </c>
      <c r="Z324" s="3" t="e">
        <f t="shared" si="68"/>
        <v>#DIV/0!</v>
      </c>
      <c r="AB324" s="16" t="s">
        <v>4675</v>
      </c>
      <c r="AE324" s="33">
        <f t="shared" si="69"/>
        <v>0</v>
      </c>
      <c r="AF324" s="43" t="s">
        <v>4676</v>
      </c>
      <c r="AG324" s="128"/>
      <c r="AI324" s="64">
        <f t="shared" si="74"/>
        <v>7.7192982456140351E-4</v>
      </c>
      <c r="AJ324" s="313">
        <f>RTD("money.excel",,$G324,"PredictVolume")</f>
        <v>44</v>
      </c>
      <c r="AK324" s="348"/>
    </row>
    <row r="325" spans="1:37">
      <c r="A325" s="148" t="s">
        <v>4677</v>
      </c>
      <c r="B325" s="81">
        <v>457</v>
      </c>
      <c r="C325" s="81">
        <v>146</v>
      </c>
      <c r="D325" s="81">
        <v>8</v>
      </c>
      <c r="E325" s="81">
        <v>8</v>
      </c>
      <c r="F325" s="6">
        <v>2.48</v>
      </c>
      <c r="G325" s="81">
        <v>4114</v>
      </c>
      <c r="H325" s="8" t="s">
        <v>328</v>
      </c>
      <c r="I325" s="16" t="s">
        <v>4678</v>
      </c>
      <c r="J325" s="330">
        <v>37.700000000000003</v>
      </c>
      <c r="K325" s="75">
        <v>0.93</v>
      </c>
      <c r="L325" s="75">
        <v>7.06</v>
      </c>
      <c r="N325" s="325">
        <f t="shared" si="72"/>
        <v>45.690000000000005</v>
      </c>
      <c r="O325" s="27"/>
      <c r="P325" s="56"/>
      <c r="Q325" s="26"/>
      <c r="S325" s="330">
        <v>0.03</v>
      </c>
      <c r="T325" s="34">
        <v>1.5</v>
      </c>
      <c r="U325" s="366">
        <f t="shared" si="73"/>
        <v>6.1601642710472276E-2</v>
      </c>
      <c r="V325" s="97">
        <v>2.5299999999999998</v>
      </c>
      <c r="W325" s="36">
        <f>RTD("money.excel",,"4114","Price")</f>
        <v>24.35</v>
      </c>
      <c r="X325" s="67"/>
      <c r="Y325" s="15">
        <f t="shared" si="67"/>
        <v>24.35</v>
      </c>
      <c r="Z325" s="3" t="e">
        <f t="shared" si="68"/>
        <v>#DIV/0!</v>
      </c>
      <c r="AA325" s="174" t="s">
        <v>4477</v>
      </c>
      <c r="AB325" s="16" t="s">
        <v>4678</v>
      </c>
      <c r="AE325" s="33">
        <f t="shared" si="69"/>
        <v>0</v>
      </c>
      <c r="AF325" s="43" t="s">
        <v>4679</v>
      </c>
      <c r="AG325" s="128"/>
      <c r="AI325" s="64">
        <f t="shared" si="74"/>
        <v>1.9071428571428573E-3</v>
      </c>
      <c r="AJ325" s="313">
        <f>RTD("money.excel",,$G325,"PredictVolume")</f>
        <v>534</v>
      </c>
      <c r="AK325" s="348"/>
    </row>
    <row r="326" spans="1:37">
      <c r="A326" s="148" t="s">
        <v>4680</v>
      </c>
      <c r="B326" s="82">
        <v>-12</v>
      </c>
      <c r="C326" s="82">
        <v>-14</v>
      </c>
      <c r="D326" s="81">
        <v>46</v>
      </c>
      <c r="E326" s="81">
        <v>28</v>
      </c>
      <c r="F326" s="6">
        <v>6.94</v>
      </c>
      <c r="G326" s="81">
        <v>4116</v>
      </c>
      <c r="H326" s="8" t="s">
        <v>328</v>
      </c>
      <c r="I326" s="16" t="s">
        <v>4681</v>
      </c>
      <c r="J326" s="75">
        <v>57.28</v>
      </c>
      <c r="K326" s="75">
        <v>0.11</v>
      </c>
      <c r="L326" s="75">
        <v>3.51</v>
      </c>
      <c r="N326" s="325">
        <f t="shared" si="72"/>
        <v>60.9</v>
      </c>
      <c r="O326" s="27"/>
      <c r="P326" s="56"/>
      <c r="Q326" s="26"/>
      <c r="S326" s="330">
        <v>0</v>
      </c>
      <c r="T326" s="34">
        <v>1.35</v>
      </c>
      <c r="U326" s="366">
        <f t="shared" si="73"/>
        <v>4.054054054054055E-2</v>
      </c>
      <c r="V326" s="58">
        <v>1.33</v>
      </c>
      <c r="W326" s="36">
        <f>RTD("money.excel",,"4116","Price")</f>
        <v>33.299999999999997</v>
      </c>
      <c r="X326" s="67"/>
      <c r="Y326" s="15">
        <f t="shared" si="67"/>
        <v>33.299999999999997</v>
      </c>
      <c r="Z326" s="3" t="e">
        <f t="shared" si="68"/>
        <v>#DIV/0!</v>
      </c>
      <c r="AB326" s="16" t="s">
        <v>4681</v>
      </c>
      <c r="AE326" s="33">
        <f t="shared" si="69"/>
        <v>0</v>
      </c>
      <c r="AF326" s="43" t="s">
        <v>4682</v>
      </c>
      <c r="AG326" s="128"/>
      <c r="AI326" s="64">
        <f t="shared" si="74"/>
        <v>5.1569506726457394E-4</v>
      </c>
      <c r="AJ326" s="313">
        <f>RTD("money.excel",,$G326,"PredictVolume")</f>
        <v>23</v>
      </c>
      <c r="AK326" s="348"/>
    </row>
    <row r="327" spans="1:37">
      <c r="A327" s="132" t="s">
        <v>4683</v>
      </c>
      <c r="B327" s="82">
        <v>-80</v>
      </c>
      <c r="C327" s="82">
        <v>-79</v>
      </c>
      <c r="D327" s="82">
        <v>-8</v>
      </c>
      <c r="E327" s="82">
        <v>-63</v>
      </c>
      <c r="F327" s="58">
        <v>17.72</v>
      </c>
      <c r="G327" s="81">
        <v>4119</v>
      </c>
      <c r="H327" s="206" t="s">
        <v>328</v>
      </c>
      <c r="I327" s="22" t="s">
        <v>4684</v>
      </c>
      <c r="J327" s="75">
        <v>45.78</v>
      </c>
      <c r="K327" s="75">
        <v>1.82</v>
      </c>
      <c r="L327" s="75">
        <v>6.6</v>
      </c>
      <c r="N327" s="325">
        <f t="shared" si="72"/>
        <v>54.2</v>
      </c>
      <c r="O327" s="27"/>
      <c r="P327" s="56"/>
      <c r="Q327" s="26"/>
      <c r="S327" s="330">
        <v>0</v>
      </c>
      <c r="T327" s="34">
        <v>2.5</v>
      </c>
      <c r="U327" s="366">
        <f t="shared" si="73"/>
        <v>2.8376844494892171E-2</v>
      </c>
      <c r="V327" s="97">
        <v>2.4300000000000002</v>
      </c>
      <c r="W327" s="36">
        <f>RTD("money.excel",,"4119","Price")</f>
        <v>88.1</v>
      </c>
      <c r="X327" s="67"/>
      <c r="Y327" s="15">
        <f t="shared" si="67"/>
        <v>88.1</v>
      </c>
      <c r="Z327" s="3" t="e">
        <f t="shared" si="68"/>
        <v>#DIV/0!</v>
      </c>
      <c r="AA327" s="174" t="s">
        <v>4477</v>
      </c>
      <c r="AB327" s="22" t="s">
        <v>4684</v>
      </c>
      <c r="AE327" s="33">
        <f t="shared" si="69"/>
        <v>0</v>
      </c>
      <c r="AF327" s="122" t="s">
        <v>2971</v>
      </c>
      <c r="AG327" s="128"/>
      <c r="AI327" s="64">
        <f t="shared" si="74"/>
        <v>1.8113207547169811E-3</v>
      </c>
      <c r="AJ327" s="313">
        <f>RTD("money.excel",,$G327,"PredictVolume")</f>
        <v>144</v>
      </c>
      <c r="AK327" s="348"/>
    </row>
    <row r="328" spans="1:37">
      <c r="A328" s="148" t="s">
        <v>4685</v>
      </c>
      <c r="B328" s="82">
        <v>-21</v>
      </c>
      <c r="C328" s="82">
        <v>-65</v>
      </c>
      <c r="D328" s="82">
        <v>-26</v>
      </c>
      <c r="E328" s="82">
        <v>-27</v>
      </c>
      <c r="F328" s="6">
        <v>2.19</v>
      </c>
      <c r="G328" s="81">
        <v>4120</v>
      </c>
      <c r="H328" s="8" t="s">
        <v>328</v>
      </c>
      <c r="I328" s="16" t="s">
        <v>4686</v>
      </c>
      <c r="J328" s="75">
        <v>65.27</v>
      </c>
      <c r="K328" s="75">
        <v>6.83</v>
      </c>
      <c r="L328" s="75">
        <v>5.93</v>
      </c>
      <c r="N328" s="325">
        <f t="shared" si="72"/>
        <v>78.03</v>
      </c>
      <c r="O328" s="27"/>
      <c r="P328" s="56"/>
      <c r="Q328" s="26"/>
      <c r="S328" s="330">
        <v>0</v>
      </c>
      <c r="T328" s="34">
        <v>1.5</v>
      </c>
      <c r="U328" s="366">
        <f t="shared" si="73"/>
        <v>4.2372881355932208E-2</v>
      </c>
      <c r="V328" s="58">
        <v>2.2999999999999998</v>
      </c>
      <c r="W328" s="36">
        <f>RTD("money.excel",,"4120","Price")</f>
        <v>35.4</v>
      </c>
      <c r="X328" s="67"/>
      <c r="Y328" s="15">
        <f t="shared" si="67"/>
        <v>35.4</v>
      </c>
      <c r="Z328" s="3" t="e">
        <f t="shared" si="68"/>
        <v>#DIV/0!</v>
      </c>
      <c r="AB328" s="16" t="s">
        <v>4686</v>
      </c>
      <c r="AE328" s="33">
        <f t="shared" si="69"/>
        <v>0</v>
      </c>
      <c r="AF328" s="122" t="s">
        <v>4625</v>
      </c>
      <c r="AG328" s="269"/>
      <c r="AI328" s="64">
        <f t="shared" si="74"/>
        <v>5.5363321799307963E-4</v>
      </c>
      <c r="AJ328" s="313">
        <f>RTD("money.excel",,$G328,"PredictVolume")</f>
        <v>48</v>
      </c>
      <c r="AK328" s="348"/>
    </row>
    <row r="329" spans="1:37">
      <c r="A329" s="148" t="s">
        <v>3607</v>
      </c>
      <c r="B329" s="81">
        <v>7</v>
      </c>
      <c r="C329" s="81">
        <v>20</v>
      </c>
      <c r="D329" s="81">
        <v>1</v>
      </c>
      <c r="E329" s="82">
        <v>-3</v>
      </c>
      <c r="F329" s="6">
        <v>4.63</v>
      </c>
      <c r="G329" s="81">
        <v>4121</v>
      </c>
      <c r="H329" s="8" t="s">
        <v>328</v>
      </c>
      <c r="I329" s="16" t="s">
        <v>4687</v>
      </c>
      <c r="J329" s="330">
        <v>33.229999999999997</v>
      </c>
      <c r="K329" s="330">
        <v>1.55</v>
      </c>
      <c r="L329" s="75">
        <v>16.2</v>
      </c>
      <c r="M329" s="75">
        <v>15.79</v>
      </c>
      <c r="N329" s="325">
        <f t="shared" si="72"/>
        <v>66.769999999999982</v>
      </c>
      <c r="O329" s="27"/>
      <c r="P329" s="56"/>
      <c r="Q329" s="26"/>
      <c r="R329" s="308" t="s">
        <v>6110</v>
      </c>
      <c r="S329" s="330">
        <v>1.65</v>
      </c>
      <c r="T329" s="34">
        <v>1.1299999999999999</v>
      </c>
      <c r="U329" s="366">
        <f t="shared" si="73"/>
        <v>5.7360406091370553E-2</v>
      </c>
      <c r="V329" s="97">
        <v>1.77</v>
      </c>
      <c r="W329" s="36">
        <f>RTD("money.excel",,"4121","Price")</f>
        <v>19.7</v>
      </c>
      <c r="X329" s="67"/>
      <c r="Y329" s="15">
        <f t="shared" si="67"/>
        <v>19.7</v>
      </c>
      <c r="Z329" s="3" t="e">
        <f t="shared" si="68"/>
        <v>#DIV/0!</v>
      </c>
      <c r="AB329" s="16" t="s">
        <v>4687</v>
      </c>
      <c r="AE329" s="33">
        <f t="shared" si="69"/>
        <v>0</v>
      </c>
      <c r="AF329" s="43" t="s">
        <v>4616</v>
      </c>
      <c r="AG329" s="128"/>
      <c r="AI329" s="64">
        <f t="shared" si="74"/>
        <v>1.9572953736654805E-3</v>
      </c>
      <c r="AJ329" s="313">
        <f>RTD("money.excel",,$G329,"PredictVolume")</f>
        <v>165</v>
      </c>
      <c r="AK329" s="348">
        <v>57.42</v>
      </c>
    </row>
    <row r="330" spans="1:37">
      <c r="A330" s="148" t="s">
        <v>4688</v>
      </c>
      <c r="B330" s="95">
        <v>26</v>
      </c>
      <c r="C330" s="96">
        <v>-1411</v>
      </c>
      <c r="D330" s="82">
        <v>-56</v>
      </c>
      <c r="E330" s="82">
        <v>-50</v>
      </c>
      <c r="F330" s="6">
        <v>-63.13</v>
      </c>
      <c r="G330" s="81">
        <v>4123</v>
      </c>
      <c r="H330" s="8" t="s">
        <v>328</v>
      </c>
      <c r="I330" s="16" t="s">
        <v>4689</v>
      </c>
      <c r="J330" s="75">
        <v>47.81</v>
      </c>
      <c r="K330" s="330">
        <v>6.13</v>
      </c>
      <c r="L330" s="330">
        <v>17.440000000000001</v>
      </c>
      <c r="N330" s="325">
        <f t="shared" si="72"/>
        <v>71.38000000000001</v>
      </c>
      <c r="O330" s="27"/>
      <c r="P330" s="56"/>
      <c r="Q330" s="26"/>
      <c r="S330" s="330">
        <v>0.1</v>
      </c>
      <c r="T330" s="34">
        <v>2.5</v>
      </c>
      <c r="U330" s="366">
        <f t="shared" si="73"/>
        <v>4.3029259896729774E-2</v>
      </c>
      <c r="V330" s="97">
        <v>8.76</v>
      </c>
      <c r="W330" s="36">
        <f>RTD("money.excel",,"4123","Price")</f>
        <v>58.1</v>
      </c>
      <c r="X330" s="67"/>
      <c r="Y330" s="15">
        <f t="shared" si="67"/>
        <v>58.1</v>
      </c>
      <c r="Z330" s="3" t="e">
        <f t="shared" si="68"/>
        <v>#DIV/0!</v>
      </c>
      <c r="AA330" s="174" t="s">
        <v>4477</v>
      </c>
      <c r="AB330" s="16" t="s">
        <v>4689</v>
      </c>
      <c r="AE330" s="33">
        <f t="shared" si="69"/>
        <v>0</v>
      </c>
      <c r="AF330" s="122" t="s">
        <v>4690</v>
      </c>
      <c r="AG330" s="128"/>
      <c r="AI330" s="64">
        <f t="shared" si="74"/>
        <v>7.9738562091503267E-4</v>
      </c>
      <c r="AJ330" s="313">
        <f>RTD("money.excel",,$G330,"PredictVolume")</f>
        <v>366</v>
      </c>
      <c r="AK330" s="348"/>
    </row>
    <row r="331" spans="1:37">
      <c r="A331" s="132" t="s">
        <v>4691</v>
      </c>
      <c r="B331" s="81">
        <v>39</v>
      </c>
      <c r="C331" s="82">
        <v>-20</v>
      </c>
      <c r="D331" s="82">
        <v>-8</v>
      </c>
      <c r="E331" s="82">
        <v>-14</v>
      </c>
      <c r="F331" s="58">
        <v>16.84</v>
      </c>
      <c r="G331" s="81">
        <v>4126</v>
      </c>
      <c r="H331" s="8" t="s">
        <v>328</v>
      </c>
      <c r="I331" s="16" t="s">
        <v>4692</v>
      </c>
      <c r="J331" s="75">
        <v>34.21</v>
      </c>
      <c r="K331" s="75">
        <v>10.64</v>
      </c>
      <c r="L331" s="330">
        <v>5.07</v>
      </c>
      <c r="M331" s="75">
        <v>9.26</v>
      </c>
      <c r="N331" s="325">
        <f t="shared" si="72"/>
        <v>59.18</v>
      </c>
      <c r="O331" s="27"/>
      <c r="P331" s="56"/>
      <c r="Q331" s="26"/>
      <c r="R331" s="308" t="s">
        <v>4500</v>
      </c>
      <c r="S331" s="330">
        <v>0.84</v>
      </c>
      <c r="T331" s="67">
        <v>4.2</v>
      </c>
      <c r="U331" s="366">
        <f t="shared" si="73"/>
        <v>5.8495821727019504E-2</v>
      </c>
      <c r="V331" s="97">
        <v>5.87</v>
      </c>
      <c r="W331" s="36">
        <f>RTD("money.excel",,"4126","Price")</f>
        <v>71.8</v>
      </c>
      <c r="X331" s="67"/>
      <c r="Y331" s="15">
        <f t="shared" si="67"/>
        <v>71.8</v>
      </c>
      <c r="Z331" s="3" t="e">
        <f t="shared" si="68"/>
        <v>#DIV/0!</v>
      </c>
      <c r="AA331" s="174" t="s">
        <v>4473</v>
      </c>
      <c r="AB331" s="16" t="s">
        <v>4692</v>
      </c>
      <c r="AE331" s="33">
        <f t="shared" si="69"/>
        <v>0</v>
      </c>
      <c r="AF331" s="122" t="s">
        <v>4693</v>
      </c>
      <c r="AG331" s="128"/>
      <c r="AI331" s="64">
        <f t="shared" si="74"/>
        <v>3.4435261707988982E-4</v>
      </c>
      <c r="AJ331" s="313">
        <f>RTD("money.excel",,$G331,"PredictVolume")</f>
        <v>25</v>
      </c>
      <c r="AK331" s="348"/>
    </row>
    <row r="332" spans="1:37">
      <c r="A332" s="148" t="s">
        <v>4694</v>
      </c>
      <c r="B332" s="93">
        <v>35</v>
      </c>
      <c r="C332" s="93">
        <v>34</v>
      </c>
      <c r="D332" s="93">
        <v>-3</v>
      </c>
      <c r="E332" s="93">
        <v>2</v>
      </c>
      <c r="F332" s="6">
        <v>-11.26</v>
      </c>
      <c r="G332" s="81">
        <v>4127</v>
      </c>
      <c r="H332" s="8" t="s">
        <v>328</v>
      </c>
      <c r="I332" s="16" t="s">
        <v>4695</v>
      </c>
      <c r="J332" s="330">
        <v>39.1</v>
      </c>
      <c r="K332" s="75">
        <v>0.15</v>
      </c>
      <c r="L332" s="330">
        <v>11.59</v>
      </c>
      <c r="N332" s="325">
        <f t="shared" si="72"/>
        <v>50.84</v>
      </c>
      <c r="O332" s="27"/>
      <c r="P332" s="56"/>
      <c r="Q332" s="26"/>
      <c r="S332" s="330">
        <v>9.2200000000000006</v>
      </c>
      <c r="T332" s="34">
        <v>0</v>
      </c>
      <c r="U332" s="366">
        <f t="shared" si="73"/>
        <v>0</v>
      </c>
      <c r="V332" s="97">
        <v>-1.1299999999999999</v>
      </c>
      <c r="W332" s="36">
        <f>RTD("money.excel",,"4127","Price")</f>
        <v>12.35</v>
      </c>
      <c r="X332" s="67"/>
      <c r="Y332" s="15">
        <f t="shared" si="67"/>
        <v>12.35</v>
      </c>
      <c r="Z332" s="3" t="e">
        <f t="shared" si="68"/>
        <v>#DIV/0!</v>
      </c>
      <c r="AB332" s="16" t="s">
        <v>4695</v>
      </c>
      <c r="AE332" s="33">
        <f t="shared" si="69"/>
        <v>0</v>
      </c>
      <c r="AF332" s="43" t="s">
        <v>2972</v>
      </c>
      <c r="AG332" s="128"/>
      <c r="AI332" s="64">
        <f t="shared" si="74"/>
        <v>3.3842794759825329E-3</v>
      </c>
      <c r="AJ332" s="313">
        <f>RTD("money.excel",,$G332,"PredictVolume")</f>
        <v>155</v>
      </c>
      <c r="AK332" s="348"/>
    </row>
    <row r="333" spans="1:37">
      <c r="A333" s="148" t="s">
        <v>4696</v>
      </c>
      <c r="B333" s="81">
        <v>352</v>
      </c>
      <c r="C333" s="82">
        <v>-330</v>
      </c>
      <c r="D333" s="81">
        <v>49</v>
      </c>
      <c r="E333" s="81">
        <v>50</v>
      </c>
      <c r="F333" s="6">
        <v>-20.73</v>
      </c>
      <c r="G333" s="81">
        <v>4128</v>
      </c>
      <c r="H333" s="8" t="s">
        <v>328</v>
      </c>
      <c r="I333" s="16" t="s">
        <v>4697</v>
      </c>
      <c r="J333" s="75">
        <v>47.78</v>
      </c>
      <c r="K333" s="75">
        <v>5.34</v>
      </c>
      <c r="N333" s="325">
        <f t="shared" si="72"/>
        <v>53.120000000000005</v>
      </c>
      <c r="O333" s="27"/>
      <c r="P333" s="56"/>
      <c r="Q333" s="26"/>
      <c r="T333" s="34">
        <v>1</v>
      </c>
      <c r="U333" s="366">
        <f t="shared" si="73"/>
        <v>1.7301038062283738E-2</v>
      </c>
      <c r="V333" s="97">
        <v>3.29</v>
      </c>
      <c r="W333" s="36">
        <f>RTD("money.excel",,"4128","Price")</f>
        <v>57.8</v>
      </c>
      <c r="X333" s="67"/>
      <c r="Y333" s="15">
        <f t="shared" si="67"/>
        <v>57.8</v>
      </c>
      <c r="Z333" s="3" t="e">
        <f t="shared" si="68"/>
        <v>#DIV/0!</v>
      </c>
      <c r="AA333" s="174" t="s">
        <v>4698</v>
      </c>
      <c r="AB333" s="16" t="s">
        <v>4697</v>
      </c>
      <c r="AE333" s="33">
        <f t="shared" si="69"/>
        <v>0</v>
      </c>
      <c r="AF333" s="43" t="s">
        <v>4699</v>
      </c>
      <c r="AG333" s="128"/>
      <c r="AI333" s="64">
        <f t="shared" si="74"/>
        <v>2.8141176470588237E-3</v>
      </c>
      <c r="AJ333" s="313">
        <f>RTD("money.excel",,$G333,"PredictVolume")</f>
        <v>1196</v>
      </c>
      <c r="AK333" s="348"/>
    </row>
    <row r="334" spans="1:37">
      <c r="A334" s="148" t="s">
        <v>4700</v>
      </c>
      <c r="B334" s="82">
        <v>-96</v>
      </c>
      <c r="C334" s="82">
        <v>-132</v>
      </c>
      <c r="D334" s="81">
        <v>19</v>
      </c>
      <c r="E334" s="81">
        <v>9</v>
      </c>
      <c r="F334" s="6">
        <v>-1.95</v>
      </c>
      <c r="G334" s="81">
        <v>4129</v>
      </c>
      <c r="H334" s="8" t="s">
        <v>328</v>
      </c>
      <c r="I334" s="16" t="s">
        <v>4701</v>
      </c>
      <c r="J334" s="75">
        <v>29.66</v>
      </c>
      <c r="K334" s="330">
        <v>6.49</v>
      </c>
      <c r="L334" s="75">
        <v>4.1100000000000003</v>
      </c>
      <c r="N334" s="325">
        <f t="shared" si="72"/>
        <v>40.26</v>
      </c>
      <c r="O334" s="27"/>
      <c r="P334" s="56"/>
      <c r="Q334" s="26"/>
      <c r="S334" s="330">
        <v>0.03</v>
      </c>
      <c r="T334" s="34">
        <v>0.83</v>
      </c>
      <c r="U334" s="366">
        <f t="shared" si="73"/>
        <v>2.7759197324414717E-2</v>
      </c>
      <c r="V334" s="97">
        <v>1.3</v>
      </c>
      <c r="W334" s="36">
        <f>RTD("money.excel",,"4129","Price")</f>
        <v>29.9</v>
      </c>
      <c r="X334" s="67"/>
      <c r="Y334" s="15">
        <f t="shared" si="67"/>
        <v>29.9</v>
      </c>
      <c r="Z334" s="3" t="e">
        <f t="shared" si="68"/>
        <v>#DIV/0!</v>
      </c>
      <c r="AA334" s="174" t="s">
        <v>4477</v>
      </c>
      <c r="AB334" s="16" t="s">
        <v>4701</v>
      </c>
      <c r="AE334" s="33">
        <f t="shared" si="69"/>
        <v>0</v>
      </c>
      <c r="AF334" s="43" t="s">
        <v>4702</v>
      </c>
      <c r="AG334" s="128"/>
      <c r="AI334" s="64">
        <f t="shared" si="74"/>
        <v>1.9642857142857144E-3</v>
      </c>
      <c r="AJ334" s="313">
        <f>RTD("money.excel",,$G334,"PredictVolume")</f>
        <v>154</v>
      </c>
      <c r="AK334" s="348"/>
    </row>
    <row r="335" spans="1:37">
      <c r="A335" s="148" t="s">
        <v>4525</v>
      </c>
      <c r="B335" s="81">
        <v>13</v>
      </c>
      <c r="C335" s="81">
        <v>0</v>
      </c>
      <c r="D335" s="82">
        <v>-11</v>
      </c>
      <c r="E335" s="82">
        <v>-19</v>
      </c>
      <c r="F335" s="6">
        <v>8.36</v>
      </c>
      <c r="G335" s="81">
        <v>4130</v>
      </c>
      <c r="H335" s="8" t="s">
        <v>328</v>
      </c>
      <c r="I335" s="16" t="s">
        <v>4703</v>
      </c>
      <c r="J335" s="75">
        <v>32.479999999999997</v>
      </c>
      <c r="K335" s="75">
        <v>0.7</v>
      </c>
      <c r="L335" s="75">
        <v>12.6</v>
      </c>
      <c r="N335" s="325">
        <f t="shared" si="72"/>
        <v>45.78</v>
      </c>
      <c r="O335" s="27"/>
      <c r="P335" s="56"/>
      <c r="Q335" s="26"/>
      <c r="S335" s="330">
        <v>0.24</v>
      </c>
      <c r="T335" s="34">
        <v>0.61</v>
      </c>
      <c r="U335" s="366">
        <f t="shared" si="73"/>
        <v>2.5469728601252611E-2</v>
      </c>
      <c r="V335" s="97">
        <v>0.37</v>
      </c>
      <c r="W335" s="36">
        <f>RTD("money.excel",,"4130","Price")</f>
        <v>23.95</v>
      </c>
      <c r="X335" s="67"/>
      <c r="Y335" s="15">
        <f t="shared" si="67"/>
        <v>23.95</v>
      </c>
      <c r="Z335" s="3" t="e">
        <f t="shared" si="68"/>
        <v>#DIV/0!</v>
      </c>
      <c r="AA335" s="174" t="s">
        <v>4477</v>
      </c>
      <c r="AB335" s="16" t="s">
        <v>4703</v>
      </c>
      <c r="AE335" s="33">
        <f t="shared" si="69"/>
        <v>0</v>
      </c>
      <c r="AF335" s="43" t="s">
        <v>4704</v>
      </c>
      <c r="AG335" s="128"/>
      <c r="AI335" s="64">
        <f t="shared" si="74"/>
        <v>3.149532710280374E-3</v>
      </c>
      <c r="AJ335" s="313">
        <f>RTD("money.excel",,$G335,"PredictVolume")</f>
        <v>337</v>
      </c>
      <c r="AK335" s="348"/>
    </row>
    <row r="336" spans="1:37">
      <c r="A336" s="148" t="s">
        <v>4705</v>
      </c>
      <c r="B336" s="93">
        <v>-361</v>
      </c>
      <c r="C336" s="93">
        <v>-69</v>
      </c>
      <c r="D336" s="93">
        <v>-6</v>
      </c>
      <c r="E336" s="93">
        <v>11</v>
      </c>
      <c r="F336" s="6">
        <v>-33.130000000000003</v>
      </c>
      <c r="G336" s="81">
        <v>4131</v>
      </c>
      <c r="H336" s="8" t="s">
        <v>328</v>
      </c>
      <c r="I336" s="16" t="s">
        <v>4706</v>
      </c>
      <c r="J336" s="75">
        <v>60</v>
      </c>
      <c r="K336" s="75">
        <v>0.15</v>
      </c>
      <c r="N336" s="325">
        <f t="shared" si="72"/>
        <v>60.15</v>
      </c>
      <c r="O336" s="27"/>
      <c r="P336" s="56"/>
      <c r="Q336" s="26"/>
      <c r="S336" s="330">
        <v>44.09</v>
      </c>
      <c r="T336" s="34">
        <v>0</v>
      </c>
      <c r="U336" s="366" t="e">
        <f t="shared" si="73"/>
        <v>#VALUE!</v>
      </c>
      <c r="V336" s="97">
        <v>-0.56000000000000005</v>
      </c>
      <c r="W336" s="13" t="str">
        <f>RTD("money.excel",,"4131","Price")</f>
        <v>無資料</v>
      </c>
      <c r="X336" s="67"/>
      <c r="Y336" s="15" t="e">
        <f t="shared" si="67"/>
        <v>#VALUE!</v>
      </c>
      <c r="Z336" s="3" t="e">
        <f t="shared" si="68"/>
        <v>#VALUE!</v>
      </c>
      <c r="AB336" s="16" t="s">
        <v>4706</v>
      </c>
      <c r="AE336" s="33">
        <f t="shared" si="69"/>
        <v>0</v>
      </c>
      <c r="AF336" s="43" t="s">
        <v>4707</v>
      </c>
      <c r="AG336" s="128"/>
      <c r="AI336" s="64">
        <f t="shared" si="74"/>
        <v>0</v>
      </c>
      <c r="AJ336" s="313">
        <f>RTD("money.excel",,$G336,"PredictVolume")</f>
        <v>0</v>
      </c>
      <c r="AK336" s="348"/>
    </row>
    <row r="337" spans="1:37">
      <c r="A337" s="132" t="s">
        <v>4708</v>
      </c>
      <c r="B337" s="81">
        <v>11</v>
      </c>
      <c r="C337" s="81">
        <v>11</v>
      </c>
      <c r="D337" s="82">
        <v>-8</v>
      </c>
      <c r="E337" s="82">
        <v>-5</v>
      </c>
      <c r="F337" s="58">
        <v>11.93</v>
      </c>
      <c r="G337" s="81">
        <v>4133</v>
      </c>
      <c r="H337" s="8" t="s">
        <v>328</v>
      </c>
      <c r="I337" s="22" t="s">
        <v>4709</v>
      </c>
      <c r="J337" s="330">
        <v>18.54</v>
      </c>
      <c r="K337" s="330">
        <v>16.73</v>
      </c>
      <c r="L337" s="75">
        <v>27.12</v>
      </c>
      <c r="M337" s="330">
        <v>13.89</v>
      </c>
      <c r="N337" s="325">
        <f t="shared" si="72"/>
        <v>76.28</v>
      </c>
      <c r="O337" s="27"/>
      <c r="P337" s="56"/>
      <c r="Q337" s="26"/>
      <c r="R337" s="308" t="s">
        <v>4373</v>
      </c>
      <c r="S337" s="330">
        <v>4.53</v>
      </c>
      <c r="T337" s="34">
        <v>0.6</v>
      </c>
      <c r="U337" s="366">
        <f t="shared" si="73"/>
        <v>1.6371077762619372E-2</v>
      </c>
      <c r="V337" s="97">
        <v>0.65</v>
      </c>
      <c r="W337" s="36">
        <f>RTD("money.excel",,"4133","Price")</f>
        <v>36.65</v>
      </c>
      <c r="X337" s="67"/>
      <c r="Y337" s="15">
        <f t="shared" si="67"/>
        <v>36.65</v>
      </c>
      <c r="Z337" s="3" t="e">
        <f t="shared" si="68"/>
        <v>#DIV/0!</v>
      </c>
      <c r="AA337" s="174" t="s">
        <v>1943</v>
      </c>
      <c r="AB337" s="22" t="s">
        <v>4709</v>
      </c>
      <c r="AE337" s="33">
        <f t="shared" si="69"/>
        <v>0</v>
      </c>
      <c r="AF337" s="43" t="s">
        <v>4711</v>
      </c>
      <c r="AG337" s="128"/>
      <c r="AI337" s="64">
        <f t="shared" si="74"/>
        <v>9.2244224422442251E-3</v>
      </c>
      <c r="AJ337" s="313">
        <f>RTD("money.excel",,$G337,"PredictVolume")</f>
        <v>559</v>
      </c>
      <c r="AK337" s="348">
        <v>91.2</v>
      </c>
    </row>
    <row r="338" spans="1:37">
      <c r="A338" s="132" t="s">
        <v>4712</v>
      </c>
      <c r="B338" s="82">
        <v>-32</v>
      </c>
      <c r="C338" s="82">
        <v>-37</v>
      </c>
      <c r="D338" s="81">
        <v>57</v>
      </c>
      <c r="E338" s="81">
        <v>41</v>
      </c>
      <c r="F338" s="58">
        <v>27.62</v>
      </c>
      <c r="G338" s="81">
        <v>4137</v>
      </c>
      <c r="H338" s="8" t="s">
        <v>328</v>
      </c>
      <c r="I338" s="22" t="s">
        <v>4713</v>
      </c>
      <c r="J338" s="330">
        <v>56.28</v>
      </c>
      <c r="K338" s="330">
        <v>68.16</v>
      </c>
      <c r="L338" s="330">
        <v>3.7</v>
      </c>
      <c r="N338" s="325">
        <f t="shared" si="72"/>
        <v>128.13999999999999</v>
      </c>
      <c r="O338" s="27"/>
      <c r="P338" s="56"/>
      <c r="Q338" s="26"/>
      <c r="S338" s="330">
        <v>0</v>
      </c>
      <c r="T338" s="67">
        <v>8.5</v>
      </c>
      <c r="U338" s="366">
        <f t="shared" si="73"/>
        <v>4.0865384615384616E-2</v>
      </c>
      <c r="V338" s="58">
        <v>12.1</v>
      </c>
      <c r="W338" s="13">
        <f>RTD("money.excel",,"4137","Price")</f>
        <v>208</v>
      </c>
      <c r="X338" s="67"/>
      <c r="Y338" s="15">
        <f t="shared" si="67"/>
        <v>208</v>
      </c>
      <c r="Z338" s="3" t="e">
        <f t="shared" si="68"/>
        <v>#DIV/0!</v>
      </c>
      <c r="AA338" s="174" t="s">
        <v>4714</v>
      </c>
      <c r="AB338" s="22" t="s">
        <v>4713</v>
      </c>
      <c r="AE338" s="33">
        <f t="shared" si="69"/>
        <v>0</v>
      </c>
      <c r="AF338" s="122" t="s">
        <v>4715</v>
      </c>
      <c r="AG338" s="128"/>
      <c r="AI338" s="64">
        <f t="shared" si="74"/>
        <v>1.0314465408805032E-3</v>
      </c>
      <c r="AJ338" s="313">
        <f>RTD("money.excel",,$G338,"PredictVolume")</f>
        <v>82</v>
      </c>
      <c r="AK338" s="348"/>
    </row>
    <row r="339" spans="1:37">
      <c r="A339" s="132" t="s">
        <v>3056</v>
      </c>
      <c r="B339" s="81">
        <v>11</v>
      </c>
      <c r="C339" s="81">
        <v>4</v>
      </c>
      <c r="D339" s="81">
        <v>3</v>
      </c>
      <c r="E339" s="81">
        <v>15</v>
      </c>
      <c r="F339" s="58">
        <v>15.01</v>
      </c>
      <c r="G339" s="81">
        <v>4138</v>
      </c>
      <c r="H339" s="8" t="s">
        <v>328</v>
      </c>
      <c r="I339" s="16" t="s">
        <v>4717</v>
      </c>
      <c r="J339" s="75">
        <v>50.16</v>
      </c>
      <c r="K339" s="330">
        <v>1.18</v>
      </c>
      <c r="L339" s="330">
        <v>0.56999999999999995</v>
      </c>
      <c r="M339" s="75">
        <v>38.5</v>
      </c>
      <c r="N339" s="325">
        <f t="shared" si="72"/>
        <v>90.41</v>
      </c>
      <c r="O339" s="27" t="s">
        <v>6162</v>
      </c>
      <c r="P339" s="56"/>
      <c r="Q339" s="26"/>
      <c r="R339" s="308" t="s">
        <v>6163</v>
      </c>
      <c r="S339" s="330">
        <v>7.0000000000000007E-2</v>
      </c>
      <c r="T339" s="67">
        <v>3.5</v>
      </c>
      <c r="U339" s="366">
        <f t="shared" si="73"/>
        <v>6.5176908752327747E-2</v>
      </c>
      <c r="V339" s="97">
        <v>3.87</v>
      </c>
      <c r="W339" s="36">
        <f>RTD("money.excel",,"4138","Price")</f>
        <v>53.7</v>
      </c>
      <c r="X339" s="67"/>
      <c r="Y339" s="15">
        <f t="shared" si="67"/>
        <v>53.7</v>
      </c>
      <c r="Z339" s="3" t="e">
        <f t="shared" si="68"/>
        <v>#DIV/0!</v>
      </c>
      <c r="AA339" s="174" t="s">
        <v>1986</v>
      </c>
      <c r="AB339" s="16" t="s">
        <v>4717</v>
      </c>
      <c r="AE339" s="33">
        <f t="shared" si="69"/>
        <v>0</v>
      </c>
      <c r="AF339" s="122" t="s">
        <v>4719</v>
      </c>
      <c r="AG339" s="269"/>
      <c r="AI339" s="64">
        <f t="shared" si="74"/>
        <v>1.3333333333333334E-4</v>
      </c>
      <c r="AJ339" s="313">
        <f>RTD("money.excel",,$G339,"PredictVolume")</f>
        <v>4</v>
      </c>
      <c r="AK339" s="348">
        <v>1.5</v>
      </c>
    </row>
    <row r="340" spans="1:37">
      <c r="A340" s="148" t="s">
        <v>4720</v>
      </c>
      <c r="B340" s="82">
        <v>289</v>
      </c>
      <c r="C340" s="81">
        <v>13</v>
      </c>
      <c r="D340" s="82">
        <v>-9</v>
      </c>
      <c r="E340" s="81">
        <v>5</v>
      </c>
      <c r="F340" s="6">
        <v>-3.66</v>
      </c>
      <c r="G340" s="81">
        <v>4139</v>
      </c>
      <c r="H340" s="8" t="s">
        <v>328</v>
      </c>
      <c r="I340" s="16" t="s">
        <v>4721</v>
      </c>
      <c r="J340" s="330">
        <v>66.53</v>
      </c>
      <c r="K340" s="330">
        <v>29.19</v>
      </c>
      <c r="N340" s="325">
        <f t="shared" si="72"/>
        <v>95.72</v>
      </c>
      <c r="O340" s="27"/>
      <c r="P340" s="56"/>
      <c r="Q340" s="26"/>
      <c r="S340" s="330">
        <v>11.96</v>
      </c>
      <c r="T340" s="34">
        <v>1.6</v>
      </c>
      <c r="U340" s="366">
        <f t="shared" si="73"/>
        <v>3.4408602150537634E-2</v>
      </c>
      <c r="V340" s="97">
        <v>1.82</v>
      </c>
      <c r="W340" s="36">
        <f>RTD("money.excel",,"4139","Price")</f>
        <v>46.5</v>
      </c>
      <c r="X340" s="67"/>
      <c r="Y340" s="15">
        <f t="shared" si="67"/>
        <v>46.5</v>
      </c>
      <c r="Z340" s="3" t="e">
        <f t="shared" si="68"/>
        <v>#DIV/0!</v>
      </c>
      <c r="AA340" s="174" t="s">
        <v>4710</v>
      </c>
      <c r="AB340" s="16" t="s">
        <v>4721</v>
      </c>
      <c r="AE340" s="33">
        <f t="shared" si="69"/>
        <v>0</v>
      </c>
      <c r="AF340" s="43" t="s">
        <v>4722</v>
      </c>
      <c r="AG340" s="128"/>
      <c r="AI340" s="64">
        <f t="shared" si="74"/>
        <v>3.7882352941176469E-3</v>
      </c>
      <c r="AJ340" s="313">
        <f>RTD("money.excel",,$G340,"PredictVolume")</f>
        <v>161</v>
      </c>
      <c r="AK340" s="348"/>
    </row>
    <row r="341" spans="1:37">
      <c r="A341" s="148" t="s">
        <v>4723</v>
      </c>
      <c r="B341" s="93">
        <v>-37</v>
      </c>
      <c r="C341" s="93">
        <v>739</v>
      </c>
      <c r="D341" s="93">
        <v>193</v>
      </c>
      <c r="E341" s="93">
        <v>2</v>
      </c>
      <c r="F341" s="6">
        <v>3.51</v>
      </c>
      <c r="G341" s="81">
        <v>4141</v>
      </c>
      <c r="H341" s="8" t="s">
        <v>328</v>
      </c>
      <c r="I341" s="22" t="s">
        <v>4724</v>
      </c>
      <c r="J341" s="75">
        <v>82.28</v>
      </c>
      <c r="K341" s="75">
        <v>72.2</v>
      </c>
      <c r="L341" s="75">
        <v>6.17</v>
      </c>
      <c r="N341" s="325">
        <f t="shared" si="72"/>
        <v>160.65</v>
      </c>
      <c r="O341" s="27"/>
      <c r="P341" s="56"/>
      <c r="Q341" s="26"/>
      <c r="S341" s="330">
        <v>28.42</v>
      </c>
      <c r="T341" s="34">
        <v>0</v>
      </c>
      <c r="U341" s="366">
        <f t="shared" si="73"/>
        <v>0</v>
      </c>
      <c r="V341" s="58">
        <v>-2.95</v>
      </c>
      <c r="W341" s="13">
        <f>RTD("money.excel",,"4141","Price")</f>
        <v>25.65</v>
      </c>
      <c r="X341" s="67"/>
      <c r="Y341" s="15">
        <f t="shared" si="67"/>
        <v>25.65</v>
      </c>
      <c r="Z341" s="3" t="e">
        <f t="shared" si="68"/>
        <v>#DIV/0!</v>
      </c>
      <c r="AB341" s="22" t="s">
        <v>4724</v>
      </c>
      <c r="AE341" s="33">
        <f t="shared" si="69"/>
        <v>0</v>
      </c>
      <c r="AF341" s="43" t="s">
        <v>4725</v>
      </c>
      <c r="AG341" s="128"/>
      <c r="AI341" s="64">
        <f t="shared" si="74"/>
        <v>3.0400000000000002E-3</v>
      </c>
      <c r="AJ341" s="313">
        <f>RTD("money.excel",,$G341,"PredictVolume")</f>
        <v>532</v>
      </c>
      <c r="AK341" s="348"/>
    </row>
    <row r="342" spans="1:37">
      <c r="A342" s="148" t="s">
        <v>4726</v>
      </c>
      <c r="B342" s="82">
        <v>-787</v>
      </c>
      <c r="C342" s="82">
        <v>-759</v>
      </c>
      <c r="D342" s="82">
        <v>-60</v>
      </c>
      <c r="E342" s="95">
        <v>164</v>
      </c>
      <c r="F342" s="6">
        <v>-39.39</v>
      </c>
      <c r="G342" s="81">
        <v>4142</v>
      </c>
      <c r="H342" s="8" t="s">
        <v>328</v>
      </c>
      <c r="I342" s="22" t="s">
        <v>4727</v>
      </c>
      <c r="J342" s="330">
        <v>38.24</v>
      </c>
      <c r="K342" s="75">
        <v>9.64</v>
      </c>
      <c r="L342" s="75">
        <v>17.95</v>
      </c>
      <c r="M342" s="75">
        <v>17.73</v>
      </c>
      <c r="N342" s="325">
        <f t="shared" si="72"/>
        <v>83.56</v>
      </c>
      <c r="O342" s="27"/>
      <c r="P342" s="56"/>
      <c r="Q342" s="26"/>
      <c r="R342" s="308" t="s">
        <v>4728</v>
      </c>
      <c r="S342" s="330">
        <v>4.8899999999999997</v>
      </c>
      <c r="T342" s="34">
        <v>0.5</v>
      </c>
      <c r="U342" s="366">
        <f t="shared" si="73"/>
        <v>1.2706480304955527E-2</v>
      </c>
      <c r="V342" s="97">
        <v>2.33</v>
      </c>
      <c r="W342" s="36">
        <f>RTD("money.excel",,"4142","Price")</f>
        <v>39.35</v>
      </c>
      <c r="X342" s="67"/>
      <c r="Y342" s="15">
        <f t="shared" si="67"/>
        <v>39.35</v>
      </c>
      <c r="Z342" s="3" t="e">
        <f t="shared" si="68"/>
        <v>#DIV/0!</v>
      </c>
      <c r="AA342" s="174" t="s">
        <v>4710</v>
      </c>
      <c r="AB342" s="22" t="s">
        <v>4727</v>
      </c>
      <c r="AE342" s="33">
        <f t="shared" si="69"/>
        <v>0</v>
      </c>
      <c r="AF342" s="43" t="s">
        <v>4729</v>
      </c>
      <c r="AG342" s="128"/>
      <c r="AI342" s="64">
        <f t="shared" si="74"/>
        <v>1.9836829836829837E-3</v>
      </c>
      <c r="AJ342" s="313">
        <f>RTD("money.excel",,$G342,"PredictVolume")</f>
        <v>851</v>
      </c>
      <c r="AK342" s="348"/>
    </row>
    <row r="343" spans="1:37">
      <c r="A343" s="148" t="s">
        <v>4730</v>
      </c>
      <c r="B343" s="81">
        <v>68</v>
      </c>
      <c r="C343" s="81">
        <v>65</v>
      </c>
      <c r="D343" s="81">
        <v>548</v>
      </c>
      <c r="E343" s="82">
        <v>-17</v>
      </c>
      <c r="F343" s="6">
        <v>-18.38</v>
      </c>
      <c r="G343" s="81">
        <v>4147</v>
      </c>
      <c r="H343" s="8" t="s">
        <v>328</v>
      </c>
      <c r="I343" s="16" t="s">
        <v>4731</v>
      </c>
      <c r="J343" s="75">
        <v>37.520000000000003</v>
      </c>
      <c r="K343" s="75">
        <v>7.24</v>
      </c>
      <c r="N343" s="325">
        <f t="shared" si="72"/>
        <v>44.760000000000005</v>
      </c>
      <c r="O343" s="27"/>
      <c r="P343" s="56"/>
      <c r="Q343" s="26"/>
      <c r="T343" s="34">
        <v>0</v>
      </c>
      <c r="U343" s="366">
        <f t="shared" si="73"/>
        <v>0</v>
      </c>
      <c r="V343" s="97">
        <v>-0.73</v>
      </c>
      <c r="W343" s="36">
        <f>RTD("money.excel",,"4147","Price")</f>
        <v>62</v>
      </c>
      <c r="X343" s="67"/>
      <c r="Y343" s="15">
        <f t="shared" si="67"/>
        <v>62</v>
      </c>
      <c r="Z343" s="3" t="e">
        <f t="shared" si="68"/>
        <v>#DIV/0!</v>
      </c>
      <c r="AA343" s="174" t="s">
        <v>4710</v>
      </c>
      <c r="AB343" s="16" t="s">
        <v>4731</v>
      </c>
      <c r="AE343" s="33">
        <f t="shared" si="69"/>
        <v>0</v>
      </c>
      <c r="AF343" s="122" t="s">
        <v>4732</v>
      </c>
      <c r="AG343" s="128"/>
      <c r="AI343" s="64">
        <f t="shared" si="74"/>
        <v>2.0238095238095236E-3</v>
      </c>
      <c r="AJ343" s="313">
        <f>RTD("money.excel",,$G343,"PredictVolume")</f>
        <v>510</v>
      </c>
      <c r="AK343" s="348"/>
    </row>
    <row r="344" spans="1:37">
      <c r="A344" s="132" t="s">
        <v>4733</v>
      </c>
      <c r="B344" s="93">
        <v>72</v>
      </c>
      <c r="C344" s="93">
        <v>9</v>
      </c>
      <c r="D344" s="93">
        <v>-40</v>
      </c>
      <c r="E344" s="93">
        <v>72</v>
      </c>
      <c r="F344" s="6">
        <v>5.38</v>
      </c>
      <c r="G344" s="81">
        <v>4148</v>
      </c>
      <c r="H344" s="8" t="s">
        <v>328</v>
      </c>
      <c r="I344" s="22" t="s">
        <v>4734</v>
      </c>
      <c r="J344" s="330">
        <v>74.45</v>
      </c>
      <c r="K344" s="75">
        <v>72.87</v>
      </c>
      <c r="L344" s="330">
        <v>12.11</v>
      </c>
      <c r="N344" s="325">
        <f t="shared" si="72"/>
        <v>159.43</v>
      </c>
      <c r="O344" s="27"/>
      <c r="P344" s="56"/>
      <c r="Q344" s="26"/>
      <c r="S344" s="330">
        <v>46.5</v>
      </c>
      <c r="T344" s="34">
        <v>1</v>
      </c>
      <c r="U344" s="366">
        <f t="shared" si="73"/>
        <v>1.6339869281045753E-2</v>
      </c>
      <c r="V344" s="97">
        <v>1.28</v>
      </c>
      <c r="W344" s="36">
        <f>RTD("money.excel",,"4148","Price")</f>
        <v>61.2</v>
      </c>
      <c r="X344" s="67"/>
      <c r="Y344" s="15">
        <f t="shared" si="67"/>
        <v>61.2</v>
      </c>
      <c r="Z344" s="3" t="e">
        <f t="shared" si="68"/>
        <v>#DIV/0!</v>
      </c>
      <c r="AB344" s="22" t="s">
        <v>4734</v>
      </c>
      <c r="AE344" s="33">
        <f t="shared" si="69"/>
        <v>0</v>
      </c>
      <c r="AF344" s="43" t="s">
        <v>3334</v>
      </c>
      <c r="AG344" s="128"/>
      <c r="AI344" s="64">
        <f t="shared" si="74"/>
        <v>6.4890624999999993E-2</v>
      </c>
      <c r="AJ344" s="313">
        <f>RTD("money.excel",,$G344,"PredictVolume")</f>
        <v>4153</v>
      </c>
      <c r="AK344" s="348"/>
    </row>
    <row r="345" spans="1:37">
      <c r="A345" s="148" t="s">
        <v>4735</v>
      </c>
      <c r="B345" s="82">
        <v>-68</v>
      </c>
      <c r="C345" s="81">
        <v>7</v>
      </c>
      <c r="D345" s="82">
        <v>-30</v>
      </c>
      <c r="E345" s="82">
        <v>-20</v>
      </c>
      <c r="F345" s="6">
        <v>9.57</v>
      </c>
      <c r="G345" s="81">
        <v>4153</v>
      </c>
      <c r="H345" s="8" t="s">
        <v>328</v>
      </c>
      <c r="I345" s="16" t="s">
        <v>4736</v>
      </c>
      <c r="J345" s="75">
        <v>67.42</v>
      </c>
      <c r="K345" s="75">
        <v>0.14000000000000001</v>
      </c>
      <c r="L345" s="75">
        <v>2.94</v>
      </c>
      <c r="N345" s="325">
        <f t="shared" si="72"/>
        <v>70.5</v>
      </c>
      <c r="O345" s="27"/>
      <c r="P345" s="56"/>
      <c r="Q345" s="26"/>
      <c r="S345" s="330">
        <v>0.01</v>
      </c>
      <c r="T345" s="34">
        <v>0.26</v>
      </c>
      <c r="U345" s="366">
        <f t="shared" si="73"/>
        <v>1.0420841683366735E-2</v>
      </c>
      <c r="V345" s="58">
        <v>0.25</v>
      </c>
      <c r="W345" s="36">
        <f>RTD("money.excel",,"4153","Price")</f>
        <v>24.95</v>
      </c>
      <c r="X345" s="67"/>
      <c r="Y345" s="15">
        <f t="shared" si="67"/>
        <v>24.95</v>
      </c>
      <c r="Z345" s="3" t="e">
        <f t="shared" si="68"/>
        <v>#DIV/0!</v>
      </c>
      <c r="AB345" s="16" t="s">
        <v>4736</v>
      </c>
      <c r="AE345" s="33">
        <f t="shared" si="69"/>
        <v>0</v>
      </c>
      <c r="AF345" s="43" t="s">
        <v>4737</v>
      </c>
      <c r="AG345" s="128"/>
      <c r="AI345" s="64">
        <f t="shared" si="74"/>
        <v>2.2653721682847896E-4</v>
      </c>
      <c r="AJ345" s="313">
        <f>RTD("money.excel",,$G345,"PredictVolume")</f>
        <v>14</v>
      </c>
      <c r="AK345" s="348"/>
    </row>
    <row r="346" spans="1:37">
      <c r="A346" s="148" t="s">
        <v>4738</v>
      </c>
      <c r="B346" s="81">
        <v>42</v>
      </c>
      <c r="C346" s="81">
        <v>23</v>
      </c>
      <c r="D346" s="81">
        <v>23</v>
      </c>
      <c r="E346" s="82">
        <v>-39</v>
      </c>
      <c r="F346" s="6">
        <v>-6.34</v>
      </c>
      <c r="G346" s="81">
        <v>4154</v>
      </c>
      <c r="H346" s="8" t="s">
        <v>328</v>
      </c>
      <c r="I346" s="16" t="s">
        <v>4739</v>
      </c>
      <c r="J346" s="75">
        <v>66.12</v>
      </c>
      <c r="K346" s="75">
        <v>58.54</v>
      </c>
      <c r="N346" s="325">
        <f t="shared" si="72"/>
        <v>124.66</v>
      </c>
      <c r="O346" s="27"/>
      <c r="P346" s="56"/>
      <c r="Q346" s="26"/>
      <c r="T346" s="34">
        <v>0</v>
      </c>
      <c r="U346" s="366">
        <f t="shared" si="73"/>
        <v>0</v>
      </c>
      <c r="V346" s="58">
        <v>-1.1599999999999999</v>
      </c>
      <c r="W346" s="13">
        <f>RTD("money.excel",,"4154","Price")</f>
        <v>43</v>
      </c>
      <c r="X346" s="67"/>
      <c r="Y346" s="15">
        <f t="shared" si="67"/>
        <v>43</v>
      </c>
      <c r="Z346" s="3" t="e">
        <f t="shared" si="68"/>
        <v>#DIV/0!</v>
      </c>
      <c r="AB346" s="16" t="s">
        <v>4739</v>
      </c>
      <c r="AE346" s="33">
        <f t="shared" si="69"/>
        <v>0</v>
      </c>
      <c r="AF346" s="43" t="s">
        <v>4740</v>
      </c>
      <c r="AG346" s="128"/>
      <c r="AI346" s="64">
        <f t="shared" si="74"/>
        <v>1.3201320132013203E-4</v>
      </c>
      <c r="AJ346" s="313">
        <f>RTD("money.excel",,$G346,"PredictVolume")</f>
        <v>4</v>
      </c>
      <c r="AK346" s="348"/>
    </row>
    <row r="347" spans="1:37">
      <c r="A347" s="148" t="s">
        <v>4741</v>
      </c>
      <c r="B347" s="81">
        <v>74</v>
      </c>
      <c r="C347" s="81">
        <v>95</v>
      </c>
      <c r="D347" s="82">
        <v>-1</v>
      </c>
      <c r="E347" s="81">
        <v>3</v>
      </c>
      <c r="F347" s="6">
        <v>7.84</v>
      </c>
      <c r="G347" s="81">
        <v>4155</v>
      </c>
      <c r="H347" s="8" t="s">
        <v>328</v>
      </c>
      <c r="I347" s="22" t="s">
        <v>4742</v>
      </c>
      <c r="J347" s="330">
        <v>39.159999999999997</v>
      </c>
      <c r="K347" s="330">
        <v>1.35</v>
      </c>
      <c r="L347" s="330">
        <v>13.19</v>
      </c>
      <c r="N347" s="325">
        <f t="shared" si="72"/>
        <v>53.699999999999996</v>
      </c>
      <c r="O347" s="27"/>
      <c r="P347" s="56"/>
      <c r="Q347" s="26"/>
      <c r="S347" s="330">
        <v>3.57</v>
      </c>
      <c r="T347" s="34">
        <v>1.4</v>
      </c>
      <c r="U347" s="366">
        <f t="shared" si="73"/>
        <v>6.1810154525386317E-2</v>
      </c>
      <c r="V347" s="58">
        <v>1.6</v>
      </c>
      <c r="W347" s="36">
        <f>RTD("money.excel",,"4155","Price")</f>
        <v>22.65</v>
      </c>
      <c r="X347" s="67"/>
      <c r="Y347" s="15">
        <f t="shared" si="67"/>
        <v>22.65</v>
      </c>
      <c r="Z347" s="3" t="e">
        <f t="shared" si="68"/>
        <v>#DIV/0!</v>
      </c>
      <c r="AB347" s="22" t="s">
        <v>4742</v>
      </c>
      <c r="AE347" s="33">
        <f t="shared" si="69"/>
        <v>0</v>
      </c>
      <c r="AF347" s="43" t="s">
        <v>4601</v>
      </c>
      <c r="AG347" s="128"/>
      <c r="AI347" s="64">
        <f t="shared" si="74"/>
        <v>2.1074815595363542E-4</v>
      </c>
      <c r="AJ347" s="313">
        <f>RTD("money.excel",,$G347,"PredictVolume")</f>
        <v>20</v>
      </c>
      <c r="AK347" s="348"/>
    </row>
    <row r="348" spans="1:37">
      <c r="A348" s="132" t="s">
        <v>4743</v>
      </c>
      <c r="B348" s="81">
        <v>433</v>
      </c>
      <c r="C348" s="81">
        <v>605</v>
      </c>
      <c r="D348" s="237">
        <v>11693</v>
      </c>
      <c r="E348" s="82">
        <v>-65</v>
      </c>
      <c r="F348" s="58">
        <v>78.790000000000006</v>
      </c>
      <c r="G348" s="81">
        <v>4157</v>
      </c>
      <c r="H348" s="8" t="s">
        <v>328</v>
      </c>
      <c r="I348" s="16" t="s">
        <v>4744</v>
      </c>
      <c r="J348" s="330">
        <v>56.46</v>
      </c>
      <c r="K348" s="75">
        <v>3.75</v>
      </c>
      <c r="L348" s="75">
        <v>2.17</v>
      </c>
      <c r="M348" s="75">
        <v>36.619999999999997</v>
      </c>
      <c r="N348" s="325">
        <f t="shared" si="72"/>
        <v>99</v>
      </c>
      <c r="O348" s="27" t="s">
        <v>6261</v>
      </c>
      <c r="P348" s="56" t="s">
        <v>6257</v>
      </c>
      <c r="Q348" s="26" t="s">
        <v>6271</v>
      </c>
      <c r="R348" s="385" t="s">
        <v>6290</v>
      </c>
      <c r="S348" s="377">
        <v>9119</v>
      </c>
      <c r="T348" s="34">
        <v>0</v>
      </c>
      <c r="U348" s="366">
        <f t="shared" si="73"/>
        <v>0</v>
      </c>
      <c r="V348" s="58">
        <v>1.1000000000000001</v>
      </c>
      <c r="W348" s="36">
        <f>RTD("money.excel",,"4157","Price")</f>
        <v>15.9</v>
      </c>
      <c r="X348" s="67"/>
      <c r="Y348" s="15">
        <f t="shared" si="67"/>
        <v>15.9</v>
      </c>
      <c r="Z348" s="3" t="e">
        <f t="shared" si="68"/>
        <v>#DIV/0!</v>
      </c>
      <c r="AA348" s="174" t="s">
        <v>1943</v>
      </c>
      <c r="AB348" s="16" t="s">
        <v>4744</v>
      </c>
      <c r="AE348" s="33">
        <f t="shared" si="69"/>
        <v>0</v>
      </c>
      <c r="AF348" s="43" t="s">
        <v>4745</v>
      </c>
      <c r="AG348" s="128"/>
      <c r="AI348" s="376">
        <f t="shared" si="74"/>
        <v>20.059999999999999</v>
      </c>
      <c r="AJ348" s="313">
        <f>RTD("money.excel",,$G348,"PredictVolume")</f>
        <v>2006</v>
      </c>
      <c r="AK348" s="378">
        <v>133364</v>
      </c>
    </row>
    <row r="349" spans="1:37">
      <c r="A349" s="148" t="s">
        <v>4746</v>
      </c>
      <c r="B349" s="93">
        <v>-137</v>
      </c>
      <c r="C349" s="93">
        <v>-166</v>
      </c>
      <c r="D349" s="93">
        <v>-25</v>
      </c>
      <c r="E349" s="93">
        <v>12</v>
      </c>
      <c r="F349" s="6">
        <v>-2.74</v>
      </c>
      <c r="G349" s="81">
        <v>4160</v>
      </c>
      <c r="H349" s="8" t="s">
        <v>328</v>
      </c>
      <c r="I349" s="16" t="s">
        <v>4747</v>
      </c>
      <c r="J349" s="75">
        <v>36.64</v>
      </c>
      <c r="K349" s="75">
        <v>0</v>
      </c>
      <c r="N349" s="325">
        <f t="shared" si="72"/>
        <v>36.64</v>
      </c>
      <c r="O349" s="27"/>
      <c r="P349" s="56"/>
      <c r="Q349" s="26"/>
      <c r="S349" s="330">
        <v>28.86</v>
      </c>
      <c r="T349" s="34">
        <v>0</v>
      </c>
      <c r="U349" s="366">
        <f t="shared" si="73"/>
        <v>0</v>
      </c>
      <c r="V349" s="97">
        <v>-0.65</v>
      </c>
      <c r="W349" s="36">
        <f>RTD("money.excel",,"4160","Price")</f>
        <v>24.45</v>
      </c>
      <c r="X349" s="67"/>
      <c r="Y349" s="15">
        <f t="shared" si="67"/>
        <v>24.45</v>
      </c>
      <c r="Z349" s="3" t="e">
        <f t="shared" si="68"/>
        <v>#DIV/0!</v>
      </c>
      <c r="AB349" s="16" t="s">
        <v>4747</v>
      </c>
      <c r="AE349" s="33">
        <f t="shared" si="69"/>
        <v>0</v>
      </c>
      <c r="AF349" s="43" t="s">
        <v>4748</v>
      </c>
      <c r="AG349" s="128"/>
      <c r="AI349" s="64">
        <f t="shared" si="74"/>
        <v>1.6528925619834712E-4</v>
      </c>
      <c r="AJ349" s="313">
        <f>RTD("money.excel",,$G349,"PredictVolume")</f>
        <v>4</v>
      </c>
      <c r="AK349" s="348"/>
    </row>
    <row r="350" spans="1:37">
      <c r="A350" s="148" t="s">
        <v>4749</v>
      </c>
      <c r="B350" s="93">
        <v>-581</v>
      </c>
      <c r="C350" s="208">
        <v>-3043</v>
      </c>
      <c r="D350" s="93">
        <v>-20</v>
      </c>
      <c r="E350" s="93">
        <v>42</v>
      </c>
      <c r="F350" s="6">
        <v>-11.54</v>
      </c>
      <c r="G350" s="81">
        <v>4161</v>
      </c>
      <c r="H350" s="8" t="s">
        <v>328</v>
      </c>
      <c r="I350" s="16" t="s">
        <v>4750</v>
      </c>
      <c r="J350" s="75">
        <v>38.46</v>
      </c>
      <c r="K350" s="75">
        <v>0.16</v>
      </c>
      <c r="L350" s="75">
        <v>19.64</v>
      </c>
      <c r="N350" s="325">
        <f t="shared" si="72"/>
        <v>58.26</v>
      </c>
      <c r="O350" s="27"/>
      <c r="P350" s="56"/>
      <c r="Q350" s="26"/>
      <c r="S350" s="330">
        <v>14.83</v>
      </c>
      <c r="T350" s="34">
        <v>0.3</v>
      </c>
      <c r="U350" s="366">
        <f t="shared" si="73"/>
        <v>1.1834319526627219E-2</v>
      </c>
      <c r="V350" s="97">
        <v>-1.24</v>
      </c>
      <c r="W350" s="36">
        <f>RTD("money.excel",,"4161","Price")</f>
        <v>25.35</v>
      </c>
      <c r="X350" s="67"/>
      <c r="Y350" s="15">
        <f t="shared" si="67"/>
        <v>25.35</v>
      </c>
      <c r="Z350" s="3" t="e">
        <f t="shared" si="68"/>
        <v>#DIV/0!</v>
      </c>
      <c r="AB350" s="16" t="s">
        <v>4750</v>
      </c>
      <c r="AE350" s="33">
        <f t="shared" si="69"/>
        <v>0</v>
      </c>
      <c r="AF350" s="43" t="s">
        <v>4751</v>
      </c>
      <c r="AG350" s="128"/>
      <c r="AI350" s="64">
        <f t="shared" si="74"/>
        <v>3.2258064516129038E-4</v>
      </c>
      <c r="AJ350" s="313">
        <f>RTD("money.excel",,$G350,"PredictVolume")</f>
        <v>17</v>
      </c>
      <c r="AK350" s="348"/>
    </row>
    <row r="351" spans="1:37">
      <c r="A351" s="132" t="s">
        <v>4752</v>
      </c>
      <c r="B351" s="81">
        <v>285</v>
      </c>
      <c r="C351" s="81">
        <v>110</v>
      </c>
      <c r="D351" s="81">
        <v>18</v>
      </c>
      <c r="E351" s="82">
        <v>-74</v>
      </c>
      <c r="F351" s="58">
        <v>50.43</v>
      </c>
      <c r="G351" s="81">
        <v>4162</v>
      </c>
      <c r="H351" s="8" t="s">
        <v>328</v>
      </c>
      <c r="I351" s="16" t="s">
        <v>4753</v>
      </c>
      <c r="J351" s="75">
        <v>38.11</v>
      </c>
      <c r="K351" s="75">
        <v>4.74</v>
      </c>
      <c r="L351" s="330">
        <v>13.09</v>
      </c>
      <c r="N351" s="325">
        <f t="shared" si="72"/>
        <v>55.94</v>
      </c>
      <c r="O351" s="27"/>
      <c r="P351" s="56"/>
      <c r="Q351" s="26"/>
      <c r="R351" s="308" t="s">
        <v>4754</v>
      </c>
      <c r="S351" s="330">
        <v>0.17</v>
      </c>
      <c r="T351" s="34">
        <v>2.5299999999999998</v>
      </c>
      <c r="U351" s="366">
        <f t="shared" si="73"/>
        <v>3.1157635467980293E-2</v>
      </c>
      <c r="V351" s="97">
        <v>5.77</v>
      </c>
      <c r="W351" s="36">
        <f>RTD("money.excel",,"4162","Price")</f>
        <v>81.2</v>
      </c>
      <c r="X351" s="67"/>
      <c r="Y351" s="15">
        <f t="shared" si="67"/>
        <v>81.2</v>
      </c>
      <c r="Z351" s="3" t="e">
        <f t="shared" si="68"/>
        <v>#DIV/0!</v>
      </c>
      <c r="AA351" s="174" t="s">
        <v>4755</v>
      </c>
      <c r="AB351" s="16" t="s">
        <v>4753</v>
      </c>
      <c r="AE351" s="33">
        <f t="shared" si="69"/>
        <v>0</v>
      </c>
      <c r="AF351" s="122" t="s">
        <v>4756</v>
      </c>
      <c r="AG351" s="128"/>
      <c r="AI351" s="64">
        <f t="shared" si="74"/>
        <v>7.1506849315068496E-2</v>
      </c>
      <c r="AJ351" s="313">
        <f>RTD("money.excel",,$G351,"PredictVolume")</f>
        <v>10440</v>
      </c>
      <c r="AK351" s="348"/>
    </row>
    <row r="352" spans="1:37">
      <c r="A352" s="132" t="s">
        <v>4757</v>
      </c>
      <c r="B352" s="82">
        <v>-33</v>
      </c>
      <c r="C352" s="82">
        <v>-25</v>
      </c>
      <c r="D352" s="81">
        <v>12</v>
      </c>
      <c r="E352" s="82">
        <v>-7</v>
      </c>
      <c r="F352" s="58">
        <v>16.88</v>
      </c>
      <c r="G352" s="81">
        <v>4163</v>
      </c>
      <c r="H352" s="8" t="s">
        <v>328</v>
      </c>
      <c r="I352" s="16" t="s">
        <v>4758</v>
      </c>
      <c r="J352" s="75">
        <v>33.130000000000003</v>
      </c>
      <c r="K352" s="75">
        <v>2.96</v>
      </c>
      <c r="L352" s="75">
        <v>4.6100000000000003</v>
      </c>
      <c r="N352" s="325">
        <f t="shared" si="72"/>
        <v>40.700000000000003</v>
      </c>
      <c r="O352" s="27"/>
      <c r="P352" s="56"/>
      <c r="Q352" s="26"/>
      <c r="R352" s="308" t="s">
        <v>4728</v>
      </c>
      <c r="S352" s="330">
        <v>0</v>
      </c>
      <c r="T352" s="67">
        <v>3.5</v>
      </c>
      <c r="U352" s="366">
        <f t="shared" ref="U352:U383" si="75">T352/W352</f>
        <v>4.2372881355932208E-2</v>
      </c>
      <c r="V352" s="97">
        <v>5.58</v>
      </c>
      <c r="W352" s="36">
        <f>RTD("money.excel",,"4163","Price")</f>
        <v>82.6</v>
      </c>
      <c r="X352" s="67"/>
      <c r="Y352" s="15">
        <f t="shared" ref="Y352:Y413" si="76">W352-X352</f>
        <v>82.6</v>
      </c>
      <c r="Z352" s="3" t="e">
        <f t="shared" ref="Z352:Z413" si="77">Y352/X352</f>
        <v>#DIV/0!</v>
      </c>
      <c r="AA352" s="174" t="s">
        <v>4759</v>
      </c>
      <c r="AB352" s="16" t="s">
        <v>4758</v>
      </c>
      <c r="AE352" s="33">
        <f t="shared" ref="AE352:AE413" si="78">AD352-AC352</f>
        <v>0</v>
      </c>
      <c r="AF352" s="122" t="s">
        <v>4760</v>
      </c>
      <c r="AG352" s="128"/>
      <c r="AI352" s="64">
        <f t="shared" ref="AI352:AI383" si="79">AJ352/(A352*10000)</f>
        <v>2.2774327122153208E-4</v>
      </c>
      <c r="AJ352" s="313">
        <f>RTD("money.excel",,$G352,"PredictVolume")</f>
        <v>11</v>
      </c>
      <c r="AK352" s="348"/>
    </row>
    <row r="353" spans="1:37">
      <c r="A353" s="132" t="s">
        <v>4761</v>
      </c>
      <c r="B353" s="81">
        <v>49</v>
      </c>
      <c r="C353" s="81">
        <v>28</v>
      </c>
      <c r="D353" s="82">
        <v>-11</v>
      </c>
      <c r="E353" s="82">
        <v>-39</v>
      </c>
      <c r="F353" s="58">
        <v>21.83</v>
      </c>
      <c r="G353" s="81">
        <v>4164</v>
      </c>
      <c r="H353" s="8" t="s">
        <v>328</v>
      </c>
      <c r="I353" s="22" t="s">
        <v>4762</v>
      </c>
      <c r="J353" s="330">
        <v>47.78</v>
      </c>
      <c r="K353" s="330">
        <v>26.08</v>
      </c>
      <c r="L353" s="330">
        <v>8.17</v>
      </c>
      <c r="N353" s="325">
        <f t="shared" si="72"/>
        <v>82.03</v>
      </c>
      <c r="O353" s="27"/>
      <c r="P353" s="56"/>
      <c r="Q353" s="26"/>
      <c r="S353" s="330">
        <v>0</v>
      </c>
      <c r="T353" s="34">
        <v>2.0099999999999998</v>
      </c>
      <c r="U353" s="366">
        <f t="shared" si="75"/>
        <v>4.7686832740213521E-2</v>
      </c>
      <c r="V353" s="97">
        <v>2.73</v>
      </c>
      <c r="W353" s="36">
        <f>RTD("money.excel",,"4164","Price")</f>
        <v>42.15</v>
      </c>
      <c r="X353" s="67"/>
      <c r="Y353" s="15">
        <f t="shared" si="76"/>
        <v>42.15</v>
      </c>
      <c r="Z353" s="3" t="e">
        <f t="shared" si="77"/>
        <v>#DIV/0!</v>
      </c>
      <c r="AB353" s="22" t="s">
        <v>4762</v>
      </c>
      <c r="AE353" s="33">
        <f t="shared" si="78"/>
        <v>0</v>
      </c>
      <c r="AF353" s="43" t="s">
        <v>4763</v>
      </c>
      <c r="AG353" s="128"/>
      <c r="AI353" s="64">
        <f t="shared" si="79"/>
        <v>7.8216560509554132E-3</v>
      </c>
      <c r="AJ353" s="313">
        <f>RTD("money.excel",,$G353,"PredictVolume")</f>
        <v>1228</v>
      </c>
      <c r="AK353" s="348"/>
    </row>
    <row r="354" spans="1:37">
      <c r="A354" s="148" t="s">
        <v>4764</v>
      </c>
      <c r="B354" s="81">
        <v>444</v>
      </c>
      <c r="C354" s="95">
        <v>1315</v>
      </c>
      <c r="D354" s="82">
        <v>-23</v>
      </c>
      <c r="E354" s="81">
        <v>2</v>
      </c>
      <c r="F354" s="6">
        <v>9.76</v>
      </c>
      <c r="G354" s="81">
        <v>4167</v>
      </c>
      <c r="H354" s="8" t="s">
        <v>328</v>
      </c>
      <c r="I354" s="16" t="s">
        <v>4765</v>
      </c>
      <c r="J354" s="75">
        <v>35.49</v>
      </c>
      <c r="K354" s="330">
        <v>10.49</v>
      </c>
      <c r="L354" s="330"/>
      <c r="N354" s="325">
        <f t="shared" si="72"/>
        <v>45.980000000000004</v>
      </c>
      <c r="O354" s="27"/>
      <c r="P354" s="56"/>
      <c r="Q354" s="26"/>
      <c r="T354" s="34">
        <v>0.67</v>
      </c>
      <c r="U354" s="366">
        <f t="shared" si="75"/>
        <v>4.2811501597444089E-2</v>
      </c>
      <c r="V354" s="97">
        <v>0.9</v>
      </c>
      <c r="W354" s="36">
        <f>RTD("money.excel",,"4167","Price")</f>
        <v>15.65</v>
      </c>
      <c r="X354" s="67"/>
      <c r="Y354" s="15">
        <f t="shared" si="76"/>
        <v>15.65</v>
      </c>
      <c r="Z354" s="3" t="e">
        <f t="shared" si="77"/>
        <v>#DIV/0!</v>
      </c>
      <c r="AA354" s="174" t="s">
        <v>4710</v>
      </c>
      <c r="AB354" s="16" t="s">
        <v>4765</v>
      </c>
      <c r="AE354" s="33">
        <f t="shared" si="78"/>
        <v>0</v>
      </c>
      <c r="AF354" s="43" t="s">
        <v>2971</v>
      </c>
      <c r="AG354" s="128"/>
      <c r="AI354" s="64">
        <f t="shared" si="79"/>
        <v>1.0930232558139534E-3</v>
      </c>
      <c r="AJ354" s="313">
        <f>RTD("money.excel",,$G354,"PredictVolume")</f>
        <v>329</v>
      </c>
      <c r="AK354" s="348"/>
    </row>
    <row r="355" spans="1:37">
      <c r="A355" s="148" t="s">
        <v>4766</v>
      </c>
      <c r="B355" s="81">
        <v>44</v>
      </c>
      <c r="C355" s="81">
        <v>28</v>
      </c>
      <c r="D355" s="82">
        <v>-100</v>
      </c>
      <c r="E355" s="82">
        <v>-100</v>
      </c>
      <c r="F355" s="47">
        <v>-5433</v>
      </c>
      <c r="G355" s="81">
        <v>4168</v>
      </c>
      <c r="H355" s="8" t="s">
        <v>328</v>
      </c>
      <c r="I355" s="16" t="s">
        <v>4767</v>
      </c>
      <c r="J355" s="330">
        <v>18.68</v>
      </c>
      <c r="K355" s="75">
        <v>4.8099999999999996</v>
      </c>
      <c r="L355" s="75">
        <v>8.82</v>
      </c>
      <c r="N355" s="325">
        <f t="shared" si="72"/>
        <v>32.31</v>
      </c>
      <c r="O355" s="27"/>
      <c r="P355" s="56"/>
      <c r="Q355" s="26"/>
      <c r="S355" s="330">
        <v>0.03</v>
      </c>
      <c r="T355" s="34">
        <v>0</v>
      </c>
      <c r="U355" s="366">
        <f t="shared" si="75"/>
        <v>0</v>
      </c>
      <c r="V355" s="97">
        <v>-1.92</v>
      </c>
      <c r="W355" s="36">
        <f>RTD("money.excel",,"4168","Price")</f>
        <v>27.4</v>
      </c>
      <c r="X355" s="67"/>
      <c r="Y355" s="15">
        <f t="shared" si="76"/>
        <v>27.4</v>
      </c>
      <c r="Z355" s="3" t="e">
        <f t="shared" si="77"/>
        <v>#DIV/0!</v>
      </c>
      <c r="AA355" s="174" t="s">
        <v>4710</v>
      </c>
      <c r="AB355" s="16" t="s">
        <v>4767</v>
      </c>
      <c r="AE355" s="33">
        <f t="shared" si="78"/>
        <v>0</v>
      </c>
      <c r="AF355" s="43" t="s">
        <v>1515</v>
      </c>
      <c r="AG355" s="128"/>
      <c r="AI355" s="64">
        <f t="shared" si="79"/>
        <v>3.0358974358974358E-3</v>
      </c>
      <c r="AJ355" s="313">
        <f>RTD("money.excel",,$G355,"PredictVolume")</f>
        <v>296</v>
      </c>
      <c r="AK355" s="348"/>
    </row>
    <row r="356" spans="1:37">
      <c r="A356" s="148" t="s">
        <v>4768</v>
      </c>
      <c r="B356" s="82">
        <v>-22</v>
      </c>
      <c r="C356" s="82">
        <v>-26</v>
      </c>
      <c r="D356" s="81">
        <v>4</v>
      </c>
      <c r="E356" s="82">
        <v>-35</v>
      </c>
      <c r="F356" s="6">
        <v>3.86</v>
      </c>
      <c r="G356" s="81">
        <v>4173</v>
      </c>
      <c r="H356" s="8" t="s">
        <v>328</v>
      </c>
      <c r="I356" s="16" t="s">
        <v>4769</v>
      </c>
      <c r="J356" s="330">
        <v>44.55</v>
      </c>
      <c r="K356" s="75">
        <v>1.26</v>
      </c>
      <c r="L356" s="75">
        <v>12.87</v>
      </c>
      <c r="N356" s="325">
        <f t="shared" si="72"/>
        <v>58.679999999999993</v>
      </c>
      <c r="O356" s="27"/>
      <c r="P356" s="56"/>
      <c r="Q356" s="26"/>
      <c r="S356" s="330">
        <v>0</v>
      </c>
      <c r="T356" s="34">
        <v>0.56000000000000005</v>
      </c>
      <c r="U356" s="366">
        <f t="shared" si="75"/>
        <v>3.2558139534883727E-2</v>
      </c>
      <c r="V356" s="97">
        <v>0.75</v>
      </c>
      <c r="W356" s="36">
        <f>RTD("money.excel",,"4173","Price")</f>
        <v>17.2</v>
      </c>
      <c r="X356" s="67"/>
      <c r="Y356" s="15">
        <f t="shared" si="76"/>
        <v>17.2</v>
      </c>
      <c r="Z356" s="3" t="e">
        <f t="shared" si="77"/>
        <v>#DIV/0!</v>
      </c>
      <c r="AB356" s="16" t="s">
        <v>4769</v>
      </c>
      <c r="AE356" s="33">
        <f t="shared" si="78"/>
        <v>0</v>
      </c>
      <c r="AF356" s="43" t="s">
        <v>4770</v>
      </c>
      <c r="AG356" s="128"/>
      <c r="AI356" s="64">
        <f t="shared" si="79"/>
        <v>7.6407506702412867E-4</v>
      </c>
      <c r="AJ356" s="313">
        <f>RTD("money.excel",,$G356,"PredictVolume")</f>
        <v>57</v>
      </c>
      <c r="AK356" s="348"/>
    </row>
    <row r="357" spans="1:37">
      <c r="A357" s="148" t="s">
        <v>4771</v>
      </c>
      <c r="B357" s="81">
        <v>13</v>
      </c>
      <c r="C357" s="81">
        <v>7</v>
      </c>
      <c r="D357" s="95">
        <v>2346</v>
      </c>
      <c r="E357" s="81">
        <v>13</v>
      </c>
      <c r="F357" s="47">
        <v>-1040</v>
      </c>
      <c r="G357" s="81">
        <v>4174</v>
      </c>
      <c r="H357" s="8" t="s">
        <v>328</v>
      </c>
      <c r="I357" s="16" t="s">
        <v>4772</v>
      </c>
      <c r="J357" s="75">
        <v>44.73</v>
      </c>
      <c r="K357" s="330">
        <v>12.53</v>
      </c>
      <c r="L357" s="330">
        <v>5.68</v>
      </c>
      <c r="N357" s="325">
        <f t="shared" si="72"/>
        <v>62.94</v>
      </c>
      <c r="O357" s="27"/>
      <c r="P357" s="56"/>
      <c r="Q357" s="26"/>
      <c r="S357" s="330">
        <v>0</v>
      </c>
      <c r="T357" s="34">
        <v>0</v>
      </c>
      <c r="U357" s="366">
        <f t="shared" si="75"/>
        <v>0</v>
      </c>
      <c r="V357" s="97">
        <v>-7.22</v>
      </c>
      <c r="W357" s="36">
        <f>RTD("money.excel",,"4174","Price")</f>
        <v>108.5</v>
      </c>
      <c r="X357" s="67"/>
      <c r="Y357" s="15">
        <f t="shared" si="76"/>
        <v>108.5</v>
      </c>
      <c r="Z357" s="3" t="e">
        <f t="shared" si="77"/>
        <v>#DIV/0!</v>
      </c>
      <c r="AA357" s="174" t="s">
        <v>4710</v>
      </c>
      <c r="AB357" s="16" t="s">
        <v>4772</v>
      </c>
      <c r="AE357" s="33">
        <f t="shared" si="78"/>
        <v>0</v>
      </c>
      <c r="AF357" s="43" t="s">
        <v>4773</v>
      </c>
      <c r="AG357" s="128"/>
      <c r="AI357" s="64">
        <f t="shared" si="79"/>
        <v>3.0100502512562812E-3</v>
      </c>
      <c r="AJ357" s="313">
        <f>RTD("money.excel",,$G357,"PredictVolume")</f>
        <v>599</v>
      </c>
      <c r="AK357" s="348"/>
    </row>
    <row r="358" spans="1:37">
      <c r="A358" s="148" t="s">
        <v>4774</v>
      </c>
      <c r="B358" s="81">
        <v>39</v>
      </c>
      <c r="C358" s="81">
        <v>22</v>
      </c>
      <c r="D358" s="81">
        <v>31</v>
      </c>
      <c r="E358" s="81">
        <v>14</v>
      </c>
      <c r="F358" s="6">
        <v>4.18</v>
      </c>
      <c r="G358" s="81">
        <v>4175</v>
      </c>
      <c r="H358" s="8" t="s">
        <v>328</v>
      </c>
      <c r="I358" s="16" t="s">
        <v>4775</v>
      </c>
      <c r="J358" s="330">
        <v>60.27</v>
      </c>
      <c r="K358" s="75">
        <v>0.31</v>
      </c>
      <c r="L358" s="330">
        <v>0.89</v>
      </c>
      <c r="N358" s="325">
        <f t="shared" si="72"/>
        <v>61.470000000000006</v>
      </c>
      <c r="O358" s="27"/>
      <c r="P358" s="56"/>
      <c r="Q358" s="26"/>
      <c r="S358" s="330">
        <v>0.1</v>
      </c>
      <c r="T358" s="34">
        <v>2.85</v>
      </c>
      <c r="U358" s="366">
        <f t="shared" si="75"/>
        <v>4.1911764705882357E-2</v>
      </c>
      <c r="V358" s="97">
        <v>3.51</v>
      </c>
      <c r="W358" s="36">
        <f>RTD("money.excel",,"4175","Price")</f>
        <v>68</v>
      </c>
      <c r="X358" s="67"/>
      <c r="Y358" s="15">
        <f t="shared" si="76"/>
        <v>68</v>
      </c>
      <c r="Z358" s="3" t="e">
        <f t="shared" si="77"/>
        <v>#DIV/0!</v>
      </c>
      <c r="AB358" s="16" t="s">
        <v>4775</v>
      </c>
      <c r="AE358" s="33">
        <f t="shared" si="78"/>
        <v>0</v>
      </c>
      <c r="AF358" s="43" t="s">
        <v>4776</v>
      </c>
      <c r="AG358" s="128"/>
      <c r="AI358" s="64">
        <f t="shared" si="79"/>
        <v>5.0632911392405066E-4</v>
      </c>
      <c r="AJ358" s="313">
        <f>RTD("money.excel",,$G358,"PredictVolume")</f>
        <v>16</v>
      </c>
      <c r="AK358" s="348"/>
    </row>
    <row r="359" spans="1:37">
      <c r="A359" s="132" t="s">
        <v>4777</v>
      </c>
      <c r="B359" s="93">
        <v>101</v>
      </c>
      <c r="C359" s="93">
        <v>110</v>
      </c>
      <c r="D359" s="93">
        <v>-48</v>
      </c>
      <c r="E359" s="93">
        <v>13</v>
      </c>
      <c r="F359" s="58">
        <v>11.02</v>
      </c>
      <c r="G359" s="81">
        <v>4183</v>
      </c>
      <c r="H359" s="8" t="s">
        <v>328</v>
      </c>
      <c r="I359" s="16" t="s">
        <v>4778</v>
      </c>
      <c r="J359" s="75">
        <v>57.36</v>
      </c>
      <c r="K359" s="75">
        <v>0</v>
      </c>
      <c r="N359" s="325">
        <f t="shared" si="72"/>
        <v>57.36</v>
      </c>
      <c r="O359" s="27"/>
      <c r="P359" s="56"/>
      <c r="Q359" s="26"/>
      <c r="S359" s="330">
        <v>32.520000000000003</v>
      </c>
      <c r="T359" s="34">
        <v>0.7</v>
      </c>
      <c r="U359" s="366">
        <f t="shared" si="75"/>
        <v>3.8781163434903045E-2</v>
      </c>
      <c r="V359" s="97">
        <v>1.33</v>
      </c>
      <c r="W359" s="13">
        <f>RTD("money.excel",,"4183","Price")</f>
        <v>18.05</v>
      </c>
      <c r="X359" s="67"/>
      <c r="Y359" s="15">
        <f t="shared" si="76"/>
        <v>18.05</v>
      </c>
      <c r="Z359" s="3" t="e">
        <f t="shared" si="77"/>
        <v>#DIV/0!</v>
      </c>
      <c r="AB359" s="16" t="s">
        <v>4778</v>
      </c>
      <c r="AE359" s="33">
        <f t="shared" si="78"/>
        <v>0</v>
      </c>
      <c r="AF359" s="43" t="s">
        <v>4751</v>
      </c>
      <c r="AG359" s="128"/>
      <c r="AI359" s="64">
        <f t="shared" si="79"/>
        <v>1.0924369747899159E-3</v>
      </c>
      <c r="AJ359" s="313">
        <f>RTD("money.excel",,$G359,"PredictVolume")</f>
        <v>26</v>
      </c>
      <c r="AK359" s="348"/>
    </row>
    <row r="360" spans="1:37">
      <c r="A360" s="148" t="s">
        <v>4779</v>
      </c>
      <c r="B360" s="82">
        <v>-117</v>
      </c>
      <c r="C360" s="82">
        <v>-107</v>
      </c>
      <c r="D360" s="82">
        <v>-36</v>
      </c>
      <c r="E360" s="82">
        <v>-14</v>
      </c>
      <c r="F360" s="75">
        <v>-103.86</v>
      </c>
      <c r="G360" s="81">
        <v>4188</v>
      </c>
      <c r="H360" s="8" t="s">
        <v>328</v>
      </c>
      <c r="I360" s="16" t="s">
        <v>4780</v>
      </c>
      <c r="J360" s="330">
        <v>47.56</v>
      </c>
      <c r="K360" s="330">
        <v>0.06</v>
      </c>
      <c r="N360" s="325">
        <f t="shared" si="72"/>
        <v>47.620000000000005</v>
      </c>
      <c r="O360" s="27"/>
      <c r="P360" s="56"/>
      <c r="Q360" s="26"/>
      <c r="T360" s="34">
        <v>0</v>
      </c>
      <c r="U360" s="366">
        <f t="shared" si="75"/>
        <v>0</v>
      </c>
      <c r="V360" s="97">
        <v>-0.67</v>
      </c>
      <c r="W360" s="36">
        <f>RTD("money.excel",,"4188","Price")</f>
        <v>18.149999999999999</v>
      </c>
      <c r="X360" s="67"/>
      <c r="Y360" s="15">
        <f t="shared" si="76"/>
        <v>18.149999999999999</v>
      </c>
      <c r="Z360" s="3" t="e">
        <f t="shared" si="77"/>
        <v>#DIV/0!</v>
      </c>
      <c r="AA360" s="174" t="s">
        <v>4710</v>
      </c>
      <c r="AB360" s="16" t="s">
        <v>4780</v>
      </c>
      <c r="AE360" s="33">
        <f t="shared" si="78"/>
        <v>0</v>
      </c>
      <c r="AF360" s="43" t="s">
        <v>4781</v>
      </c>
      <c r="AG360" s="128"/>
      <c r="AI360" s="64">
        <f t="shared" si="79"/>
        <v>3.7593984962406013E-5</v>
      </c>
      <c r="AJ360" s="313">
        <f>RTD("money.excel",,$G360,"PredictVolume")</f>
        <v>2</v>
      </c>
      <c r="AK360" s="348"/>
    </row>
    <row r="361" spans="1:37">
      <c r="A361" s="148" t="s">
        <v>4782</v>
      </c>
      <c r="B361" s="82">
        <v>-83</v>
      </c>
      <c r="C361" s="82">
        <v>-72</v>
      </c>
      <c r="D361" s="81">
        <v>18</v>
      </c>
      <c r="E361" s="82">
        <v>-1</v>
      </c>
      <c r="F361" s="6">
        <v>7.19</v>
      </c>
      <c r="G361" s="81">
        <v>4190</v>
      </c>
      <c r="H361" s="8" t="s">
        <v>328</v>
      </c>
      <c r="I361" s="22" t="s">
        <v>4783</v>
      </c>
      <c r="J361" s="75">
        <v>66.8</v>
      </c>
      <c r="K361" s="75">
        <v>65.040000000000006</v>
      </c>
      <c r="L361" s="75">
        <v>9.76</v>
      </c>
      <c r="N361" s="325">
        <f t="shared" si="72"/>
        <v>141.6</v>
      </c>
      <c r="O361" s="27"/>
      <c r="P361" s="56"/>
      <c r="Q361" s="26"/>
      <c r="S361" s="330">
        <v>7.0000000000000007E-2</v>
      </c>
      <c r="T361" s="67">
        <v>3</v>
      </c>
      <c r="U361" s="366">
        <f t="shared" si="75"/>
        <v>4.3988269794721403E-2</v>
      </c>
      <c r="V361" s="97">
        <v>4.41</v>
      </c>
      <c r="W361" s="13">
        <f>RTD("money.excel",,"4190","Price")</f>
        <v>68.2</v>
      </c>
      <c r="X361" s="67"/>
      <c r="Y361" s="15">
        <f t="shared" si="76"/>
        <v>68.2</v>
      </c>
      <c r="Z361" s="3" t="e">
        <f t="shared" si="77"/>
        <v>#DIV/0!</v>
      </c>
      <c r="AA361" s="174" t="s">
        <v>4714</v>
      </c>
      <c r="AB361" s="22" t="s">
        <v>4783</v>
      </c>
      <c r="AE361" s="33">
        <f t="shared" si="78"/>
        <v>0</v>
      </c>
      <c r="AF361" s="43" t="s">
        <v>4784</v>
      </c>
      <c r="AG361" s="128"/>
      <c r="AI361" s="64">
        <f t="shared" si="79"/>
        <v>2.463054187192118E-4</v>
      </c>
      <c r="AJ361" s="313">
        <f>RTD("money.excel",,$G361,"PredictVolume")</f>
        <v>15</v>
      </c>
      <c r="AK361" s="348"/>
    </row>
    <row r="362" spans="1:37">
      <c r="A362" s="148" t="s">
        <v>4785</v>
      </c>
      <c r="B362" s="82">
        <v>-33</v>
      </c>
      <c r="C362" s="82">
        <v>-32</v>
      </c>
      <c r="D362" s="81">
        <v>125</v>
      </c>
      <c r="E362" s="81">
        <v>90</v>
      </c>
      <c r="F362" s="47">
        <v>-4091</v>
      </c>
      <c r="G362" s="81">
        <v>4192</v>
      </c>
      <c r="H362" s="8" t="s">
        <v>328</v>
      </c>
      <c r="I362" s="16" t="s">
        <v>4786</v>
      </c>
      <c r="J362" s="330">
        <v>75.459999999999994</v>
      </c>
      <c r="K362" s="330">
        <v>0.8</v>
      </c>
      <c r="N362" s="325">
        <f t="shared" si="72"/>
        <v>76.259999999999991</v>
      </c>
      <c r="O362" s="27"/>
      <c r="P362" s="56"/>
      <c r="Q362" s="26"/>
      <c r="T362" s="34">
        <v>0</v>
      </c>
      <c r="U362" s="366">
        <f t="shared" si="75"/>
        <v>0</v>
      </c>
      <c r="V362" s="97">
        <v>-3.89</v>
      </c>
      <c r="W362" s="36">
        <f>RTD("money.excel",,"4192","Price")</f>
        <v>35.35</v>
      </c>
      <c r="X362" s="67"/>
      <c r="Y362" s="15">
        <f t="shared" si="76"/>
        <v>35.35</v>
      </c>
      <c r="Z362" s="3" t="e">
        <f t="shared" si="77"/>
        <v>#DIV/0!</v>
      </c>
      <c r="AA362" s="174" t="s">
        <v>4710</v>
      </c>
      <c r="AB362" s="16" t="s">
        <v>4786</v>
      </c>
      <c r="AE362" s="33">
        <f t="shared" si="78"/>
        <v>0</v>
      </c>
      <c r="AF362" s="43" t="s">
        <v>4787</v>
      </c>
      <c r="AG362" s="128"/>
      <c r="AI362" s="64">
        <f t="shared" si="79"/>
        <v>5.3773584905660379E-4</v>
      </c>
      <c r="AJ362" s="313">
        <f>RTD("money.excel",,$G362,"PredictVolume")</f>
        <v>57</v>
      </c>
      <c r="AK362" s="348"/>
    </row>
    <row r="363" spans="1:37">
      <c r="A363" s="148" t="s">
        <v>4788</v>
      </c>
      <c r="B363" s="93">
        <v>0</v>
      </c>
      <c r="C363" s="93">
        <v>-10</v>
      </c>
      <c r="D363" s="93">
        <v>243</v>
      </c>
      <c r="E363" s="93">
        <v>81</v>
      </c>
      <c r="F363" s="75">
        <v>-126.8</v>
      </c>
      <c r="G363" s="81">
        <v>4198</v>
      </c>
      <c r="H363" s="8" t="s">
        <v>328</v>
      </c>
      <c r="I363" s="16" t="s">
        <v>4789</v>
      </c>
      <c r="J363" s="75">
        <v>63.67</v>
      </c>
      <c r="K363" s="75">
        <v>26.66</v>
      </c>
      <c r="N363" s="325">
        <f t="shared" si="72"/>
        <v>90.33</v>
      </c>
      <c r="O363" s="27"/>
      <c r="P363" s="56"/>
      <c r="Q363" s="26"/>
      <c r="S363" s="330">
        <v>27.11</v>
      </c>
      <c r="T363" s="34">
        <v>0</v>
      </c>
      <c r="U363" s="366">
        <f t="shared" si="75"/>
        <v>0</v>
      </c>
      <c r="V363" s="97">
        <v>-1.9</v>
      </c>
      <c r="W363" s="13">
        <f>RTD("money.excel",,"4198","Price")</f>
        <v>5.8</v>
      </c>
      <c r="X363" s="67"/>
      <c r="Y363" s="15">
        <f t="shared" si="76"/>
        <v>5.8</v>
      </c>
      <c r="Z363" s="3" t="e">
        <f t="shared" si="77"/>
        <v>#DIV/0!</v>
      </c>
      <c r="AB363" s="16" t="s">
        <v>4789</v>
      </c>
      <c r="AE363" s="33">
        <f t="shared" si="78"/>
        <v>0</v>
      </c>
      <c r="AF363" s="43" t="s">
        <v>4790</v>
      </c>
      <c r="AG363" s="128"/>
      <c r="AI363" s="64">
        <f t="shared" si="79"/>
        <v>1.83206106870229E-4</v>
      </c>
      <c r="AJ363" s="313">
        <f>RTD("money.excel",,$G363,"PredictVolume")</f>
        <v>12</v>
      </c>
      <c r="AK363" s="348"/>
    </row>
    <row r="364" spans="1:37">
      <c r="A364" s="148" t="s">
        <v>4791</v>
      </c>
      <c r="B364" s="81">
        <v>124</v>
      </c>
      <c r="C364" s="81">
        <v>122</v>
      </c>
      <c r="D364" s="82">
        <v>-86</v>
      </c>
      <c r="E364" s="82">
        <v>-15</v>
      </c>
      <c r="F364" s="6">
        <v>8.69</v>
      </c>
      <c r="G364" s="81">
        <v>4726</v>
      </c>
      <c r="H364" s="8" t="s">
        <v>328</v>
      </c>
      <c r="I364" s="16" t="s">
        <v>4792</v>
      </c>
      <c r="J364" s="330">
        <v>40.51</v>
      </c>
      <c r="K364" s="75">
        <v>0.15</v>
      </c>
      <c r="N364" s="325">
        <f t="shared" si="72"/>
        <v>40.659999999999997</v>
      </c>
      <c r="O364" s="27"/>
      <c r="P364" s="56"/>
      <c r="Q364" s="26"/>
      <c r="T364" s="34">
        <v>0</v>
      </c>
      <c r="U364" s="366">
        <f t="shared" si="75"/>
        <v>0</v>
      </c>
      <c r="V364" s="97">
        <v>24</v>
      </c>
      <c r="W364" s="36">
        <f>RTD("money.excel",,"4726","Price")</f>
        <v>38.4</v>
      </c>
      <c r="X364" s="67"/>
      <c r="Y364" s="15">
        <f t="shared" si="76"/>
        <v>38.4</v>
      </c>
      <c r="Z364" s="3" t="e">
        <f t="shared" si="77"/>
        <v>#DIV/0!</v>
      </c>
      <c r="AA364" s="174" t="s">
        <v>4710</v>
      </c>
      <c r="AB364" s="16" t="s">
        <v>4792</v>
      </c>
      <c r="AE364" s="33">
        <f t="shared" si="78"/>
        <v>0</v>
      </c>
      <c r="AF364" s="43" t="s">
        <v>3594</v>
      </c>
      <c r="AG364" s="128"/>
      <c r="AI364" s="64">
        <f t="shared" si="79"/>
        <v>2.019607843137255E-3</v>
      </c>
      <c r="AJ364" s="313">
        <f>RTD("money.excel",,$G364,"PredictVolume")</f>
        <v>309</v>
      </c>
      <c r="AK364" s="348"/>
    </row>
    <row r="365" spans="1:37">
      <c r="A365" s="132" t="s">
        <v>4793</v>
      </c>
      <c r="B365" s="93">
        <v>18</v>
      </c>
      <c r="C365" s="93">
        <v>37</v>
      </c>
      <c r="D365" s="93">
        <v>12</v>
      </c>
      <c r="E365" s="93">
        <v>98</v>
      </c>
      <c r="F365" s="58">
        <v>37.36</v>
      </c>
      <c r="G365" s="81">
        <v>4728</v>
      </c>
      <c r="H365" s="8" t="s">
        <v>328</v>
      </c>
      <c r="I365" s="16" t="s">
        <v>4794</v>
      </c>
      <c r="J365" s="75">
        <v>56.93</v>
      </c>
      <c r="K365" s="75">
        <v>12.25</v>
      </c>
      <c r="L365" s="75">
        <v>36.74</v>
      </c>
      <c r="N365" s="325">
        <f t="shared" si="72"/>
        <v>105.92000000000002</v>
      </c>
      <c r="O365" s="27"/>
      <c r="P365" s="56"/>
      <c r="Q365" s="26"/>
      <c r="S365" s="330">
        <v>16.920000000000002</v>
      </c>
      <c r="T365" s="34">
        <v>1.5</v>
      </c>
      <c r="U365" s="366">
        <f t="shared" si="75"/>
        <v>1.2396694214876033E-2</v>
      </c>
      <c r="V365" s="97">
        <v>4.37</v>
      </c>
      <c r="W365" s="13">
        <f>RTD("money.excel",,"4728","Price")</f>
        <v>121</v>
      </c>
      <c r="X365" s="67"/>
      <c r="Y365" s="15">
        <f t="shared" si="76"/>
        <v>121</v>
      </c>
      <c r="Z365" s="3" t="e">
        <f t="shared" si="77"/>
        <v>#DIV/0!</v>
      </c>
      <c r="AB365" s="16" t="s">
        <v>4794</v>
      </c>
      <c r="AE365" s="33">
        <f t="shared" si="78"/>
        <v>0</v>
      </c>
      <c r="AF365" s="43" t="s">
        <v>4619</v>
      </c>
      <c r="AG365" s="128"/>
      <c r="AI365" s="64">
        <f t="shared" si="79"/>
        <v>4.2752293577981654E-3</v>
      </c>
      <c r="AJ365" s="313">
        <f>RTD("money.excel",,$G365,"PredictVolume")</f>
        <v>233</v>
      </c>
      <c r="AK365" s="348"/>
    </row>
    <row r="366" spans="1:37">
      <c r="A366" s="132" t="s">
        <v>4795</v>
      </c>
      <c r="B366" s="82">
        <v>-13</v>
      </c>
      <c r="C366" s="82">
        <v>-11</v>
      </c>
      <c r="D366" s="81">
        <v>45</v>
      </c>
      <c r="E366" s="82">
        <v>-59</v>
      </c>
      <c r="F366" s="58">
        <v>20.05</v>
      </c>
      <c r="G366" s="81">
        <v>4735</v>
      </c>
      <c r="H366" s="8" t="s">
        <v>328</v>
      </c>
      <c r="I366" s="16" t="s">
        <v>4796</v>
      </c>
      <c r="J366" s="330">
        <v>22.11</v>
      </c>
      <c r="K366" s="75">
        <v>1.43</v>
      </c>
      <c r="L366" s="330">
        <v>9.89</v>
      </c>
      <c r="M366" s="75">
        <v>24.41</v>
      </c>
      <c r="N366" s="325">
        <f>K366+J366+L366+M366</f>
        <v>57.84</v>
      </c>
      <c r="O366" s="27"/>
      <c r="P366" s="56"/>
      <c r="Q366" s="26"/>
      <c r="R366" s="308" t="s">
        <v>4728</v>
      </c>
      <c r="S366" s="330">
        <v>1.46</v>
      </c>
      <c r="T366" s="67">
        <v>1.2</v>
      </c>
      <c r="U366" s="366">
        <f t="shared" si="75"/>
        <v>2.3622047244094488E-2</v>
      </c>
      <c r="V366" s="97">
        <v>13.17</v>
      </c>
      <c r="W366" s="36">
        <f>RTD("money.excel",,"4735","Price")</f>
        <v>50.8</v>
      </c>
      <c r="X366" s="67"/>
      <c r="Y366" s="15">
        <f t="shared" si="76"/>
        <v>50.8</v>
      </c>
      <c r="Z366" s="3" t="e">
        <f t="shared" si="77"/>
        <v>#DIV/0!</v>
      </c>
      <c r="AA366" s="174" t="s">
        <v>4714</v>
      </c>
      <c r="AB366" s="16" t="s">
        <v>4796</v>
      </c>
      <c r="AE366" s="33">
        <f t="shared" si="78"/>
        <v>0</v>
      </c>
      <c r="AF366" s="43" t="s">
        <v>4797</v>
      </c>
      <c r="AG366" s="128"/>
      <c r="AI366" s="64">
        <f t="shared" si="79"/>
        <v>3.9837398373983738E-3</v>
      </c>
      <c r="AJ366" s="313">
        <f>RTD("money.excel",,$G366,"PredictVolume")</f>
        <v>147</v>
      </c>
      <c r="AK366" s="348"/>
    </row>
    <row r="367" spans="1:37">
      <c r="A367" s="132" t="s">
        <v>4798</v>
      </c>
      <c r="B367" s="81">
        <v>23</v>
      </c>
      <c r="C367" s="82">
        <v>-12</v>
      </c>
      <c r="D367" s="82">
        <v>-39</v>
      </c>
      <c r="E367" s="82">
        <v>-9</v>
      </c>
      <c r="F367" s="58">
        <v>32.74</v>
      </c>
      <c r="G367" s="81">
        <v>4736</v>
      </c>
      <c r="H367" s="8" t="s">
        <v>328</v>
      </c>
      <c r="I367" s="173" t="s">
        <v>4799</v>
      </c>
      <c r="J367" s="330">
        <v>42.49</v>
      </c>
      <c r="K367" s="330">
        <v>5.91</v>
      </c>
      <c r="L367" s="330">
        <v>12.71</v>
      </c>
      <c r="N367" s="325">
        <f t="shared" ref="N367:N378" si="80">J367+K367+L367+M367</f>
        <v>61.110000000000007</v>
      </c>
      <c r="O367" s="27"/>
      <c r="P367" s="56"/>
      <c r="Q367" s="26"/>
      <c r="S367" s="330">
        <v>0.92</v>
      </c>
      <c r="T367" s="66">
        <v>11.42</v>
      </c>
      <c r="U367" s="366">
        <f t="shared" si="75"/>
        <v>6.3621169916434545E-2</v>
      </c>
      <c r="V367" s="97">
        <v>19.14</v>
      </c>
      <c r="W367" s="168">
        <f>RTD("money.excel",,"4736","Price")</f>
        <v>179.5</v>
      </c>
      <c r="X367" s="67"/>
      <c r="Y367" s="15">
        <f t="shared" si="76"/>
        <v>179.5</v>
      </c>
      <c r="Z367" s="3" t="e">
        <f t="shared" si="77"/>
        <v>#DIV/0!</v>
      </c>
      <c r="AA367" s="174" t="s">
        <v>4714</v>
      </c>
      <c r="AB367" s="16" t="s">
        <v>4799</v>
      </c>
      <c r="AE367" s="33">
        <f t="shared" si="78"/>
        <v>0</v>
      </c>
      <c r="AF367" s="122" t="s">
        <v>4800</v>
      </c>
      <c r="AG367" s="128"/>
      <c r="AI367" s="64">
        <f t="shared" si="79"/>
        <v>3.3943965517241378E-3</v>
      </c>
      <c r="AJ367" s="313">
        <f>RTD("money.excel",,$G367,"PredictVolume")</f>
        <v>315</v>
      </c>
      <c r="AK367" s="348"/>
    </row>
    <row r="368" spans="1:37">
      <c r="A368" s="148" t="s">
        <v>4801</v>
      </c>
      <c r="B368" s="93">
        <v>-64</v>
      </c>
      <c r="C368" s="93">
        <v>-130</v>
      </c>
      <c r="D368" s="93">
        <v>-27</v>
      </c>
      <c r="E368" s="93">
        <v>130</v>
      </c>
      <c r="F368" s="6">
        <v>-2</v>
      </c>
      <c r="G368" s="81">
        <v>4737</v>
      </c>
      <c r="H368" s="8" t="s">
        <v>328</v>
      </c>
      <c r="I368" s="22" t="s">
        <v>4802</v>
      </c>
      <c r="J368" s="75">
        <v>65.33</v>
      </c>
      <c r="K368" s="75">
        <v>30.15</v>
      </c>
      <c r="L368" s="75">
        <v>1.51</v>
      </c>
      <c r="N368" s="325">
        <f t="shared" si="80"/>
        <v>96.99</v>
      </c>
      <c r="O368" s="27"/>
      <c r="P368" s="56"/>
      <c r="Q368" s="26"/>
      <c r="S368" s="330">
        <v>41.58</v>
      </c>
      <c r="T368" s="34">
        <v>2</v>
      </c>
      <c r="U368" s="366">
        <f t="shared" si="75"/>
        <v>2.9411764705882353E-2</v>
      </c>
      <c r="V368" s="97">
        <v>1.06</v>
      </c>
      <c r="W368" s="13">
        <f>RTD("money.excel",,"4737","Price")</f>
        <v>68</v>
      </c>
      <c r="X368" s="67"/>
      <c r="Y368" s="15">
        <f t="shared" si="76"/>
        <v>68</v>
      </c>
      <c r="Z368" s="3" t="e">
        <f t="shared" si="77"/>
        <v>#DIV/0!</v>
      </c>
      <c r="AB368" s="22" t="s">
        <v>4802</v>
      </c>
      <c r="AE368" s="33">
        <f t="shared" si="78"/>
        <v>0</v>
      </c>
      <c r="AF368" s="43" t="s">
        <v>4601</v>
      </c>
      <c r="AG368" s="128"/>
      <c r="AI368" s="64">
        <f t="shared" si="79"/>
        <v>5.9581320450885673E-4</v>
      </c>
      <c r="AJ368" s="313">
        <f>RTD("money.excel",,$G368,"PredictVolume")</f>
        <v>37</v>
      </c>
      <c r="AK368" s="348"/>
    </row>
    <row r="369" spans="1:37">
      <c r="A369" s="148" t="s">
        <v>4803</v>
      </c>
      <c r="B369" s="82">
        <v>-221</v>
      </c>
      <c r="C369" s="82">
        <v>-30</v>
      </c>
      <c r="D369" s="82">
        <v>-15</v>
      </c>
      <c r="E369" s="95">
        <v>1286</v>
      </c>
      <c r="F369" s="47">
        <v>-2509</v>
      </c>
      <c r="G369" s="81">
        <v>4743</v>
      </c>
      <c r="H369" s="8" t="s">
        <v>328</v>
      </c>
      <c r="I369" s="16" t="s">
        <v>4804</v>
      </c>
      <c r="J369" s="330">
        <v>80.84</v>
      </c>
      <c r="K369" s="75">
        <v>13.82</v>
      </c>
      <c r="N369" s="325">
        <f t="shared" si="80"/>
        <v>94.66</v>
      </c>
      <c r="O369" s="27"/>
      <c r="P369" s="56"/>
      <c r="Q369" s="26"/>
      <c r="T369" s="34">
        <v>0</v>
      </c>
      <c r="U369" s="366">
        <f t="shared" si="75"/>
        <v>0</v>
      </c>
      <c r="V369" s="58">
        <v>-2.4500000000000002</v>
      </c>
      <c r="W369" s="36">
        <f>RTD("money.excel",,"4743","Price")</f>
        <v>211</v>
      </c>
      <c r="X369" s="67"/>
      <c r="Y369" s="15">
        <f t="shared" si="76"/>
        <v>211</v>
      </c>
      <c r="Z369" s="3" t="e">
        <f t="shared" si="77"/>
        <v>#DIV/0!</v>
      </c>
      <c r="AA369" s="174" t="s">
        <v>4755</v>
      </c>
      <c r="AB369" s="16" t="s">
        <v>4804</v>
      </c>
      <c r="AE369" s="33">
        <f t="shared" si="78"/>
        <v>0</v>
      </c>
      <c r="AF369" s="43" t="s">
        <v>4805</v>
      </c>
      <c r="AG369" s="128"/>
      <c r="AI369" s="64">
        <f t="shared" si="79"/>
        <v>4.1099476439790577E-3</v>
      </c>
      <c r="AJ369" s="313">
        <f>RTD("money.excel",,$G369,"PredictVolume")</f>
        <v>1570</v>
      </c>
      <c r="AK369" s="348"/>
    </row>
    <row r="370" spans="1:37">
      <c r="A370" s="132" t="s">
        <v>4806</v>
      </c>
      <c r="B370" s="82">
        <v>-27</v>
      </c>
      <c r="C370" s="82">
        <v>-13</v>
      </c>
      <c r="D370" s="81">
        <v>97</v>
      </c>
      <c r="E370" s="82">
        <v>-1</v>
      </c>
      <c r="F370" s="58">
        <v>10.210000000000001</v>
      </c>
      <c r="G370" s="81">
        <v>4744</v>
      </c>
      <c r="H370" s="8" t="s">
        <v>328</v>
      </c>
      <c r="I370" s="16" t="s">
        <v>4807</v>
      </c>
      <c r="J370" s="330">
        <v>33.520000000000003</v>
      </c>
      <c r="K370" s="75">
        <v>0.45</v>
      </c>
      <c r="L370" s="75">
        <v>22.08</v>
      </c>
      <c r="N370" s="325">
        <f t="shared" si="80"/>
        <v>56.050000000000004</v>
      </c>
      <c r="O370" s="27"/>
      <c r="P370" s="56"/>
      <c r="Q370" s="26"/>
      <c r="S370" s="330">
        <v>0</v>
      </c>
      <c r="T370" s="34">
        <v>1.2</v>
      </c>
      <c r="U370" s="366">
        <f t="shared" si="75"/>
        <v>3.9024390243902439E-2</v>
      </c>
      <c r="V370" s="97">
        <v>1.52</v>
      </c>
      <c r="W370" s="36">
        <f>RTD("money.excel",,"4744","Price")</f>
        <v>30.75</v>
      </c>
      <c r="X370" s="67"/>
      <c r="Y370" s="15">
        <f t="shared" si="76"/>
        <v>30.75</v>
      </c>
      <c r="Z370" s="3" t="e">
        <f t="shared" si="77"/>
        <v>#DIV/0!</v>
      </c>
      <c r="AB370" s="16" t="s">
        <v>4807</v>
      </c>
      <c r="AE370" s="33">
        <f t="shared" si="78"/>
        <v>0</v>
      </c>
      <c r="AF370" s="43" t="s">
        <v>4808</v>
      </c>
      <c r="AG370" s="128"/>
      <c r="AI370" s="64">
        <f t="shared" si="79"/>
        <v>2.9449152542372881E-3</v>
      </c>
      <c r="AJ370" s="313">
        <f>RTD("money.excel",,$G370,"PredictVolume")</f>
        <v>139</v>
      </c>
      <c r="AK370" s="348"/>
    </row>
    <row r="371" spans="1:37">
      <c r="A371" s="148" t="s">
        <v>4809</v>
      </c>
      <c r="B371" s="93">
        <v>-34</v>
      </c>
      <c r="C371" s="93">
        <v>-16</v>
      </c>
      <c r="D371" s="93">
        <v>-31</v>
      </c>
      <c r="E371" s="93">
        <v>12</v>
      </c>
      <c r="F371" s="6">
        <v>9.9600000000000009</v>
      </c>
      <c r="G371" s="81">
        <v>4745</v>
      </c>
      <c r="H371" s="8" t="s">
        <v>328</v>
      </c>
      <c r="I371" s="16" t="s">
        <v>4810</v>
      </c>
      <c r="J371" s="75">
        <v>56.34</v>
      </c>
      <c r="K371" s="75">
        <v>15.3</v>
      </c>
      <c r="L371" s="75">
        <v>13.78</v>
      </c>
      <c r="N371" s="325">
        <f t="shared" si="80"/>
        <v>85.42</v>
      </c>
      <c r="O371" s="27"/>
      <c r="P371" s="56"/>
      <c r="Q371" s="26"/>
      <c r="S371" s="330">
        <v>24.8</v>
      </c>
      <c r="T371" s="34">
        <v>1.2</v>
      </c>
      <c r="U371" s="366">
        <f t="shared" si="75"/>
        <v>4.2780748663101602E-2</v>
      </c>
      <c r="V371" s="97">
        <v>1.63</v>
      </c>
      <c r="W371" s="13">
        <f>RTD("money.excel",,"4745","Price")</f>
        <v>28.05</v>
      </c>
      <c r="X371" s="67"/>
      <c r="Y371" s="15">
        <f t="shared" si="76"/>
        <v>28.05</v>
      </c>
      <c r="Z371" s="3" t="e">
        <f t="shared" si="77"/>
        <v>#DIV/0!</v>
      </c>
      <c r="AB371" s="16" t="s">
        <v>4810</v>
      </c>
      <c r="AE371" s="33">
        <f t="shared" si="78"/>
        <v>0</v>
      </c>
      <c r="AF371" s="43" t="s">
        <v>4811</v>
      </c>
      <c r="AG371" s="269"/>
      <c r="AI371" s="64">
        <f t="shared" si="79"/>
        <v>4.7803617571059434E-4</v>
      </c>
      <c r="AJ371" s="313">
        <f>RTD("money.excel",,$G371,"PredictVolume")</f>
        <v>37</v>
      </c>
      <c r="AK371" s="348"/>
    </row>
    <row r="372" spans="1:37">
      <c r="A372" s="148" t="s">
        <v>4812</v>
      </c>
      <c r="B372" s="81">
        <v>338</v>
      </c>
      <c r="C372" s="82">
        <v>-29</v>
      </c>
      <c r="D372" s="81">
        <v>11</v>
      </c>
      <c r="E372" s="82">
        <v>-27</v>
      </c>
      <c r="F372" s="6">
        <v>-8.06</v>
      </c>
      <c r="G372" s="81">
        <v>4746</v>
      </c>
      <c r="H372" s="8" t="s">
        <v>328</v>
      </c>
      <c r="I372" s="22" t="s">
        <v>4813</v>
      </c>
      <c r="J372" s="75">
        <v>24.59</v>
      </c>
      <c r="K372" s="75">
        <v>5.35</v>
      </c>
      <c r="L372" s="330">
        <v>31.03</v>
      </c>
      <c r="N372" s="325">
        <f t="shared" si="80"/>
        <v>60.97</v>
      </c>
      <c r="O372" s="27"/>
      <c r="P372" s="56"/>
      <c r="Q372" s="26"/>
      <c r="S372" s="330">
        <v>0.15</v>
      </c>
      <c r="T372" s="34">
        <v>0</v>
      </c>
      <c r="U372" s="366">
        <f t="shared" si="75"/>
        <v>0</v>
      </c>
      <c r="V372" s="97">
        <v>16.510000000000002</v>
      </c>
      <c r="W372" s="36">
        <f>RTD("money.excel",,"4746","Price")</f>
        <v>56.4</v>
      </c>
      <c r="X372" s="67"/>
      <c r="Y372" s="15">
        <f t="shared" si="76"/>
        <v>56.4</v>
      </c>
      <c r="Z372" s="3" t="e">
        <f t="shared" si="77"/>
        <v>#DIV/0!</v>
      </c>
      <c r="AA372" s="174" t="s">
        <v>4710</v>
      </c>
      <c r="AB372" s="22" t="s">
        <v>4813</v>
      </c>
      <c r="AE372" s="33">
        <f t="shared" si="78"/>
        <v>0</v>
      </c>
      <c r="AF372" s="43" t="s">
        <v>4814</v>
      </c>
      <c r="AG372" s="128"/>
      <c r="AI372" s="64">
        <f t="shared" si="79"/>
        <v>2.8333333333333335E-3</v>
      </c>
      <c r="AJ372" s="313">
        <f>RTD("money.excel",,$G372,"PredictVolume")</f>
        <v>340</v>
      </c>
      <c r="AK372" s="348"/>
    </row>
    <row r="373" spans="1:37">
      <c r="A373" s="132" t="s">
        <v>4716</v>
      </c>
      <c r="B373" s="81">
        <v>9</v>
      </c>
      <c r="C373" s="81">
        <v>11</v>
      </c>
      <c r="D373" s="81">
        <v>11</v>
      </c>
      <c r="E373" s="81">
        <v>76</v>
      </c>
      <c r="F373" s="58">
        <v>17.32</v>
      </c>
      <c r="G373" s="81">
        <v>4747</v>
      </c>
      <c r="H373" s="8" t="s">
        <v>328</v>
      </c>
      <c r="I373" s="16" t="s">
        <v>4815</v>
      </c>
      <c r="J373" s="75">
        <v>66.180000000000007</v>
      </c>
      <c r="K373" s="75">
        <v>1.44</v>
      </c>
      <c r="L373" s="330">
        <v>0.69</v>
      </c>
      <c r="N373" s="325">
        <f t="shared" si="80"/>
        <v>68.31</v>
      </c>
      <c r="O373" s="27"/>
      <c r="P373" s="56"/>
      <c r="Q373" s="26"/>
      <c r="S373" s="330">
        <v>31.46</v>
      </c>
      <c r="T373" s="34">
        <v>1.92</v>
      </c>
      <c r="U373" s="366">
        <f t="shared" si="75"/>
        <v>5.6140350877192977E-2</v>
      </c>
      <c r="V373" s="58">
        <v>2.12</v>
      </c>
      <c r="W373" s="36">
        <f>RTD("money.excel",,"4747","Price")</f>
        <v>34.200000000000003</v>
      </c>
      <c r="X373" s="67"/>
      <c r="Y373" s="15">
        <f t="shared" si="76"/>
        <v>34.200000000000003</v>
      </c>
      <c r="Z373" s="3" t="e">
        <f t="shared" si="77"/>
        <v>#DIV/0!</v>
      </c>
      <c r="AA373" s="174" t="s">
        <v>4710</v>
      </c>
      <c r="AB373" s="16" t="s">
        <v>4815</v>
      </c>
      <c r="AE373" s="33">
        <f t="shared" si="78"/>
        <v>0</v>
      </c>
      <c r="AF373" s="43" t="s">
        <v>4596</v>
      </c>
      <c r="AG373" s="128"/>
      <c r="AI373" s="64">
        <f t="shared" si="79"/>
        <v>2.9999999999999997E-4</v>
      </c>
      <c r="AJ373" s="313">
        <f>RTD("money.excel",,$G373,"PredictVolume")</f>
        <v>9</v>
      </c>
      <c r="AK373" s="348"/>
    </row>
    <row r="374" spans="1:37">
      <c r="A374" s="148" t="s">
        <v>4816</v>
      </c>
      <c r="B374" s="93">
        <v>38</v>
      </c>
      <c r="C374" s="93">
        <v>35</v>
      </c>
      <c r="D374" s="93">
        <v>-29</v>
      </c>
      <c r="E374" s="93">
        <v>13</v>
      </c>
      <c r="F374" s="6">
        <v>-53</v>
      </c>
      <c r="G374" s="81">
        <v>4911</v>
      </c>
      <c r="H374" s="8" t="s">
        <v>328</v>
      </c>
      <c r="I374" s="16" t="s">
        <v>4817</v>
      </c>
      <c r="J374" s="75">
        <v>58.18</v>
      </c>
      <c r="K374" s="75">
        <v>0.01</v>
      </c>
      <c r="N374" s="325">
        <f t="shared" si="80"/>
        <v>58.19</v>
      </c>
      <c r="O374" s="27"/>
      <c r="P374" s="56"/>
      <c r="Q374" s="26"/>
      <c r="S374" s="330">
        <v>25.09</v>
      </c>
      <c r="T374" s="34">
        <v>0</v>
      </c>
      <c r="U374" s="366">
        <f t="shared" si="75"/>
        <v>0</v>
      </c>
      <c r="V374" s="97">
        <v>-0.26</v>
      </c>
      <c r="W374" s="13">
        <f>RTD("money.excel",,"4911","Price")</f>
        <v>27.1</v>
      </c>
      <c r="X374" s="67"/>
      <c r="Y374" s="15">
        <f t="shared" si="76"/>
        <v>27.1</v>
      </c>
      <c r="Z374" s="3" t="e">
        <f t="shared" si="77"/>
        <v>#DIV/0!</v>
      </c>
      <c r="AB374" s="16" t="s">
        <v>4817</v>
      </c>
      <c r="AE374" s="33">
        <f t="shared" si="78"/>
        <v>0</v>
      </c>
      <c r="AF374" s="43" t="s">
        <v>4818</v>
      </c>
      <c r="AG374" s="128"/>
      <c r="AI374" s="64">
        <f t="shared" si="79"/>
        <v>7.1813285457809691E-5</v>
      </c>
      <c r="AJ374" s="313">
        <f>RTD("money.excel",,$G374,"PredictVolume")</f>
        <v>4</v>
      </c>
      <c r="AK374" s="348"/>
    </row>
    <row r="375" spans="1:37">
      <c r="A375" s="148" t="s">
        <v>4819</v>
      </c>
      <c r="B375" s="93">
        <v>-20</v>
      </c>
      <c r="C375" s="93">
        <v>-29</v>
      </c>
      <c r="D375" s="93">
        <v>-4</v>
      </c>
      <c r="E375" s="93">
        <v>-8</v>
      </c>
      <c r="F375" s="6">
        <v>5.2</v>
      </c>
      <c r="G375" s="81">
        <v>5312</v>
      </c>
      <c r="H375" s="8" t="s">
        <v>328</v>
      </c>
      <c r="I375" s="16" t="s">
        <v>4820</v>
      </c>
      <c r="J375" s="75">
        <v>69.47</v>
      </c>
      <c r="K375" s="75">
        <v>19.64</v>
      </c>
      <c r="L375" s="75">
        <v>1</v>
      </c>
      <c r="N375" s="325">
        <f t="shared" si="80"/>
        <v>90.11</v>
      </c>
      <c r="O375" s="27"/>
      <c r="P375" s="56"/>
      <c r="Q375" s="26"/>
      <c r="S375" s="330">
        <v>25.5</v>
      </c>
      <c r="T375" s="34">
        <v>4</v>
      </c>
      <c r="U375" s="366">
        <f t="shared" si="75"/>
        <v>6.6115702479338845E-2</v>
      </c>
      <c r="V375" s="97">
        <v>5.13</v>
      </c>
      <c r="W375" s="13">
        <f>RTD("money.excel",,"5312","Price")</f>
        <v>60.5</v>
      </c>
      <c r="X375" s="67"/>
      <c r="Y375" s="15">
        <f t="shared" si="76"/>
        <v>60.5</v>
      </c>
      <c r="Z375" s="3" t="e">
        <f t="shared" si="77"/>
        <v>#DIV/0!</v>
      </c>
      <c r="AB375" s="16" t="s">
        <v>4820</v>
      </c>
      <c r="AE375" s="33">
        <f t="shared" si="78"/>
        <v>0</v>
      </c>
      <c r="AF375" s="43" t="s">
        <v>4821</v>
      </c>
      <c r="AG375" s="125"/>
      <c r="AI375" s="64">
        <f t="shared" si="79"/>
        <v>2.8286189683860233E-4</v>
      </c>
      <c r="AJ375" s="313">
        <f>RTD("money.excel",,$G375,"PredictVolume")</f>
        <v>17</v>
      </c>
      <c r="AK375" s="83"/>
    </row>
    <row r="376" spans="1:37">
      <c r="A376" s="148" t="s">
        <v>4822</v>
      </c>
      <c r="B376" s="81">
        <v>323</v>
      </c>
      <c r="C376" s="81">
        <v>201</v>
      </c>
      <c r="D376" s="81">
        <v>74</v>
      </c>
      <c r="E376" s="82">
        <v>-27</v>
      </c>
      <c r="F376" s="6">
        <v>9.64</v>
      </c>
      <c r="G376" s="81">
        <v>6130</v>
      </c>
      <c r="H376" s="8" t="s">
        <v>328</v>
      </c>
      <c r="I376" s="16" t="s">
        <v>4823</v>
      </c>
      <c r="J376" s="330">
        <v>45.63</v>
      </c>
      <c r="K376" s="330">
        <v>0.26</v>
      </c>
      <c r="N376" s="325">
        <f t="shared" si="80"/>
        <v>45.89</v>
      </c>
      <c r="O376" s="27"/>
      <c r="P376" s="56"/>
      <c r="Q376" s="26"/>
      <c r="T376" s="34">
        <v>0</v>
      </c>
      <c r="U376" s="366">
        <f t="shared" si="75"/>
        <v>0</v>
      </c>
      <c r="V376" s="97">
        <v>0.35</v>
      </c>
      <c r="W376" s="36">
        <f>RTD("money.excel",,"6130","Price")</f>
        <v>49.35</v>
      </c>
      <c r="X376" s="67"/>
      <c r="Y376" s="15">
        <f t="shared" si="76"/>
        <v>49.35</v>
      </c>
      <c r="Z376" s="3" t="e">
        <f t="shared" si="77"/>
        <v>#DIV/0!</v>
      </c>
      <c r="AB376" s="16" t="s">
        <v>4823</v>
      </c>
      <c r="AE376" s="33">
        <f t="shared" si="78"/>
        <v>0</v>
      </c>
      <c r="AF376" s="43" t="s">
        <v>4328</v>
      </c>
      <c r="AG376" s="128"/>
      <c r="AI376" s="64">
        <f t="shared" si="79"/>
        <v>1.0773333333333333E-2</v>
      </c>
      <c r="AJ376" s="313">
        <f>RTD("money.excel",,$G376,"PredictVolume")</f>
        <v>404</v>
      </c>
      <c r="AK376" s="348"/>
    </row>
    <row r="377" spans="1:37">
      <c r="A377" s="132" t="s">
        <v>4824</v>
      </c>
      <c r="B377" s="93">
        <v>-23</v>
      </c>
      <c r="C377" s="93">
        <v>-29</v>
      </c>
      <c r="D377" s="93">
        <v>-21</v>
      </c>
      <c r="E377" s="93">
        <v>58</v>
      </c>
      <c r="F377" s="58">
        <v>14.36</v>
      </c>
      <c r="G377" s="81">
        <v>6242</v>
      </c>
      <c r="H377" s="8" t="s">
        <v>328</v>
      </c>
      <c r="I377" s="16" t="s">
        <v>4825</v>
      </c>
      <c r="J377" s="330">
        <v>71.260000000000005</v>
      </c>
      <c r="K377" s="75">
        <v>0.02</v>
      </c>
      <c r="N377" s="325">
        <f t="shared" si="80"/>
        <v>71.28</v>
      </c>
      <c r="O377" s="27"/>
      <c r="P377" s="56"/>
      <c r="Q377" s="26"/>
      <c r="S377" s="330">
        <v>19.45</v>
      </c>
      <c r="T377" s="34">
        <v>2.8</v>
      </c>
      <c r="U377" s="366">
        <f t="shared" si="75"/>
        <v>7.1979434447300775E-2</v>
      </c>
      <c r="V377" s="97">
        <v>3.12</v>
      </c>
      <c r="W377" s="13">
        <f>RTD("money.excel",,"6242","Price")</f>
        <v>38.9</v>
      </c>
      <c r="X377" s="67"/>
      <c r="Y377" s="15">
        <f t="shared" si="76"/>
        <v>38.9</v>
      </c>
      <c r="Z377" s="3" t="e">
        <f t="shared" si="77"/>
        <v>#DIV/0!</v>
      </c>
      <c r="AB377" s="16" t="s">
        <v>4825</v>
      </c>
      <c r="AE377" s="33">
        <f t="shared" si="78"/>
        <v>0</v>
      </c>
      <c r="AF377" s="43" t="s">
        <v>4826</v>
      </c>
      <c r="AG377" s="128"/>
      <c r="AI377" s="64">
        <f t="shared" si="79"/>
        <v>9.0090090090090078E-5</v>
      </c>
      <c r="AJ377" s="313">
        <f>RTD("money.excel",,$G377,"PredictVolume")</f>
        <v>2</v>
      </c>
      <c r="AK377" s="348"/>
    </row>
    <row r="378" spans="1:37">
      <c r="A378" s="148" t="s">
        <v>4827</v>
      </c>
      <c r="B378" s="82">
        <v>-72</v>
      </c>
      <c r="C378" s="82">
        <v>-77</v>
      </c>
      <c r="D378" s="81">
        <v>431</v>
      </c>
      <c r="E378" s="81">
        <v>3</v>
      </c>
      <c r="F378" s="75">
        <v>-676.48</v>
      </c>
      <c r="G378" s="81">
        <v>6446</v>
      </c>
      <c r="H378" s="8" t="s">
        <v>328</v>
      </c>
      <c r="I378" s="16" t="s">
        <v>4828</v>
      </c>
      <c r="J378" s="330">
        <v>47.75</v>
      </c>
      <c r="K378" s="330">
        <v>10.06</v>
      </c>
      <c r="M378" s="330">
        <v>18.55</v>
      </c>
      <c r="N378" s="325">
        <f t="shared" si="80"/>
        <v>76.36</v>
      </c>
      <c r="O378" s="27"/>
      <c r="P378" s="56"/>
      <c r="Q378" s="26"/>
      <c r="R378" s="308" t="s">
        <v>4829</v>
      </c>
      <c r="T378" s="34">
        <v>0</v>
      </c>
      <c r="U378" s="366">
        <f t="shared" si="75"/>
        <v>0</v>
      </c>
      <c r="V378" s="97">
        <v>-10.79</v>
      </c>
      <c r="W378" s="36">
        <f>RTD("money.excel",,"6446","Price")</f>
        <v>305</v>
      </c>
      <c r="X378" s="67"/>
      <c r="Y378" s="15">
        <f t="shared" si="76"/>
        <v>305</v>
      </c>
      <c r="Z378" s="3" t="e">
        <f t="shared" si="77"/>
        <v>#DIV/0!</v>
      </c>
      <c r="AA378" s="174" t="s">
        <v>4710</v>
      </c>
      <c r="AB378" s="16" t="s">
        <v>4828</v>
      </c>
      <c r="AE378" s="33">
        <f t="shared" si="78"/>
        <v>0</v>
      </c>
      <c r="AF378" s="43" t="s">
        <v>4830</v>
      </c>
      <c r="AG378" s="128"/>
      <c r="AI378" s="64">
        <f t="shared" si="79"/>
        <v>1.9962962962962964E-3</v>
      </c>
      <c r="AJ378" s="313">
        <f>RTD("money.excel",,$G378,"PredictVolume")</f>
        <v>539</v>
      </c>
      <c r="AK378" s="348"/>
    </row>
    <row r="379" spans="1:37">
      <c r="A379" s="148" t="s">
        <v>4831</v>
      </c>
      <c r="B379" s="82">
        <v>-19</v>
      </c>
      <c r="C379" s="82">
        <v>-21</v>
      </c>
      <c r="D379" s="81">
        <v>1</v>
      </c>
      <c r="E379" s="81">
        <v>282</v>
      </c>
      <c r="F379" s="75">
        <v>-854.73</v>
      </c>
      <c r="G379" s="81">
        <v>6461</v>
      </c>
      <c r="H379" s="8" t="s">
        <v>328</v>
      </c>
      <c r="I379" s="16" t="s">
        <v>4832</v>
      </c>
      <c r="J379" s="330">
        <v>50.63</v>
      </c>
      <c r="K379" s="330">
        <v>0.75</v>
      </c>
      <c r="L379" s="75">
        <v>4.22</v>
      </c>
      <c r="M379" s="330">
        <v>48.82</v>
      </c>
      <c r="N379" s="325">
        <f>K379+J379+L379+M379</f>
        <v>104.42</v>
      </c>
      <c r="O379" s="27"/>
      <c r="P379" s="56"/>
      <c r="Q379" s="26"/>
      <c r="S379" s="330">
        <v>7.0000000000000007E-2</v>
      </c>
      <c r="T379" s="34">
        <v>0</v>
      </c>
      <c r="U379" s="366">
        <f t="shared" si="75"/>
        <v>0</v>
      </c>
      <c r="V379" s="58">
        <v>-2.86</v>
      </c>
      <c r="W379" s="36">
        <f>RTD("money.excel",,"6461","Price")</f>
        <v>18.850000000000001</v>
      </c>
      <c r="X379" s="67"/>
      <c r="Y379" s="15">
        <f t="shared" si="76"/>
        <v>18.850000000000001</v>
      </c>
      <c r="Z379" s="3" t="e">
        <f t="shared" si="77"/>
        <v>#DIV/0!</v>
      </c>
      <c r="AB379" s="16" t="s">
        <v>4832</v>
      </c>
      <c r="AE379" s="33">
        <f t="shared" si="78"/>
        <v>0</v>
      </c>
      <c r="AF379" s="43" t="s">
        <v>2973</v>
      </c>
      <c r="AG379" s="128"/>
      <c r="AI379" s="64">
        <f t="shared" si="79"/>
        <v>4.5689655172413793E-4</v>
      </c>
      <c r="AJ379" s="313">
        <f>RTD("money.excel",,$G379,"PredictVolume")</f>
        <v>53</v>
      </c>
      <c r="AK379" s="348"/>
    </row>
    <row r="380" spans="1:37">
      <c r="A380" s="148" t="s">
        <v>3586</v>
      </c>
      <c r="B380" s="81">
        <v>121</v>
      </c>
      <c r="C380" s="81">
        <v>126</v>
      </c>
      <c r="D380" s="82">
        <v>-6</v>
      </c>
      <c r="E380" s="81">
        <v>25</v>
      </c>
      <c r="F380" s="6">
        <v>4.25</v>
      </c>
      <c r="G380" s="81">
        <v>6469</v>
      </c>
      <c r="H380" s="8" t="s">
        <v>328</v>
      </c>
      <c r="I380" s="16" t="s">
        <v>4833</v>
      </c>
      <c r="J380" s="75">
        <v>41.23</v>
      </c>
      <c r="K380" s="75">
        <v>6.75</v>
      </c>
      <c r="L380" s="330">
        <v>6.91</v>
      </c>
      <c r="M380" s="330">
        <v>15.72</v>
      </c>
      <c r="N380" s="325">
        <f t="shared" ref="N380" si="81">J380+K380+L380+M380</f>
        <v>70.61</v>
      </c>
      <c r="O380" s="27"/>
      <c r="P380" s="56"/>
      <c r="Q380" s="26"/>
      <c r="R380" s="308" t="s">
        <v>6053</v>
      </c>
      <c r="S380" s="330">
        <v>0.7</v>
      </c>
      <c r="T380" s="67">
        <v>3.96</v>
      </c>
      <c r="U380" s="366">
        <f t="shared" si="75"/>
        <v>1.375E-2</v>
      </c>
      <c r="V380" s="97">
        <v>6.2</v>
      </c>
      <c r="W380" s="36">
        <f>RTD("money.excel",,"6469","Price")</f>
        <v>288</v>
      </c>
      <c r="X380" s="67"/>
      <c r="Y380" s="15">
        <f t="shared" si="76"/>
        <v>288</v>
      </c>
      <c r="Z380" s="3" t="e">
        <f t="shared" si="77"/>
        <v>#DIV/0!</v>
      </c>
      <c r="AA380" s="174" t="s">
        <v>4714</v>
      </c>
      <c r="AB380" s="16" t="s">
        <v>4833</v>
      </c>
      <c r="AE380" s="33">
        <f t="shared" si="78"/>
        <v>0</v>
      </c>
      <c r="AF380" s="43" t="s">
        <v>4834</v>
      </c>
      <c r="AG380" s="128"/>
      <c r="AI380" s="64">
        <f t="shared" si="79"/>
        <v>9.2484076433121017E-3</v>
      </c>
      <c r="AJ380" s="313">
        <f>RTD("money.excel",,$G380,"PredictVolume")</f>
        <v>726</v>
      </c>
      <c r="AK380" s="348"/>
    </row>
    <row r="381" spans="1:37">
      <c r="A381" s="132" t="s">
        <v>4835</v>
      </c>
      <c r="B381" s="81">
        <v>437</v>
      </c>
      <c r="C381" s="81">
        <v>524</v>
      </c>
      <c r="D381" s="81">
        <v>19</v>
      </c>
      <c r="E381" s="81">
        <v>206</v>
      </c>
      <c r="F381" s="58">
        <v>25.1</v>
      </c>
      <c r="G381" s="81">
        <v>6472</v>
      </c>
      <c r="H381" s="8" t="s">
        <v>328</v>
      </c>
      <c r="I381" s="16" t="s">
        <v>4836</v>
      </c>
      <c r="J381" s="330">
        <v>45.08</v>
      </c>
      <c r="K381" s="330">
        <v>8.89</v>
      </c>
      <c r="L381" s="75">
        <v>10.47</v>
      </c>
      <c r="N381" s="325">
        <f t="shared" ref="N381:N413" si="82">J381+K381+L381+M381</f>
        <v>64.44</v>
      </c>
      <c r="O381" s="27"/>
      <c r="P381" s="56"/>
      <c r="Q381" s="26"/>
      <c r="S381" s="330">
        <v>10.029999999999999</v>
      </c>
      <c r="T381" s="67">
        <v>4.47</v>
      </c>
      <c r="U381" s="366">
        <f t="shared" si="75"/>
        <v>2.5988372093023255E-2</v>
      </c>
      <c r="V381" s="97">
        <v>18.91</v>
      </c>
      <c r="W381" s="36">
        <f>RTD("money.excel",,"6472","Price")</f>
        <v>172</v>
      </c>
      <c r="X381" s="67"/>
      <c r="Y381" s="15">
        <f t="shared" si="76"/>
        <v>172</v>
      </c>
      <c r="Z381" s="3" t="e">
        <f t="shared" si="77"/>
        <v>#DIV/0!</v>
      </c>
      <c r="AA381" s="174" t="s">
        <v>4714</v>
      </c>
      <c r="AB381" s="16" t="s">
        <v>4836</v>
      </c>
      <c r="AE381" s="33">
        <f t="shared" si="78"/>
        <v>0</v>
      </c>
      <c r="AF381" s="43" t="s">
        <v>4590</v>
      </c>
      <c r="AG381" s="128"/>
      <c r="AI381" s="64">
        <f t="shared" si="79"/>
        <v>3.2700729927007299E-3</v>
      </c>
      <c r="AJ381" s="313">
        <f>RTD("money.excel",,$G381,"PredictVolume")</f>
        <v>224</v>
      </c>
      <c r="AK381" s="348"/>
    </row>
    <row r="382" spans="1:37">
      <c r="A382" s="132" t="s">
        <v>2482</v>
      </c>
      <c r="B382" s="81">
        <v>102</v>
      </c>
      <c r="C382" s="81">
        <v>102</v>
      </c>
      <c r="D382" s="81">
        <v>5</v>
      </c>
      <c r="E382" s="81">
        <v>16</v>
      </c>
      <c r="F382" s="58">
        <v>25.41</v>
      </c>
      <c r="G382" s="81">
        <v>6491</v>
      </c>
      <c r="H382" s="206" t="s">
        <v>328</v>
      </c>
      <c r="I382" s="22" t="s">
        <v>4838</v>
      </c>
      <c r="J382" s="75">
        <v>57.24</v>
      </c>
      <c r="K382" s="75">
        <v>15.23</v>
      </c>
      <c r="L382" s="330">
        <v>4.1100000000000003</v>
      </c>
      <c r="M382" s="330">
        <v>43.22</v>
      </c>
      <c r="N382" s="325">
        <f t="shared" si="82"/>
        <v>119.8</v>
      </c>
      <c r="O382" s="27" t="s">
        <v>1735</v>
      </c>
      <c r="P382" s="56" t="s">
        <v>6268</v>
      </c>
      <c r="Q382" s="26" t="s">
        <v>6268</v>
      </c>
      <c r="R382" s="309" t="s">
        <v>4374</v>
      </c>
      <c r="S382" s="330">
        <v>2.46</v>
      </c>
      <c r="T382" s="67">
        <v>8.5</v>
      </c>
      <c r="U382" s="366">
        <f t="shared" si="75"/>
        <v>1.8279569892473119E-2</v>
      </c>
      <c r="V382" s="58">
        <v>16.61</v>
      </c>
      <c r="W382" s="36">
        <f>RTD("money.excel",,"6491","Price")</f>
        <v>465</v>
      </c>
      <c r="X382" s="67"/>
      <c r="Y382" s="15">
        <f t="shared" si="76"/>
        <v>465</v>
      </c>
      <c r="Z382" s="3" t="e">
        <f t="shared" si="77"/>
        <v>#DIV/0!</v>
      </c>
      <c r="AA382" s="174" t="s">
        <v>2185</v>
      </c>
      <c r="AB382" s="22" t="s">
        <v>4838</v>
      </c>
      <c r="AE382" s="33">
        <f t="shared" si="78"/>
        <v>0</v>
      </c>
      <c r="AF382" s="122" t="s">
        <v>4840</v>
      </c>
      <c r="AG382" s="128"/>
      <c r="AI382" s="64">
        <f t="shared" si="79"/>
        <v>9.4428571428571435E-3</v>
      </c>
      <c r="AJ382" s="313">
        <f>RTD("money.excel",,$G382,"PredictVolume")</f>
        <v>661</v>
      </c>
      <c r="AK382" s="348">
        <v>8.5299999999999994</v>
      </c>
    </row>
    <row r="383" spans="1:37">
      <c r="A383" s="148" t="s">
        <v>4841</v>
      </c>
      <c r="B383" s="81">
        <v>9</v>
      </c>
      <c r="C383" s="81">
        <v>8</v>
      </c>
      <c r="D383" s="81">
        <v>0</v>
      </c>
      <c r="E383" s="81">
        <v>0</v>
      </c>
      <c r="F383" s="236">
        <v>-58226</v>
      </c>
      <c r="G383" s="81">
        <v>6492</v>
      </c>
      <c r="H383" s="8" t="s">
        <v>328</v>
      </c>
      <c r="I383" s="16" t="s">
        <v>4842</v>
      </c>
      <c r="J383" s="330">
        <v>34.24</v>
      </c>
      <c r="K383" s="75">
        <v>13.06</v>
      </c>
      <c r="N383" s="325">
        <f t="shared" si="82"/>
        <v>47.300000000000004</v>
      </c>
      <c r="O383" s="27"/>
      <c r="P383" s="56"/>
      <c r="Q383" s="26"/>
      <c r="T383" s="34">
        <v>0</v>
      </c>
      <c r="U383" s="366">
        <f t="shared" si="75"/>
        <v>0</v>
      </c>
      <c r="V383" s="97">
        <v>-4.6500000000000004</v>
      </c>
      <c r="W383" s="36">
        <f>RTD("money.excel",,"6492","Price")</f>
        <v>81.599999999999994</v>
      </c>
      <c r="X383" s="67"/>
      <c r="Y383" s="15">
        <f t="shared" si="76"/>
        <v>81.599999999999994</v>
      </c>
      <c r="Z383" s="161" t="e">
        <f t="shared" si="77"/>
        <v>#DIV/0!</v>
      </c>
      <c r="AA383" s="174" t="s">
        <v>4710</v>
      </c>
      <c r="AB383" s="16" t="s">
        <v>4842</v>
      </c>
      <c r="AE383" s="33">
        <f t="shared" si="78"/>
        <v>0</v>
      </c>
      <c r="AF383" s="43" t="s">
        <v>4843</v>
      </c>
      <c r="AG383" s="128"/>
      <c r="AI383" s="64">
        <f t="shared" si="79"/>
        <v>4.7714604236343367E-3</v>
      </c>
      <c r="AJ383" s="313">
        <f>RTD("money.excel",,$G383,"PredictVolume")</f>
        <v>428</v>
      </c>
      <c r="AK383" s="348"/>
    </row>
    <row r="384" spans="1:37">
      <c r="A384" s="148" t="s">
        <v>4844</v>
      </c>
      <c r="B384" s="82">
        <v>-69</v>
      </c>
      <c r="C384" s="82">
        <v>-70</v>
      </c>
      <c r="D384" s="82">
        <v>1</v>
      </c>
      <c r="E384" s="82">
        <v>-11</v>
      </c>
      <c r="F384" s="6">
        <v>5.59</v>
      </c>
      <c r="G384" s="81">
        <v>6496</v>
      </c>
      <c r="H384" s="8" t="s">
        <v>328</v>
      </c>
      <c r="I384" s="16" t="s">
        <v>4845</v>
      </c>
      <c r="J384" s="330">
        <v>64.61</v>
      </c>
      <c r="K384" s="330">
        <v>5.26</v>
      </c>
      <c r="L384" s="330">
        <v>3.56</v>
      </c>
      <c r="N384" s="325">
        <f t="shared" si="82"/>
        <v>73.430000000000007</v>
      </c>
      <c r="O384" s="27"/>
      <c r="P384" s="56"/>
      <c r="Q384" s="26"/>
      <c r="S384" s="330">
        <v>51.59</v>
      </c>
      <c r="T384" s="34">
        <v>1</v>
      </c>
      <c r="U384" s="366">
        <f t="shared" ref="U384:U413" si="83">T384/W384</f>
        <v>3.6166365280289332E-2</v>
      </c>
      <c r="V384" s="58">
        <v>0.76</v>
      </c>
      <c r="W384" s="36">
        <f>RTD("money.excel",,"6496","Price")</f>
        <v>27.65</v>
      </c>
      <c r="X384" s="67"/>
      <c r="Y384" s="15">
        <f t="shared" si="76"/>
        <v>27.65</v>
      </c>
      <c r="Z384" s="3" t="e">
        <f t="shared" si="77"/>
        <v>#DIV/0!</v>
      </c>
      <c r="AB384" s="16" t="s">
        <v>4845</v>
      </c>
      <c r="AE384" s="33">
        <f t="shared" si="78"/>
        <v>0</v>
      </c>
      <c r="AF384" s="43" t="s">
        <v>4846</v>
      </c>
      <c r="AI384" s="64">
        <f t="shared" ref="AI384:AI413" si="84">AJ384/(A384*10000)</f>
        <v>5.9957173447537475E-4</v>
      </c>
      <c r="AJ384" s="313">
        <f>RTD("money.excel",,$G384,"PredictVolume")</f>
        <v>28</v>
      </c>
    </row>
    <row r="385" spans="1:37">
      <c r="A385" s="148" t="s">
        <v>4847</v>
      </c>
      <c r="B385" s="81">
        <v>14</v>
      </c>
      <c r="C385" s="81">
        <v>35</v>
      </c>
      <c r="D385" s="81">
        <v>23</v>
      </c>
      <c r="E385" s="81">
        <v>38</v>
      </c>
      <c r="F385" s="6">
        <v>-29.78</v>
      </c>
      <c r="G385" s="81">
        <v>6499</v>
      </c>
      <c r="H385" s="8" t="s">
        <v>328</v>
      </c>
      <c r="I385" s="16" t="s">
        <v>4848</v>
      </c>
      <c r="J385" s="75">
        <v>64.33</v>
      </c>
      <c r="K385" s="75">
        <v>12.62</v>
      </c>
      <c r="N385" s="325">
        <f t="shared" si="82"/>
        <v>76.95</v>
      </c>
      <c r="O385" s="27"/>
      <c r="P385" s="56"/>
      <c r="Q385" s="26"/>
      <c r="T385" s="34">
        <v>0</v>
      </c>
      <c r="U385" s="366">
        <f t="shared" si="83"/>
        <v>0</v>
      </c>
      <c r="V385" s="97">
        <v>-2.91</v>
      </c>
      <c r="W385" s="36">
        <f>RTD("money.excel",,"6499","Price")</f>
        <v>81</v>
      </c>
      <c r="X385" s="67"/>
      <c r="Y385" s="15">
        <f t="shared" si="76"/>
        <v>81</v>
      </c>
      <c r="Z385" s="3" t="e">
        <f t="shared" si="77"/>
        <v>#DIV/0!</v>
      </c>
      <c r="AA385" s="174" t="s">
        <v>4710</v>
      </c>
      <c r="AB385" s="16" t="s">
        <v>4848</v>
      </c>
      <c r="AE385" s="33">
        <f t="shared" si="78"/>
        <v>0</v>
      </c>
      <c r="AF385" s="43" t="s">
        <v>4849</v>
      </c>
      <c r="AG385" s="128"/>
      <c r="AI385" s="64">
        <f t="shared" si="84"/>
        <v>1.2147147147147147E-2</v>
      </c>
      <c r="AJ385" s="313">
        <f>RTD("money.excel",,$G385,"PredictVolume")</f>
        <v>809</v>
      </c>
      <c r="AK385" s="348"/>
    </row>
    <row r="386" spans="1:37">
      <c r="A386" s="132" t="s">
        <v>4850</v>
      </c>
      <c r="B386" s="81">
        <v>60</v>
      </c>
      <c r="C386" s="81">
        <v>61</v>
      </c>
      <c r="D386" s="82">
        <v>-4</v>
      </c>
      <c r="E386" s="81">
        <v>36</v>
      </c>
      <c r="F386" s="58">
        <v>35.53</v>
      </c>
      <c r="G386" s="81">
        <v>6523</v>
      </c>
      <c r="H386" s="8" t="s">
        <v>328</v>
      </c>
      <c r="I386" s="16" t="s">
        <v>4851</v>
      </c>
      <c r="J386" s="75">
        <v>64.75</v>
      </c>
      <c r="K386" s="330">
        <v>5.47</v>
      </c>
      <c r="L386" s="75">
        <v>14.23</v>
      </c>
      <c r="M386" s="330">
        <v>33.82</v>
      </c>
      <c r="N386" s="325">
        <f t="shared" si="82"/>
        <v>118.27000000000001</v>
      </c>
      <c r="O386" s="27"/>
      <c r="P386" s="56"/>
      <c r="Q386" s="26"/>
      <c r="R386" s="308" t="s">
        <v>4728</v>
      </c>
      <c r="S386" s="330">
        <v>0.24</v>
      </c>
      <c r="T386" s="67">
        <v>5.22</v>
      </c>
      <c r="U386" s="366">
        <f t="shared" si="83"/>
        <v>5.6432432432432428E-2</v>
      </c>
      <c r="V386" s="58">
        <v>16.46</v>
      </c>
      <c r="W386" s="36">
        <f>RTD("money.excel",,"6523","Price")</f>
        <v>92.5</v>
      </c>
      <c r="X386" s="67"/>
      <c r="Y386" s="15">
        <f t="shared" si="76"/>
        <v>92.5</v>
      </c>
      <c r="Z386" s="3" t="e">
        <f t="shared" si="77"/>
        <v>#DIV/0!</v>
      </c>
      <c r="AA386" s="174" t="s">
        <v>4714</v>
      </c>
      <c r="AB386" s="16" t="s">
        <v>4851</v>
      </c>
      <c r="AE386" s="33">
        <f t="shared" si="78"/>
        <v>0</v>
      </c>
      <c r="AF386" s="43" t="s">
        <v>2974</v>
      </c>
      <c r="AG386" s="128"/>
      <c r="AI386" s="64">
        <f t="shared" si="84"/>
        <v>4.9111111111111109E-3</v>
      </c>
      <c r="AJ386" s="313">
        <f>RTD("money.excel",,$G386,"PredictVolume")</f>
        <v>221</v>
      </c>
      <c r="AK386" s="348"/>
    </row>
    <row r="387" spans="1:37">
      <c r="A387" s="132" t="s">
        <v>4852</v>
      </c>
      <c r="B387" s="93">
        <v>54</v>
      </c>
      <c r="C387" s="93">
        <v>60</v>
      </c>
      <c r="D387" s="93">
        <v>6</v>
      </c>
      <c r="E387" s="93">
        <v>-15</v>
      </c>
      <c r="F387" s="58">
        <v>17.52</v>
      </c>
      <c r="G387" s="81">
        <v>6527</v>
      </c>
      <c r="H387" s="8" t="s">
        <v>328</v>
      </c>
      <c r="I387" s="16" t="s">
        <v>4853</v>
      </c>
      <c r="J387" s="75">
        <v>44.13</v>
      </c>
      <c r="K387" s="75">
        <v>1.26</v>
      </c>
      <c r="N387" s="325">
        <f t="shared" si="82"/>
        <v>45.39</v>
      </c>
      <c r="O387" s="27"/>
      <c r="P387" s="56"/>
      <c r="Q387" s="26"/>
      <c r="T387" s="34">
        <v>1.4</v>
      </c>
      <c r="U387" s="366">
        <f t="shared" si="83"/>
        <v>3.0172413793103446E-2</v>
      </c>
      <c r="V387" s="97">
        <v>2.34</v>
      </c>
      <c r="W387" s="13">
        <f>RTD("money.excel",,"6527","Price")</f>
        <v>46.4</v>
      </c>
      <c r="X387" s="67"/>
      <c r="Y387" s="15">
        <f t="shared" si="76"/>
        <v>46.4</v>
      </c>
      <c r="Z387" s="3" t="e">
        <f t="shared" si="77"/>
        <v>#DIV/0!</v>
      </c>
      <c r="AB387" s="16" t="s">
        <v>4853</v>
      </c>
      <c r="AE387" s="33">
        <f t="shared" si="78"/>
        <v>0</v>
      </c>
      <c r="AF387" s="43" t="s">
        <v>4854</v>
      </c>
      <c r="AG387" s="128"/>
      <c r="AI387" s="64">
        <f t="shared" si="84"/>
        <v>6.1728395061728394E-4</v>
      </c>
      <c r="AJ387" s="313">
        <f>RTD("money.excel",,$G387,"PredictVolume")</f>
        <v>15</v>
      </c>
      <c r="AK387" s="348"/>
    </row>
    <row r="388" spans="1:37">
      <c r="A388" s="148" t="s">
        <v>2179</v>
      </c>
      <c r="B388" s="81">
        <v>278</v>
      </c>
      <c r="C388" s="82">
        <v>-4</v>
      </c>
      <c r="D388" s="82">
        <v>-20</v>
      </c>
      <c r="E388" s="95">
        <v>3800</v>
      </c>
      <c r="F388" s="47">
        <v>-3843</v>
      </c>
      <c r="G388" s="81">
        <v>6535</v>
      </c>
      <c r="H388" s="8" t="s">
        <v>328</v>
      </c>
      <c r="I388" s="16" t="s">
        <v>667</v>
      </c>
      <c r="J388" s="330">
        <v>52.41</v>
      </c>
      <c r="K388" s="330">
        <v>0.97</v>
      </c>
      <c r="L388" s="330"/>
      <c r="M388" s="330">
        <v>36.14</v>
      </c>
      <c r="N388" s="325">
        <f t="shared" ref="N388" si="85">K388+J388+L388+M388</f>
        <v>89.52</v>
      </c>
      <c r="O388" s="27"/>
      <c r="P388" s="56"/>
      <c r="Q388" s="26"/>
      <c r="S388" s="330">
        <v>0</v>
      </c>
      <c r="T388" s="34">
        <v>0</v>
      </c>
      <c r="U388" s="366">
        <f t="shared" si="83"/>
        <v>0</v>
      </c>
      <c r="V388" s="58">
        <v>2.38</v>
      </c>
      <c r="W388" s="36">
        <f>RTD("money.excel",,"6535","Price")</f>
        <v>35.200000000000003</v>
      </c>
      <c r="X388" s="67"/>
      <c r="Y388" s="15">
        <f t="shared" si="76"/>
        <v>35.200000000000003</v>
      </c>
      <c r="Z388" s="3" t="e">
        <f t="shared" si="77"/>
        <v>#DIV/0!</v>
      </c>
      <c r="AA388" s="174" t="s">
        <v>4856</v>
      </c>
      <c r="AB388" s="16" t="s">
        <v>4855</v>
      </c>
      <c r="AE388" s="33">
        <f t="shared" si="78"/>
        <v>0</v>
      </c>
      <c r="AF388" s="43" t="s">
        <v>2620</v>
      </c>
      <c r="AG388" s="128"/>
      <c r="AI388" s="64">
        <f t="shared" si="84"/>
        <v>9.8159509202453993E-4</v>
      </c>
      <c r="AJ388" s="313">
        <f>RTD("money.excel",,$G388,"PredictVolume")</f>
        <v>160</v>
      </c>
      <c r="AK388" s="348"/>
    </row>
    <row r="389" spans="1:37">
      <c r="A389" s="148" t="s">
        <v>4857</v>
      </c>
      <c r="B389" s="81">
        <v>32</v>
      </c>
      <c r="C389" s="81">
        <v>26</v>
      </c>
      <c r="D389" s="82">
        <v>-100</v>
      </c>
      <c r="E389" s="81"/>
      <c r="F389" s="236"/>
      <c r="G389" s="81">
        <v>6541</v>
      </c>
      <c r="H389" s="8" t="s">
        <v>328</v>
      </c>
      <c r="I389" s="22" t="s">
        <v>4858</v>
      </c>
      <c r="J389" s="330">
        <v>67.81</v>
      </c>
      <c r="K389" s="330">
        <v>32.590000000000003</v>
      </c>
      <c r="L389" s="330">
        <v>0</v>
      </c>
      <c r="N389" s="325">
        <f t="shared" si="82"/>
        <v>100.4</v>
      </c>
      <c r="O389" s="27"/>
      <c r="P389" s="56"/>
      <c r="Q389" s="26"/>
      <c r="S389" s="330">
        <v>0</v>
      </c>
      <c r="T389" s="34">
        <v>0</v>
      </c>
      <c r="U389" s="366">
        <f t="shared" si="83"/>
        <v>0</v>
      </c>
      <c r="V389" s="58">
        <v>-5.95</v>
      </c>
      <c r="W389" s="36">
        <f>RTD("money.excel",,"6541","Price")</f>
        <v>54.9</v>
      </c>
      <c r="X389" s="67"/>
      <c r="Y389" s="15">
        <f t="shared" si="76"/>
        <v>54.9</v>
      </c>
      <c r="Z389" s="3" t="e">
        <f t="shared" si="77"/>
        <v>#DIV/0!</v>
      </c>
      <c r="AA389" s="174" t="s">
        <v>4710</v>
      </c>
      <c r="AB389" s="22" t="s">
        <v>4858</v>
      </c>
      <c r="AE389" s="33">
        <f t="shared" si="78"/>
        <v>0</v>
      </c>
      <c r="AF389" s="43" t="s">
        <v>2587</v>
      </c>
      <c r="AG389" s="128"/>
      <c r="AI389" s="64">
        <f t="shared" si="84"/>
        <v>7.3295454545454543E-4</v>
      </c>
      <c r="AJ389" s="313">
        <f>RTD("money.excel",,$G389,"PredictVolume")</f>
        <v>258</v>
      </c>
      <c r="AK389" s="348"/>
    </row>
    <row r="390" spans="1:37">
      <c r="A390" s="148" t="s">
        <v>4859</v>
      </c>
      <c r="B390" s="82">
        <v>-19</v>
      </c>
      <c r="C390" s="82">
        <v>-122</v>
      </c>
      <c r="D390" s="82"/>
      <c r="E390" s="82">
        <v>-100</v>
      </c>
      <c r="F390" s="47">
        <v>-9009</v>
      </c>
      <c r="G390" s="81">
        <v>6547</v>
      </c>
      <c r="H390" s="8" t="s">
        <v>328</v>
      </c>
      <c r="I390" s="16" t="s">
        <v>4860</v>
      </c>
      <c r="J390" s="330">
        <v>31.51</v>
      </c>
      <c r="K390" s="75">
        <v>6.76</v>
      </c>
      <c r="N390" s="325">
        <f t="shared" si="82"/>
        <v>38.270000000000003</v>
      </c>
      <c r="O390" s="27"/>
      <c r="P390" s="56"/>
      <c r="Q390" s="26"/>
      <c r="T390" s="34">
        <v>0</v>
      </c>
      <c r="U390" s="366">
        <f t="shared" si="83"/>
        <v>0</v>
      </c>
      <c r="V390" s="97">
        <v>-3.63</v>
      </c>
      <c r="W390" s="36">
        <f>RTD("money.excel",,"6547","Price")</f>
        <v>242.5</v>
      </c>
      <c r="X390" s="67"/>
      <c r="Y390" s="15">
        <f t="shared" si="76"/>
        <v>242.5</v>
      </c>
      <c r="Z390" s="3" t="e">
        <f t="shared" si="77"/>
        <v>#DIV/0!</v>
      </c>
      <c r="AA390" s="174" t="s">
        <v>4710</v>
      </c>
      <c r="AB390" s="16" t="s">
        <v>4860</v>
      </c>
      <c r="AE390" s="33">
        <f t="shared" si="78"/>
        <v>0</v>
      </c>
      <c r="AF390" s="43" t="s">
        <v>4861</v>
      </c>
      <c r="AG390" s="128"/>
      <c r="AI390" s="64">
        <f t="shared" si="84"/>
        <v>5.9763033175355453E-3</v>
      </c>
      <c r="AJ390" s="313">
        <f>RTD("money.excel",,$G390,"PredictVolume")</f>
        <v>1261</v>
      </c>
      <c r="AK390" s="348"/>
    </row>
    <row r="391" spans="1:37">
      <c r="A391" s="148" t="s">
        <v>4738</v>
      </c>
      <c r="B391" s="82">
        <v>-46</v>
      </c>
      <c r="C391" s="82">
        <v>-92</v>
      </c>
      <c r="D391" s="81">
        <v>32</v>
      </c>
      <c r="E391" s="82">
        <v>-13</v>
      </c>
      <c r="F391" s="6">
        <v>0.78</v>
      </c>
      <c r="G391" s="81">
        <v>6569</v>
      </c>
      <c r="H391" s="8" t="s">
        <v>328</v>
      </c>
      <c r="I391" s="16" t="s">
        <v>4862</v>
      </c>
      <c r="J391" s="75">
        <v>66.900000000000006</v>
      </c>
      <c r="K391" s="330">
        <v>2.63</v>
      </c>
      <c r="N391" s="325">
        <f t="shared" si="82"/>
        <v>69.53</v>
      </c>
      <c r="O391" s="27"/>
      <c r="P391" s="56"/>
      <c r="Q391" s="26"/>
      <c r="T391" s="67">
        <v>6.5</v>
      </c>
      <c r="U391" s="366">
        <f t="shared" si="83"/>
        <v>6.4039408866995079E-2</v>
      </c>
      <c r="V391" s="58">
        <v>4.33</v>
      </c>
      <c r="W391" s="36">
        <f>RTD("money.excel",,"6569","Price")</f>
        <v>101.5</v>
      </c>
      <c r="X391" s="67"/>
      <c r="Y391" s="15">
        <f t="shared" si="76"/>
        <v>101.5</v>
      </c>
      <c r="Z391" s="3" t="e">
        <f t="shared" si="77"/>
        <v>#DIV/0!</v>
      </c>
      <c r="AA391" s="174" t="s">
        <v>4714</v>
      </c>
      <c r="AB391" s="16" t="s">
        <v>4862</v>
      </c>
      <c r="AE391" s="33">
        <f t="shared" si="78"/>
        <v>0</v>
      </c>
      <c r="AF391" s="43" t="s">
        <v>4863</v>
      </c>
      <c r="AG391" s="128"/>
      <c r="AI391" s="64">
        <f t="shared" si="84"/>
        <v>2.9702970297029708E-4</v>
      </c>
      <c r="AJ391" s="313">
        <f>RTD("money.excel",,$G391,"PredictVolume")</f>
        <v>9</v>
      </c>
      <c r="AK391" s="348"/>
    </row>
    <row r="392" spans="1:37">
      <c r="A392" s="148" t="s">
        <v>4864</v>
      </c>
      <c r="B392" s="93">
        <v>-39</v>
      </c>
      <c r="C392" s="93">
        <v>-39</v>
      </c>
      <c r="D392" s="93">
        <v>-2</v>
      </c>
      <c r="E392" s="93">
        <v>7</v>
      </c>
      <c r="F392" s="6">
        <v>7.88</v>
      </c>
      <c r="G392" s="81">
        <v>6574</v>
      </c>
      <c r="H392" s="8" t="s">
        <v>328</v>
      </c>
      <c r="I392" s="16" t="s">
        <v>668</v>
      </c>
      <c r="J392" s="75">
        <v>83.46</v>
      </c>
      <c r="K392" s="75">
        <v>0</v>
      </c>
      <c r="N392" s="325">
        <f t="shared" si="82"/>
        <v>83.46</v>
      </c>
      <c r="O392" s="27"/>
      <c r="P392" s="56"/>
      <c r="Q392" s="26"/>
      <c r="S392" s="330">
        <v>64.39</v>
      </c>
      <c r="T392" s="34">
        <v>1.38</v>
      </c>
      <c r="U392" s="366" t="e">
        <f t="shared" si="83"/>
        <v>#VALUE!</v>
      </c>
      <c r="V392" s="58">
        <v>1.91</v>
      </c>
      <c r="W392" s="36" t="str">
        <f>RTD("money.excel",,"6574","Price")</f>
        <v>無資料</v>
      </c>
      <c r="X392" s="67"/>
      <c r="Y392" s="15" t="e">
        <f t="shared" si="76"/>
        <v>#VALUE!</v>
      </c>
      <c r="Z392" s="3" t="e">
        <f t="shared" si="77"/>
        <v>#VALUE!</v>
      </c>
      <c r="AB392" s="16" t="s">
        <v>668</v>
      </c>
      <c r="AE392" s="33">
        <f t="shared" si="78"/>
        <v>0</v>
      </c>
      <c r="AF392" s="43" t="s">
        <v>4865</v>
      </c>
      <c r="AG392" s="128"/>
      <c r="AI392" s="64">
        <f t="shared" si="84"/>
        <v>0</v>
      </c>
      <c r="AJ392" s="313">
        <f>RTD("money.excel",,$G392,"PredictVolume")</f>
        <v>0</v>
      </c>
      <c r="AK392" s="348"/>
    </row>
    <row r="393" spans="1:37">
      <c r="A393" s="148" t="s">
        <v>4866</v>
      </c>
      <c r="B393" s="82">
        <v>-4</v>
      </c>
      <c r="C393" s="82">
        <v>-3</v>
      </c>
      <c r="D393" s="237">
        <v>50117</v>
      </c>
      <c r="E393" s="81">
        <v>169</v>
      </c>
      <c r="F393" s="75">
        <v>-210.38</v>
      </c>
      <c r="G393" s="81">
        <v>6576</v>
      </c>
      <c r="H393" s="8" t="s">
        <v>328</v>
      </c>
      <c r="I393" s="16" t="s">
        <v>4867</v>
      </c>
      <c r="J393" s="75">
        <v>35.49</v>
      </c>
      <c r="K393" s="75">
        <v>32.5</v>
      </c>
      <c r="N393" s="325">
        <f t="shared" si="82"/>
        <v>67.990000000000009</v>
      </c>
      <c r="O393" s="27"/>
      <c r="P393" s="56"/>
      <c r="Q393" s="26"/>
      <c r="T393" s="34">
        <v>0</v>
      </c>
      <c r="U393" s="366">
        <f t="shared" si="83"/>
        <v>0</v>
      </c>
      <c r="V393" s="97">
        <v>-5.0599999999999996</v>
      </c>
      <c r="W393" s="36">
        <f>RTD("money.excel",,"6576","Price")</f>
        <v>117</v>
      </c>
      <c r="X393" s="67"/>
      <c r="Y393" s="15">
        <f t="shared" si="76"/>
        <v>117</v>
      </c>
      <c r="Z393" s="3" t="e">
        <f t="shared" si="77"/>
        <v>#DIV/0!</v>
      </c>
      <c r="AA393" s="174" t="s">
        <v>4710</v>
      </c>
      <c r="AB393" s="16" t="s">
        <v>4867</v>
      </c>
      <c r="AE393" s="33">
        <f t="shared" si="78"/>
        <v>0</v>
      </c>
      <c r="AF393" s="43" t="s">
        <v>4745</v>
      </c>
      <c r="AG393" s="128"/>
      <c r="AI393" s="64">
        <f t="shared" si="84"/>
        <v>1.8632478632478633E-3</v>
      </c>
      <c r="AJ393" s="313">
        <f>RTD("money.excel",,$G393,"PredictVolume")</f>
        <v>218</v>
      </c>
      <c r="AK393" s="348"/>
    </row>
    <row r="394" spans="1:37">
      <c r="A394" s="148" t="s">
        <v>4868</v>
      </c>
      <c r="B394" s="81">
        <v>33</v>
      </c>
      <c r="C394" s="81">
        <v>33</v>
      </c>
      <c r="D394" s="81">
        <v>39</v>
      </c>
      <c r="E394" s="81">
        <v>29</v>
      </c>
      <c r="F394" s="6">
        <v>-92.62</v>
      </c>
      <c r="G394" s="81">
        <v>6589</v>
      </c>
      <c r="H394" s="8" t="s">
        <v>328</v>
      </c>
      <c r="I394" s="16" t="s">
        <v>4869</v>
      </c>
      <c r="J394" s="330">
        <v>41.3</v>
      </c>
      <c r="K394" s="330">
        <v>3.26</v>
      </c>
      <c r="L394" s="330"/>
      <c r="N394" s="325">
        <f t="shared" si="82"/>
        <v>44.559999999999995</v>
      </c>
      <c r="O394" s="27"/>
      <c r="P394" s="56"/>
      <c r="Q394" s="26"/>
      <c r="T394" s="34">
        <v>0</v>
      </c>
      <c r="U394" s="366">
        <f t="shared" si="83"/>
        <v>0</v>
      </c>
      <c r="V394" s="97">
        <v>-4.66</v>
      </c>
      <c r="W394" s="36">
        <f>RTD("money.excel",,"6589","Price")</f>
        <v>94.3</v>
      </c>
      <c r="X394" s="67"/>
      <c r="Y394" s="15">
        <f t="shared" si="76"/>
        <v>94.3</v>
      </c>
      <c r="Z394" s="3" t="e">
        <f t="shared" si="77"/>
        <v>#DIV/0!</v>
      </c>
      <c r="AA394" s="174" t="s">
        <v>4710</v>
      </c>
      <c r="AB394" s="16" t="s">
        <v>4869</v>
      </c>
      <c r="AE394" s="33">
        <f t="shared" si="78"/>
        <v>0</v>
      </c>
      <c r="AF394" s="43" t="s">
        <v>2975</v>
      </c>
      <c r="AG394" s="128"/>
      <c r="AI394" s="64">
        <f t="shared" si="84"/>
        <v>3.823045267489712E-3</v>
      </c>
      <c r="AJ394" s="313">
        <f>RTD("money.excel",,$G394,"PredictVolume")</f>
        <v>929</v>
      </c>
      <c r="AK394" s="348"/>
    </row>
    <row r="395" spans="1:37">
      <c r="A395" s="148" t="s">
        <v>4870</v>
      </c>
      <c r="B395" s="81">
        <v>32</v>
      </c>
      <c r="C395" s="81">
        <v>32</v>
      </c>
      <c r="D395" s="82">
        <v>-25</v>
      </c>
      <c r="E395" s="81">
        <v>154</v>
      </c>
      <c r="F395" s="58">
        <v>-91.85</v>
      </c>
      <c r="G395" s="81">
        <v>6598</v>
      </c>
      <c r="H395" s="8" t="s">
        <v>328</v>
      </c>
      <c r="I395" s="22" t="s">
        <v>4871</v>
      </c>
      <c r="J395" s="330">
        <v>53.42</v>
      </c>
      <c r="K395" s="330">
        <v>41.26</v>
      </c>
      <c r="L395" s="330"/>
      <c r="N395" s="325">
        <f t="shared" si="82"/>
        <v>94.68</v>
      </c>
      <c r="O395" s="27"/>
      <c r="P395" s="56"/>
      <c r="Q395" s="26"/>
      <c r="T395" s="34">
        <v>0</v>
      </c>
      <c r="U395" s="366">
        <f t="shared" si="83"/>
        <v>0</v>
      </c>
      <c r="V395" s="97">
        <v>-1.35</v>
      </c>
      <c r="W395" s="13">
        <f>RTD("money.excel",,"6598","Price")</f>
        <v>31.3</v>
      </c>
      <c r="X395" s="67"/>
      <c r="Y395" s="15">
        <f t="shared" si="76"/>
        <v>31.3</v>
      </c>
      <c r="Z395" s="3" t="e">
        <f t="shared" si="77"/>
        <v>#DIV/0!</v>
      </c>
      <c r="AA395" s="174" t="s">
        <v>4710</v>
      </c>
      <c r="AB395" s="22" t="s">
        <v>4871</v>
      </c>
      <c r="AE395" s="33">
        <f t="shared" si="78"/>
        <v>0</v>
      </c>
      <c r="AF395" s="43" t="s">
        <v>2238</v>
      </c>
      <c r="AG395" s="128"/>
      <c r="AI395" s="64">
        <f t="shared" si="84"/>
        <v>3.0514705882352939E-3</v>
      </c>
      <c r="AJ395" s="313">
        <f>RTD("money.excel",,$G395,"PredictVolume")</f>
        <v>249</v>
      </c>
      <c r="AK395" s="348"/>
    </row>
    <row r="396" spans="1:37">
      <c r="A396" s="132" t="s">
        <v>4872</v>
      </c>
      <c r="B396" s="93">
        <v>-22</v>
      </c>
      <c r="C396" s="93">
        <v>-13</v>
      </c>
      <c r="D396" s="93">
        <v>33</v>
      </c>
      <c r="E396" s="93">
        <v>-25</v>
      </c>
      <c r="F396" s="58">
        <v>31.52</v>
      </c>
      <c r="G396" s="81">
        <v>6612</v>
      </c>
      <c r="H396" s="8" t="s">
        <v>328</v>
      </c>
      <c r="I396" s="16" t="s">
        <v>4873</v>
      </c>
      <c r="J396" s="330">
        <v>67.239999999999995</v>
      </c>
      <c r="K396" s="330">
        <v>31.32</v>
      </c>
      <c r="N396" s="325">
        <f t="shared" si="82"/>
        <v>98.56</v>
      </c>
      <c r="O396" s="27"/>
      <c r="P396" s="56"/>
      <c r="Q396" s="26"/>
      <c r="S396" s="330">
        <v>22.06</v>
      </c>
      <c r="T396" s="34">
        <v>0.1</v>
      </c>
      <c r="U396" s="366">
        <f t="shared" si="83"/>
        <v>1.2345679012345679E-3</v>
      </c>
      <c r="V396" s="97">
        <v>1.55</v>
      </c>
      <c r="W396" s="13">
        <f>RTD("money.excel",,"6612","Price")</f>
        <v>81</v>
      </c>
      <c r="X396" s="67"/>
      <c r="Y396" s="15">
        <f t="shared" si="76"/>
        <v>81</v>
      </c>
      <c r="Z396" s="3" t="e">
        <f t="shared" si="77"/>
        <v>#DIV/0!</v>
      </c>
      <c r="AB396" s="16" t="s">
        <v>4873</v>
      </c>
      <c r="AE396" s="33">
        <f t="shared" si="78"/>
        <v>0</v>
      </c>
      <c r="AF396" s="43" t="s">
        <v>4874</v>
      </c>
      <c r="AG396" s="128"/>
      <c r="AI396" s="64">
        <f t="shared" si="84"/>
        <v>2.3764705882352941E-2</v>
      </c>
      <c r="AJ396" s="313">
        <f>RTD("money.excel",,$G396,"PredictVolume")</f>
        <v>808</v>
      </c>
      <c r="AK396" s="348"/>
    </row>
    <row r="397" spans="1:37">
      <c r="A397" s="148" t="s">
        <v>4875</v>
      </c>
      <c r="B397" s="93">
        <v>-51</v>
      </c>
      <c r="C397" s="93">
        <v>-69</v>
      </c>
      <c r="D397" s="93">
        <v>2</v>
      </c>
      <c r="E397" s="93">
        <v>15</v>
      </c>
      <c r="F397" s="6">
        <v>4.43</v>
      </c>
      <c r="G397" s="81">
        <v>6615</v>
      </c>
      <c r="H397" s="8" t="s">
        <v>328</v>
      </c>
      <c r="I397" s="16" t="s">
        <v>4876</v>
      </c>
      <c r="J397" s="75">
        <v>60.04</v>
      </c>
      <c r="K397" s="75">
        <v>0</v>
      </c>
      <c r="N397" s="325">
        <f t="shared" si="82"/>
        <v>60.04</v>
      </c>
      <c r="O397" s="27"/>
      <c r="P397" s="56"/>
      <c r="Q397" s="26"/>
      <c r="S397" s="330">
        <v>18.940000000000001</v>
      </c>
      <c r="T397" s="34">
        <v>1.4</v>
      </c>
      <c r="U397" s="366">
        <f t="shared" si="83"/>
        <v>2.9914529914529916E-2</v>
      </c>
      <c r="V397" s="97">
        <v>1.63</v>
      </c>
      <c r="W397" s="13">
        <f>RTD("money.excel",,"6615","Price")</f>
        <v>46.8</v>
      </c>
      <c r="X397" s="67"/>
      <c r="Y397" s="15">
        <f t="shared" si="76"/>
        <v>46.8</v>
      </c>
      <c r="Z397" s="3" t="e">
        <f t="shared" si="77"/>
        <v>#DIV/0!</v>
      </c>
      <c r="AB397" s="16" t="s">
        <v>4876</v>
      </c>
      <c r="AE397" s="33">
        <f t="shared" si="78"/>
        <v>0</v>
      </c>
      <c r="AF397" s="43" t="s">
        <v>4877</v>
      </c>
      <c r="AG397" s="128"/>
      <c r="AI397" s="64">
        <f t="shared" si="84"/>
        <v>9.3896713615023475E-5</v>
      </c>
      <c r="AJ397" s="313">
        <f>RTD("money.excel",,$G397,"PredictVolume")</f>
        <v>2</v>
      </c>
      <c r="AK397" s="348"/>
    </row>
    <row r="398" spans="1:37">
      <c r="A398" s="148" t="s">
        <v>2481</v>
      </c>
      <c r="B398" s="81">
        <v>40</v>
      </c>
      <c r="C398" s="81">
        <v>26</v>
      </c>
      <c r="D398" s="81">
        <v>451</v>
      </c>
      <c r="E398" s="95">
        <v>1331</v>
      </c>
      <c r="F398" s="153">
        <v>-118.69</v>
      </c>
      <c r="G398" s="81">
        <v>6649</v>
      </c>
      <c r="H398" s="8" t="s">
        <v>328</v>
      </c>
      <c r="I398" s="16" t="s">
        <v>4878</v>
      </c>
      <c r="J398" s="330">
        <v>45.02</v>
      </c>
      <c r="K398" s="330">
        <v>2.91</v>
      </c>
      <c r="L398" s="330"/>
      <c r="M398" s="330">
        <v>31.43</v>
      </c>
      <c r="N398" s="325">
        <f t="shared" si="82"/>
        <v>79.360000000000014</v>
      </c>
      <c r="O398" s="27" t="s">
        <v>6469</v>
      </c>
      <c r="P398" s="56" t="s">
        <v>6469</v>
      </c>
      <c r="Q398" s="26" t="s">
        <v>6469</v>
      </c>
      <c r="T398" s="34">
        <v>0</v>
      </c>
      <c r="U398" s="366">
        <f t="shared" si="83"/>
        <v>0</v>
      </c>
      <c r="V398" s="97">
        <v>-1.03</v>
      </c>
      <c r="W398" s="36">
        <f>RTD("money.excel",,"6649","Price")</f>
        <v>22.4</v>
      </c>
      <c r="X398" s="67"/>
      <c r="Y398" s="15">
        <f t="shared" si="76"/>
        <v>22.4</v>
      </c>
      <c r="Z398" s="3" t="e">
        <f t="shared" si="77"/>
        <v>#DIV/0!</v>
      </c>
      <c r="AB398" s="16" t="s">
        <v>4878</v>
      </c>
      <c r="AE398" s="33">
        <f t="shared" si="78"/>
        <v>0</v>
      </c>
      <c r="AF398" s="43" t="s">
        <v>4879</v>
      </c>
      <c r="AG398" s="128"/>
      <c r="AI398" s="64">
        <f t="shared" si="84"/>
        <v>4.7619047619047619E-4</v>
      </c>
      <c r="AJ398" s="313">
        <f>RTD("money.excel",,$G398,"PredictVolume")</f>
        <v>20</v>
      </c>
      <c r="AK398" s="348">
        <v>0.69</v>
      </c>
    </row>
    <row r="399" spans="1:37">
      <c r="A399" s="148" t="s">
        <v>4880</v>
      </c>
      <c r="B399" s="82">
        <v>-99</v>
      </c>
      <c r="C399" s="82">
        <v>-87</v>
      </c>
      <c r="D399" s="81">
        <v>38</v>
      </c>
      <c r="E399" s="81">
        <v>2</v>
      </c>
      <c r="F399" s="6">
        <v>1.58</v>
      </c>
      <c r="G399" s="81">
        <v>6661</v>
      </c>
      <c r="H399" s="8" t="s">
        <v>328</v>
      </c>
      <c r="I399" s="16" t="s">
        <v>4881</v>
      </c>
      <c r="J399" s="75">
        <v>53.85</v>
      </c>
      <c r="K399" s="330">
        <v>0</v>
      </c>
      <c r="L399" s="330"/>
      <c r="M399" s="330">
        <v>33.35</v>
      </c>
      <c r="N399" s="325">
        <f t="shared" si="82"/>
        <v>87.2</v>
      </c>
      <c r="O399" s="27"/>
      <c r="P399" s="56"/>
      <c r="Q399" s="26"/>
      <c r="T399" s="34">
        <v>1.1000000000000001</v>
      </c>
      <c r="U399" s="366">
        <f t="shared" si="83"/>
        <v>5.1162790697674425E-2</v>
      </c>
      <c r="V399" s="58">
        <v>0.42</v>
      </c>
      <c r="W399" s="36">
        <f>RTD("money.excel",,"6661","Price")</f>
        <v>21.5</v>
      </c>
      <c r="X399" s="67"/>
      <c r="Y399" s="15">
        <f t="shared" si="76"/>
        <v>21.5</v>
      </c>
      <c r="Z399" s="3" t="e">
        <f t="shared" si="77"/>
        <v>#DIV/0!</v>
      </c>
      <c r="AB399" s="16" t="s">
        <v>4881</v>
      </c>
      <c r="AE399" s="33">
        <f t="shared" si="78"/>
        <v>0</v>
      </c>
      <c r="AF399" s="43" t="s">
        <v>2807</v>
      </c>
      <c r="AG399" s="128"/>
      <c r="AI399" s="64">
        <f t="shared" si="84"/>
        <v>6.8669527896995713E-4</v>
      </c>
      <c r="AJ399" s="313">
        <f>RTD("money.excel",,$G399,"PredictVolume")</f>
        <v>16</v>
      </c>
      <c r="AK399" s="348"/>
    </row>
    <row r="400" spans="1:37">
      <c r="A400" s="132" t="s">
        <v>4882</v>
      </c>
      <c r="B400" s="93">
        <v>-1</v>
      </c>
      <c r="C400" s="93">
        <v>-2</v>
      </c>
      <c r="D400" s="93">
        <v>-13</v>
      </c>
      <c r="E400" s="93">
        <v>-34</v>
      </c>
      <c r="F400" s="58">
        <v>20.329999999999998</v>
      </c>
      <c r="G400" s="81">
        <v>6662</v>
      </c>
      <c r="H400" s="8" t="s">
        <v>328</v>
      </c>
      <c r="I400" s="16" t="s">
        <v>4883</v>
      </c>
      <c r="J400" s="75">
        <v>51</v>
      </c>
      <c r="K400" s="75">
        <v>0.01</v>
      </c>
      <c r="N400" s="325">
        <f t="shared" si="82"/>
        <v>51.01</v>
      </c>
      <c r="O400" s="27"/>
      <c r="P400" s="56"/>
      <c r="Q400" s="26"/>
      <c r="S400" s="330">
        <v>23.69</v>
      </c>
      <c r="T400" s="34">
        <v>2</v>
      </c>
      <c r="U400" s="366">
        <f t="shared" si="83"/>
        <v>4.2735042735042736E-2</v>
      </c>
      <c r="V400" s="97">
        <v>2.4500000000000002</v>
      </c>
      <c r="W400" s="13">
        <f>RTD("money.excel",,"6615","Price")</f>
        <v>46.8</v>
      </c>
      <c r="X400" s="67"/>
      <c r="Y400" s="15">
        <f t="shared" si="76"/>
        <v>46.8</v>
      </c>
      <c r="Z400" s="3" t="e">
        <f t="shared" si="77"/>
        <v>#DIV/0!</v>
      </c>
      <c r="AB400" s="16" t="s">
        <v>4883</v>
      </c>
      <c r="AE400" s="33">
        <f t="shared" si="78"/>
        <v>0</v>
      </c>
      <c r="AF400" s="43" t="s">
        <v>4884</v>
      </c>
      <c r="AG400" s="128"/>
      <c r="AI400" s="64">
        <f t="shared" si="84"/>
        <v>0</v>
      </c>
      <c r="AJ400" s="313">
        <f>RTD("money.excel",,$G400,"PredictVolume")</f>
        <v>0</v>
      </c>
      <c r="AK400" s="348"/>
    </row>
    <row r="401" spans="1:37">
      <c r="A401" s="132" t="s">
        <v>4885</v>
      </c>
      <c r="B401" s="82">
        <v>-94</v>
      </c>
      <c r="C401" s="82">
        <v>-102</v>
      </c>
      <c r="D401" s="81">
        <v>14</v>
      </c>
      <c r="E401" s="82">
        <v>-24</v>
      </c>
      <c r="F401" s="58">
        <v>-3.29</v>
      </c>
      <c r="G401" s="81">
        <v>6666</v>
      </c>
      <c r="H401" s="8" t="s">
        <v>328</v>
      </c>
      <c r="I401" s="22" t="s">
        <v>4886</v>
      </c>
      <c r="J401" s="75">
        <v>82.1</v>
      </c>
      <c r="K401" s="330">
        <v>79.510000000000005</v>
      </c>
      <c r="L401" s="75">
        <v>4.22</v>
      </c>
      <c r="N401" s="325">
        <f t="shared" si="82"/>
        <v>165.83</v>
      </c>
      <c r="O401" s="27"/>
      <c r="P401" s="56"/>
      <c r="Q401" s="26"/>
      <c r="S401" s="330">
        <v>0.03</v>
      </c>
      <c r="T401" s="34">
        <v>2</v>
      </c>
      <c r="U401" s="366">
        <f t="shared" si="83"/>
        <v>3.215434083601286E-2</v>
      </c>
      <c r="V401" s="97">
        <v>2.2000000000000002</v>
      </c>
      <c r="W401" s="13">
        <f>RTD("money.excel",,"6666","Price")</f>
        <v>62.2</v>
      </c>
      <c r="X401" s="67"/>
      <c r="Y401" s="15">
        <f t="shared" si="76"/>
        <v>62.2</v>
      </c>
      <c r="Z401" s="3" t="e">
        <f t="shared" si="77"/>
        <v>#DIV/0!</v>
      </c>
      <c r="AA401" s="174" t="s">
        <v>4710</v>
      </c>
      <c r="AB401" s="22" t="s">
        <v>4886</v>
      </c>
      <c r="AE401" s="33">
        <f t="shared" si="78"/>
        <v>0</v>
      </c>
      <c r="AF401" s="43" t="s">
        <v>4887</v>
      </c>
      <c r="AG401" s="128"/>
      <c r="AI401" s="64">
        <f t="shared" si="84"/>
        <v>1.0548523206751055E-4</v>
      </c>
      <c r="AJ401" s="313">
        <f>RTD("money.excel",,$G401,"PredictVolume")</f>
        <v>5</v>
      </c>
      <c r="AK401" s="348"/>
    </row>
    <row r="402" spans="1:37">
      <c r="A402" s="132" t="s">
        <v>4888</v>
      </c>
      <c r="B402" s="82">
        <v>-13</v>
      </c>
      <c r="C402" s="82">
        <v>-9</v>
      </c>
      <c r="D402" s="82">
        <v>-7</v>
      </c>
      <c r="E402" s="82">
        <v>-18</v>
      </c>
      <c r="F402" s="58">
        <v>13</v>
      </c>
      <c r="G402" s="81">
        <v>6703</v>
      </c>
      <c r="H402" s="8" t="s">
        <v>328</v>
      </c>
      <c r="I402" s="16" t="s">
        <v>4889</v>
      </c>
      <c r="J402" s="330">
        <v>32.75</v>
      </c>
      <c r="K402" s="330">
        <v>11.7</v>
      </c>
      <c r="N402" s="325">
        <f t="shared" si="82"/>
        <v>44.45</v>
      </c>
      <c r="O402" s="27"/>
      <c r="P402" s="56"/>
      <c r="Q402" s="26"/>
      <c r="T402" s="67">
        <v>7.25</v>
      </c>
      <c r="U402" s="366">
        <f t="shared" si="83"/>
        <v>8.9285714285714288E-2</v>
      </c>
      <c r="V402" s="97">
        <v>5.73</v>
      </c>
      <c r="W402" s="36">
        <f>RTD("money.excel",,"6703","Price")</f>
        <v>81.2</v>
      </c>
      <c r="X402" s="67"/>
      <c r="Y402" s="15">
        <f t="shared" si="76"/>
        <v>81.2</v>
      </c>
      <c r="Z402" s="3" t="e">
        <f t="shared" si="77"/>
        <v>#DIV/0!</v>
      </c>
      <c r="AA402" s="174" t="s">
        <v>4718</v>
      </c>
      <c r="AB402" s="16" t="s">
        <v>4889</v>
      </c>
      <c r="AE402" s="33">
        <f t="shared" si="78"/>
        <v>0</v>
      </c>
      <c r="AF402" s="43" t="s">
        <v>2459</v>
      </c>
      <c r="AG402" s="128"/>
      <c r="AI402" s="64">
        <f t="shared" si="84"/>
        <v>7.6923076923076923E-4</v>
      </c>
      <c r="AJ402" s="313">
        <f>RTD("money.excel",,$G402,"PredictVolume")</f>
        <v>16</v>
      </c>
      <c r="AK402" s="348"/>
    </row>
    <row r="403" spans="1:37">
      <c r="A403" s="148" t="s">
        <v>4890</v>
      </c>
      <c r="B403" s="82">
        <v>-42</v>
      </c>
      <c r="C403" s="82">
        <v>-42</v>
      </c>
      <c r="D403" s="81">
        <v>150</v>
      </c>
      <c r="E403" s="81">
        <v>188</v>
      </c>
      <c r="F403" s="75">
        <v>-278.64</v>
      </c>
      <c r="G403" s="81">
        <v>6712</v>
      </c>
      <c r="H403" s="8" t="s">
        <v>328</v>
      </c>
      <c r="I403" s="16" t="s">
        <v>4891</v>
      </c>
      <c r="J403" s="330">
        <v>53.02</v>
      </c>
      <c r="K403" s="330">
        <v>1.97</v>
      </c>
      <c r="L403" s="330"/>
      <c r="N403" s="325">
        <f t="shared" si="82"/>
        <v>54.99</v>
      </c>
      <c r="O403" s="27"/>
      <c r="P403" s="56"/>
      <c r="Q403" s="26"/>
      <c r="T403" s="34">
        <v>0</v>
      </c>
      <c r="U403" s="366">
        <f t="shared" si="83"/>
        <v>0</v>
      </c>
      <c r="V403" s="97"/>
      <c r="W403" s="36">
        <f>RTD("money.excel",,"6712","Price")</f>
        <v>194.5</v>
      </c>
      <c r="X403" s="67"/>
      <c r="Y403" s="15">
        <f t="shared" si="76"/>
        <v>194.5</v>
      </c>
      <c r="Z403" s="3" t="e">
        <f t="shared" si="77"/>
        <v>#DIV/0!</v>
      </c>
      <c r="AA403" s="174" t="s">
        <v>4710</v>
      </c>
      <c r="AB403" s="16" t="s">
        <v>4891</v>
      </c>
      <c r="AE403" s="33">
        <f t="shared" si="78"/>
        <v>0</v>
      </c>
      <c r="AF403" s="43" t="s">
        <v>2664</v>
      </c>
      <c r="AG403" s="128"/>
      <c r="AI403" s="64">
        <f t="shared" si="84"/>
        <v>4.237012987012987E-3</v>
      </c>
      <c r="AJ403" s="313">
        <f>RTD("money.excel",,$G403,"PredictVolume")</f>
        <v>261</v>
      </c>
      <c r="AK403" s="348"/>
    </row>
    <row r="404" spans="1:37">
      <c r="A404" s="148" t="s">
        <v>4892</v>
      </c>
      <c r="B404" s="81">
        <v>10</v>
      </c>
      <c r="C404" s="81">
        <v>20</v>
      </c>
      <c r="D404" s="81">
        <v>46</v>
      </c>
      <c r="E404" s="81">
        <v>705</v>
      </c>
      <c r="F404" s="47">
        <v>-9591</v>
      </c>
      <c r="G404" s="81">
        <v>6733</v>
      </c>
      <c r="H404" s="8" t="s">
        <v>328</v>
      </c>
      <c r="I404" s="16" t="s">
        <v>4893</v>
      </c>
      <c r="J404" s="330">
        <v>53.39</v>
      </c>
      <c r="K404" s="75">
        <v>8.11</v>
      </c>
      <c r="N404" s="325">
        <f t="shared" si="82"/>
        <v>61.5</v>
      </c>
      <c r="O404" s="27"/>
      <c r="P404" s="56"/>
      <c r="Q404" s="26"/>
      <c r="T404" s="34">
        <v>0</v>
      </c>
      <c r="U404" s="366">
        <f t="shared" si="83"/>
        <v>0</v>
      </c>
      <c r="V404" s="58" t="s">
        <v>4894</v>
      </c>
      <c r="W404" s="36">
        <f>RTD("money.excel",,"6733","Price")</f>
        <v>25</v>
      </c>
      <c r="X404" s="67"/>
      <c r="Y404" s="15">
        <f t="shared" si="76"/>
        <v>25</v>
      </c>
      <c r="Z404" s="3" t="e">
        <f t="shared" si="77"/>
        <v>#DIV/0!</v>
      </c>
      <c r="AA404" s="174" t="s">
        <v>4710</v>
      </c>
      <c r="AB404" s="16" t="s">
        <v>4893</v>
      </c>
      <c r="AE404" s="33">
        <f t="shared" si="78"/>
        <v>0</v>
      </c>
      <c r="AF404" s="43" t="s">
        <v>2812</v>
      </c>
      <c r="AG404" s="128"/>
      <c r="AI404" s="64">
        <f t="shared" si="84"/>
        <v>1.386138613861386E-4</v>
      </c>
      <c r="AJ404" s="313">
        <f>RTD("money.excel",,$G404,"PredictVolume")</f>
        <v>14</v>
      </c>
      <c r="AK404" s="348"/>
    </row>
    <row r="405" spans="1:37">
      <c r="A405" s="132" t="s">
        <v>4746</v>
      </c>
      <c r="B405" s="81">
        <v>5</v>
      </c>
      <c r="C405" s="81">
        <v>9</v>
      </c>
      <c r="D405" s="82">
        <v>-6</v>
      </c>
      <c r="E405" s="81">
        <v>24</v>
      </c>
      <c r="F405" s="58">
        <v>30.47</v>
      </c>
      <c r="G405" s="81">
        <v>6747</v>
      </c>
      <c r="H405" s="8" t="s">
        <v>328</v>
      </c>
      <c r="I405" s="16" t="s">
        <v>4895</v>
      </c>
      <c r="J405" s="330">
        <v>77.02</v>
      </c>
      <c r="K405" s="330">
        <v>1.48</v>
      </c>
      <c r="L405" s="330"/>
      <c r="N405" s="325">
        <f t="shared" si="82"/>
        <v>78.5</v>
      </c>
      <c r="O405" s="27"/>
      <c r="P405" s="56"/>
      <c r="Q405" s="26"/>
      <c r="T405" s="67">
        <v>5.37</v>
      </c>
      <c r="U405" s="366">
        <f t="shared" si="83"/>
        <v>2.4189189189189188E-2</v>
      </c>
      <c r="V405" s="97">
        <v>5.68</v>
      </c>
      <c r="W405" s="36">
        <f>RTD("money.excel",,"6747","Price")</f>
        <v>222</v>
      </c>
      <c r="X405" s="67"/>
      <c r="Y405" s="15">
        <f t="shared" si="76"/>
        <v>222</v>
      </c>
      <c r="Z405" s="3" t="e">
        <f t="shared" si="77"/>
        <v>#DIV/0!</v>
      </c>
      <c r="AA405" s="174" t="s">
        <v>4718</v>
      </c>
      <c r="AB405" s="16" t="s">
        <v>4895</v>
      </c>
      <c r="AE405" s="33">
        <f t="shared" si="78"/>
        <v>0</v>
      </c>
      <c r="AF405" s="43" t="s">
        <v>2799</v>
      </c>
      <c r="AG405" s="128"/>
      <c r="AI405" s="64">
        <f t="shared" si="84"/>
        <v>1.5289256198347107E-3</v>
      </c>
      <c r="AJ405" s="313">
        <f>RTD("money.excel",,$G405,"PredictVolume")</f>
        <v>37</v>
      </c>
      <c r="AK405" s="348"/>
    </row>
    <row r="406" spans="1:37">
      <c r="A406" s="132" t="s">
        <v>4896</v>
      </c>
      <c r="B406" s="82">
        <v>-6</v>
      </c>
      <c r="C406" s="82">
        <v>-1</v>
      </c>
      <c r="D406" s="81">
        <v>1</v>
      </c>
      <c r="E406" s="81">
        <v>8</v>
      </c>
      <c r="F406" s="58">
        <v>37.89</v>
      </c>
      <c r="G406" s="81">
        <v>6762</v>
      </c>
      <c r="H406" s="8" t="s">
        <v>328</v>
      </c>
      <c r="I406" s="16" t="s">
        <v>4897</v>
      </c>
      <c r="J406" s="330">
        <v>72.44</v>
      </c>
      <c r="K406" s="75">
        <v>1.51</v>
      </c>
      <c r="N406" s="325">
        <f t="shared" si="82"/>
        <v>73.95</v>
      </c>
      <c r="O406" s="27"/>
      <c r="P406" s="56"/>
      <c r="Q406" s="26"/>
      <c r="T406" s="67">
        <v>8.4</v>
      </c>
      <c r="U406" s="366">
        <f t="shared" si="83"/>
        <v>3.2061068702290078E-2</v>
      </c>
      <c r="V406" s="58">
        <v>10.23</v>
      </c>
      <c r="W406" s="36">
        <f>RTD("money.excel",,"6762","Price")</f>
        <v>262</v>
      </c>
      <c r="X406" s="67"/>
      <c r="Y406" s="15">
        <f t="shared" si="76"/>
        <v>262</v>
      </c>
      <c r="Z406" s="3" t="e">
        <f t="shared" si="77"/>
        <v>#DIV/0!</v>
      </c>
      <c r="AA406" s="174" t="s">
        <v>4714</v>
      </c>
      <c r="AB406" s="16" t="s">
        <v>4897</v>
      </c>
      <c r="AE406" s="33">
        <f t="shared" si="78"/>
        <v>0</v>
      </c>
      <c r="AF406" s="43" t="s">
        <v>2582</v>
      </c>
      <c r="AG406" s="128"/>
      <c r="AI406" s="64">
        <f t="shared" si="84"/>
        <v>3.8647342995169081E-4</v>
      </c>
      <c r="AJ406" s="313">
        <f>RTD("money.excel",,$G406,"PredictVolume")</f>
        <v>8</v>
      </c>
      <c r="AK406" s="348"/>
    </row>
    <row r="407" spans="1:37">
      <c r="A407" s="148" t="s">
        <v>4898</v>
      </c>
      <c r="B407" s="82">
        <v>-59</v>
      </c>
      <c r="C407" s="82">
        <v>-1</v>
      </c>
      <c r="D407" s="81">
        <v>28</v>
      </c>
      <c r="E407" s="82">
        <v>-18</v>
      </c>
      <c r="F407" s="6">
        <v>-47.36</v>
      </c>
      <c r="G407" s="81">
        <v>6767</v>
      </c>
      <c r="H407" s="8" t="s">
        <v>328</v>
      </c>
      <c r="I407" s="16" t="s">
        <v>4899</v>
      </c>
      <c r="J407" s="330">
        <v>46.25</v>
      </c>
      <c r="K407" s="75">
        <v>0.06</v>
      </c>
      <c r="N407" s="325">
        <f t="shared" si="82"/>
        <v>46.31</v>
      </c>
      <c r="O407" s="27"/>
      <c r="P407" s="56"/>
      <c r="Q407" s="26"/>
      <c r="T407" s="34">
        <v>0</v>
      </c>
      <c r="U407" s="366">
        <f t="shared" si="83"/>
        <v>0</v>
      </c>
      <c r="V407" s="97"/>
      <c r="W407" s="36">
        <f>RTD("money.excel",,"6767","Price")</f>
        <v>31.35</v>
      </c>
      <c r="X407" s="67"/>
      <c r="Y407" s="15">
        <f t="shared" si="76"/>
        <v>31.35</v>
      </c>
      <c r="Z407" s="3" t="e">
        <f t="shared" si="77"/>
        <v>#DIV/0!</v>
      </c>
      <c r="AB407" s="16" t="s">
        <v>4899</v>
      </c>
      <c r="AE407" s="33">
        <f t="shared" si="78"/>
        <v>0</v>
      </c>
      <c r="AF407" s="43" t="s">
        <v>4900</v>
      </c>
      <c r="AG407" s="128"/>
      <c r="AI407" s="64">
        <f t="shared" si="84"/>
        <v>2.5773195876288659E-3</v>
      </c>
      <c r="AJ407" s="313">
        <f>RTD("money.excel",,$G407,"PredictVolume")</f>
        <v>75</v>
      </c>
      <c r="AK407" s="348"/>
    </row>
    <row r="408" spans="1:37">
      <c r="A408" s="132" t="s">
        <v>4901</v>
      </c>
      <c r="B408" s="81">
        <v>14</v>
      </c>
      <c r="C408" s="81">
        <v>6</v>
      </c>
      <c r="D408" s="81">
        <v>37</v>
      </c>
      <c r="E408" s="81">
        <v>6</v>
      </c>
      <c r="F408" s="58">
        <v>19.77</v>
      </c>
      <c r="G408" s="81">
        <v>8279</v>
      </c>
      <c r="H408" s="8" t="s">
        <v>328</v>
      </c>
      <c r="I408" s="16" t="s">
        <v>4902</v>
      </c>
      <c r="J408" s="75">
        <v>57.16</v>
      </c>
      <c r="K408" s="75">
        <v>2.42</v>
      </c>
      <c r="N408" s="325">
        <f t="shared" si="82"/>
        <v>59.58</v>
      </c>
      <c r="O408" s="27"/>
      <c r="P408" s="56"/>
      <c r="Q408" s="26"/>
      <c r="T408" s="67">
        <v>3.5</v>
      </c>
      <c r="U408" s="366">
        <f t="shared" si="83"/>
        <v>2.8806584362139918E-2</v>
      </c>
      <c r="V408" s="58">
        <v>8</v>
      </c>
      <c r="W408" s="36">
        <f>RTD("money.excel",,"8279","Price")</f>
        <v>121.5</v>
      </c>
      <c r="X408" s="67"/>
      <c r="Y408" s="15">
        <f t="shared" si="76"/>
        <v>121.5</v>
      </c>
      <c r="Z408" s="3" t="e">
        <f t="shared" si="77"/>
        <v>#DIV/0!</v>
      </c>
      <c r="AA408" s="174" t="s">
        <v>4714</v>
      </c>
      <c r="AB408" s="16" t="s">
        <v>4902</v>
      </c>
      <c r="AE408" s="33">
        <f t="shared" si="78"/>
        <v>0</v>
      </c>
      <c r="AF408" s="43" t="s">
        <v>4903</v>
      </c>
      <c r="AG408" s="128"/>
      <c r="AI408" s="64">
        <f t="shared" si="84"/>
        <v>1.6236162361623616E-3</v>
      </c>
      <c r="AJ408" s="313">
        <f>RTD("money.excel",,$G408,"PredictVolume")</f>
        <v>44</v>
      </c>
      <c r="AK408" s="348"/>
    </row>
    <row r="409" spans="1:37">
      <c r="A409" s="132" t="s">
        <v>4904</v>
      </c>
      <c r="B409" s="81">
        <v>72</v>
      </c>
      <c r="C409" s="81">
        <v>287</v>
      </c>
      <c r="D409" s="82">
        <v>-2</v>
      </c>
      <c r="E409" s="81">
        <v>27</v>
      </c>
      <c r="F409" s="58">
        <v>14.03</v>
      </c>
      <c r="G409" s="81">
        <v>8403</v>
      </c>
      <c r="H409" s="8" t="s">
        <v>328</v>
      </c>
      <c r="I409" s="16" t="s">
        <v>4905</v>
      </c>
      <c r="J409" s="330">
        <v>32.58</v>
      </c>
      <c r="K409" s="75">
        <v>1.71</v>
      </c>
      <c r="L409" s="330">
        <v>18.59</v>
      </c>
      <c r="N409" s="325">
        <f t="shared" si="82"/>
        <v>52.879999999999995</v>
      </c>
      <c r="O409" s="27"/>
      <c r="P409" s="56"/>
      <c r="Q409" s="26"/>
      <c r="S409" s="330">
        <v>0.21</v>
      </c>
      <c r="T409" s="34">
        <v>0.49</v>
      </c>
      <c r="U409" s="366">
        <f t="shared" si="83"/>
        <v>1.8114602587800368E-2</v>
      </c>
      <c r="V409" s="97">
        <v>2.35</v>
      </c>
      <c r="W409" s="36">
        <f>RTD("money.excel",,"8403","Price")</f>
        <v>27.05</v>
      </c>
      <c r="X409" s="67"/>
      <c r="Y409" s="15">
        <f t="shared" si="76"/>
        <v>27.05</v>
      </c>
      <c r="Z409" s="3" t="e">
        <f t="shared" si="77"/>
        <v>#DIV/0!</v>
      </c>
      <c r="AA409" s="174" t="s">
        <v>4710</v>
      </c>
      <c r="AB409" s="16" t="s">
        <v>4905</v>
      </c>
      <c r="AE409" s="33">
        <f t="shared" si="78"/>
        <v>0</v>
      </c>
      <c r="AF409" s="122" t="s">
        <v>4906</v>
      </c>
      <c r="AG409" s="128"/>
      <c r="AI409" s="64">
        <f t="shared" si="84"/>
        <v>7.8703703703703705E-4</v>
      </c>
      <c r="AJ409" s="313">
        <f>RTD("money.excel",,$G409,"PredictVolume")</f>
        <v>85</v>
      </c>
      <c r="AK409" s="348"/>
    </row>
    <row r="410" spans="1:37">
      <c r="A410" s="132" t="s">
        <v>4907</v>
      </c>
      <c r="B410" s="81">
        <v>151</v>
      </c>
      <c r="C410" s="81">
        <v>86</v>
      </c>
      <c r="D410" s="81">
        <v>12</v>
      </c>
      <c r="E410" s="81">
        <v>16</v>
      </c>
      <c r="F410" s="58">
        <v>17.28</v>
      </c>
      <c r="G410" s="81">
        <v>8406</v>
      </c>
      <c r="H410" s="8" t="s">
        <v>328</v>
      </c>
      <c r="I410" s="16" t="s">
        <v>4908</v>
      </c>
      <c r="J410" s="330">
        <v>59.58</v>
      </c>
      <c r="K410" s="330">
        <v>71.05</v>
      </c>
      <c r="L410" s="330">
        <v>7.17</v>
      </c>
      <c r="N410" s="325">
        <f t="shared" si="82"/>
        <v>137.79999999999998</v>
      </c>
      <c r="O410" s="27"/>
      <c r="P410" s="56"/>
      <c r="Q410" s="26"/>
      <c r="S410" s="330">
        <v>0.69</v>
      </c>
      <c r="T410" s="67">
        <v>6</v>
      </c>
      <c r="U410" s="366">
        <f t="shared" si="83"/>
        <v>2.1660649819494584E-2</v>
      </c>
      <c r="V410" s="58">
        <v>14.38</v>
      </c>
      <c r="W410" s="13">
        <f>RTD("money.excel",,"8406","Price")</f>
        <v>277</v>
      </c>
      <c r="X410" s="67"/>
      <c r="Y410" s="15">
        <f t="shared" si="76"/>
        <v>277</v>
      </c>
      <c r="Z410" s="3" t="e">
        <f t="shared" si="77"/>
        <v>#DIV/0!</v>
      </c>
      <c r="AA410" s="174" t="s">
        <v>4714</v>
      </c>
      <c r="AB410" s="16" t="s">
        <v>4908</v>
      </c>
      <c r="AE410" s="33">
        <f t="shared" si="78"/>
        <v>0</v>
      </c>
      <c r="AF410" s="122" t="s">
        <v>4581</v>
      </c>
      <c r="AG410" s="128"/>
      <c r="AI410" s="64">
        <f t="shared" si="84"/>
        <v>2.2451081359423273E-3</v>
      </c>
      <c r="AJ410" s="313">
        <f>RTD("money.excel",,$G410,"PredictVolume")</f>
        <v>218</v>
      </c>
      <c r="AK410" s="348"/>
    </row>
    <row r="411" spans="1:37">
      <c r="A411" s="148" t="s">
        <v>4909</v>
      </c>
      <c r="B411" s="82">
        <v>-30</v>
      </c>
      <c r="C411" s="82">
        <v>-95</v>
      </c>
      <c r="D411" s="81">
        <v>52</v>
      </c>
      <c r="E411" s="81">
        <v>12</v>
      </c>
      <c r="F411" s="6">
        <v>-97.31</v>
      </c>
      <c r="G411" s="81">
        <v>8409</v>
      </c>
      <c r="H411" s="8" t="s">
        <v>328</v>
      </c>
      <c r="I411" s="16" t="s">
        <v>4910</v>
      </c>
      <c r="J411" s="330">
        <v>28.98</v>
      </c>
      <c r="K411" s="330">
        <v>0.12</v>
      </c>
      <c r="L411" s="330"/>
      <c r="N411" s="325">
        <f t="shared" si="82"/>
        <v>29.1</v>
      </c>
      <c r="O411" s="27"/>
      <c r="P411" s="56"/>
      <c r="Q411" s="26"/>
      <c r="T411" s="34">
        <v>0</v>
      </c>
      <c r="U411" s="366" t="e">
        <f t="shared" si="83"/>
        <v>#VALUE!</v>
      </c>
      <c r="V411" s="97">
        <v>-1.21</v>
      </c>
      <c r="W411" s="36" t="str">
        <f>RTD("money.excel",,"8409","Price")</f>
        <v>無資料</v>
      </c>
      <c r="X411" s="67"/>
      <c r="Y411" s="15" t="e">
        <f t="shared" si="76"/>
        <v>#VALUE!</v>
      </c>
      <c r="Z411" s="3" t="e">
        <f t="shared" si="77"/>
        <v>#VALUE!</v>
      </c>
      <c r="AB411" s="16" t="s">
        <v>4910</v>
      </c>
      <c r="AE411" s="33">
        <f t="shared" si="78"/>
        <v>0</v>
      </c>
      <c r="AF411" s="43" t="s">
        <v>2976</v>
      </c>
      <c r="AG411" s="128"/>
      <c r="AI411" s="64">
        <f t="shared" si="84"/>
        <v>0</v>
      </c>
      <c r="AJ411" s="313">
        <f>RTD("money.excel",,$G411,"PredictVolume")</f>
        <v>0</v>
      </c>
      <c r="AK411" s="348"/>
    </row>
    <row r="412" spans="1:37">
      <c r="A412" s="132" t="s">
        <v>4911</v>
      </c>
      <c r="B412" s="82">
        <v>-59</v>
      </c>
      <c r="C412" s="82">
        <v>-61</v>
      </c>
      <c r="D412" s="82">
        <v>-9</v>
      </c>
      <c r="E412" s="81">
        <v>3</v>
      </c>
      <c r="F412" s="58">
        <v>11.8</v>
      </c>
      <c r="G412" s="81">
        <v>8432</v>
      </c>
      <c r="H412" s="8" t="s">
        <v>328</v>
      </c>
      <c r="I412" s="16" t="s">
        <v>4912</v>
      </c>
      <c r="J412" s="330">
        <v>59.27</v>
      </c>
      <c r="K412" s="75">
        <v>0.57999999999999996</v>
      </c>
      <c r="L412" s="75">
        <v>8.1199999999999992</v>
      </c>
      <c r="N412" s="325">
        <f t="shared" si="82"/>
        <v>67.97</v>
      </c>
      <c r="O412" s="27"/>
      <c r="P412" s="56"/>
      <c r="Q412" s="26"/>
      <c r="S412" s="330">
        <v>0.02</v>
      </c>
      <c r="T412" s="34">
        <v>1.8</v>
      </c>
      <c r="U412" s="366">
        <f t="shared" si="83"/>
        <v>4.2352941176470586E-2</v>
      </c>
      <c r="V412" s="58">
        <v>1.24</v>
      </c>
      <c r="W412" s="36">
        <f>RTD("money.excel",,"8432","Price")</f>
        <v>42.5</v>
      </c>
      <c r="X412" s="67"/>
      <c r="Y412" s="15">
        <f t="shared" si="76"/>
        <v>42.5</v>
      </c>
      <c r="Z412" s="3" t="e">
        <f t="shared" si="77"/>
        <v>#DIV/0!</v>
      </c>
      <c r="AB412" s="16" t="s">
        <v>4912</v>
      </c>
      <c r="AE412" s="33">
        <f t="shared" si="78"/>
        <v>0</v>
      </c>
      <c r="AF412" s="43" t="s">
        <v>4913</v>
      </c>
      <c r="AG412" s="128"/>
      <c r="AI412" s="64">
        <f t="shared" si="84"/>
        <v>2.3437499999999999E-4</v>
      </c>
      <c r="AJ412" s="313">
        <f>RTD("money.excel",,$G412,"PredictVolume")</f>
        <v>9</v>
      </c>
      <c r="AK412" s="348"/>
    </row>
    <row r="413" spans="1:37">
      <c r="A413" s="132" t="s">
        <v>4914</v>
      </c>
      <c r="B413" s="82">
        <v>-2</v>
      </c>
      <c r="C413" s="82">
        <v>-11</v>
      </c>
      <c r="D413" s="81">
        <v>0</v>
      </c>
      <c r="E413" s="81">
        <v>10</v>
      </c>
      <c r="F413" s="58">
        <v>20.43</v>
      </c>
      <c r="G413" s="81">
        <v>8436</v>
      </c>
      <c r="H413" s="151" t="s">
        <v>328</v>
      </c>
      <c r="I413" s="16" t="s">
        <v>4915</v>
      </c>
      <c r="J413" s="330">
        <v>41.15</v>
      </c>
      <c r="K413" s="75">
        <v>44.86</v>
      </c>
      <c r="L413" s="75">
        <v>11.35</v>
      </c>
      <c r="N413" s="325">
        <f t="shared" si="82"/>
        <v>97.359999999999985</v>
      </c>
      <c r="O413" s="27"/>
      <c r="P413" s="56"/>
      <c r="Q413" s="26"/>
      <c r="S413" s="330">
        <v>0.03</v>
      </c>
      <c r="T413" s="67">
        <v>8.84</v>
      </c>
      <c r="U413" s="366">
        <f t="shared" si="83"/>
        <v>4.3121951219512192E-2</v>
      </c>
      <c r="V413" s="97">
        <v>15.49</v>
      </c>
      <c r="W413" s="13">
        <f>RTD("money.excel",,"8436","Price")</f>
        <v>205</v>
      </c>
      <c r="X413" s="67"/>
      <c r="Y413" s="15">
        <f t="shared" si="76"/>
        <v>205</v>
      </c>
      <c r="Z413" s="3" t="e">
        <f t="shared" si="77"/>
        <v>#DIV/0!</v>
      </c>
      <c r="AA413" s="174" t="s">
        <v>4714</v>
      </c>
      <c r="AB413" s="16" t="s">
        <v>4915</v>
      </c>
      <c r="AE413" s="33">
        <f t="shared" si="78"/>
        <v>0</v>
      </c>
      <c r="AF413" s="122" t="s">
        <v>4916</v>
      </c>
      <c r="AG413" s="128"/>
      <c r="AI413" s="64">
        <f t="shared" si="84"/>
        <v>7.0423728813559325E-3</v>
      </c>
      <c r="AJ413" s="313">
        <f>RTD("money.excel",,$G413,"PredictVolume")</f>
        <v>831</v>
      </c>
      <c r="AK413" s="348"/>
    </row>
    <row r="414" spans="1:37">
      <c r="B414" s="82"/>
      <c r="C414" s="82"/>
      <c r="D414" s="81"/>
      <c r="E414" s="81"/>
      <c r="F414" s="58"/>
      <c r="G414" s="81"/>
      <c r="H414" s="151"/>
      <c r="I414" s="16"/>
      <c r="J414" s="330"/>
      <c r="K414" s="75"/>
      <c r="N414" s="325"/>
      <c r="O414" s="27"/>
      <c r="P414" s="56"/>
      <c r="Q414" s="26"/>
      <c r="T414" s="67"/>
      <c r="V414" s="97"/>
      <c r="W414" s="13"/>
      <c r="X414" s="67"/>
      <c r="Y414" s="15"/>
      <c r="Z414" s="3"/>
      <c r="AB414" s="16"/>
      <c r="AE414" s="33"/>
      <c r="AF414" s="122"/>
      <c r="AG414" s="128"/>
      <c r="AI414" s="64"/>
      <c r="AJ414" s="313"/>
      <c r="AK414" s="348"/>
    </row>
    <row r="415" spans="1:37">
      <c r="A415" s="132" t="s">
        <v>4917</v>
      </c>
      <c r="B415" s="93" t="s">
        <v>4918</v>
      </c>
      <c r="C415" s="93" t="s">
        <v>4919</v>
      </c>
      <c r="D415" s="93" t="s">
        <v>4920</v>
      </c>
      <c r="E415" s="93" t="s">
        <v>4921</v>
      </c>
      <c r="F415" s="8" t="s">
        <v>4922</v>
      </c>
      <c r="G415" s="27" t="s">
        <v>4923</v>
      </c>
      <c r="H415" s="55" t="s">
        <v>342</v>
      </c>
      <c r="I415" s="8" t="s">
        <v>4924</v>
      </c>
      <c r="J415" s="324" t="s">
        <v>4925</v>
      </c>
      <c r="K415" s="324" t="s">
        <v>4926</v>
      </c>
      <c r="L415" s="324" t="s">
        <v>4927</v>
      </c>
      <c r="M415" s="324" t="s">
        <v>4928</v>
      </c>
      <c r="N415" s="324" t="s">
        <v>6091</v>
      </c>
      <c r="O415" s="27" t="s">
        <v>6253</v>
      </c>
      <c r="P415" s="56" t="s">
        <v>6219</v>
      </c>
      <c r="Q415" s="26" t="s">
        <v>6313</v>
      </c>
      <c r="R415" s="309" t="s">
        <v>4929</v>
      </c>
      <c r="S415" s="335" t="s">
        <v>4930</v>
      </c>
      <c r="T415" s="10" t="s">
        <v>4931</v>
      </c>
      <c r="U415" s="364" t="s">
        <v>6152</v>
      </c>
      <c r="V415" s="69" t="s">
        <v>4932</v>
      </c>
      <c r="W415" s="28" t="s">
        <v>4933</v>
      </c>
      <c r="X415" s="17" t="s">
        <v>4934</v>
      </c>
      <c r="Y415" s="14" t="s">
        <v>4935</v>
      </c>
      <c r="Z415" s="21" t="s">
        <v>4936</v>
      </c>
      <c r="AA415" s="322" t="s">
        <v>4937</v>
      </c>
      <c r="AB415" s="8" t="s">
        <v>4924</v>
      </c>
      <c r="AC415" s="73" t="s">
        <v>4938</v>
      </c>
      <c r="AD415" s="74" t="s">
        <v>4939</v>
      </c>
      <c r="AE415" s="32" t="s">
        <v>4940</v>
      </c>
      <c r="AF415" s="43"/>
      <c r="AG415" s="128"/>
      <c r="AI415" s="8" t="s">
        <v>4941</v>
      </c>
      <c r="AJ415" s="50" t="s">
        <v>4942</v>
      </c>
      <c r="AK415" s="348" t="s">
        <v>6074</v>
      </c>
    </row>
    <row r="416" spans="1:37">
      <c r="A416" s="132" t="s">
        <v>4943</v>
      </c>
      <c r="B416" s="81">
        <v>488</v>
      </c>
      <c r="C416" s="81">
        <v>876</v>
      </c>
      <c r="D416" s="82">
        <v>-1</v>
      </c>
      <c r="E416" s="81">
        <v>26</v>
      </c>
      <c r="F416" s="58">
        <v>20.18</v>
      </c>
      <c r="G416" s="81">
        <v>1802</v>
      </c>
      <c r="H416" s="8" t="s">
        <v>315</v>
      </c>
      <c r="I416" s="22" t="s">
        <v>4944</v>
      </c>
      <c r="J416" s="330">
        <v>84.83</v>
      </c>
      <c r="K416" s="75">
        <v>11.47</v>
      </c>
      <c r="L416" s="330">
        <v>3.58</v>
      </c>
      <c r="N416" s="325">
        <f t="shared" ref="N416" si="86">J416+K416+L416+M416</f>
        <v>99.88</v>
      </c>
      <c r="O416" s="27"/>
      <c r="P416" s="56"/>
      <c r="Q416" s="26"/>
      <c r="S416" s="330">
        <v>0.32</v>
      </c>
      <c r="T416" s="34">
        <v>0.5</v>
      </c>
      <c r="U416" s="366">
        <f>T416/W416</f>
        <v>2.0408163265306121E-2</v>
      </c>
      <c r="V416" s="58">
        <v>2.9</v>
      </c>
      <c r="W416" s="36">
        <f>RTD("money.excel",,"1802","Price")</f>
        <v>24.5</v>
      </c>
      <c r="X416" s="67"/>
      <c r="Y416" s="15">
        <f>W416-X416</f>
        <v>24.5</v>
      </c>
      <c r="Z416" s="3" t="e">
        <f>Y416/X416</f>
        <v>#DIV/0!</v>
      </c>
      <c r="AA416" s="174" t="s">
        <v>4710</v>
      </c>
      <c r="AB416" s="22" t="s">
        <v>4944</v>
      </c>
      <c r="AE416" s="33">
        <f>AD416-AC416</f>
        <v>0</v>
      </c>
      <c r="AF416" s="122" t="s">
        <v>4945</v>
      </c>
      <c r="AG416" s="128"/>
      <c r="AI416" s="64">
        <f>AJ416/(A416*10000)</f>
        <v>6.5631034482758624E-3</v>
      </c>
      <c r="AJ416" s="313">
        <f>RTD("money.excel",,$G416,"PredictVolume")</f>
        <v>19033</v>
      </c>
      <c r="AK416" s="348"/>
    </row>
    <row r="417" spans="1:37">
      <c r="A417" s="148" t="s">
        <v>4946</v>
      </c>
      <c r="B417" s="81">
        <v>283</v>
      </c>
      <c r="C417" s="81">
        <v>104</v>
      </c>
      <c r="D417" s="81">
        <v>8</v>
      </c>
      <c r="E417" s="81">
        <v>1</v>
      </c>
      <c r="F417" s="6">
        <v>0.85</v>
      </c>
      <c r="G417" s="81">
        <v>1806</v>
      </c>
      <c r="H417" s="8" t="s">
        <v>315</v>
      </c>
      <c r="I417" s="22" t="s">
        <v>4947</v>
      </c>
      <c r="J417" s="75">
        <v>70.5</v>
      </c>
      <c r="K417" s="75">
        <v>11.19</v>
      </c>
      <c r="L417" s="75">
        <v>8.77</v>
      </c>
      <c r="M417" s="75">
        <v>15.46</v>
      </c>
      <c r="N417" s="325">
        <f>J417+K417+L417+M417</f>
        <v>105.91999999999999</v>
      </c>
      <c r="O417" s="27"/>
      <c r="P417" s="56"/>
      <c r="Q417" s="26"/>
      <c r="R417" s="308" t="s">
        <v>4728</v>
      </c>
      <c r="S417" s="330">
        <v>1.18</v>
      </c>
      <c r="T417" s="34">
        <v>0</v>
      </c>
      <c r="U417" s="366">
        <f>T417/W417</f>
        <v>0</v>
      </c>
      <c r="V417" s="58">
        <v>2.4500000000000002</v>
      </c>
      <c r="W417" s="36">
        <f>RTD("money.excel",,"1806","Price")</f>
        <v>11.05</v>
      </c>
      <c r="X417" s="67"/>
      <c r="Y417" s="15">
        <f>W417-X417</f>
        <v>11.05</v>
      </c>
      <c r="Z417" s="3" t="e">
        <f>Y417/X417</f>
        <v>#DIV/0!</v>
      </c>
      <c r="AA417" s="174" t="s">
        <v>4710</v>
      </c>
      <c r="AB417" s="22" t="s">
        <v>4947</v>
      </c>
      <c r="AE417" s="33">
        <f>AD417-AC417</f>
        <v>0</v>
      </c>
      <c r="AF417" s="43" t="s">
        <v>4948</v>
      </c>
      <c r="AG417" s="128"/>
      <c r="AI417" s="64">
        <f>AJ417/(A417*10000)</f>
        <v>1.1870669745958429E-3</v>
      </c>
      <c r="AJ417" s="313">
        <f>RTD("money.excel",,$G417,"PredictVolume")</f>
        <v>514</v>
      </c>
      <c r="AK417" s="348"/>
    </row>
    <row r="418" spans="1:37">
      <c r="A418" s="148" t="s">
        <v>4949</v>
      </c>
      <c r="B418" s="93">
        <v>-26</v>
      </c>
      <c r="C418" s="93">
        <v>-14</v>
      </c>
      <c r="D418" s="93">
        <v>6</v>
      </c>
      <c r="E418" s="93">
        <v>18</v>
      </c>
      <c r="F418" s="6">
        <v>-6.02</v>
      </c>
      <c r="G418" s="81">
        <v>1809</v>
      </c>
      <c r="H418" s="8" t="s">
        <v>315</v>
      </c>
      <c r="I418" s="22" t="s">
        <v>4950</v>
      </c>
      <c r="J418" s="75">
        <v>57.3</v>
      </c>
      <c r="K418" s="75">
        <v>3.19</v>
      </c>
      <c r="L418" s="75">
        <v>9.27</v>
      </c>
      <c r="N418" s="325">
        <f>J418+K418+L418+M418</f>
        <v>69.759999999999991</v>
      </c>
      <c r="O418" s="27"/>
      <c r="P418" s="56"/>
      <c r="Q418" s="26"/>
      <c r="S418" s="330">
        <v>21.27</v>
      </c>
      <c r="T418" s="34">
        <v>0.2</v>
      </c>
      <c r="U418" s="366">
        <f>T418/W418</f>
        <v>1.4285714285714287E-2</v>
      </c>
      <c r="V418" s="97">
        <v>-0.36</v>
      </c>
      <c r="W418" s="13">
        <f>RTD("money.excel",,"1809","Price")</f>
        <v>14</v>
      </c>
      <c r="X418" s="67"/>
      <c r="Y418" s="15">
        <f>W418-X418</f>
        <v>14</v>
      </c>
      <c r="Z418" s="3" t="e">
        <f>Y418/X418</f>
        <v>#DIV/0!</v>
      </c>
      <c r="AA418" s="174" t="s">
        <v>4710</v>
      </c>
      <c r="AB418" s="22" t="s">
        <v>4950</v>
      </c>
      <c r="AE418" s="33">
        <f>AD418-AC418</f>
        <v>0</v>
      </c>
      <c r="AF418" s="43" t="s">
        <v>4951</v>
      </c>
      <c r="AG418" s="128"/>
      <c r="AI418" s="64">
        <f>AJ418/(A418*10000)</f>
        <v>7.3712574850299398E-3</v>
      </c>
      <c r="AJ418" s="313">
        <f>RTD("money.excel",,$G418,"PredictVolume")</f>
        <v>1231</v>
      </c>
      <c r="AK418" s="348"/>
    </row>
    <row r="419" spans="1:37">
      <c r="A419" s="148" t="s">
        <v>4952</v>
      </c>
      <c r="B419" s="93">
        <v>79</v>
      </c>
      <c r="C419" s="93">
        <v>-223</v>
      </c>
      <c r="D419" s="93">
        <v>-6</v>
      </c>
      <c r="E419" s="93">
        <v>25</v>
      </c>
      <c r="F419" s="6">
        <v>-1.28</v>
      </c>
      <c r="G419" s="81">
        <v>1810</v>
      </c>
      <c r="H419" s="8" t="s">
        <v>315</v>
      </c>
      <c r="I419" s="22" t="s">
        <v>4953</v>
      </c>
      <c r="J419" s="75">
        <v>69.790000000000006</v>
      </c>
      <c r="K419" s="75">
        <v>4.0199999999999996</v>
      </c>
      <c r="L419" s="75">
        <v>22.53</v>
      </c>
      <c r="N419" s="325">
        <f>J419+K419+L419+M419</f>
        <v>96.34</v>
      </c>
      <c r="O419" s="27"/>
      <c r="P419" s="56"/>
      <c r="Q419" s="26"/>
      <c r="S419" s="330">
        <v>8.64</v>
      </c>
      <c r="T419" s="34">
        <v>0</v>
      </c>
      <c r="U419" s="366">
        <f>T419/W419</f>
        <v>0</v>
      </c>
      <c r="V419" s="97">
        <v>0.24</v>
      </c>
      <c r="W419" s="13">
        <f>RTD("money.excel",,"1810","Price")</f>
        <v>15.4</v>
      </c>
      <c r="X419" s="67"/>
      <c r="Y419" s="15">
        <f>W419-X419</f>
        <v>15.4</v>
      </c>
      <c r="Z419" s="3" t="e">
        <f>Y419/X419</f>
        <v>#DIV/0!</v>
      </c>
      <c r="AB419" s="22" t="s">
        <v>4953</v>
      </c>
      <c r="AE419" s="33">
        <f>AD419-AC419</f>
        <v>0</v>
      </c>
      <c r="AF419" s="43" t="s">
        <v>4954</v>
      </c>
      <c r="AG419" s="128"/>
      <c r="AI419" s="64">
        <f>AJ419/(A419*10000)</f>
        <v>3.0677506775067752E-3</v>
      </c>
      <c r="AJ419" s="313">
        <f>RTD("money.excel",,$G419,"PredictVolume")</f>
        <v>1132</v>
      </c>
      <c r="AK419" s="348"/>
    </row>
    <row r="420" spans="1:37">
      <c r="A420" s="132" t="s">
        <v>4955</v>
      </c>
      <c r="B420" s="93">
        <v>27</v>
      </c>
      <c r="C420" s="93">
        <v>20</v>
      </c>
      <c r="D420" s="93">
        <v>-3</v>
      </c>
      <c r="E420" s="93">
        <v>61</v>
      </c>
      <c r="F420" s="58">
        <v>15.05</v>
      </c>
      <c r="G420" s="81">
        <v>1817</v>
      </c>
      <c r="H420" s="8" t="s">
        <v>315</v>
      </c>
      <c r="I420" s="22" t="s">
        <v>4956</v>
      </c>
      <c r="J420" s="75">
        <v>61.73</v>
      </c>
      <c r="K420" s="75">
        <v>4.18</v>
      </c>
      <c r="L420" s="75">
        <v>2.98</v>
      </c>
      <c r="N420" s="325">
        <f>J420+K420+L420+M420</f>
        <v>68.89</v>
      </c>
      <c r="O420" s="27"/>
      <c r="P420" s="56"/>
      <c r="Q420" s="26"/>
      <c r="S420" s="330">
        <v>17.05</v>
      </c>
      <c r="T420" s="34">
        <v>2</v>
      </c>
      <c r="U420" s="366">
        <f>T420/W420</f>
        <v>5.6179775280898875E-2</v>
      </c>
      <c r="V420" s="97">
        <v>3.04</v>
      </c>
      <c r="W420" s="13">
        <f>RTD("money.excel",,"1817","Price")</f>
        <v>35.6</v>
      </c>
      <c r="X420" s="67"/>
      <c r="Y420" s="15">
        <f>W420-X420</f>
        <v>35.6</v>
      </c>
      <c r="Z420" s="3" t="e">
        <f>Y420/X420</f>
        <v>#DIV/0!</v>
      </c>
      <c r="AB420" s="22" t="s">
        <v>4956</v>
      </c>
      <c r="AE420" s="33">
        <f>AD420-AC420</f>
        <v>0</v>
      </c>
      <c r="AF420" s="43" t="s">
        <v>4954</v>
      </c>
      <c r="AG420" s="128"/>
      <c r="AI420" s="64">
        <f>AJ420/(A420*10000)</f>
        <v>4.8209366391184575E-4</v>
      </c>
      <c r="AJ420" s="313">
        <f>RTD("money.excel",,$G420,"PredictVolume")</f>
        <v>35</v>
      </c>
      <c r="AK420" s="348"/>
    </row>
    <row r="421" spans="1:37">
      <c r="B421" s="93"/>
      <c r="C421" s="93"/>
      <c r="D421" s="93"/>
      <c r="E421" s="93"/>
      <c r="F421" s="58"/>
      <c r="G421" s="81"/>
      <c r="H421" s="8"/>
      <c r="I421" s="22"/>
      <c r="J421" s="75"/>
      <c r="K421" s="75"/>
      <c r="N421" s="325"/>
      <c r="O421" s="27"/>
      <c r="P421" s="56"/>
      <c r="Q421" s="26"/>
      <c r="T421" s="34"/>
      <c r="V421" s="97"/>
      <c r="W421" s="13"/>
      <c r="X421" s="67"/>
      <c r="Y421" s="15"/>
      <c r="Z421" s="3"/>
      <c r="AB421" s="22"/>
      <c r="AE421" s="33"/>
      <c r="AF421" s="43"/>
      <c r="AG421" s="128"/>
      <c r="AI421" s="64"/>
      <c r="AJ421" s="313"/>
      <c r="AK421" s="348"/>
    </row>
    <row r="422" spans="1:37">
      <c r="A422" s="132" t="s">
        <v>4917</v>
      </c>
      <c r="B422" s="93" t="s">
        <v>4918</v>
      </c>
      <c r="C422" s="93" t="s">
        <v>4919</v>
      </c>
      <c r="D422" s="93" t="s">
        <v>4920</v>
      </c>
      <c r="E422" s="93" t="s">
        <v>4921</v>
      </c>
      <c r="F422" s="8" t="s">
        <v>4922</v>
      </c>
      <c r="G422" s="27" t="s">
        <v>2151</v>
      </c>
      <c r="H422" s="55" t="s">
        <v>342</v>
      </c>
      <c r="I422" s="8" t="s">
        <v>4957</v>
      </c>
      <c r="J422" s="324" t="s">
        <v>4925</v>
      </c>
      <c r="K422" s="324" t="s">
        <v>4926</v>
      </c>
      <c r="L422" s="324" t="s">
        <v>4927</v>
      </c>
      <c r="M422" s="324" t="s">
        <v>4928</v>
      </c>
      <c r="N422" s="324" t="s">
        <v>6091</v>
      </c>
      <c r="O422" s="27" t="s">
        <v>6253</v>
      </c>
      <c r="P422" s="56" t="s">
        <v>6219</v>
      </c>
      <c r="Q422" s="26" t="s">
        <v>6313</v>
      </c>
      <c r="R422" s="309" t="s">
        <v>4929</v>
      </c>
      <c r="S422" s="335" t="s">
        <v>4930</v>
      </c>
      <c r="T422" s="10" t="s">
        <v>4931</v>
      </c>
      <c r="U422" s="364" t="s">
        <v>6152</v>
      </c>
      <c r="V422" s="69" t="s">
        <v>4932</v>
      </c>
      <c r="W422" s="28" t="s">
        <v>4933</v>
      </c>
      <c r="X422" s="17" t="s">
        <v>4934</v>
      </c>
      <c r="Y422" s="14" t="s">
        <v>4935</v>
      </c>
      <c r="Z422" s="21" t="s">
        <v>4936</v>
      </c>
      <c r="AA422" s="322" t="s">
        <v>4937</v>
      </c>
      <c r="AB422" s="8" t="s">
        <v>4957</v>
      </c>
      <c r="AC422" s="73" t="s">
        <v>4938</v>
      </c>
      <c r="AD422" s="74" t="s">
        <v>4939</v>
      </c>
      <c r="AE422" s="32" t="s">
        <v>4940</v>
      </c>
      <c r="AF422" s="43"/>
      <c r="AG422" s="269"/>
      <c r="AI422" s="8" t="s">
        <v>4941</v>
      </c>
      <c r="AJ422" s="50" t="s">
        <v>4942</v>
      </c>
      <c r="AK422" s="348" t="s">
        <v>6074</v>
      </c>
    </row>
    <row r="423" spans="1:37">
      <c r="A423" s="148" t="s">
        <v>4958</v>
      </c>
      <c r="B423" s="82">
        <v>-19</v>
      </c>
      <c r="C423" s="82">
        <v>-19</v>
      </c>
      <c r="D423" s="82">
        <v>-11</v>
      </c>
      <c r="E423" s="82">
        <v>-5</v>
      </c>
      <c r="F423" s="75">
        <v>-111</v>
      </c>
      <c r="G423" s="81">
        <v>1903</v>
      </c>
      <c r="H423" s="8" t="s">
        <v>316</v>
      </c>
      <c r="I423" s="22" t="s">
        <v>4959</v>
      </c>
      <c r="J423" s="75">
        <v>87.23</v>
      </c>
      <c r="K423" s="75">
        <v>15.08</v>
      </c>
      <c r="L423" s="330">
        <v>0</v>
      </c>
      <c r="N423" s="325">
        <f t="shared" ref="N423" si="87">J423+K423+L423+M423</f>
        <v>102.31</v>
      </c>
      <c r="O423" s="27"/>
      <c r="P423" s="56"/>
      <c r="Q423" s="26"/>
      <c r="S423" s="330">
        <v>0</v>
      </c>
      <c r="T423" s="34">
        <v>0</v>
      </c>
      <c r="U423" s="366">
        <f t="shared" ref="U423:U428" si="88">T423/W423</f>
        <v>0</v>
      </c>
      <c r="V423" s="97">
        <v>-0.52</v>
      </c>
      <c r="W423" s="36">
        <f>RTD("money.excel",,"1903","Price")</f>
        <v>60.9</v>
      </c>
      <c r="X423" s="67"/>
      <c r="Y423" s="15">
        <f t="shared" ref="Y423:Y428" si="89">W423-X423</f>
        <v>60.9</v>
      </c>
      <c r="Z423" s="3" t="e">
        <f t="shared" ref="Z423:Z428" si="90">Y423/X423</f>
        <v>#DIV/0!</v>
      </c>
      <c r="AA423" s="174" t="s">
        <v>4710</v>
      </c>
      <c r="AB423" s="22" t="s">
        <v>4959</v>
      </c>
      <c r="AE423" s="33">
        <f t="shared" ref="AE423:AE428" si="91">AD423-AC423</f>
        <v>0</v>
      </c>
      <c r="AF423" s="43" t="s">
        <v>4960</v>
      </c>
      <c r="AG423" s="128"/>
      <c r="AI423" s="64">
        <f t="shared" ref="AI423:AI428" si="92">AJ423/(A423*10000)</f>
        <v>5.2692307692307695E-4</v>
      </c>
      <c r="AJ423" s="313">
        <f>RTD("money.excel",,$G423,"PredictVolume")</f>
        <v>137</v>
      </c>
      <c r="AK423" s="348"/>
    </row>
    <row r="424" spans="1:37">
      <c r="A424" s="132" t="s">
        <v>4961</v>
      </c>
      <c r="B424" s="81">
        <v>40</v>
      </c>
      <c r="C424" s="81">
        <v>24</v>
      </c>
      <c r="D424" s="82">
        <v>-12</v>
      </c>
      <c r="E424" s="81">
        <v>4</v>
      </c>
      <c r="F424" s="58">
        <v>13.51</v>
      </c>
      <c r="G424" s="81">
        <v>1904</v>
      </c>
      <c r="H424" s="8" t="s">
        <v>316</v>
      </c>
      <c r="I424" s="22" t="s">
        <v>4962</v>
      </c>
      <c r="J424" s="75">
        <v>68.3</v>
      </c>
      <c r="K424" s="330">
        <v>13.14</v>
      </c>
      <c r="L424" s="75">
        <v>1.55</v>
      </c>
      <c r="N424" s="325">
        <f t="shared" ref="N424:N428" si="93">J424+K424+L424+M424</f>
        <v>82.99</v>
      </c>
      <c r="O424" s="27"/>
      <c r="P424" s="56"/>
      <c r="Q424" s="26"/>
      <c r="S424" s="330">
        <v>1.39</v>
      </c>
      <c r="T424" s="34">
        <v>1.8</v>
      </c>
      <c r="U424" s="366">
        <f t="shared" si="88"/>
        <v>5.2554744525547446E-2</v>
      </c>
      <c r="V424" s="58">
        <v>3.99</v>
      </c>
      <c r="W424" s="36">
        <f>RTD("money.excel",,"1904","Price")</f>
        <v>34.25</v>
      </c>
      <c r="X424" s="67"/>
      <c r="Y424" s="15">
        <f t="shared" si="89"/>
        <v>34.25</v>
      </c>
      <c r="Z424" s="3" t="e">
        <f t="shared" si="90"/>
        <v>#DIV/0!</v>
      </c>
      <c r="AA424" s="174" t="s">
        <v>4710</v>
      </c>
      <c r="AB424" s="22" t="s">
        <v>4962</v>
      </c>
      <c r="AE424" s="33">
        <f t="shared" si="91"/>
        <v>0</v>
      </c>
      <c r="AF424" s="122" t="s">
        <v>4963</v>
      </c>
      <c r="AG424" s="128"/>
      <c r="AI424" s="64">
        <f t="shared" si="92"/>
        <v>7.9272727272727275E-4</v>
      </c>
      <c r="AJ424" s="313">
        <f>RTD("money.excel",,$G424,"PredictVolume")</f>
        <v>872</v>
      </c>
      <c r="AK424" s="348"/>
    </row>
    <row r="425" spans="1:37">
      <c r="A425" s="148" t="s">
        <v>4961</v>
      </c>
      <c r="B425" s="82">
        <v>-112</v>
      </c>
      <c r="C425" s="82">
        <v>-124</v>
      </c>
      <c r="D425" s="81">
        <v>10</v>
      </c>
      <c r="E425" s="82">
        <v>-4</v>
      </c>
      <c r="F425" s="6">
        <v>-0.74</v>
      </c>
      <c r="G425" s="81">
        <v>1905</v>
      </c>
      <c r="H425" s="8" t="s">
        <v>316</v>
      </c>
      <c r="I425" s="22" t="s">
        <v>4964</v>
      </c>
      <c r="J425" s="330">
        <v>77.489999999999995</v>
      </c>
      <c r="K425" s="75">
        <v>4.25</v>
      </c>
      <c r="L425" s="75">
        <v>3</v>
      </c>
      <c r="N425" s="325">
        <f t="shared" si="93"/>
        <v>84.74</v>
      </c>
      <c r="O425" s="27"/>
      <c r="P425" s="56"/>
      <c r="Q425" s="26"/>
      <c r="S425" s="330">
        <v>57.06</v>
      </c>
      <c r="T425" s="34">
        <v>0</v>
      </c>
      <c r="U425" s="366">
        <f t="shared" si="88"/>
        <v>0</v>
      </c>
      <c r="V425" s="58">
        <v>-0.18</v>
      </c>
      <c r="W425" s="36">
        <f>RTD("money.excel",,"1905","Price")</f>
        <v>22.05</v>
      </c>
      <c r="X425" s="67"/>
      <c r="Y425" s="15">
        <f t="shared" si="89"/>
        <v>22.05</v>
      </c>
      <c r="Z425" s="3" t="e">
        <f t="shared" si="90"/>
        <v>#DIV/0!</v>
      </c>
      <c r="AA425" s="174" t="s">
        <v>4710</v>
      </c>
      <c r="AB425" s="22" t="s">
        <v>4964</v>
      </c>
      <c r="AE425" s="33">
        <f t="shared" si="91"/>
        <v>0</v>
      </c>
      <c r="AF425" s="43" t="s">
        <v>4965</v>
      </c>
      <c r="AG425" s="128"/>
      <c r="AI425" s="64">
        <f t="shared" si="92"/>
        <v>1.0745454545454545E-3</v>
      </c>
      <c r="AJ425" s="313">
        <f>RTD("money.excel",,$G425,"PredictVolume")</f>
        <v>1182</v>
      </c>
      <c r="AK425" s="348"/>
    </row>
    <row r="426" spans="1:37">
      <c r="A426" s="148" t="s">
        <v>4966</v>
      </c>
      <c r="B426" s="82">
        <v>-32</v>
      </c>
      <c r="C426" s="81">
        <v>73</v>
      </c>
      <c r="D426" s="82">
        <v>-44</v>
      </c>
      <c r="E426" s="82">
        <v>-53</v>
      </c>
      <c r="F426" s="6">
        <v>0.94</v>
      </c>
      <c r="G426" s="81">
        <v>1906</v>
      </c>
      <c r="H426" s="8" t="s">
        <v>316</v>
      </c>
      <c r="I426" s="22" t="s">
        <v>4967</v>
      </c>
      <c r="J426" s="75">
        <v>63.73</v>
      </c>
      <c r="K426" s="75">
        <v>1.52</v>
      </c>
      <c r="L426" s="75">
        <v>8.02</v>
      </c>
      <c r="N426" s="325">
        <f t="shared" si="93"/>
        <v>73.27</v>
      </c>
      <c r="O426" s="27"/>
      <c r="P426" s="56"/>
      <c r="Q426" s="26"/>
      <c r="S426" s="330">
        <v>0</v>
      </c>
      <c r="T426" s="34">
        <v>0.4</v>
      </c>
      <c r="U426" s="366">
        <f t="shared" si="88"/>
        <v>2.0671834625322998E-2</v>
      </c>
      <c r="V426" s="97">
        <v>0.62</v>
      </c>
      <c r="W426" s="36">
        <f>RTD("money.excel",,"1906","Price")</f>
        <v>19.350000000000001</v>
      </c>
      <c r="X426" s="67"/>
      <c r="Y426" s="15">
        <f t="shared" si="89"/>
        <v>19.350000000000001</v>
      </c>
      <c r="Z426" s="3" t="e">
        <f t="shared" si="90"/>
        <v>#DIV/0!</v>
      </c>
      <c r="AA426" s="174" t="s">
        <v>4710</v>
      </c>
      <c r="AB426" s="22" t="s">
        <v>4967</v>
      </c>
      <c r="AE426" s="33">
        <f t="shared" si="91"/>
        <v>0</v>
      </c>
      <c r="AF426" s="43" t="s">
        <v>4968</v>
      </c>
      <c r="AG426" s="128"/>
      <c r="AI426" s="64">
        <f t="shared" si="92"/>
        <v>9.4701986754966883E-4</v>
      </c>
      <c r="AJ426" s="313">
        <f>RTD("money.excel",,$G426,"PredictVolume")</f>
        <v>143</v>
      </c>
      <c r="AK426" s="348"/>
    </row>
    <row r="427" spans="1:37">
      <c r="A427" s="132" t="s">
        <v>4969</v>
      </c>
      <c r="B427" s="81">
        <v>124</v>
      </c>
      <c r="C427" s="81">
        <v>174</v>
      </c>
      <c r="D427" s="82">
        <v>-15</v>
      </c>
      <c r="E427" s="82">
        <v>-4</v>
      </c>
      <c r="F427" s="58">
        <v>13.46</v>
      </c>
      <c r="G427" s="81">
        <v>1907</v>
      </c>
      <c r="H427" s="8" t="s">
        <v>316</v>
      </c>
      <c r="I427" s="22" t="s">
        <v>4970</v>
      </c>
      <c r="J427" s="75">
        <v>79.05</v>
      </c>
      <c r="K427" s="75">
        <v>18.68</v>
      </c>
      <c r="L427" s="330">
        <v>3.34</v>
      </c>
      <c r="N427" s="325">
        <f t="shared" si="93"/>
        <v>101.07</v>
      </c>
      <c r="O427" s="27"/>
      <c r="P427" s="56"/>
      <c r="Q427" s="26"/>
      <c r="S427" s="330">
        <v>0.06</v>
      </c>
      <c r="T427" s="34">
        <v>1.5</v>
      </c>
      <c r="U427" s="366">
        <f t="shared" si="88"/>
        <v>4.504504504504505E-2</v>
      </c>
      <c r="V427" s="58">
        <v>3.95</v>
      </c>
      <c r="W427" s="36">
        <f>RTD("money.excel",,"1907","Price")</f>
        <v>33.299999999999997</v>
      </c>
      <c r="X427" s="67"/>
      <c r="Y427" s="15">
        <f t="shared" si="89"/>
        <v>33.299999999999997</v>
      </c>
      <c r="Z427" s="3" t="e">
        <f t="shared" si="90"/>
        <v>#DIV/0!</v>
      </c>
      <c r="AA427" s="174" t="s">
        <v>4710</v>
      </c>
      <c r="AB427" s="22" t="s">
        <v>4970</v>
      </c>
      <c r="AE427" s="33">
        <f t="shared" si="91"/>
        <v>0</v>
      </c>
      <c r="AF427" s="122" t="s">
        <v>4963</v>
      </c>
      <c r="AG427" s="269"/>
      <c r="AI427" s="64">
        <f t="shared" si="92"/>
        <v>1.1921686746987953E-3</v>
      </c>
      <c r="AJ427" s="313">
        <f>RTD("money.excel",,$G427,"PredictVolume")</f>
        <v>1979</v>
      </c>
      <c r="AK427" s="348"/>
    </row>
    <row r="428" spans="1:37">
      <c r="A428" s="148" t="s">
        <v>4971</v>
      </c>
      <c r="B428" s="95">
        <v>1709</v>
      </c>
      <c r="C428" s="81">
        <v>20</v>
      </c>
      <c r="D428" s="81">
        <v>2</v>
      </c>
      <c r="E428" s="82">
        <v>-1</v>
      </c>
      <c r="F428" s="6">
        <v>4.3899999999999997</v>
      </c>
      <c r="G428" s="81">
        <v>1909</v>
      </c>
      <c r="H428" s="206" t="s">
        <v>316</v>
      </c>
      <c r="I428" s="22" t="s">
        <v>4972</v>
      </c>
      <c r="J428" s="330">
        <v>69.66</v>
      </c>
      <c r="K428" s="75">
        <v>14.39</v>
      </c>
      <c r="L428" s="75">
        <v>10.029999999999999</v>
      </c>
      <c r="N428" s="325">
        <f t="shared" si="93"/>
        <v>94.08</v>
      </c>
      <c r="O428" s="27"/>
      <c r="P428" s="56"/>
      <c r="Q428" s="26"/>
      <c r="S428" s="330">
        <v>0.35</v>
      </c>
      <c r="T428" s="34">
        <v>0.6</v>
      </c>
      <c r="U428" s="366">
        <f t="shared" si="88"/>
        <v>2.9126213592233007E-2</v>
      </c>
      <c r="V428" s="97">
        <v>0.78</v>
      </c>
      <c r="W428" s="36">
        <f>RTD("money.excel",,"1909","Price")</f>
        <v>20.6</v>
      </c>
      <c r="X428" s="67"/>
      <c r="Y428" s="15">
        <f t="shared" si="89"/>
        <v>20.6</v>
      </c>
      <c r="Z428" s="3" t="e">
        <f t="shared" si="90"/>
        <v>#DIV/0!</v>
      </c>
      <c r="AA428" s="174" t="s">
        <v>4710</v>
      </c>
      <c r="AB428" s="22" t="s">
        <v>4972</v>
      </c>
      <c r="AE428" s="33">
        <f t="shared" si="91"/>
        <v>0</v>
      </c>
      <c r="AF428" s="122" t="s">
        <v>4963</v>
      </c>
      <c r="AG428" s="128"/>
      <c r="AI428" s="64">
        <f t="shared" si="92"/>
        <v>2.8393700787401575E-3</v>
      </c>
      <c r="AJ428" s="313">
        <f>RTD("money.excel",,$G428,"PredictVolume")</f>
        <v>3606</v>
      </c>
      <c r="AK428" s="348"/>
    </row>
    <row r="429" spans="1:37">
      <c r="A429" s="148"/>
      <c r="B429" s="95"/>
      <c r="C429" s="81"/>
      <c r="D429" s="81"/>
      <c r="E429" s="82"/>
      <c r="F429" s="6"/>
      <c r="G429" s="81"/>
      <c r="H429" s="206"/>
      <c r="I429" s="22"/>
      <c r="J429" s="330"/>
      <c r="K429" s="75"/>
      <c r="N429" s="325"/>
      <c r="O429" s="27"/>
      <c r="P429" s="56"/>
      <c r="Q429" s="26"/>
      <c r="T429" s="34"/>
      <c r="V429" s="97"/>
      <c r="W429" s="36"/>
      <c r="X429" s="67"/>
      <c r="Y429" s="15"/>
      <c r="Z429" s="3"/>
      <c r="AB429" s="22"/>
      <c r="AE429" s="33"/>
      <c r="AF429" s="122"/>
      <c r="AG429" s="128"/>
      <c r="AI429" s="64"/>
      <c r="AJ429" s="313"/>
      <c r="AK429" s="348"/>
    </row>
    <row r="430" spans="1:37">
      <c r="A430" s="132" t="s">
        <v>4917</v>
      </c>
      <c r="B430" s="93" t="s">
        <v>4918</v>
      </c>
      <c r="C430" s="93" t="s">
        <v>4919</v>
      </c>
      <c r="D430" s="93" t="s">
        <v>4920</v>
      </c>
      <c r="E430" s="93" t="s">
        <v>4921</v>
      </c>
      <c r="F430" s="8" t="s">
        <v>4922</v>
      </c>
      <c r="G430" s="27" t="s">
        <v>4973</v>
      </c>
      <c r="H430" s="55" t="s">
        <v>342</v>
      </c>
      <c r="I430" s="8" t="s">
        <v>4974</v>
      </c>
      <c r="J430" s="324" t="s">
        <v>4925</v>
      </c>
      <c r="K430" s="324" t="s">
        <v>4926</v>
      </c>
      <c r="L430" s="324" t="s">
        <v>4927</v>
      </c>
      <c r="M430" s="324" t="s">
        <v>4928</v>
      </c>
      <c r="N430" s="324" t="s">
        <v>6091</v>
      </c>
      <c r="O430" s="27" t="s">
        <v>6253</v>
      </c>
      <c r="P430" s="56" t="s">
        <v>6219</v>
      </c>
      <c r="Q430" s="26" t="s">
        <v>6313</v>
      </c>
      <c r="R430" s="309" t="s">
        <v>4929</v>
      </c>
      <c r="S430" s="335" t="s">
        <v>4930</v>
      </c>
      <c r="T430" s="10" t="s">
        <v>4931</v>
      </c>
      <c r="U430" s="364" t="s">
        <v>6152</v>
      </c>
      <c r="V430" s="69" t="s">
        <v>4932</v>
      </c>
      <c r="W430" s="28" t="s">
        <v>4933</v>
      </c>
      <c r="X430" s="17" t="s">
        <v>4934</v>
      </c>
      <c r="Y430" s="14" t="s">
        <v>4935</v>
      </c>
      <c r="Z430" s="21" t="s">
        <v>4936</v>
      </c>
      <c r="AA430" s="322" t="s">
        <v>4937</v>
      </c>
      <c r="AB430" s="8" t="s">
        <v>4974</v>
      </c>
      <c r="AC430" s="73" t="s">
        <v>4938</v>
      </c>
      <c r="AD430" s="74" t="s">
        <v>4939</v>
      </c>
      <c r="AE430" s="32" t="s">
        <v>4940</v>
      </c>
      <c r="AF430" s="122" t="s">
        <v>4975</v>
      </c>
      <c r="AG430" s="269"/>
      <c r="AI430" s="8" t="s">
        <v>4941</v>
      </c>
      <c r="AJ430" s="50" t="s">
        <v>4942</v>
      </c>
      <c r="AK430" s="348" t="s">
        <v>6074</v>
      </c>
    </row>
    <row r="431" spans="1:37">
      <c r="A431" s="132" t="s">
        <v>4976</v>
      </c>
      <c r="B431" s="95">
        <v>1411</v>
      </c>
      <c r="C431" s="95">
        <v>1727</v>
      </c>
      <c r="D431" s="81">
        <v>2</v>
      </c>
      <c r="E431" s="81">
        <v>59</v>
      </c>
      <c r="F431" s="58">
        <v>17.149999999999999</v>
      </c>
      <c r="G431" s="81">
        <v>2002</v>
      </c>
      <c r="H431" s="8" t="s">
        <v>317</v>
      </c>
      <c r="I431" s="22" t="s">
        <v>4977</v>
      </c>
      <c r="J431" s="330">
        <v>60.33</v>
      </c>
      <c r="K431" s="330">
        <v>20.99</v>
      </c>
      <c r="L431" s="75">
        <v>2.37</v>
      </c>
      <c r="N431" s="325">
        <f t="shared" ref="N431" si="94">J431+K431+L431+M431</f>
        <v>83.69</v>
      </c>
      <c r="O431" s="27"/>
      <c r="P431" s="56"/>
      <c r="Q431" s="26"/>
      <c r="S431" s="330">
        <v>0.77</v>
      </c>
      <c r="T431" s="34">
        <v>0.3</v>
      </c>
      <c r="U431" s="366">
        <f t="shared" ref="U431:U476" si="95">T431/W431</f>
        <v>7.8023407022106625E-3</v>
      </c>
      <c r="V431" s="58">
        <v>1.9</v>
      </c>
      <c r="W431" s="36">
        <f>RTD("money.excel",,"2002","Price")</f>
        <v>38.450000000000003</v>
      </c>
      <c r="X431" s="67"/>
      <c r="Y431" s="15">
        <f t="shared" ref="Y431:Y476" si="96">W431-X431</f>
        <v>38.450000000000003</v>
      </c>
      <c r="Z431" s="3" t="e">
        <f t="shared" ref="Z431:Z476" si="97">Y431/X431</f>
        <v>#DIV/0!</v>
      </c>
      <c r="AA431" s="174" t="s">
        <v>4710</v>
      </c>
      <c r="AB431" s="22" t="s">
        <v>4977</v>
      </c>
      <c r="AE431" s="33">
        <f t="shared" ref="AE431:AE476" si="98">AD431-AC431</f>
        <v>0</v>
      </c>
      <c r="AF431" s="122" t="s">
        <v>317</v>
      </c>
      <c r="AG431" s="128"/>
      <c r="AI431" s="64">
        <f t="shared" ref="AI431:AI476" si="99">AJ431/(A431*10000)</f>
        <v>2.6598219961856324E-3</v>
      </c>
      <c r="AJ431" s="313">
        <f>RTD("money.excel",,$G431,"PredictVolume")</f>
        <v>41839</v>
      </c>
      <c r="AK431" s="348"/>
    </row>
    <row r="432" spans="1:37">
      <c r="A432" s="132" t="s">
        <v>4978</v>
      </c>
      <c r="B432" s="81">
        <v>155</v>
      </c>
      <c r="C432" s="81">
        <v>105</v>
      </c>
      <c r="D432" s="82">
        <v>-6</v>
      </c>
      <c r="E432" s="81">
        <v>44</v>
      </c>
      <c r="F432" s="58">
        <v>12.57</v>
      </c>
      <c r="G432" s="81">
        <v>2006</v>
      </c>
      <c r="H432" s="8" t="s">
        <v>317</v>
      </c>
      <c r="I432" s="22" t="s">
        <v>4979</v>
      </c>
      <c r="J432" s="330">
        <v>63.2</v>
      </c>
      <c r="K432" s="330">
        <v>16.57</v>
      </c>
      <c r="L432" s="330">
        <v>7.39</v>
      </c>
      <c r="N432" s="325">
        <f t="shared" ref="N432:N476" si="100">J432+K432+L432+M432</f>
        <v>87.160000000000011</v>
      </c>
      <c r="O432" s="27"/>
      <c r="P432" s="56"/>
      <c r="Q432" s="26"/>
      <c r="S432" s="330">
        <v>3.73</v>
      </c>
      <c r="T432" s="34">
        <v>1.5</v>
      </c>
      <c r="U432" s="366">
        <f t="shared" si="95"/>
        <v>1.940491591203105E-2</v>
      </c>
      <c r="V432" s="58">
        <v>5.12</v>
      </c>
      <c r="W432" s="36">
        <f>RTD("money.excel",,"2006","Price")</f>
        <v>77.3</v>
      </c>
      <c r="X432" s="67"/>
      <c r="Y432" s="15">
        <f t="shared" si="96"/>
        <v>77.3</v>
      </c>
      <c r="Z432" s="3" t="e">
        <f t="shared" si="97"/>
        <v>#DIV/0!</v>
      </c>
      <c r="AA432" s="174" t="s">
        <v>4710</v>
      </c>
      <c r="AB432" s="22" t="s">
        <v>4979</v>
      </c>
      <c r="AE432" s="33">
        <f t="shared" si="98"/>
        <v>0</v>
      </c>
      <c r="AF432" s="43" t="s">
        <v>4980</v>
      </c>
      <c r="AG432" s="128"/>
      <c r="AI432" s="64">
        <f t="shared" si="99"/>
        <v>2.8764814814814816E-2</v>
      </c>
      <c r="AJ432" s="313">
        <f>RTD("money.excel",,$G432,"PredictVolume")</f>
        <v>31066</v>
      </c>
      <c r="AK432" s="348"/>
    </row>
    <row r="433" spans="1:37">
      <c r="A433" s="148" t="s">
        <v>4981</v>
      </c>
      <c r="B433" s="81">
        <v>6</v>
      </c>
      <c r="C433" s="81">
        <v>1</v>
      </c>
      <c r="D433" s="93">
        <v>-3</v>
      </c>
      <c r="E433" s="81">
        <v>10</v>
      </c>
      <c r="F433" s="6">
        <v>-7.39</v>
      </c>
      <c r="G433" s="81">
        <v>2007</v>
      </c>
      <c r="H433" s="8" t="s">
        <v>317</v>
      </c>
      <c r="I433" s="22" t="s">
        <v>4982</v>
      </c>
      <c r="J433" s="75">
        <v>80.319999999999993</v>
      </c>
      <c r="K433" s="75">
        <v>0.61</v>
      </c>
      <c r="N433" s="325">
        <f t="shared" si="100"/>
        <v>80.929999999999993</v>
      </c>
      <c r="O433" s="27"/>
      <c r="P433" s="56"/>
      <c r="Q433" s="26"/>
      <c r="T433" s="34">
        <v>0</v>
      </c>
      <c r="U433" s="366">
        <f t="shared" si="95"/>
        <v>0</v>
      </c>
      <c r="V433" s="97">
        <v>-0.89</v>
      </c>
      <c r="W433" s="36">
        <f>RTD("money.excel",,"2007","Price")</f>
        <v>20.6</v>
      </c>
      <c r="X433" s="67"/>
      <c r="Y433" s="15">
        <f t="shared" si="96"/>
        <v>20.6</v>
      </c>
      <c r="Z433" s="3" t="e">
        <f t="shared" si="97"/>
        <v>#DIV/0!</v>
      </c>
      <c r="AA433" s="174" t="s">
        <v>4710</v>
      </c>
      <c r="AB433" s="22" t="s">
        <v>4982</v>
      </c>
      <c r="AE433" s="33">
        <f t="shared" si="98"/>
        <v>0</v>
      </c>
      <c r="AF433" s="43" t="s">
        <v>4983</v>
      </c>
      <c r="AG433" s="128"/>
      <c r="AI433" s="64">
        <f t="shared" si="99"/>
        <v>1.1394339622641509E-2</v>
      </c>
      <c r="AJ433" s="313">
        <f>RTD("money.excel",,$G433,"PredictVolume")</f>
        <v>6039</v>
      </c>
      <c r="AK433" s="348"/>
    </row>
    <row r="434" spans="1:37">
      <c r="A434" s="148" t="s">
        <v>4984</v>
      </c>
      <c r="B434" s="82">
        <v>-203</v>
      </c>
      <c r="C434" s="82">
        <v>-448</v>
      </c>
      <c r="D434" s="81">
        <v>10</v>
      </c>
      <c r="E434" s="82">
        <v>-36</v>
      </c>
      <c r="F434" s="6">
        <v>-26.89</v>
      </c>
      <c r="G434" s="81">
        <v>2008</v>
      </c>
      <c r="H434" s="8" t="s">
        <v>317</v>
      </c>
      <c r="I434" s="22" t="s">
        <v>4985</v>
      </c>
      <c r="J434" s="75">
        <v>89.52</v>
      </c>
      <c r="K434" s="75">
        <v>7.35</v>
      </c>
      <c r="L434" s="330">
        <v>0.01</v>
      </c>
      <c r="N434" s="325">
        <f t="shared" si="100"/>
        <v>96.88</v>
      </c>
      <c r="O434" s="27"/>
      <c r="P434" s="56"/>
      <c r="Q434" s="26"/>
      <c r="S434" s="330">
        <v>0</v>
      </c>
      <c r="T434" s="34">
        <v>0</v>
      </c>
      <c r="U434" s="366">
        <f t="shared" si="95"/>
        <v>0</v>
      </c>
      <c r="V434" s="97">
        <v>-0.16</v>
      </c>
      <c r="W434" s="36">
        <f>RTD("money.excel",,"2008","Price")</f>
        <v>19.600000000000001</v>
      </c>
      <c r="X434" s="67"/>
      <c r="Y434" s="15">
        <f t="shared" si="96"/>
        <v>19.600000000000001</v>
      </c>
      <c r="Z434" s="3" t="e">
        <f t="shared" si="97"/>
        <v>#DIV/0!</v>
      </c>
      <c r="AA434" s="174" t="s">
        <v>4710</v>
      </c>
      <c r="AB434" s="22" t="s">
        <v>4985</v>
      </c>
      <c r="AE434" s="33">
        <f t="shared" si="98"/>
        <v>0</v>
      </c>
      <c r="AF434" s="43" t="s">
        <v>4986</v>
      </c>
      <c r="AG434" s="128"/>
      <c r="AI434" s="64">
        <f t="shared" si="99"/>
        <v>3.4250000000000001E-3</v>
      </c>
      <c r="AJ434" s="313">
        <f>RTD("money.excel",,$G434,"PredictVolume")</f>
        <v>685</v>
      </c>
      <c r="AK434" s="348"/>
    </row>
    <row r="435" spans="1:37">
      <c r="A435" s="132" t="s">
        <v>4987</v>
      </c>
      <c r="B435" s="81">
        <v>218</v>
      </c>
      <c r="C435" s="81">
        <v>230</v>
      </c>
      <c r="D435" s="82">
        <v>-4</v>
      </c>
      <c r="E435" s="81">
        <v>53</v>
      </c>
      <c r="F435" s="58">
        <v>11.13</v>
      </c>
      <c r="G435" s="81">
        <v>2009</v>
      </c>
      <c r="H435" s="8" t="s">
        <v>317</v>
      </c>
      <c r="I435" s="22" t="s">
        <v>4988</v>
      </c>
      <c r="J435" s="75">
        <v>57.81</v>
      </c>
      <c r="K435" s="75">
        <v>3.95</v>
      </c>
      <c r="L435" s="330">
        <v>14.78</v>
      </c>
      <c r="N435" s="325">
        <f t="shared" si="100"/>
        <v>76.540000000000006</v>
      </c>
      <c r="O435" s="27"/>
      <c r="P435" s="56"/>
      <c r="Q435" s="26"/>
      <c r="S435" s="330">
        <v>41.03</v>
      </c>
      <c r="T435" s="34">
        <v>0.8</v>
      </c>
      <c r="U435" s="366">
        <f t="shared" si="95"/>
        <v>1.7021276595744681E-2</v>
      </c>
      <c r="V435" s="58">
        <v>1.18</v>
      </c>
      <c r="W435" s="36">
        <f>RTD("money.excel",,"2009","Price")</f>
        <v>47</v>
      </c>
      <c r="X435" s="67"/>
      <c r="Y435" s="15">
        <f t="shared" si="96"/>
        <v>47</v>
      </c>
      <c r="Z435" s="3" t="e">
        <f t="shared" si="97"/>
        <v>#DIV/0!</v>
      </c>
      <c r="AA435" s="174" t="s">
        <v>4710</v>
      </c>
      <c r="AB435" s="22" t="s">
        <v>4988</v>
      </c>
      <c r="AE435" s="33">
        <f t="shared" si="98"/>
        <v>0</v>
      </c>
      <c r="AF435" s="43" t="s">
        <v>4989</v>
      </c>
      <c r="AG435" s="128"/>
      <c r="AI435" s="64">
        <f t="shared" si="99"/>
        <v>2.8919220055710307E-2</v>
      </c>
      <c r="AJ435" s="313">
        <f>RTD("money.excel",,$G435,"PredictVolume")</f>
        <v>10382</v>
      </c>
      <c r="AK435" s="348"/>
    </row>
    <row r="436" spans="1:37">
      <c r="A436" s="148" t="s">
        <v>4990</v>
      </c>
      <c r="B436" s="81">
        <v>327</v>
      </c>
      <c r="C436" s="81">
        <v>353</v>
      </c>
      <c r="D436" s="82">
        <v>-2</v>
      </c>
      <c r="E436" s="81">
        <v>36</v>
      </c>
      <c r="F436" s="6">
        <v>5.78</v>
      </c>
      <c r="G436" s="81">
        <v>2010</v>
      </c>
      <c r="H436" s="8" t="s">
        <v>317</v>
      </c>
      <c r="I436" s="22" t="s">
        <v>4991</v>
      </c>
      <c r="J436" s="75">
        <v>60.58</v>
      </c>
      <c r="K436" s="75">
        <v>4.3899999999999997</v>
      </c>
      <c r="L436" s="330">
        <v>7.1</v>
      </c>
      <c r="N436" s="325">
        <f t="shared" si="100"/>
        <v>72.069999999999993</v>
      </c>
      <c r="O436" s="27"/>
      <c r="P436" s="56"/>
      <c r="Q436" s="26"/>
      <c r="S436" s="330">
        <v>2.58</v>
      </c>
      <c r="T436" s="34">
        <v>0.6</v>
      </c>
      <c r="U436" s="366">
        <f t="shared" si="95"/>
        <v>2.4439918533604887E-2</v>
      </c>
      <c r="V436" s="58">
        <v>1.54</v>
      </c>
      <c r="W436" s="36">
        <f>RTD("money.excel",,"2010","Price")</f>
        <v>24.55</v>
      </c>
      <c r="X436" s="67"/>
      <c r="Y436" s="15">
        <f t="shared" si="96"/>
        <v>24.55</v>
      </c>
      <c r="Z436" s="3" t="e">
        <f t="shared" si="97"/>
        <v>#DIV/0!</v>
      </c>
      <c r="AA436" s="174" t="s">
        <v>4710</v>
      </c>
      <c r="AB436" s="22" t="s">
        <v>4991</v>
      </c>
      <c r="AE436" s="33">
        <f t="shared" si="98"/>
        <v>0</v>
      </c>
      <c r="AF436" s="43" t="s">
        <v>4992</v>
      </c>
      <c r="AG436" s="128"/>
      <c r="AI436" s="64">
        <f t="shared" si="99"/>
        <v>5.3261205564142195E-3</v>
      </c>
      <c r="AJ436" s="313">
        <f>RTD("money.excel",,$G436,"PredictVolume")</f>
        <v>3446</v>
      </c>
      <c r="AK436" s="348"/>
    </row>
    <row r="437" spans="1:37">
      <c r="A437" s="148" t="s">
        <v>4993</v>
      </c>
      <c r="B437" s="81">
        <v>242</v>
      </c>
      <c r="C437" s="81">
        <v>187</v>
      </c>
      <c r="D437" s="82">
        <v>-4</v>
      </c>
      <c r="E437" s="81">
        <v>49</v>
      </c>
      <c r="F437" s="6">
        <v>9.02</v>
      </c>
      <c r="G437" s="81">
        <v>2012</v>
      </c>
      <c r="H437" s="8" t="s">
        <v>317</v>
      </c>
      <c r="I437" s="22" t="s">
        <v>4994</v>
      </c>
      <c r="J437" s="75">
        <v>71.040000000000006</v>
      </c>
      <c r="K437" s="75">
        <v>1.75</v>
      </c>
      <c r="L437" s="330">
        <v>4.93</v>
      </c>
      <c r="N437" s="325">
        <f t="shared" si="100"/>
        <v>77.72</v>
      </c>
      <c r="O437" s="27"/>
      <c r="P437" s="56"/>
      <c r="Q437" s="26"/>
      <c r="S437" s="330">
        <v>1.75</v>
      </c>
      <c r="T437" s="34">
        <v>0.6</v>
      </c>
      <c r="U437" s="366">
        <f t="shared" si="95"/>
        <v>1.9017432646592707E-2</v>
      </c>
      <c r="V437" s="58">
        <v>1.77</v>
      </c>
      <c r="W437" s="36">
        <f>RTD("money.excel",,"2012","Price")</f>
        <v>31.55</v>
      </c>
      <c r="X437" s="67"/>
      <c r="Y437" s="15">
        <f t="shared" si="96"/>
        <v>31.55</v>
      </c>
      <c r="Z437" s="3" t="e">
        <f t="shared" si="97"/>
        <v>#DIV/0!</v>
      </c>
      <c r="AA437" s="174" t="s">
        <v>4710</v>
      </c>
      <c r="AB437" s="22" t="s">
        <v>4994</v>
      </c>
      <c r="AE437" s="33">
        <f t="shared" si="98"/>
        <v>0</v>
      </c>
      <c r="AF437" s="43" t="s">
        <v>4995</v>
      </c>
      <c r="AG437" s="128"/>
      <c r="AI437" s="64">
        <f t="shared" si="99"/>
        <v>8.0174216027874556E-3</v>
      </c>
      <c r="AJ437" s="313">
        <f>RTD("money.excel",,$G437,"PredictVolume")</f>
        <v>2301</v>
      </c>
      <c r="AK437" s="348"/>
    </row>
    <row r="438" spans="1:37">
      <c r="A438" s="148" t="s">
        <v>2350</v>
      </c>
      <c r="B438" s="82">
        <v>-31</v>
      </c>
      <c r="C438" s="81">
        <v>78</v>
      </c>
      <c r="D438" s="81">
        <v>34</v>
      </c>
      <c r="E438" s="81">
        <v>59</v>
      </c>
      <c r="F438" s="6">
        <v>2.06</v>
      </c>
      <c r="G438" s="81">
        <v>2013</v>
      </c>
      <c r="H438" s="8" t="s">
        <v>317</v>
      </c>
      <c r="I438" s="22" t="s">
        <v>4996</v>
      </c>
      <c r="J438" s="75">
        <v>67.599999999999994</v>
      </c>
      <c r="K438" s="330">
        <v>8.5</v>
      </c>
      <c r="L438" s="330">
        <v>25.77</v>
      </c>
      <c r="M438" s="75">
        <v>43.1</v>
      </c>
      <c r="N438" s="75">
        <f t="shared" si="100"/>
        <v>144.97</v>
      </c>
      <c r="O438" s="27" t="s">
        <v>6231</v>
      </c>
      <c r="P438" s="56"/>
      <c r="Q438" s="26"/>
      <c r="R438" s="309" t="s">
        <v>6169</v>
      </c>
      <c r="S438" s="330">
        <v>3.27</v>
      </c>
      <c r="T438" s="34">
        <v>2.8</v>
      </c>
      <c r="U438" s="366">
        <f t="shared" si="95"/>
        <v>4.8359240069084625E-2</v>
      </c>
      <c r="V438" s="58">
        <v>2.52</v>
      </c>
      <c r="W438" s="36">
        <f>RTD("money.excel",,"2013","Price")</f>
        <v>57.9</v>
      </c>
      <c r="X438" s="67"/>
      <c r="Y438" s="15">
        <f t="shared" si="96"/>
        <v>57.9</v>
      </c>
      <c r="Z438" s="3" t="e">
        <f t="shared" si="97"/>
        <v>#DIV/0!</v>
      </c>
      <c r="AA438" s="174" t="s">
        <v>1943</v>
      </c>
      <c r="AB438" s="22" t="s">
        <v>4996</v>
      </c>
      <c r="AE438" s="33">
        <f t="shared" si="98"/>
        <v>0</v>
      </c>
      <c r="AF438" s="122" t="s">
        <v>4997</v>
      </c>
      <c r="AG438" s="128"/>
      <c r="AI438" s="64">
        <f t="shared" si="99"/>
        <v>3.0100000000000001E-3</v>
      </c>
      <c r="AJ438" s="313">
        <f>RTD("money.excel",,$G438,"PredictVolume")</f>
        <v>602</v>
      </c>
      <c r="AK438" s="348">
        <v>18.77</v>
      </c>
    </row>
    <row r="439" spans="1:37">
      <c r="A439" s="132" t="s">
        <v>4998</v>
      </c>
      <c r="B439" s="95">
        <v>2378</v>
      </c>
      <c r="C439" s="95">
        <v>1707</v>
      </c>
      <c r="D439" s="82">
        <v>-5</v>
      </c>
      <c r="E439" s="81">
        <v>52</v>
      </c>
      <c r="F439" s="58">
        <v>13.52</v>
      </c>
      <c r="G439" s="81">
        <v>2014</v>
      </c>
      <c r="H439" s="8" t="s">
        <v>317</v>
      </c>
      <c r="I439" s="22" t="s">
        <v>4999</v>
      </c>
      <c r="J439" s="75">
        <v>53.81</v>
      </c>
      <c r="K439" s="75">
        <v>8.49</v>
      </c>
      <c r="L439" s="75">
        <v>16.29</v>
      </c>
      <c r="M439" s="330">
        <v>40.590000000000003</v>
      </c>
      <c r="N439" s="325">
        <f t="shared" si="100"/>
        <v>119.18</v>
      </c>
      <c r="O439" s="27"/>
      <c r="P439" s="56"/>
      <c r="Q439" s="26"/>
      <c r="R439" s="308" t="s">
        <v>4728</v>
      </c>
      <c r="S439" s="330">
        <v>3.77</v>
      </c>
      <c r="T439" s="34">
        <v>0.3</v>
      </c>
      <c r="U439" s="366">
        <f t="shared" si="95"/>
        <v>6.880733944954128E-3</v>
      </c>
      <c r="V439" s="58">
        <v>4.33</v>
      </c>
      <c r="W439" s="36">
        <f>RTD("money.excel",,"2014","Price")</f>
        <v>43.6</v>
      </c>
      <c r="X439" s="67"/>
      <c r="Y439" s="15">
        <f t="shared" si="96"/>
        <v>43.6</v>
      </c>
      <c r="Z439" s="3" t="e">
        <f t="shared" si="97"/>
        <v>#DIV/0!</v>
      </c>
      <c r="AA439" s="174" t="s">
        <v>4710</v>
      </c>
      <c r="AB439" s="22" t="s">
        <v>4999</v>
      </c>
      <c r="AE439" s="33">
        <f t="shared" si="98"/>
        <v>0</v>
      </c>
      <c r="AF439" s="43" t="s">
        <v>5000</v>
      </c>
      <c r="AG439" s="128"/>
      <c r="AI439" s="64">
        <f t="shared" si="99"/>
        <v>3.6896503496503495E-2</v>
      </c>
      <c r="AJ439" s="313">
        <f>RTD("money.excel",,$G439,"PredictVolume")</f>
        <v>52762</v>
      </c>
      <c r="AK439" s="348"/>
    </row>
    <row r="440" spans="1:37">
      <c r="A440" s="132" t="s">
        <v>5001</v>
      </c>
      <c r="B440" s="81">
        <v>29</v>
      </c>
      <c r="C440" s="81">
        <v>50</v>
      </c>
      <c r="D440" s="82">
        <v>-1</v>
      </c>
      <c r="E440" s="82">
        <v>-3</v>
      </c>
      <c r="F440" s="58">
        <v>11.58</v>
      </c>
      <c r="G440" s="81">
        <v>2015</v>
      </c>
      <c r="H440" s="8" t="s">
        <v>317</v>
      </c>
      <c r="I440" s="22" t="s">
        <v>5002</v>
      </c>
      <c r="J440" s="75">
        <v>79.709999999999994</v>
      </c>
      <c r="K440" s="75">
        <v>9.4600000000000009</v>
      </c>
      <c r="L440" s="75">
        <v>7.0000000000000007E-2</v>
      </c>
      <c r="N440" s="325">
        <f t="shared" si="100"/>
        <v>89.239999999999981</v>
      </c>
      <c r="O440" s="27"/>
      <c r="P440" s="56"/>
      <c r="Q440" s="26"/>
      <c r="S440" s="330">
        <v>0</v>
      </c>
      <c r="T440" s="67">
        <v>3.5</v>
      </c>
      <c r="U440" s="366">
        <f t="shared" si="95"/>
        <v>3.9325842696629212E-2</v>
      </c>
      <c r="V440" s="97">
        <v>4.5</v>
      </c>
      <c r="W440" s="36">
        <f>RTD("money.excel",,"2015","Price")</f>
        <v>89</v>
      </c>
      <c r="X440" s="67"/>
      <c r="Y440" s="15">
        <f t="shared" si="96"/>
        <v>89</v>
      </c>
      <c r="Z440" s="3" t="e">
        <f t="shared" si="97"/>
        <v>#DIV/0!</v>
      </c>
      <c r="AA440" s="174" t="s">
        <v>4714</v>
      </c>
      <c r="AB440" s="22" t="s">
        <v>5002</v>
      </c>
      <c r="AE440" s="33">
        <f t="shared" si="98"/>
        <v>0</v>
      </c>
      <c r="AF440" s="122" t="s">
        <v>3184</v>
      </c>
      <c r="AG440" s="128"/>
      <c r="AI440" s="64">
        <f t="shared" si="99"/>
        <v>8.8296041308089503E-4</v>
      </c>
      <c r="AJ440" s="313">
        <f>RTD("money.excel",,$G440,"PredictVolume")</f>
        <v>513</v>
      </c>
      <c r="AK440" s="348"/>
    </row>
    <row r="441" spans="1:37">
      <c r="A441" s="132" t="s">
        <v>5003</v>
      </c>
      <c r="B441" s="81">
        <v>585</v>
      </c>
      <c r="C441" s="81">
        <v>348</v>
      </c>
      <c r="D441" s="82">
        <v>-11</v>
      </c>
      <c r="E441" s="82">
        <v>-36</v>
      </c>
      <c r="F441" s="58">
        <v>14.54</v>
      </c>
      <c r="G441" s="81">
        <v>2017</v>
      </c>
      <c r="H441" s="8" t="s">
        <v>317</v>
      </c>
      <c r="I441" s="22" t="s">
        <v>5004</v>
      </c>
      <c r="J441" s="330">
        <v>63.5</v>
      </c>
      <c r="K441" s="75">
        <v>15.14</v>
      </c>
      <c r="L441" s="330">
        <v>10.11</v>
      </c>
      <c r="N441" s="325">
        <f t="shared" si="100"/>
        <v>88.75</v>
      </c>
      <c r="O441" s="27"/>
      <c r="P441" s="56"/>
      <c r="Q441" s="26"/>
      <c r="S441" s="330">
        <v>0.44</v>
      </c>
      <c r="T441" s="34">
        <v>0.3</v>
      </c>
      <c r="U441" s="366">
        <f t="shared" si="95"/>
        <v>1.5228426395939087E-2</v>
      </c>
      <c r="V441" s="58">
        <v>1.45</v>
      </c>
      <c r="W441" s="36">
        <f>RTD("money.excel",,"2017","Price")</f>
        <v>19.7</v>
      </c>
      <c r="X441" s="67"/>
      <c r="Y441" s="15">
        <f t="shared" si="96"/>
        <v>19.7</v>
      </c>
      <c r="Z441" s="3" t="e">
        <f t="shared" si="97"/>
        <v>#DIV/0!</v>
      </c>
      <c r="AB441" s="22" t="s">
        <v>5004</v>
      </c>
      <c r="AE441" s="33">
        <f t="shared" si="98"/>
        <v>0</v>
      </c>
      <c r="AF441" s="43" t="s">
        <v>5005</v>
      </c>
      <c r="AG441" s="128"/>
      <c r="AI441" s="64">
        <f t="shared" si="99"/>
        <v>5.0586510263929615E-3</v>
      </c>
      <c r="AJ441" s="313">
        <f>RTD("money.excel",,$G441,"PredictVolume")</f>
        <v>1725</v>
      </c>
      <c r="AK441" s="348"/>
    </row>
    <row r="442" spans="1:37">
      <c r="A442" s="148" t="s">
        <v>5006</v>
      </c>
      <c r="B442" s="82">
        <v>-18</v>
      </c>
      <c r="C442" s="82">
        <v>-29</v>
      </c>
      <c r="D442" s="81">
        <v>3</v>
      </c>
      <c r="E442" s="81">
        <v>30</v>
      </c>
      <c r="F442" s="6">
        <v>4.26</v>
      </c>
      <c r="G442" s="81">
        <v>2020</v>
      </c>
      <c r="H442" s="8" t="s">
        <v>317</v>
      </c>
      <c r="I442" s="22" t="s">
        <v>5007</v>
      </c>
      <c r="J442" s="75">
        <v>57.13</v>
      </c>
      <c r="K442" s="75">
        <v>2.1800000000000002</v>
      </c>
      <c r="L442" s="75">
        <v>1.95</v>
      </c>
      <c r="N442" s="325">
        <f t="shared" si="100"/>
        <v>61.260000000000005</v>
      </c>
      <c r="O442" s="27"/>
      <c r="P442" s="56"/>
      <c r="Q442" s="26"/>
      <c r="S442" s="330">
        <v>0</v>
      </c>
      <c r="T442" s="34">
        <v>1.85</v>
      </c>
      <c r="U442" s="366">
        <f t="shared" si="95"/>
        <v>5.6402439024390252E-2</v>
      </c>
      <c r="V442" s="97">
        <v>1.76</v>
      </c>
      <c r="W442" s="36">
        <f>RTD("money.excel",,"2020","Price")</f>
        <v>32.799999999999997</v>
      </c>
      <c r="X442" s="67"/>
      <c r="Y442" s="15">
        <f t="shared" si="96"/>
        <v>32.799999999999997</v>
      </c>
      <c r="Z442" s="3" t="e">
        <f t="shared" si="97"/>
        <v>#DIV/0!</v>
      </c>
      <c r="AA442" s="174" t="s">
        <v>4710</v>
      </c>
      <c r="AB442" s="22" t="s">
        <v>5007</v>
      </c>
      <c r="AE442" s="33">
        <f t="shared" si="98"/>
        <v>0</v>
      </c>
      <c r="AF442" s="43" t="s">
        <v>4986</v>
      </c>
      <c r="AG442" s="128"/>
      <c r="AI442" s="64">
        <f t="shared" si="99"/>
        <v>4.5990990990990993E-3</v>
      </c>
      <c r="AJ442" s="313">
        <f>RTD("money.excel",,$G442,"PredictVolume")</f>
        <v>1021</v>
      </c>
      <c r="AK442" s="348"/>
    </row>
    <row r="443" spans="1:37">
      <c r="A443" s="148" t="s">
        <v>5008</v>
      </c>
      <c r="B443" s="82">
        <v>-300</v>
      </c>
      <c r="C443" s="82">
        <v>-335</v>
      </c>
      <c r="D443" s="82">
        <v>-7</v>
      </c>
      <c r="E443" s="82">
        <v>-25</v>
      </c>
      <c r="F443" s="6">
        <v>-1.53</v>
      </c>
      <c r="G443" s="81">
        <v>2022</v>
      </c>
      <c r="H443" s="8" t="s">
        <v>317</v>
      </c>
      <c r="I443" s="22" t="s">
        <v>5009</v>
      </c>
      <c r="J443" s="330">
        <v>66.41</v>
      </c>
      <c r="K443" s="75">
        <v>3.33</v>
      </c>
      <c r="L443" s="330">
        <v>4.47</v>
      </c>
      <c r="N443" s="325">
        <f t="shared" si="100"/>
        <v>74.209999999999994</v>
      </c>
      <c r="O443" s="27"/>
      <c r="P443" s="56"/>
      <c r="Q443" s="26"/>
      <c r="S443" s="330">
        <v>8.7899999999999991</v>
      </c>
      <c r="T443" s="34">
        <v>0</v>
      </c>
      <c r="U443" s="366">
        <f t="shared" si="95"/>
        <v>0</v>
      </c>
      <c r="V443" s="97">
        <v>-0.39</v>
      </c>
      <c r="W443" s="36">
        <f>RTD("money.excel",,"2022","Price")</f>
        <v>13.8</v>
      </c>
      <c r="X443" s="67"/>
      <c r="Y443" s="15">
        <f t="shared" si="96"/>
        <v>13.8</v>
      </c>
      <c r="Z443" s="3" t="e">
        <f t="shared" si="97"/>
        <v>#DIV/0!</v>
      </c>
      <c r="AA443" s="174" t="s">
        <v>4710</v>
      </c>
      <c r="AB443" s="22" t="s">
        <v>5009</v>
      </c>
      <c r="AE443" s="33">
        <f t="shared" si="98"/>
        <v>0</v>
      </c>
      <c r="AF443" s="43" t="s">
        <v>5010</v>
      </c>
      <c r="AG443" s="128"/>
      <c r="AI443" s="64">
        <f t="shared" si="99"/>
        <v>4.6158663883089767E-3</v>
      </c>
      <c r="AJ443" s="313">
        <f>RTD("money.excel",,$G443,"PredictVolume")</f>
        <v>2211</v>
      </c>
      <c r="AK443" s="348"/>
    </row>
    <row r="444" spans="1:37">
      <c r="A444" s="148" t="s">
        <v>5011</v>
      </c>
      <c r="B444" s="81">
        <v>34</v>
      </c>
      <c r="C444" s="81">
        <v>106</v>
      </c>
      <c r="D444" s="82">
        <v>-21</v>
      </c>
      <c r="E444" s="82">
        <v>-19</v>
      </c>
      <c r="F444" s="6">
        <v>0.23</v>
      </c>
      <c r="G444" s="81">
        <v>2023</v>
      </c>
      <c r="H444" s="8" t="s">
        <v>317</v>
      </c>
      <c r="I444" s="22" t="s">
        <v>5012</v>
      </c>
      <c r="J444" s="75">
        <v>77.849999999999994</v>
      </c>
      <c r="K444" s="330">
        <v>6.42</v>
      </c>
      <c r="L444" s="75">
        <v>1.1000000000000001</v>
      </c>
      <c r="N444" s="325">
        <f t="shared" si="100"/>
        <v>85.36999999999999</v>
      </c>
      <c r="O444" s="27"/>
      <c r="P444" s="56"/>
      <c r="Q444" s="26"/>
      <c r="S444" s="330">
        <v>3.29</v>
      </c>
      <c r="T444" s="34">
        <v>0</v>
      </c>
      <c r="U444" s="366">
        <f t="shared" si="95"/>
        <v>0</v>
      </c>
      <c r="V444" s="97">
        <v>0.39</v>
      </c>
      <c r="W444" s="36">
        <f>RTD("money.excel",,"2023","Price")</f>
        <v>25.1</v>
      </c>
      <c r="X444" s="67"/>
      <c r="Y444" s="15">
        <f t="shared" si="96"/>
        <v>25.1</v>
      </c>
      <c r="Z444" s="3" t="e">
        <f t="shared" si="97"/>
        <v>#DIV/0!</v>
      </c>
      <c r="AA444" s="174" t="s">
        <v>4710</v>
      </c>
      <c r="AB444" s="22" t="s">
        <v>5012</v>
      </c>
      <c r="AE444" s="33">
        <f t="shared" si="98"/>
        <v>0</v>
      </c>
      <c r="AF444" s="122" t="s">
        <v>5013</v>
      </c>
      <c r="AG444" s="128"/>
      <c r="AI444" s="64">
        <f t="shared" si="99"/>
        <v>1.2041798941798942E-2</v>
      </c>
      <c r="AJ444" s="313">
        <f>RTD("money.excel",,$G444,"PredictVolume")</f>
        <v>22759</v>
      </c>
      <c r="AK444" s="348"/>
    </row>
    <row r="445" spans="1:37">
      <c r="A445" s="148" t="s">
        <v>4766</v>
      </c>
      <c r="B445" s="93">
        <v>-70</v>
      </c>
      <c r="C445" s="93">
        <v>-72</v>
      </c>
      <c r="D445" s="93">
        <v>1</v>
      </c>
      <c r="E445" s="93">
        <v>19</v>
      </c>
      <c r="F445" s="6">
        <v>8.2899999999999991</v>
      </c>
      <c r="G445" s="81">
        <v>2024</v>
      </c>
      <c r="H445" s="8" t="s">
        <v>317</v>
      </c>
      <c r="I445" s="22" t="s">
        <v>5014</v>
      </c>
      <c r="J445" s="75">
        <v>44.98</v>
      </c>
      <c r="K445" s="75">
        <v>0.18</v>
      </c>
      <c r="L445" s="75">
        <v>6.67</v>
      </c>
      <c r="N445" s="325">
        <f t="shared" si="100"/>
        <v>51.83</v>
      </c>
      <c r="O445" s="27"/>
      <c r="P445" s="56"/>
      <c r="Q445" s="26"/>
      <c r="S445" s="330">
        <v>25.69</v>
      </c>
      <c r="T445" s="34">
        <v>0.25</v>
      </c>
      <c r="U445" s="366">
        <f t="shared" si="95"/>
        <v>9.5785440613026813E-3</v>
      </c>
      <c r="V445" s="97">
        <v>0.28000000000000003</v>
      </c>
      <c r="W445" s="36">
        <f>RTD("money.excel",,"2024","Price")</f>
        <v>26.1</v>
      </c>
      <c r="X445" s="67"/>
      <c r="Y445" s="15">
        <f t="shared" si="96"/>
        <v>26.1</v>
      </c>
      <c r="Z445" s="3" t="e">
        <f t="shared" si="97"/>
        <v>#DIV/0!</v>
      </c>
      <c r="AB445" s="22" t="s">
        <v>5014</v>
      </c>
      <c r="AE445" s="33">
        <f t="shared" si="98"/>
        <v>0</v>
      </c>
      <c r="AF445" s="43" t="s">
        <v>5015</v>
      </c>
      <c r="AG445" s="128"/>
      <c r="AI445" s="64">
        <f t="shared" si="99"/>
        <v>8.7692307692307687E-3</v>
      </c>
      <c r="AJ445" s="313">
        <f>RTD("money.excel",,$G445,"PredictVolume")</f>
        <v>855</v>
      </c>
      <c r="AK445" s="348"/>
    </row>
    <row r="446" spans="1:37">
      <c r="A446" s="148" t="s">
        <v>5016</v>
      </c>
      <c r="B446" s="93">
        <v>-41</v>
      </c>
      <c r="C446" s="93">
        <v>-32</v>
      </c>
      <c r="D446" s="93">
        <v>145</v>
      </c>
      <c r="E446" s="93">
        <v>92</v>
      </c>
      <c r="F446" s="6">
        <v>-30.56</v>
      </c>
      <c r="G446" s="81">
        <v>2025</v>
      </c>
      <c r="H446" s="8" t="s">
        <v>317</v>
      </c>
      <c r="I446" s="22" t="s">
        <v>5017</v>
      </c>
      <c r="J446" s="75">
        <v>63.8</v>
      </c>
      <c r="K446" s="75">
        <v>0.22</v>
      </c>
      <c r="N446" s="325">
        <f t="shared" si="100"/>
        <v>64.02</v>
      </c>
      <c r="O446" s="27"/>
      <c r="P446" s="56"/>
      <c r="Q446" s="26"/>
      <c r="T446" s="34">
        <v>0</v>
      </c>
      <c r="U446" s="366">
        <f t="shared" si="95"/>
        <v>0</v>
      </c>
      <c r="V446" s="97">
        <v>-0.75</v>
      </c>
      <c r="W446" s="13">
        <f>RTD("money.excel",,"2025","Price")</f>
        <v>5.91</v>
      </c>
      <c r="X446" s="67"/>
      <c r="Y446" s="15">
        <f t="shared" si="96"/>
        <v>5.91</v>
      </c>
      <c r="Z446" s="3" t="e">
        <f t="shared" si="97"/>
        <v>#DIV/0!</v>
      </c>
      <c r="AB446" s="22" t="s">
        <v>5017</v>
      </c>
      <c r="AE446" s="33">
        <f t="shared" si="98"/>
        <v>0</v>
      </c>
      <c r="AF446" s="43" t="s">
        <v>5018</v>
      </c>
      <c r="AG446" s="128"/>
      <c r="AI446" s="64">
        <f t="shared" si="99"/>
        <v>1.9110320284697509E-3</v>
      </c>
      <c r="AJ446" s="313">
        <f>RTD("money.excel",,$G446,"PredictVolume")</f>
        <v>537</v>
      </c>
      <c r="AK446" s="348"/>
    </row>
    <row r="447" spans="1:37">
      <c r="A447" s="132" t="s">
        <v>5019</v>
      </c>
      <c r="B447" s="81">
        <v>757</v>
      </c>
      <c r="C447" s="95">
        <v>4247</v>
      </c>
      <c r="D447" s="81">
        <v>1</v>
      </c>
      <c r="E447" s="81">
        <v>67</v>
      </c>
      <c r="F447" s="58">
        <v>16.760000000000002</v>
      </c>
      <c r="G447" s="81">
        <v>2027</v>
      </c>
      <c r="H447" s="8" t="s">
        <v>317</v>
      </c>
      <c r="I447" s="22" t="s">
        <v>5020</v>
      </c>
      <c r="J447" s="330">
        <v>55.95</v>
      </c>
      <c r="K447" s="75">
        <v>16.989999999999998</v>
      </c>
      <c r="L447" s="75">
        <v>13.63</v>
      </c>
      <c r="N447" s="325">
        <f t="shared" si="100"/>
        <v>86.57</v>
      </c>
      <c r="O447" s="27"/>
      <c r="P447" s="56"/>
      <c r="Q447" s="26"/>
      <c r="S447" s="330">
        <v>7.51</v>
      </c>
      <c r="T447" s="34">
        <v>0.8</v>
      </c>
      <c r="U447" s="366">
        <f t="shared" si="95"/>
        <v>1.6032064128256515E-2</v>
      </c>
      <c r="V447" s="58">
        <v>2.85</v>
      </c>
      <c r="W447" s="36">
        <f>RTD("money.excel",,"2027","Price")</f>
        <v>49.9</v>
      </c>
      <c r="X447" s="67"/>
      <c r="Y447" s="15">
        <f t="shared" si="96"/>
        <v>49.9</v>
      </c>
      <c r="Z447" s="3" t="e">
        <f t="shared" si="97"/>
        <v>#DIV/0!</v>
      </c>
      <c r="AA447" s="174" t="s">
        <v>4710</v>
      </c>
      <c r="AB447" s="22" t="s">
        <v>5020</v>
      </c>
      <c r="AE447" s="33">
        <f t="shared" si="98"/>
        <v>0</v>
      </c>
      <c r="AF447" s="122" t="s">
        <v>4010</v>
      </c>
      <c r="AG447" s="128"/>
      <c r="AI447" s="64">
        <f t="shared" si="99"/>
        <v>1.0000500000000001E-2</v>
      </c>
      <c r="AJ447" s="313">
        <f>RTD("money.excel",,$G447,"PredictVolume")</f>
        <v>20001</v>
      </c>
      <c r="AK447" s="348"/>
    </row>
    <row r="448" spans="1:37">
      <c r="A448" s="132" t="s">
        <v>5021</v>
      </c>
      <c r="B448" s="81">
        <v>463</v>
      </c>
      <c r="C448" s="81">
        <v>450</v>
      </c>
      <c r="D448" s="82">
        <v>-20</v>
      </c>
      <c r="E448" s="81">
        <v>76</v>
      </c>
      <c r="F448" s="58">
        <v>13.08</v>
      </c>
      <c r="G448" s="81">
        <v>2028</v>
      </c>
      <c r="H448" s="8" t="s">
        <v>317</v>
      </c>
      <c r="I448" s="22" t="s">
        <v>5022</v>
      </c>
      <c r="J448" s="75">
        <v>77.819999999999993</v>
      </c>
      <c r="K448" s="75">
        <v>1.23</v>
      </c>
      <c r="L448" s="330">
        <v>14.28</v>
      </c>
      <c r="N448" s="325">
        <f t="shared" si="100"/>
        <v>93.33</v>
      </c>
      <c r="O448" s="27"/>
      <c r="P448" s="56"/>
      <c r="Q448" s="26"/>
      <c r="S448" s="330">
        <v>14.95</v>
      </c>
      <c r="T448" s="34">
        <v>0</v>
      </c>
      <c r="U448" s="366">
        <f t="shared" si="95"/>
        <v>0</v>
      </c>
      <c r="V448" s="58">
        <v>3.69</v>
      </c>
      <c r="W448" s="36">
        <f>RTD("money.excel",,"2028","Price")</f>
        <v>40.65</v>
      </c>
      <c r="X448" s="67"/>
      <c r="Y448" s="15">
        <f t="shared" si="96"/>
        <v>40.65</v>
      </c>
      <c r="Z448" s="3" t="e">
        <f t="shared" si="97"/>
        <v>#DIV/0!</v>
      </c>
      <c r="AA448" s="174" t="s">
        <v>4710</v>
      </c>
      <c r="AB448" s="22" t="s">
        <v>5022</v>
      </c>
      <c r="AE448" s="33">
        <f t="shared" si="98"/>
        <v>0</v>
      </c>
      <c r="AF448" s="43" t="s">
        <v>3184</v>
      </c>
      <c r="AG448" s="128"/>
      <c r="AI448" s="64">
        <f t="shared" si="99"/>
        <v>4.8461538461538464E-3</v>
      </c>
      <c r="AJ448" s="313">
        <f>RTD("money.excel",,$G448,"PredictVolume")</f>
        <v>1575</v>
      </c>
      <c r="AK448" s="348"/>
    </row>
    <row r="449" spans="1:37">
      <c r="A449" s="132" t="s">
        <v>5023</v>
      </c>
      <c r="B449" s="95">
        <v>2687</v>
      </c>
      <c r="C449" s="95">
        <v>9950</v>
      </c>
      <c r="D449" s="82">
        <v>-20</v>
      </c>
      <c r="E449" s="81">
        <v>27</v>
      </c>
      <c r="F449" s="58">
        <v>11.06</v>
      </c>
      <c r="G449" s="81">
        <v>2029</v>
      </c>
      <c r="H449" s="8" t="s">
        <v>317</v>
      </c>
      <c r="I449" s="22" t="s">
        <v>5024</v>
      </c>
      <c r="J449" s="330">
        <v>68.319999999999993</v>
      </c>
      <c r="K449" s="75">
        <v>69.959999999999994</v>
      </c>
      <c r="L449" s="330">
        <v>13.31</v>
      </c>
      <c r="N449" s="325">
        <f t="shared" si="100"/>
        <v>151.58999999999997</v>
      </c>
      <c r="O449" s="27"/>
      <c r="P449" s="56"/>
      <c r="Q449" s="26"/>
      <c r="S449" s="330">
        <v>0.23</v>
      </c>
      <c r="T449" s="34">
        <v>0.5</v>
      </c>
      <c r="U449" s="366">
        <f t="shared" si="95"/>
        <v>1.5243902439024392E-2</v>
      </c>
      <c r="V449" s="58">
        <v>2.77</v>
      </c>
      <c r="W449" s="13">
        <f>RTD("money.excel",,"2029","Price")</f>
        <v>32.799999999999997</v>
      </c>
      <c r="X449" s="67"/>
      <c r="Y449" s="15">
        <f t="shared" si="96"/>
        <v>32.799999999999997</v>
      </c>
      <c r="Z449" s="3" t="e">
        <f t="shared" si="97"/>
        <v>#DIV/0!</v>
      </c>
      <c r="AA449" s="174" t="s">
        <v>4710</v>
      </c>
      <c r="AB449" s="22" t="s">
        <v>5024</v>
      </c>
      <c r="AE449" s="33">
        <f t="shared" si="98"/>
        <v>0</v>
      </c>
      <c r="AF449" s="122" t="s">
        <v>5025</v>
      </c>
      <c r="AG449" s="128"/>
      <c r="AI449" s="64">
        <f t="shared" si="99"/>
        <v>4.5171339563862926E-3</v>
      </c>
      <c r="AJ449" s="313">
        <f>RTD("money.excel",,$G449,"PredictVolume")</f>
        <v>1450</v>
      </c>
      <c r="AK449" s="348"/>
    </row>
    <row r="450" spans="1:37">
      <c r="A450" s="148" t="s">
        <v>5026</v>
      </c>
      <c r="B450" s="81">
        <v>764</v>
      </c>
      <c r="C450" s="237">
        <v>15111</v>
      </c>
      <c r="D450" s="81">
        <v>4</v>
      </c>
      <c r="E450" s="81">
        <v>53</v>
      </c>
      <c r="F450" s="6">
        <v>8.67</v>
      </c>
      <c r="G450" s="81">
        <v>2030</v>
      </c>
      <c r="H450" s="8" t="s">
        <v>317</v>
      </c>
      <c r="I450" s="22" t="s">
        <v>5027</v>
      </c>
      <c r="J450" s="75">
        <v>34.15</v>
      </c>
      <c r="K450" s="75">
        <v>2.85</v>
      </c>
      <c r="L450" s="330">
        <v>27.02</v>
      </c>
      <c r="N450" s="325">
        <f t="shared" si="100"/>
        <v>64.02</v>
      </c>
      <c r="O450" s="27"/>
      <c r="P450" s="56"/>
      <c r="Q450" s="26"/>
      <c r="S450" s="330">
        <v>2.46</v>
      </c>
      <c r="T450" s="34">
        <v>0.5</v>
      </c>
      <c r="U450" s="366">
        <f t="shared" si="95"/>
        <v>1.4792899408284025E-2</v>
      </c>
      <c r="V450" s="97">
        <v>2.04</v>
      </c>
      <c r="W450" s="36">
        <f>RTD("money.excel",,"2030","Price")</f>
        <v>33.799999999999997</v>
      </c>
      <c r="X450" s="67"/>
      <c r="Y450" s="15">
        <f t="shared" si="96"/>
        <v>33.799999999999997</v>
      </c>
      <c r="Z450" s="3" t="e">
        <f t="shared" si="97"/>
        <v>#DIV/0!</v>
      </c>
      <c r="AA450" s="174" t="s">
        <v>4710</v>
      </c>
      <c r="AB450" s="22" t="s">
        <v>5027</v>
      </c>
      <c r="AE450" s="33">
        <f t="shared" si="98"/>
        <v>0</v>
      </c>
      <c r="AF450" s="43" t="s">
        <v>4010</v>
      </c>
      <c r="AG450" s="128"/>
      <c r="AI450" s="64">
        <f t="shared" si="99"/>
        <v>5.512857142857143E-2</v>
      </c>
      <c r="AJ450" s="313">
        <f>RTD("money.excel",,$G450,"PredictVolume")</f>
        <v>15436</v>
      </c>
      <c r="AK450" s="348"/>
    </row>
    <row r="451" spans="1:37">
      <c r="A451" s="132" t="s">
        <v>5023</v>
      </c>
      <c r="B451" s="95">
        <v>1523</v>
      </c>
      <c r="C451" s="95">
        <v>5275</v>
      </c>
      <c r="D451" s="82">
        <v>-7</v>
      </c>
      <c r="E451" s="81">
        <v>26</v>
      </c>
      <c r="F451" s="58">
        <v>17.739999999999998</v>
      </c>
      <c r="G451" s="81">
        <v>2031</v>
      </c>
      <c r="H451" s="8" t="s">
        <v>317</v>
      </c>
      <c r="I451" s="22" t="s">
        <v>5028</v>
      </c>
      <c r="J451" s="330">
        <v>44.13</v>
      </c>
      <c r="K451" s="75">
        <v>9.26</v>
      </c>
      <c r="L451" s="330">
        <v>24.72</v>
      </c>
      <c r="N451" s="325">
        <f t="shared" si="100"/>
        <v>78.11</v>
      </c>
      <c r="O451" s="27"/>
      <c r="P451" s="56"/>
      <c r="Q451" s="26"/>
      <c r="S451" s="330">
        <v>2.2799999999999998</v>
      </c>
      <c r="T451" s="34">
        <v>1.92</v>
      </c>
      <c r="U451" s="366">
        <f t="shared" si="95"/>
        <v>3.0094043887147336E-2</v>
      </c>
      <c r="V451" s="97">
        <v>7.43</v>
      </c>
      <c r="W451" s="36">
        <f>RTD("money.excel",,"2031","Price")</f>
        <v>63.8</v>
      </c>
      <c r="X451" s="67"/>
      <c r="Y451" s="15">
        <f t="shared" si="96"/>
        <v>63.8</v>
      </c>
      <c r="Z451" s="3" t="e">
        <f t="shared" si="97"/>
        <v>#DIV/0!</v>
      </c>
      <c r="AA451" s="174" t="s">
        <v>4710</v>
      </c>
      <c r="AB451" s="22" t="s">
        <v>5028</v>
      </c>
      <c r="AE451" s="33">
        <f t="shared" si="98"/>
        <v>0</v>
      </c>
      <c r="AF451" s="43" t="s">
        <v>5029</v>
      </c>
      <c r="AG451" s="269"/>
      <c r="AI451" s="64">
        <f t="shared" si="99"/>
        <v>1.791277258566978E-2</v>
      </c>
      <c r="AJ451" s="313">
        <f>RTD("money.excel",,$G451,"PredictVolume")</f>
        <v>5750</v>
      </c>
      <c r="AK451" s="348"/>
    </row>
    <row r="452" spans="1:37">
      <c r="A452" s="148" t="s">
        <v>5030</v>
      </c>
      <c r="B452" s="81">
        <v>288</v>
      </c>
      <c r="C452" s="81">
        <v>300</v>
      </c>
      <c r="D452" s="82">
        <v>-17</v>
      </c>
      <c r="E452" s="82">
        <v>-7</v>
      </c>
      <c r="F452" s="6">
        <v>7.6</v>
      </c>
      <c r="G452" s="81">
        <v>2032</v>
      </c>
      <c r="H452" s="8" t="s">
        <v>317</v>
      </c>
      <c r="I452" s="22" t="s">
        <v>5031</v>
      </c>
      <c r="J452" s="330">
        <v>46.11</v>
      </c>
      <c r="K452" s="75">
        <v>1.54</v>
      </c>
      <c r="L452" s="75">
        <v>15.8</v>
      </c>
      <c r="N452" s="325">
        <f t="shared" si="100"/>
        <v>63.45</v>
      </c>
      <c r="O452" s="27"/>
      <c r="P452" s="56"/>
      <c r="Q452" s="26"/>
      <c r="S452" s="330">
        <v>23.25</v>
      </c>
      <c r="T452" s="34">
        <v>0.53</v>
      </c>
      <c r="U452" s="366">
        <f t="shared" si="95"/>
        <v>1.5963855421686747E-2</v>
      </c>
      <c r="V452" s="97">
        <v>0.57999999999999996</v>
      </c>
      <c r="W452" s="36">
        <f>RTD("money.excel",,"2032","Price")</f>
        <v>33.200000000000003</v>
      </c>
      <c r="X452" s="67"/>
      <c r="Y452" s="15">
        <f t="shared" si="96"/>
        <v>33.200000000000003</v>
      </c>
      <c r="Z452" s="3" t="e">
        <f t="shared" si="97"/>
        <v>#DIV/0!</v>
      </c>
      <c r="AA452" s="174" t="s">
        <v>4710</v>
      </c>
      <c r="AB452" s="22" t="s">
        <v>5031</v>
      </c>
      <c r="AE452" s="33">
        <f t="shared" si="98"/>
        <v>0</v>
      </c>
      <c r="AF452" s="43" t="s">
        <v>5032</v>
      </c>
      <c r="AG452" s="128"/>
      <c r="AI452" s="64">
        <f t="shared" si="99"/>
        <v>0.15838461538461537</v>
      </c>
      <c r="AJ452" s="313">
        <f>RTD("money.excel",,$G452,"PredictVolume")</f>
        <v>20590</v>
      </c>
      <c r="AK452" s="348"/>
    </row>
    <row r="453" spans="1:37">
      <c r="A453" s="148" t="s">
        <v>5033</v>
      </c>
      <c r="B453" s="142">
        <v>1822</v>
      </c>
      <c r="C453" s="93">
        <v>319</v>
      </c>
      <c r="D453" s="93">
        <v>-6</v>
      </c>
      <c r="E453" s="93">
        <v>18</v>
      </c>
      <c r="F453" s="6">
        <v>2.12</v>
      </c>
      <c r="G453" s="81">
        <v>2033</v>
      </c>
      <c r="H453" s="8" t="s">
        <v>317</v>
      </c>
      <c r="I453" s="22" t="s">
        <v>5034</v>
      </c>
      <c r="J453" s="75">
        <v>63.8</v>
      </c>
      <c r="K453" s="75">
        <v>0.22</v>
      </c>
      <c r="L453" s="75">
        <v>9.15</v>
      </c>
      <c r="N453" s="325">
        <f t="shared" si="100"/>
        <v>73.17</v>
      </c>
      <c r="O453" s="27"/>
      <c r="P453" s="56"/>
      <c r="Q453" s="26"/>
      <c r="S453" s="330">
        <v>12.61</v>
      </c>
      <c r="T453" s="34">
        <v>0.3</v>
      </c>
      <c r="U453" s="366">
        <f t="shared" si="95"/>
        <v>1.2499999999999999E-2</v>
      </c>
      <c r="V453" s="97">
        <v>0.25</v>
      </c>
      <c r="W453" s="13">
        <f>RTD("money.excel",,"2033","Price")</f>
        <v>24</v>
      </c>
      <c r="X453" s="67"/>
      <c r="Y453" s="15">
        <f t="shared" si="96"/>
        <v>24</v>
      </c>
      <c r="Z453" s="3" t="e">
        <f t="shared" si="97"/>
        <v>#DIV/0!</v>
      </c>
      <c r="AB453" s="22" t="s">
        <v>5034</v>
      </c>
      <c r="AE453" s="33">
        <f t="shared" si="98"/>
        <v>0</v>
      </c>
      <c r="AF453" s="43" t="s">
        <v>5035</v>
      </c>
      <c r="AG453" s="128"/>
      <c r="AI453" s="64">
        <f t="shared" si="99"/>
        <v>0.16420074349442379</v>
      </c>
      <c r="AJ453" s="313">
        <f>RTD("money.excel",,$G453,"PredictVolume")</f>
        <v>13251</v>
      </c>
      <c r="AK453" s="348"/>
    </row>
    <row r="454" spans="1:37">
      <c r="A454" s="148" t="s">
        <v>5036</v>
      </c>
      <c r="B454" s="82">
        <v>-28</v>
      </c>
      <c r="C454" s="82">
        <v>-48</v>
      </c>
      <c r="D454" s="81">
        <v>12</v>
      </c>
      <c r="E454" s="82">
        <v>-17</v>
      </c>
      <c r="F454" s="6">
        <v>4.22</v>
      </c>
      <c r="G454" s="81">
        <v>2034</v>
      </c>
      <c r="H454" s="8" t="s">
        <v>317</v>
      </c>
      <c r="I454" s="22" t="s">
        <v>5037</v>
      </c>
      <c r="J454" s="330">
        <v>42.92</v>
      </c>
      <c r="K454" s="330">
        <v>9.26</v>
      </c>
      <c r="L454" s="75">
        <v>7.8</v>
      </c>
      <c r="N454" s="325">
        <f t="shared" si="100"/>
        <v>59.98</v>
      </c>
      <c r="O454" s="27"/>
      <c r="P454" s="56"/>
      <c r="Q454" s="26"/>
      <c r="S454" s="330">
        <v>0.19</v>
      </c>
      <c r="T454" s="34">
        <v>1.5</v>
      </c>
      <c r="U454" s="366">
        <f t="shared" si="95"/>
        <v>4.4444444444444446E-2</v>
      </c>
      <c r="V454" s="97">
        <v>1.04</v>
      </c>
      <c r="W454" s="36">
        <f>RTD("money.excel",,"2034","Price")</f>
        <v>33.75</v>
      </c>
      <c r="X454" s="67"/>
      <c r="Y454" s="15">
        <f t="shared" si="96"/>
        <v>33.75</v>
      </c>
      <c r="Z454" s="3" t="e">
        <f t="shared" si="97"/>
        <v>#DIV/0!</v>
      </c>
      <c r="AA454" s="174" t="s">
        <v>4710</v>
      </c>
      <c r="AB454" s="22" t="s">
        <v>5037</v>
      </c>
      <c r="AE454" s="33">
        <f t="shared" si="98"/>
        <v>0</v>
      </c>
      <c r="AF454" s="122" t="s">
        <v>4010</v>
      </c>
      <c r="AG454" s="269"/>
      <c r="AI454" s="64">
        <f t="shared" si="99"/>
        <v>6.0572082379862701E-3</v>
      </c>
      <c r="AJ454" s="313">
        <f>RTD("money.excel",,$G454,"PredictVolume")</f>
        <v>2647</v>
      </c>
      <c r="AK454" s="348"/>
    </row>
    <row r="455" spans="1:37">
      <c r="A455" s="148" t="s">
        <v>5038</v>
      </c>
      <c r="B455" s="82">
        <v>-193</v>
      </c>
      <c r="C455" s="82">
        <v>-39</v>
      </c>
      <c r="D455" s="81">
        <v>24</v>
      </c>
      <c r="E455" s="81">
        <v>32</v>
      </c>
      <c r="F455" s="6">
        <v>-7.73</v>
      </c>
      <c r="G455" s="81">
        <v>2035</v>
      </c>
      <c r="H455" s="8" t="s">
        <v>317</v>
      </c>
      <c r="I455" s="16" t="s">
        <v>5039</v>
      </c>
      <c r="J455" s="75">
        <v>97.4</v>
      </c>
      <c r="K455" s="330">
        <v>0.01</v>
      </c>
      <c r="L455" s="330">
        <v>0.01</v>
      </c>
      <c r="N455" s="325">
        <f t="shared" si="100"/>
        <v>97.420000000000016</v>
      </c>
      <c r="O455" s="27"/>
      <c r="P455" s="56"/>
      <c r="Q455" s="26"/>
      <c r="S455" s="330">
        <v>0</v>
      </c>
      <c r="T455" s="34">
        <v>0</v>
      </c>
      <c r="U455" s="366">
        <f t="shared" si="95"/>
        <v>0</v>
      </c>
      <c r="V455" s="58">
        <v>-1.9</v>
      </c>
      <c r="W455" s="36">
        <f>RTD("money.excel",,"2035","Price")</f>
        <v>36.4</v>
      </c>
      <c r="X455" s="67"/>
      <c r="Y455" s="15">
        <f t="shared" si="96"/>
        <v>36.4</v>
      </c>
      <c r="Z455" s="3" t="e">
        <f t="shared" si="97"/>
        <v>#DIV/0!</v>
      </c>
      <c r="AA455" s="174" t="s">
        <v>4710</v>
      </c>
      <c r="AB455" s="16" t="s">
        <v>5039</v>
      </c>
      <c r="AE455" s="33">
        <f t="shared" si="98"/>
        <v>0</v>
      </c>
      <c r="AF455" s="43" t="s">
        <v>5040</v>
      </c>
      <c r="AG455" s="128"/>
      <c r="AI455" s="64">
        <f t="shared" si="99"/>
        <v>6.3714285714285717E-4</v>
      </c>
      <c r="AJ455" s="313">
        <f>RTD("money.excel",,$G455,"PredictVolume")</f>
        <v>223</v>
      </c>
      <c r="AK455" s="348"/>
    </row>
    <row r="456" spans="1:37">
      <c r="A456" s="148" t="s">
        <v>5041</v>
      </c>
      <c r="B456" s="81">
        <v>265</v>
      </c>
      <c r="C456" s="81">
        <v>244</v>
      </c>
      <c r="D456" s="82">
        <v>-3</v>
      </c>
      <c r="E456" s="81">
        <v>46</v>
      </c>
      <c r="F456" s="6">
        <v>5.58</v>
      </c>
      <c r="G456" s="81">
        <v>2038</v>
      </c>
      <c r="H456" s="8" t="s">
        <v>317</v>
      </c>
      <c r="I456" s="22" t="s">
        <v>5042</v>
      </c>
      <c r="J456" s="75">
        <v>50.25</v>
      </c>
      <c r="K456" s="75">
        <v>3.1</v>
      </c>
      <c r="L456" s="330">
        <v>28.1</v>
      </c>
      <c r="N456" s="325">
        <f t="shared" si="100"/>
        <v>81.45</v>
      </c>
      <c r="O456" s="27"/>
      <c r="P456" s="56"/>
      <c r="Q456" s="26"/>
      <c r="S456" s="330">
        <v>5.82</v>
      </c>
      <c r="T456" s="34">
        <v>0.5</v>
      </c>
      <c r="U456" s="366">
        <f t="shared" si="95"/>
        <v>1.5105740181268881E-2</v>
      </c>
      <c r="V456" s="58">
        <v>1.87</v>
      </c>
      <c r="W456" s="36">
        <f>RTD("money.excel",,"2038","Price")</f>
        <v>33.1</v>
      </c>
      <c r="X456" s="67"/>
      <c r="Y456" s="15">
        <f t="shared" si="96"/>
        <v>33.1</v>
      </c>
      <c r="Z456" s="3" t="e">
        <f t="shared" si="97"/>
        <v>#DIV/0!</v>
      </c>
      <c r="AA456" s="174" t="s">
        <v>4710</v>
      </c>
      <c r="AB456" s="22" t="s">
        <v>5042</v>
      </c>
      <c r="AE456" s="33">
        <f t="shared" si="98"/>
        <v>0</v>
      </c>
      <c r="AF456" s="43" t="s">
        <v>3184</v>
      </c>
      <c r="AG456" s="128"/>
      <c r="AI456" s="64">
        <f t="shared" si="99"/>
        <v>1.3011049723756905E-2</v>
      </c>
      <c r="AJ456" s="313">
        <f>RTD("money.excel",,$G456,"PredictVolume")</f>
        <v>2355</v>
      </c>
      <c r="AK456" s="348"/>
    </row>
    <row r="457" spans="1:37">
      <c r="A457" s="132" t="s">
        <v>4850</v>
      </c>
      <c r="B457" s="93">
        <v>-36</v>
      </c>
      <c r="C457" s="93">
        <v>-34</v>
      </c>
      <c r="D457" s="93">
        <v>-5</v>
      </c>
      <c r="E457" s="93">
        <v>39</v>
      </c>
      <c r="F457" s="58">
        <v>13.43</v>
      </c>
      <c r="G457" s="81">
        <v>2063</v>
      </c>
      <c r="H457" s="8" t="s">
        <v>317</v>
      </c>
      <c r="I457" s="16" t="s">
        <v>5043</v>
      </c>
      <c r="J457" s="75">
        <v>61.84</v>
      </c>
      <c r="K457" s="75">
        <v>0.66</v>
      </c>
      <c r="L457" s="75">
        <v>28.41</v>
      </c>
      <c r="N457" s="325">
        <f t="shared" si="100"/>
        <v>90.91</v>
      </c>
      <c r="O457" s="27"/>
      <c r="P457" s="56"/>
      <c r="Q457" s="26"/>
      <c r="S457" s="330">
        <v>25.12</v>
      </c>
      <c r="T457" s="34">
        <v>2</v>
      </c>
      <c r="U457" s="366">
        <f t="shared" si="95"/>
        <v>5.5788005578800558E-2</v>
      </c>
      <c r="V457" s="97">
        <v>2.37</v>
      </c>
      <c r="W457" s="13">
        <f>RTD("money.excel",,"2063","Price")</f>
        <v>35.85</v>
      </c>
      <c r="X457" s="67"/>
      <c r="Y457" s="15">
        <f t="shared" si="96"/>
        <v>35.85</v>
      </c>
      <c r="Z457" s="3" t="e">
        <f t="shared" si="97"/>
        <v>#DIV/0!</v>
      </c>
      <c r="AB457" s="16" t="s">
        <v>5043</v>
      </c>
      <c r="AE457" s="33">
        <f t="shared" si="98"/>
        <v>0</v>
      </c>
      <c r="AF457" s="43" t="s">
        <v>5044</v>
      </c>
      <c r="AG457" s="125"/>
      <c r="AI457" s="64">
        <f t="shared" si="99"/>
        <v>8.0000000000000004E-4</v>
      </c>
      <c r="AJ457" s="313">
        <f>RTD("money.excel",,$G457,"PredictVolume")</f>
        <v>36</v>
      </c>
      <c r="AK457" s="83"/>
    </row>
    <row r="458" spans="1:37">
      <c r="A458" s="148" t="s">
        <v>5045</v>
      </c>
      <c r="B458" s="93">
        <v>-435</v>
      </c>
      <c r="C458" s="93">
        <v>-149</v>
      </c>
      <c r="D458" s="93">
        <v>5</v>
      </c>
      <c r="E458" s="93">
        <v>99</v>
      </c>
      <c r="F458" s="6">
        <v>-8.11</v>
      </c>
      <c r="G458" s="81">
        <v>2064</v>
      </c>
      <c r="H458" s="8" t="s">
        <v>317</v>
      </c>
      <c r="I458" s="16" t="s">
        <v>5046</v>
      </c>
      <c r="J458" s="75">
        <v>79.52</v>
      </c>
      <c r="K458" s="75">
        <v>0.19</v>
      </c>
      <c r="L458" s="75">
        <v>0.28000000000000003</v>
      </c>
      <c r="N458" s="325">
        <f t="shared" si="100"/>
        <v>79.989999999999995</v>
      </c>
      <c r="O458" s="27"/>
      <c r="P458" s="56"/>
      <c r="Q458" s="26"/>
      <c r="S458" s="330">
        <v>20.39</v>
      </c>
      <c r="T458" s="34">
        <v>0.5</v>
      </c>
      <c r="U458" s="366">
        <f t="shared" si="95"/>
        <v>1.9120458891013385E-2</v>
      </c>
      <c r="V458" s="97">
        <v>-1.49</v>
      </c>
      <c r="W458" s="13">
        <f>RTD("money.excel",,"2064","Price")</f>
        <v>26.15</v>
      </c>
      <c r="X458" s="67"/>
      <c r="Y458" s="15">
        <f t="shared" si="96"/>
        <v>26.15</v>
      </c>
      <c r="Z458" s="3" t="e">
        <f t="shared" si="97"/>
        <v>#DIV/0!</v>
      </c>
      <c r="AB458" s="16" t="s">
        <v>5046</v>
      </c>
      <c r="AE458" s="33">
        <f t="shared" si="98"/>
        <v>0</v>
      </c>
      <c r="AF458" s="43" t="s">
        <v>5047</v>
      </c>
      <c r="AG458" s="269"/>
      <c r="AI458" s="64">
        <f t="shared" si="99"/>
        <v>8.829022988505747E-2</v>
      </c>
      <c r="AJ458" s="313">
        <f>RTD("money.excel",,$G458,"PredictVolume")</f>
        <v>6145</v>
      </c>
      <c r="AK458" s="348"/>
    </row>
    <row r="459" spans="1:37">
      <c r="A459" s="132" t="s">
        <v>5048</v>
      </c>
      <c r="B459" s="81">
        <v>80</v>
      </c>
      <c r="C459" s="81">
        <v>84</v>
      </c>
      <c r="D459" s="81">
        <v>19</v>
      </c>
      <c r="E459" s="81">
        <v>17</v>
      </c>
      <c r="F459" s="58">
        <v>12</v>
      </c>
      <c r="G459" s="81">
        <v>2065</v>
      </c>
      <c r="H459" s="8" t="s">
        <v>317</v>
      </c>
      <c r="I459" s="16" t="s">
        <v>5049</v>
      </c>
      <c r="J459" s="330">
        <v>33.58</v>
      </c>
      <c r="K459" s="75">
        <v>1.75</v>
      </c>
      <c r="L459" s="330">
        <v>2.16</v>
      </c>
      <c r="N459" s="325">
        <f t="shared" si="100"/>
        <v>37.489999999999995</v>
      </c>
      <c r="O459" s="27"/>
      <c r="P459" s="56"/>
      <c r="Q459" s="26"/>
      <c r="S459" s="330">
        <v>21.13</v>
      </c>
      <c r="T459" s="34">
        <v>0.97</v>
      </c>
      <c r="U459" s="366">
        <f t="shared" si="95"/>
        <v>1.8762088974854929E-2</v>
      </c>
      <c r="V459" s="97">
        <v>4.1100000000000003</v>
      </c>
      <c r="W459" s="36">
        <f>RTD("money.excel",,"2065","Price")</f>
        <v>51.7</v>
      </c>
      <c r="X459" s="67"/>
      <c r="Y459" s="15">
        <f t="shared" si="96"/>
        <v>51.7</v>
      </c>
      <c r="Z459" s="3" t="e">
        <f t="shared" si="97"/>
        <v>#DIV/0!</v>
      </c>
      <c r="AA459" s="174" t="s">
        <v>4710</v>
      </c>
      <c r="AB459" s="16" t="s">
        <v>5049</v>
      </c>
      <c r="AE459" s="33">
        <f t="shared" si="98"/>
        <v>0</v>
      </c>
      <c r="AF459" s="43" t="s">
        <v>5044</v>
      </c>
      <c r="AG459" s="125"/>
      <c r="AI459" s="64">
        <f t="shared" si="99"/>
        <v>2.6425855513307985E-3</v>
      </c>
      <c r="AJ459" s="313">
        <f>RTD("money.excel",,$G459,"PredictVolume")</f>
        <v>139</v>
      </c>
      <c r="AK459" s="83"/>
    </row>
    <row r="460" spans="1:37">
      <c r="A460" s="148" t="s">
        <v>5050</v>
      </c>
      <c r="B460" s="95">
        <v>1022</v>
      </c>
      <c r="C460" s="95">
        <v>2604</v>
      </c>
      <c r="D460" s="82">
        <v>-9</v>
      </c>
      <c r="E460" s="81">
        <v>105</v>
      </c>
      <c r="F460" s="6">
        <v>6.48</v>
      </c>
      <c r="G460" s="81">
        <v>2069</v>
      </c>
      <c r="H460" s="8" t="s">
        <v>317</v>
      </c>
      <c r="I460" s="22" t="s">
        <v>5051</v>
      </c>
      <c r="J460" s="330">
        <v>51.73</v>
      </c>
      <c r="K460" s="330">
        <v>1.03</v>
      </c>
      <c r="L460" s="75">
        <v>24.93</v>
      </c>
      <c r="N460" s="325">
        <f t="shared" si="100"/>
        <v>77.69</v>
      </c>
      <c r="O460" s="27"/>
      <c r="P460" s="56"/>
      <c r="Q460" s="26"/>
      <c r="S460" s="330">
        <v>1.4</v>
      </c>
      <c r="T460" s="34">
        <v>0.55000000000000004</v>
      </c>
      <c r="U460" s="366">
        <f t="shared" si="95"/>
        <v>1.5625E-2</v>
      </c>
      <c r="V460" s="58">
        <v>3.86</v>
      </c>
      <c r="W460" s="36">
        <f>RTD("money.excel",,"2069","Price")</f>
        <v>35.200000000000003</v>
      </c>
      <c r="X460" s="67"/>
      <c r="Y460" s="15">
        <f t="shared" si="96"/>
        <v>35.200000000000003</v>
      </c>
      <c r="Z460" s="3" t="e">
        <f t="shared" si="97"/>
        <v>#DIV/0!</v>
      </c>
      <c r="AA460" s="174" t="s">
        <v>4710</v>
      </c>
      <c r="AB460" s="22" t="s">
        <v>5051</v>
      </c>
      <c r="AE460" s="33">
        <f t="shared" si="98"/>
        <v>0</v>
      </c>
      <c r="AF460" s="43" t="s">
        <v>2373</v>
      </c>
      <c r="AG460" s="125"/>
      <c r="AI460" s="64">
        <f t="shared" si="99"/>
        <v>2.4825301204819277E-2</v>
      </c>
      <c r="AJ460" s="313">
        <f>RTD("money.excel",,$G460,"PredictVolume")</f>
        <v>4121</v>
      </c>
      <c r="AK460" s="83"/>
    </row>
    <row r="461" spans="1:37">
      <c r="A461" s="132" t="s">
        <v>5052</v>
      </c>
      <c r="B461" s="81">
        <v>11</v>
      </c>
      <c r="C461" s="81">
        <v>13</v>
      </c>
      <c r="D461" s="81">
        <v>19</v>
      </c>
      <c r="E461" s="81">
        <v>51</v>
      </c>
      <c r="F461" s="58">
        <v>14.13</v>
      </c>
      <c r="G461" s="81">
        <v>2211</v>
      </c>
      <c r="H461" s="8" t="s">
        <v>317</v>
      </c>
      <c r="I461" s="22" t="s">
        <v>5053</v>
      </c>
      <c r="J461" s="330">
        <v>77.84</v>
      </c>
      <c r="K461" s="75">
        <v>0.71</v>
      </c>
      <c r="N461" s="325">
        <f t="shared" si="100"/>
        <v>78.55</v>
      </c>
      <c r="O461" s="27"/>
      <c r="P461" s="56"/>
      <c r="Q461" s="26"/>
      <c r="T461" s="34">
        <v>2.09</v>
      </c>
      <c r="U461" s="366">
        <f t="shared" si="95"/>
        <v>3.6034482758620687E-2</v>
      </c>
      <c r="V461" s="58">
        <v>2.82</v>
      </c>
      <c r="W461" s="36">
        <f>RTD("money.excel",,"2211","Price")</f>
        <v>58</v>
      </c>
      <c r="X461" s="67"/>
      <c r="Y461" s="15">
        <f t="shared" si="96"/>
        <v>58</v>
      </c>
      <c r="Z461" s="3" t="e">
        <f t="shared" si="97"/>
        <v>#DIV/0!</v>
      </c>
      <c r="AA461" s="174" t="s">
        <v>4710</v>
      </c>
      <c r="AB461" s="22" t="s">
        <v>5053</v>
      </c>
      <c r="AE461" s="33">
        <f t="shared" si="98"/>
        <v>0</v>
      </c>
      <c r="AF461" s="43" t="s">
        <v>3833</v>
      </c>
      <c r="AG461" s="128"/>
      <c r="AI461" s="64">
        <f t="shared" si="99"/>
        <v>2.1857142857142856E-3</v>
      </c>
      <c r="AJ461" s="313">
        <f>RTD("money.excel",,$G461,"PredictVolume")</f>
        <v>918</v>
      </c>
      <c r="AK461" s="348"/>
    </row>
    <row r="462" spans="1:37">
      <c r="A462" s="148" t="s">
        <v>5048</v>
      </c>
      <c r="B462" s="93">
        <v>-82</v>
      </c>
      <c r="C462" s="93">
        <v>-92</v>
      </c>
      <c r="D462" s="93">
        <v>-34</v>
      </c>
      <c r="E462" s="93">
        <v>-52</v>
      </c>
      <c r="F462" s="6">
        <v>1.97</v>
      </c>
      <c r="G462" s="81">
        <v>3004</v>
      </c>
      <c r="H462" s="8" t="s">
        <v>317</v>
      </c>
      <c r="I462" s="22" t="s">
        <v>5054</v>
      </c>
      <c r="J462" s="75">
        <v>64.37</v>
      </c>
      <c r="K462" s="75">
        <v>2.4500000000000002</v>
      </c>
      <c r="L462" s="75">
        <v>30.4</v>
      </c>
      <c r="N462" s="325">
        <f t="shared" si="100"/>
        <v>97.22</v>
      </c>
      <c r="O462" s="27"/>
      <c r="P462" s="56"/>
      <c r="Q462" s="26"/>
      <c r="S462" s="330">
        <v>47.31</v>
      </c>
      <c r="T462" s="34">
        <v>0.5</v>
      </c>
      <c r="U462" s="366">
        <f t="shared" si="95"/>
        <v>8.7873462214411256E-3</v>
      </c>
      <c r="V462" s="97">
        <v>1.1399999999999999</v>
      </c>
      <c r="W462" s="13">
        <f>RTD("money.excel",,"3004","Price")</f>
        <v>56.9</v>
      </c>
      <c r="X462" s="67"/>
      <c r="Y462" s="15">
        <f t="shared" si="96"/>
        <v>56.9</v>
      </c>
      <c r="Z462" s="3" t="e">
        <f t="shared" si="97"/>
        <v>#DIV/0!</v>
      </c>
      <c r="AB462" s="22" t="s">
        <v>5054</v>
      </c>
      <c r="AE462" s="33">
        <f t="shared" si="98"/>
        <v>0</v>
      </c>
      <c r="AF462" s="43" t="s">
        <v>5055</v>
      </c>
      <c r="AG462" s="269"/>
      <c r="AI462" s="64">
        <f t="shared" si="99"/>
        <v>1.6920152091254752E-3</v>
      </c>
      <c r="AJ462" s="313">
        <f>RTD("money.excel",,$G462,"PredictVolume")</f>
        <v>89</v>
      </c>
      <c r="AK462" s="348"/>
    </row>
    <row r="463" spans="1:37">
      <c r="A463" s="132" t="s">
        <v>5056</v>
      </c>
      <c r="B463" s="82">
        <v>-37</v>
      </c>
      <c r="C463" s="82">
        <v>-48</v>
      </c>
      <c r="D463" s="82">
        <v>-3</v>
      </c>
      <c r="E463" s="82">
        <v>-6</v>
      </c>
      <c r="F463" s="58">
        <v>11.05</v>
      </c>
      <c r="G463" s="81">
        <v>5007</v>
      </c>
      <c r="H463" s="8" t="s">
        <v>317</v>
      </c>
      <c r="I463" s="22" t="s">
        <v>5057</v>
      </c>
      <c r="J463" s="75">
        <v>78.09</v>
      </c>
      <c r="K463" s="75">
        <v>3.29</v>
      </c>
      <c r="L463" s="75">
        <v>1.3</v>
      </c>
      <c r="N463" s="325">
        <f t="shared" si="100"/>
        <v>82.68</v>
      </c>
      <c r="O463" s="27"/>
      <c r="P463" s="56"/>
      <c r="Q463" s="26"/>
      <c r="S463" s="330">
        <v>0</v>
      </c>
      <c r="T463" s="34">
        <v>2</v>
      </c>
      <c r="U463" s="366">
        <f t="shared" si="95"/>
        <v>3.6764705882352942E-2</v>
      </c>
      <c r="V463" s="97">
        <v>2.04</v>
      </c>
      <c r="W463" s="36">
        <f>RTD("money.excel",,"5007","Price")</f>
        <v>54.4</v>
      </c>
      <c r="X463" s="67"/>
      <c r="Y463" s="15">
        <f t="shared" si="96"/>
        <v>54.4</v>
      </c>
      <c r="Z463" s="3" t="e">
        <f t="shared" si="97"/>
        <v>#DIV/0!</v>
      </c>
      <c r="AA463" s="174" t="s">
        <v>4710</v>
      </c>
      <c r="AB463" s="22" t="s">
        <v>5057</v>
      </c>
      <c r="AE463" s="33">
        <f t="shared" si="98"/>
        <v>0</v>
      </c>
      <c r="AF463" s="43" t="s">
        <v>5058</v>
      </c>
      <c r="AG463" s="269"/>
      <c r="AI463" s="64">
        <f t="shared" si="99"/>
        <v>1.8027210884353741E-4</v>
      </c>
      <c r="AJ463" s="313">
        <f>RTD("money.excel",,$G463,"PredictVolume")</f>
        <v>53</v>
      </c>
      <c r="AK463" s="348"/>
    </row>
    <row r="464" spans="1:37">
      <c r="A464" s="148" t="s">
        <v>5059</v>
      </c>
      <c r="B464" s="82">
        <v>-44</v>
      </c>
      <c r="C464" s="82">
        <v>-69</v>
      </c>
      <c r="D464" s="82">
        <v>-23</v>
      </c>
      <c r="E464" s="82">
        <v>-14</v>
      </c>
      <c r="F464" s="6">
        <v>2.19</v>
      </c>
      <c r="G464" s="81">
        <v>5009</v>
      </c>
      <c r="H464" s="8" t="s">
        <v>317</v>
      </c>
      <c r="I464" s="16" t="s">
        <v>5060</v>
      </c>
      <c r="J464" s="330">
        <v>54.32</v>
      </c>
      <c r="K464" s="330">
        <v>7.99</v>
      </c>
      <c r="L464" s="330">
        <v>2.0499999999999998</v>
      </c>
      <c r="N464" s="325">
        <f t="shared" si="100"/>
        <v>64.36</v>
      </c>
      <c r="O464" s="27"/>
      <c r="P464" s="56"/>
      <c r="Q464" s="26"/>
      <c r="S464" s="330">
        <v>0.01</v>
      </c>
      <c r="T464" s="34">
        <v>0.4</v>
      </c>
      <c r="U464" s="366">
        <f t="shared" si="95"/>
        <v>1.5594541910331385E-2</v>
      </c>
      <c r="V464" s="58">
        <v>0.5</v>
      </c>
      <c r="W464" s="36">
        <f>RTD("money.excel",,"5009","Price")</f>
        <v>25.65</v>
      </c>
      <c r="X464" s="67"/>
      <c r="Y464" s="15">
        <f t="shared" si="96"/>
        <v>25.65</v>
      </c>
      <c r="Z464" s="3" t="e">
        <f t="shared" si="97"/>
        <v>#DIV/0!</v>
      </c>
      <c r="AA464" s="174" t="s">
        <v>4710</v>
      </c>
      <c r="AB464" s="16" t="s">
        <v>5060</v>
      </c>
      <c r="AE464" s="33">
        <f t="shared" si="98"/>
        <v>0</v>
      </c>
      <c r="AF464" s="122" t="s">
        <v>5061</v>
      </c>
      <c r="AG464" s="128"/>
      <c r="AI464" s="64">
        <f t="shared" si="99"/>
        <v>1.4815450643776824E-2</v>
      </c>
      <c r="AJ464" s="313">
        <f>RTD("money.excel",,$G464,"PredictVolume")</f>
        <v>6904</v>
      </c>
      <c r="AK464" s="348"/>
    </row>
    <row r="465" spans="1:37">
      <c r="A465" s="148" t="s">
        <v>5062</v>
      </c>
      <c r="B465" s="82">
        <v>-122</v>
      </c>
      <c r="C465" s="82">
        <v>-15</v>
      </c>
      <c r="D465" s="82">
        <v>-46</v>
      </c>
      <c r="E465" s="81">
        <v>128</v>
      </c>
      <c r="F465" s="6">
        <v>-3.24</v>
      </c>
      <c r="G465" s="81">
        <v>5011</v>
      </c>
      <c r="H465" s="8" t="s">
        <v>317</v>
      </c>
      <c r="I465" s="16" t="s">
        <v>5063</v>
      </c>
      <c r="J465" s="330">
        <v>32.65</v>
      </c>
      <c r="K465" s="75">
        <v>0.75</v>
      </c>
      <c r="L465" s="75">
        <v>29.76</v>
      </c>
      <c r="N465" s="325">
        <f t="shared" si="100"/>
        <v>63.16</v>
      </c>
      <c r="O465" s="27"/>
      <c r="P465" s="56"/>
      <c r="Q465" s="26"/>
      <c r="S465" s="330">
        <v>0.24</v>
      </c>
      <c r="T465" s="34">
        <v>0</v>
      </c>
      <c r="U465" s="366">
        <f t="shared" si="95"/>
        <v>0</v>
      </c>
      <c r="V465" s="97">
        <v>-1.67</v>
      </c>
      <c r="W465" s="36">
        <f>RTD("money.excel",,"5011","Price")</f>
        <v>39</v>
      </c>
      <c r="X465" s="67"/>
      <c r="Y465" s="15">
        <f t="shared" si="96"/>
        <v>39</v>
      </c>
      <c r="Z465" s="3" t="e">
        <f t="shared" si="97"/>
        <v>#DIV/0!</v>
      </c>
      <c r="AB465" s="16" t="s">
        <v>5063</v>
      </c>
      <c r="AE465" s="33">
        <f t="shared" si="98"/>
        <v>0</v>
      </c>
      <c r="AF465" s="43" t="s">
        <v>5064</v>
      </c>
      <c r="AG465" s="128"/>
      <c r="AI465" s="64">
        <f t="shared" si="99"/>
        <v>2.0984042553191491E-2</v>
      </c>
      <c r="AJ465" s="313">
        <f>RTD("money.excel",,$G465,"PredictVolume")</f>
        <v>1578</v>
      </c>
      <c r="AK465" s="348"/>
    </row>
    <row r="466" spans="1:37">
      <c r="A466" s="148" t="s">
        <v>5065</v>
      </c>
      <c r="B466" s="93">
        <v>16</v>
      </c>
      <c r="C466" s="93">
        <v>8</v>
      </c>
      <c r="D466" s="93">
        <v>-1</v>
      </c>
      <c r="E466" s="93">
        <v>78</v>
      </c>
      <c r="F466" s="6">
        <v>6.34</v>
      </c>
      <c r="G466" s="81">
        <v>5013</v>
      </c>
      <c r="H466" s="8" t="s">
        <v>317</v>
      </c>
      <c r="I466" s="16" t="s">
        <v>5066</v>
      </c>
      <c r="J466" s="75">
        <v>82.51</v>
      </c>
      <c r="K466" s="75">
        <v>2.77</v>
      </c>
      <c r="L466" s="75">
        <v>7.0000000000000007E-2</v>
      </c>
      <c r="N466" s="325">
        <f t="shared" si="100"/>
        <v>85.35</v>
      </c>
      <c r="O466" s="27"/>
      <c r="P466" s="56"/>
      <c r="Q466" s="26"/>
      <c r="S466" s="330">
        <v>16.82</v>
      </c>
      <c r="T466" s="34">
        <v>0.5</v>
      </c>
      <c r="U466" s="366">
        <f t="shared" si="95"/>
        <v>1.2853470437017995E-2</v>
      </c>
      <c r="V466" s="97">
        <v>1.58</v>
      </c>
      <c r="W466" s="13">
        <f>RTD("money.excel",,"5013","Price")</f>
        <v>38.9</v>
      </c>
      <c r="X466" s="67"/>
      <c r="Y466" s="15">
        <f t="shared" si="96"/>
        <v>38.9</v>
      </c>
      <c r="Z466" s="3" t="e">
        <f t="shared" si="97"/>
        <v>#DIV/0!</v>
      </c>
      <c r="AB466" s="16" t="s">
        <v>5066</v>
      </c>
      <c r="AE466" s="33">
        <f t="shared" si="98"/>
        <v>0</v>
      </c>
      <c r="AF466" s="122" t="s">
        <v>5067</v>
      </c>
      <c r="AG466" s="269"/>
      <c r="AI466" s="64">
        <f t="shared" si="99"/>
        <v>5.6596701649175409E-3</v>
      </c>
      <c r="AJ466" s="313">
        <f>RTD("money.excel",,$G466,"PredictVolume")</f>
        <v>755</v>
      </c>
      <c r="AK466" s="348"/>
    </row>
    <row r="467" spans="1:37">
      <c r="A467" s="148" t="s">
        <v>1806</v>
      </c>
      <c r="B467" s="81">
        <v>303</v>
      </c>
      <c r="C467" s="81">
        <v>712</v>
      </c>
      <c r="D467" s="81">
        <v>0</v>
      </c>
      <c r="E467" s="82">
        <v>-2</v>
      </c>
      <c r="F467" s="6">
        <v>4.66</v>
      </c>
      <c r="G467" s="81">
        <v>5014</v>
      </c>
      <c r="H467" s="8" t="s">
        <v>317</v>
      </c>
      <c r="I467" s="16" t="s">
        <v>5069</v>
      </c>
      <c r="J467" s="330">
        <v>28.15</v>
      </c>
      <c r="K467" s="75">
        <v>1.47</v>
      </c>
      <c r="L467" s="75">
        <v>33.21</v>
      </c>
      <c r="M467" s="330">
        <v>16.190000000000001</v>
      </c>
      <c r="N467" s="325">
        <f>J467+K467+L467+M467</f>
        <v>79.02</v>
      </c>
      <c r="O467" s="27" t="s">
        <v>6248</v>
      </c>
      <c r="P467" s="56"/>
      <c r="Q467" s="26"/>
      <c r="R467" s="308" t="s">
        <v>4373</v>
      </c>
      <c r="S467" s="330">
        <v>2.75</v>
      </c>
      <c r="T467" s="34">
        <v>0</v>
      </c>
      <c r="U467" s="366">
        <f t="shared" si="95"/>
        <v>0</v>
      </c>
      <c r="V467" s="97">
        <v>2.84</v>
      </c>
      <c r="W467" s="36">
        <f>RTD("money.excel",,"5014","Price")</f>
        <v>21.5</v>
      </c>
      <c r="X467" s="67"/>
      <c r="Y467" s="15">
        <f t="shared" si="96"/>
        <v>21.5</v>
      </c>
      <c r="Z467" s="3" t="e">
        <f t="shared" si="97"/>
        <v>#DIV/0!</v>
      </c>
      <c r="AB467" s="16" t="s">
        <v>5069</v>
      </c>
      <c r="AE467" s="33">
        <f t="shared" si="98"/>
        <v>0</v>
      </c>
      <c r="AF467" s="43" t="s">
        <v>5070</v>
      </c>
      <c r="AG467" s="128"/>
      <c r="AI467" s="64">
        <f t="shared" si="99"/>
        <v>1.2713513513513514E-2</v>
      </c>
      <c r="AJ467" s="313">
        <f>RTD("money.excel",,$G467,"PredictVolume")</f>
        <v>2352</v>
      </c>
      <c r="AK467" s="348"/>
    </row>
    <row r="468" spans="1:37">
      <c r="A468" s="148" t="s">
        <v>4708</v>
      </c>
      <c r="B468" s="93">
        <v>-36</v>
      </c>
      <c r="C468" s="93">
        <v>-40</v>
      </c>
      <c r="D468" s="93">
        <v>-4</v>
      </c>
      <c r="E468" s="93">
        <v>-21</v>
      </c>
      <c r="F468" s="6">
        <v>7.4</v>
      </c>
      <c r="G468" s="81">
        <v>5015</v>
      </c>
      <c r="H468" s="8" t="s">
        <v>317</v>
      </c>
      <c r="I468" s="16" t="s">
        <v>5071</v>
      </c>
      <c r="J468" s="75">
        <v>50.19</v>
      </c>
      <c r="K468" s="75">
        <v>7.36</v>
      </c>
      <c r="L468" s="75">
        <v>0.33</v>
      </c>
      <c r="N468" s="325">
        <f t="shared" si="100"/>
        <v>57.879999999999995</v>
      </c>
      <c r="O468" s="27"/>
      <c r="P468" s="56"/>
      <c r="Q468" s="26"/>
      <c r="S468" s="330">
        <v>21.46</v>
      </c>
      <c r="T468" s="34">
        <v>1.9</v>
      </c>
      <c r="U468" s="366">
        <f t="shared" si="95"/>
        <v>4.561824729891957E-2</v>
      </c>
      <c r="V468" s="97">
        <v>1.94</v>
      </c>
      <c r="W468" s="36">
        <f>RTD("money.excel",,"5015","Price")</f>
        <v>41.65</v>
      </c>
      <c r="X468" s="67"/>
      <c r="Y468" s="15">
        <f t="shared" si="96"/>
        <v>41.65</v>
      </c>
      <c r="Z468" s="3" t="e">
        <f t="shared" si="97"/>
        <v>#DIV/0!</v>
      </c>
      <c r="AB468" s="16" t="s">
        <v>5071</v>
      </c>
      <c r="AE468" s="33">
        <f t="shared" si="98"/>
        <v>0</v>
      </c>
      <c r="AF468" s="43" t="s">
        <v>5044</v>
      </c>
      <c r="AG468" s="128"/>
      <c r="AI468" s="64">
        <f t="shared" si="99"/>
        <v>3.5973597359735977E-3</v>
      </c>
      <c r="AJ468" s="313">
        <f>RTD("money.excel",,$G468,"PredictVolume")</f>
        <v>218</v>
      </c>
      <c r="AK468" s="348"/>
    </row>
    <row r="469" spans="1:37">
      <c r="A469" s="148" t="s">
        <v>5072</v>
      </c>
      <c r="B469" s="93">
        <v>92</v>
      </c>
      <c r="C469" s="93">
        <v>86</v>
      </c>
      <c r="D469" s="93">
        <v>-5</v>
      </c>
      <c r="E469" s="93">
        <v>25</v>
      </c>
      <c r="F469" s="6">
        <v>8.75</v>
      </c>
      <c r="G469" s="81">
        <v>5016</v>
      </c>
      <c r="H469" s="8" t="s">
        <v>317</v>
      </c>
      <c r="I469" s="16" t="s">
        <v>5073</v>
      </c>
      <c r="J469" s="75">
        <v>69.02</v>
      </c>
      <c r="K469" s="75">
        <v>0.03</v>
      </c>
      <c r="L469" s="75">
        <v>1.1399999999999999</v>
      </c>
      <c r="N469" s="325">
        <f t="shared" si="100"/>
        <v>70.19</v>
      </c>
      <c r="O469" s="27"/>
      <c r="P469" s="56"/>
      <c r="Q469" s="26"/>
      <c r="S469" s="330">
        <v>23.42</v>
      </c>
      <c r="T469" s="34">
        <v>2</v>
      </c>
      <c r="U469" s="366">
        <f t="shared" si="95"/>
        <v>5.1150895140664961E-2</v>
      </c>
      <c r="V469" s="97">
        <v>3.15</v>
      </c>
      <c r="W469" s="13">
        <f>RTD("money.excel",,"5016","Price")</f>
        <v>39.1</v>
      </c>
      <c r="X469" s="67"/>
      <c r="Y469" s="15">
        <f t="shared" si="96"/>
        <v>39.1</v>
      </c>
      <c r="Z469" s="3" t="e">
        <f t="shared" si="97"/>
        <v>#DIV/0!</v>
      </c>
      <c r="AB469" s="16" t="s">
        <v>5073</v>
      </c>
      <c r="AE469" s="33">
        <f t="shared" si="98"/>
        <v>0</v>
      </c>
      <c r="AF469" s="43" t="s">
        <v>5074</v>
      </c>
      <c r="AG469" s="128"/>
      <c r="AI469" s="64">
        <f t="shared" si="99"/>
        <v>9.4758064516129034E-4</v>
      </c>
      <c r="AJ469" s="313">
        <f>RTD("money.excel",,$G469,"PredictVolume")</f>
        <v>47</v>
      </c>
      <c r="AK469" s="348"/>
    </row>
    <row r="470" spans="1:37">
      <c r="A470" s="132" t="s">
        <v>5075</v>
      </c>
      <c r="B470" s="81">
        <v>248</v>
      </c>
      <c r="C470" s="81">
        <v>301</v>
      </c>
      <c r="D470" s="81">
        <v>8</v>
      </c>
      <c r="E470" s="81">
        <v>43</v>
      </c>
      <c r="F470" s="58">
        <v>12</v>
      </c>
      <c r="G470" s="81">
        <v>5538</v>
      </c>
      <c r="H470" s="8" t="s">
        <v>317</v>
      </c>
      <c r="I470" s="22" t="s">
        <v>5076</v>
      </c>
      <c r="J470" s="330">
        <v>91.76</v>
      </c>
      <c r="K470" s="75">
        <v>64.13</v>
      </c>
      <c r="L470" s="330">
        <v>0.86</v>
      </c>
      <c r="N470" s="325">
        <f t="shared" si="100"/>
        <v>156.75</v>
      </c>
      <c r="O470" s="27"/>
      <c r="P470" s="56"/>
      <c r="Q470" s="26"/>
      <c r="S470" s="330">
        <v>0.23</v>
      </c>
      <c r="T470" s="34">
        <v>1.78</v>
      </c>
      <c r="U470" s="366">
        <f t="shared" si="95"/>
        <v>2.8031496062992125E-2</v>
      </c>
      <c r="V470" s="58">
        <v>5.01</v>
      </c>
      <c r="W470" s="13">
        <f>RTD("money.excel",,"5538","Price")</f>
        <v>63.5</v>
      </c>
      <c r="X470" s="67"/>
      <c r="Y470" s="15">
        <f t="shared" si="96"/>
        <v>63.5</v>
      </c>
      <c r="Z470" s="3" t="e">
        <f t="shared" si="97"/>
        <v>#DIV/0!</v>
      </c>
      <c r="AB470" s="22" t="s">
        <v>5076</v>
      </c>
      <c r="AE470" s="33">
        <f t="shared" si="98"/>
        <v>0</v>
      </c>
      <c r="AF470" s="43" t="s">
        <v>4011</v>
      </c>
      <c r="AG470" s="128"/>
      <c r="AI470" s="64">
        <f t="shared" si="99"/>
        <v>1.9099502487562189E-2</v>
      </c>
      <c r="AJ470" s="313">
        <f>RTD("money.excel",,$G470,"PredictVolume")</f>
        <v>3839</v>
      </c>
      <c r="AK470" s="348"/>
    </row>
    <row r="471" spans="1:37">
      <c r="A471" s="148" t="s">
        <v>5077</v>
      </c>
      <c r="B471" s="81">
        <v>1</v>
      </c>
      <c r="C471" s="82">
        <v>-33</v>
      </c>
      <c r="D471" s="82">
        <v>-8</v>
      </c>
      <c r="E471" s="81">
        <v>25</v>
      </c>
      <c r="F471" s="6">
        <v>1.43</v>
      </c>
      <c r="G471" s="81">
        <v>6248</v>
      </c>
      <c r="H471" s="8" t="s">
        <v>317</v>
      </c>
      <c r="I471" s="16" t="s">
        <v>5078</v>
      </c>
      <c r="J471" s="75">
        <v>44.85</v>
      </c>
      <c r="K471" s="75">
        <v>1.05</v>
      </c>
      <c r="L471" s="330">
        <v>8.3800000000000008</v>
      </c>
      <c r="N471" s="325">
        <f t="shared" si="100"/>
        <v>54.28</v>
      </c>
      <c r="O471" s="27"/>
      <c r="P471" s="56"/>
      <c r="Q471" s="26"/>
      <c r="S471" s="330">
        <v>0</v>
      </c>
      <c r="T471" s="34">
        <v>1.2</v>
      </c>
      <c r="U471" s="366">
        <f t="shared" si="95"/>
        <v>5.3571428571428575E-2</v>
      </c>
      <c r="V471" s="97">
        <v>1.76</v>
      </c>
      <c r="W471" s="36">
        <f>RTD("money.excel",,"6248","Price")</f>
        <v>22.4</v>
      </c>
      <c r="X471" s="67"/>
      <c r="Y471" s="15">
        <f t="shared" si="96"/>
        <v>22.4</v>
      </c>
      <c r="Z471" s="3" t="e">
        <f t="shared" si="97"/>
        <v>#DIV/0!</v>
      </c>
      <c r="AB471" s="16" t="s">
        <v>5078</v>
      </c>
      <c r="AE471" s="33">
        <f t="shared" si="98"/>
        <v>0</v>
      </c>
      <c r="AF471" s="43" t="s">
        <v>3184</v>
      </c>
      <c r="AG471" s="128"/>
      <c r="AI471" s="64">
        <f t="shared" si="99"/>
        <v>3.1859956236323851E-2</v>
      </c>
      <c r="AJ471" s="313">
        <f>RTD("money.excel",,$G471,"PredictVolume")</f>
        <v>1456</v>
      </c>
      <c r="AK471" s="348"/>
    </row>
    <row r="472" spans="1:37">
      <c r="A472" s="148" t="s">
        <v>4831</v>
      </c>
      <c r="B472" s="82">
        <v>-36</v>
      </c>
      <c r="C472" s="82">
        <v>-46</v>
      </c>
      <c r="D472" s="82">
        <v>-2</v>
      </c>
      <c r="E472" s="81">
        <v>12</v>
      </c>
      <c r="F472" s="6">
        <v>1.88</v>
      </c>
      <c r="G472" s="81">
        <v>8349</v>
      </c>
      <c r="H472" s="8" t="s">
        <v>317</v>
      </c>
      <c r="I472" s="16" t="s">
        <v>5079</v>
      </c>
      <c r="J472" s="75">
        <v>65.3</v>
      </c>
      <c r="K472" s="75">
        <v>3.6</v>
      </c>
      <c r="L472" s="330">
        <v>12.46</v>
      </c>
      <c r="N472" s="325">
        <f t="shared" si="100"/>
        <v>81.359999999999985</v>
      </c>
      <c r="O472" s="27"/>
      <c r="P472" s="56"/>
      <c r="Q472" s="26"/>
      <c r="S472" s="330">
        <v>0.4</v>
      </c>
      <c r="T472" s="34">
        <v>2.12</v>
      </c>
      <c r="U472" s="366">
        <f t="shared" si="95"/>
        <v>3.6678200692041529E-2</v>
      </c>
      <c r="V472" s="58">
        <v>2.52</v>
      </c>
      <c r="W472" s="36">
        <f>RTD("money.excel",,"8349","Price")</f>
        <v>57.8</v>
      </c>
      <c r="X472" s="67"/>
      <c r="Y472" s="15">
        <f t="shared" si="96"/>
        <v>57.8</v>
      </c>
      <c r="Z472" s="3" t="e">
        <f t="shared" si="97"/>
        <v>#DIV/0!</v>
      </c>
      <c r="AA472" s="174" t="s">
        <v>4710</v>
      </c>
      <c r="AB472" s="16" t="s">
        <v>5079</v>
      </c>
      <c r="AE472" s="33">
        <f t="shared" si="98"/>
        <v>0</v>
      </c>
      <c r="AF472" s="122" t="s">
        <v>5080</v>
      </c>
      <c r="AG472" s="128"/>
      <c r="AI472" s="64">
        <f t="shared" si="99"/>
        <v>2.1551724137931034E-4</v>
      </c>
      <c r="AJ472" s="313">
        <f>RTD("money.excel",,$G472,"PredictVolume")</f>
        <v>25</v>
      </c>
      <c r="AK472" s="348"/>
    </row>
    <row r="473" spans="1:37">
      <c r="A473" s="148" t="s">
        <v>5081</v>
      </c>
      <c r="B473" s="82">
        <v>-38</v>
      </c>
      <c r="C473" s="82">
        <v>-13</v>
      </c>
      <c r="D473" s="81">
        <v>4</v>
      </c>
      <c r="E473" s="82">
        <v>-7</v>
      </c>
      <c r="F473" s="6">
        <v>9.6999999999999993</v>
      </c>
      <c r="G473" s="81">
        <v>8415</v>
      </c>
      <c r="H473" s="8" t="s">
        <v>317</v>
      </c>
      <c r="I473" s="16" t="s">
        <v>5082</v>
      </c>
      <c r="J473" s="330">
        <v>91.92</v>
      </c>
      <c r="K473" s="330">
        <v>9.69</v>
      </c>
      <c r="L473" s="330">
        <v>0.41</v>
      </c>
      <c r="N473" s="325">
        <f t="shared" si="100"/>
        <v>102.02</v>
      </c>
      <c r="O473" s="27"/>
      <c r="P473" s="56"/>
      <c r="Q473" s="26"/>
      <c r="S473" s="330">
        <v>0</v>
      </c>
      <c r="T473" s="34">
        <v>1.4</v>
      </c>
      <c r="U473" s="366">
        <f t="shared" si="95"/>
        <v>3.5353535353535352E-2</v>
      </c>
      <c r="V473" s="58">
        <v>0.92</v>
      </c>
      <c r="W473" s="36">
        <f>RTD("money.excel",,"8415","Price")</f>
        <v>39.6</v>
      </c>
      <c r="X473" s="67"/>
      <c r="Y473" s="15">
        <f t="shared" si="96"/>
        <v>39.6</v>
      </c>
      <c r="Z473" s="3" t="e">
        <f t="shared" si="97"/>
        <v>#DIV/0!</v>
      </c>
      <c r="AB473" s="16" t="s">
        <v>5082</v>
      </c>
      <c r="AE473" s="33">
        <f t="shared" si="98"/>
        <v>0</v>
      </c>
      <c r="AF473" s="43" t="s">
        <v>5083</v>
      </c>
      <c r="AG473" s="128"/>
      <c r="AI473" s="64">
        <f t="shared" si="99"/>
        <v>1.5155339805825244E-3</v>
      </c>
      <c r="AJ473" s="313">
        <f>RTD("money.excel",,$G473,"PredictVolume")</f>
        <v>1561</v>
      </c>
      <c r="AK473" s="348"/>
    </row>
    <row r="474" spans="1:37">
      <c r="A474" s="148" t="s">
        <v>5033</v>
      </c>
      <c r="B474" s="93">
        <v>-80</v>
      </c>
      <c r="C474" s="93">
        <v>-22</v>
      </c>
      <c r="D474" s="93">
        <v>-8</v>
      </c>
      <c r="E474" s="93">
        <v>53</v>
      </c>
      <c r="F474" s="6">
        <v>5.05</v>
      </c>
      <c r="G474" s="81">
        <v>8930</v>
      </c>
      <c r="H474" s="8" t="s">
        <v>317</v>
      </c>
      <c r="I474" s="16" t="s">
        <v>5084</v>
      </c>
      <c r="J474" s="75">
        <v>58.77</v>
      </c>
      <c r="K474" s="75">
        <v>2.06</v>
      </c>
      <c r="L474" s="75">
        <v>12.46</v>
      </c>
      <c r="N474" s="325">
        <f t="shared" si="100"/>
        <v>73.290000000000006</v>
      </c>
      <c r="O474" s="27"/>
      <c r="P474" s="56"/>
      <c r="Q474" s="26"/>
      <c r="S474" s="330">
        <v>13.15</v>
      </c>
      <c r="T474" s="34">
        <v>0.5</v>
      </c>
      <c r="U474" s="366">
        <f t="shared" si="95"/>
        <v>3.2679738562091505E-2</v>
      </c>
      <c r="V474" s="97">
        <v>0.32</v>
      </c>
      <c r="W474" s="13">
        <f>RTD("money.excel",,"8930","Price")</f>
        <v>15.3</v>
      </c>
      <c r="X474" s="67"/>
      <c r="Y474" s="15">
        <f t="shared" si="96"/>
        <v>15.3</v>
      </c>
      <c r="Z474" s="3" t="e">
        <f t="shared" si="97"/>
        <v>#DIV/0!</v>
      </c>
      <c r="AB474" s="16" t="s">
        <v>5084</v>
      </c>
      <c r="AE474" s="33">
        <f t="shared" si="98"/>
        <v>0</v>
      </c>
      <c r="AF474" s="43" t="s">
        <v>5085</v>
      </c>
      <c r="AG474" s="128"/>
      <c r="AI474" s="64">
        <f t="shared" si="99"/>
        <v>1.325898389095415E-3</v>
      </c>
      <c r="AJ474" s="313">
        <f>RTD("money.excel",,$G474,"PredictVolume")</f>
        <v>107</v>
      </c>
      <c r="AK474" s="348"/>
    </row>
    <row r="475" spans="1:37">
      <c r="A475" s="132" t="s">
        <v>1794</v>
      </c>
      <c r="B475" s="81">
        <v>79</v>
      </c>
      <c r="C475" s="81">
        <v>55</v>
      </c>
      <c r="D475" s="81">
        <v>8</v>
      </c>
      <c r="E475" s="81">
        <v>51</v>
      </c>
      <c r="F475" s="58">
        <v>21.02</v>
      </c>
      <c r="G475" s="81">
        <v>9958</v>
      </c>
      <c r="H475" s="8" t="s">
        <v>317</v>
      </c>
      <c r="I475" s="22" t="s">
        <v>5086</v>
      </c>
      <c r="J475" s="75">
        <v>52.64</v>
      </c>
      <c r="K475" s="330">
        <v>10.28</v>
      </c>
      <c r="L475" s="330">
        <v>29.69</v>
      </c>
      <c r="M475" s="330">
        <v>29.48</v>
      </c>
      <c r="N475" s="325">
        <f t="shared" si="100"/>
        <v>122.09</v>
      </c>
      <c r="O475" s="27" t="s">
        <v>6141</v>
      </c>
      <c r="P475" s="56"/>
      <c r="Q475" s="26"/>
      <c r="R475" s="308" t="s">
        <v>6140</v>
      </c>
      <c r="S475" s="330">
        <v>5.99</v>
      </c>
      <c r="T475" s="67">
        <v>4</v>
      </c>
      <c r="U475" s="366">
        <f t="shared" si="95"/>
        <v>3.7558685446009391E-2</v>
      </c>
      <c r="V475" s="58">
        <v>6.16</v>
      </c>
      <c r="W475" s="36">
        <f>RTD("money.excel",,"9958","Price")</f>
        <v>106.5</v>
      </c>
      <c r="X475" s="67"/>
      <c r="Y475" s="15">
        <f t="shared" si="96"/>
        <v>106.5</v>
      </c>
      <c r="Z475" s="3" t="e">
        <f t="shared" si="97"/>
        <v>#DIV/0!</v>
      </c>
      <c r="AA475" s="174" t="s">
        <v>2185</v>
      </c>
      <c r="AB475" s="22" t="s">
        <v>5086</v>
      </c>
      <c r="AE475" s="33">
        <f t="shared" si="98"/>
        <v>0</v>
      </c>
      <c r="AF475" s="43" t="s">
        <v>5087</v>
      </c>
      <c r="AG475" s="128"/>
      <c r="AI475" s="64">
        <f t="shared" si="99"/>
        <v>4.2770562770562768E-3</v>
      </c>
      <c r="AJ475" s="313">
        <f>RTD("money.excel",,$G475,"PredictVolume")</f>
        <v>988</v>
      </c>
      <c r="AK475" s="348">
        <v>17.75</v>
      </c>
    </row>
    <row r="476" spans="1:37">
      <c r="A476" s="148" t="s">
        <v>5088</v>
      </c>
      <c r="B476" s="208">
        <v>-1748</v>
      </c>
      <c r="C476" s="93">
        <v>-838</v>
      </c>
      <c r="D476" s="93">
        <v>-18</v>
      </c>
      <c r="E476" s="93">
        <v>-24</v>
      </c>
      <c r="F476" s="6">
        <v>-1.1499999999999999</v>
      </c>
      <c r="G476" s="81">
        <v>9962</v>
      </c>
      <c r="H476" s="8" t="s">
        <v>317</v>
      </c>
      <c r="I476" s="16" t="s">
        <v>5089</v>
      </c>
      <c r="J476" s="75">
        <v>58.84</v>
      </c>
      <c r="K476" s="75">
        <v>0.59</v>
      </c>
      <c r="L476" s="75">
        <v>5.41</v>
      </c>
      <c r="N476" s="325">
        <f t="shared" si="100"/>
        <v>64.84</v>
      </c>
      <c r="O476" s="27"/>
      <c r="P476" s="56"/>
      <c r="Q476" s="26"/>
      <c r="S476" s="330">
        <v>21.72</v>
      </c>
      <c r="T476" s="34">
        <v>0</v>
      </c>
      <c r="U476" s="366">
        <f t="shared" si="95"/>
        <v>0</v>
      </c>
      <c r="V476" s="97">
        <v>0.01</v>
      </c>
      <c r="W476" s="13">
        <f>RTD("money.excel",,"9962","Price")</f>
        <v>17.75</v>
      </c>
      <c r="X476" s="67"/>
      <c r="Y476" s="15">
        <f t="shared" si="96"/>
        <v>17.75</v>
      </c>
      <c r="Z476" s="3" t="e">
        <f t="shared" si="97"/>
        <v>#DIV/0!</v>
      </c>
      <c r="AB476" s="16" t="s">
        <v>5089</v>
      </c>
      <c r="AE476" s="33">
        <f t="shared" si="98"/>
        <v>0</v>
      </c>
      <c r="AF476" s="43" t="s">
        <v>5090</v>
      </c>
      <c r="AG476" s="128"/>
      <c r="AI476" s="64">
        <f t="shared" si="99"/>
        <v>1.3348115299334811E-2</v>
      </c>
      <c r="AJ476" s="313">
        <f>RTD("money.excel",,$G476,"PredictVolume")</f>
        <v>1204</v>
      </c>
      <c r="AK476" s="348"/>
    </row>
    <row r="477" spans="1:37">
      <c r="A477" s="148"/>
      <c r="B477" s="208"/>
      <c r="C477" s="93"/>
      <c r="D477" s="93"/>
      <c r="E477" s="93"/>
      <c r="F477" s="6"/>
      <c r="G477" s="81"/>
      <c r="H477" s="8"/>
      <c r="I477" s="16"/>
      <c r="J477" s="75"/>
      <c r="K477" s="75"/>
      <c r="N477" s="325"/>
      <c r="O477" s="27"/>
      <c r="P477" s="56"/>
      <c r="Q477" s="26"/>
      <c r="T477" s="34"/>
      <c r="V477" s="97"/>
      <c r="W477" s="13"/>
      <c r="X477" s="67"/>
      <c r="Y477" s="15"/>
      <c r="Z477" s="3"/>
      <c r="AB477" s="16"/>
      <c r="AE477" s="33"/>
      <c r="AF477" s="43"/>
      <c r="AG477" s="128"/>
      <c r="AI477" s="64"/>
      <c r="AJ477" s="313"/>
      <c r="AK477" s="348"/>
    </row>
    <row r="478" spans="1:37">
      <c r="A478" s="132" t="s">
        <v>4917</v>
      </c>
      <c r="B478" s="93" t="s">
        <v>4918</v>
      </c>
      <c r="C478" s="93" t="s">
        <v>4919</v>
      </c>
      <c r="D478" s="93" t="s">
        <v>4920</v>
      </c>
      <c r="E478" s="93" t="s">
        <v>4921</v>
      </c>
      <c r="F478" s="8" t="s">
        <v>4922</v>
      </c>
      <c r="G478" s="27" t="s">
        <v>996</v>
      </c>
      <c r="H478" s="55" t="s">
        <v>342</v>
      </c>
      <c r="I478" s="8" t="s">
        <v>5091</v>
      </c>
      <c r="J478" s="324" t="s">
        <v>4925</v>
      </c>
      <c r="K478" s="324" t="s">
        <v>4926</v>
      </c>
      <c r="L478" s="324" t="s">
        <v>4927</v>
      </c>
      <c r="M478" s="324" t="s">
        <v>4928</v>
      </c>
      <c r="N478" s="324" t="s">
        <v>6091</v>
      </c>
      <c r="O478" s="27" t="s">
        <v>6253</v>
      </c>
      <c r="P478" s="56" t="s">
        <v>6219</v>
      </c>
      <c r="Q478" s="26" t="s">
        <v>6313</v>
      </c>
      <c r="R478" s="309" t="s">
        <v>4929</v>
      </c>
      <c r="S478" s="335" t="s">
        <v>4930</v>
      </c>
      <c r="T478" s="10" t="s">
        <v>4931</v>
      </c>
      <c r="U478" s="364" t="s">
        <v>6152</v>
      </c>
      <c r="V478" s="69" t="s">
        <v>4932</v>
      </c>
      <c r="W478" s="28" t="s">
        <v>4933</v>
      </c>
      <c r="X478" s="17" t="s">
        <v>4934</v>
      </c>
      <c r="Y478" s="14" t="s">
        <v>4935</v>
      </c>
      <c r="Z478" s="21" t="s">
        <v>4936</v>
      </c>
      <c r="AA478" s="322" t="s">
        <v>4937</v>
      </c>
      <c r="AB478" s="8" t="s">
        <v>5091</v>
      </c>
      <c r="AC478" s="73" t="s">
        <v>4938</v>
      </c>
      <c r="AD478" s="74" t="s">
        <v>4939</v>
      </c>
      <c r="AE478" s="32" t="s">
        <v>4940</v>
      </c>
      <c r="AF478" s="43"/>
      <c r="AG478" s="128"/>
      <c r="AI478" s="8" t="s">
        <v>4941</v>
      </c>
      <c r="AJ478" s="50" t="s">
        <v>4942</v>
      </c>
      <c r="AK478" s="348" t="s">
        <v>6074</v>
      </c>
    </row>
    <row r="479" spans="1:37">
      <c r="A479" s="148" t="s">
        <v>5092</v>
      </c>
      <c r="B479" s="82">
        <v>-25</v>
      </c>
      <c r="C479" s="82">
        <v>-45</v>
      </c>
      <c r="D479" s="81">
        <v>5</v>
      </c>
      <c r="E479" s="81">
        <v>15</v>
      </c>
      <c r="F479" s="6">
        <v>5.9</v>
      </c>
      <c r="G479" s="81">
        <v>2101</v>
      </c>
      <c r="H479" s="8" t="s">
        <v>318</v>
      </c>
      <c r="I479" s="22" t="s">
        <v>5093</v>
      </c>
      <c r="J479" s="330">
        <v>77.3</v>
      </c>
      <c r="K479" s="330">
        <v>7.18</v>
      </c>
      <c r="L479" s="330">
        <v>16.3</v>
      </c>
      <c r="N479" s="325">
        <f t="shared" ref="N479" si="101">J479+K479+L479+M479</f>
        <v>100.77999999999999</v>
      </c>
      <c r="O479" s="27"/>
      <c r="P479" s="56"/>
      <c r="Q479" s="26"/>
      <c r="S479" s="330">
        <v>0.01</v>
      </c>
      <c r="T479" s="34">
        <v>0.6</v>
      </c>
      <c r="U479" s="366">
        <f t="shared" ref="U479:U490" si="102">T479/W479</f>
        <v>1.4760147601476014E-2</v>
      </c>
      <c r="V479" s="97">
        <v>1.05</v>
      </c>
      <c r="W479" s="36">
        <f>RTD("money.excel",,"2101","Price")</f>
        <v>40.65</v>
      </c>
      <c r="X479" s="67"/>
      <c r="Y479" s="15">
        <f t="shared" ref="Y479:Y490" si="103">W479-X479</f>
        <v>40.65</v>
      </c>
      <c r="Z479" s="3" t="e">
        <f t="shared" ref="Z479:Z490" si="104">Y479/X479</f>
        <v>#DIV/0!</v>
      </c>
      <c r="AA479" s="174" t="s">
        <v>4710</v>
      </c>
      <c r="AB479" s="22" t="s">
        <v>5093</v>
      </c>
      <c r="AE479" s="33">
        <f t="shared" ref="AE479:AE490" si="105">AD479-AC479</f>
        <v>0</v>
      </c>
      <c r="AF479" s="122" t="s">
        <v>5094</v>
      </c>
      <c r="AG479" s="128"/>
      <c r="AI479" s="64">
        <f t="shared" ref="AI479:AI490" si="106">AJ479/(A479*10000)</f>
        <v>1.4873949579831934E-3</v>
      </c>
      <c r="AJ479" s="313">
        <f>RTD("money.excel",,$G479,"PredictVolume")</f>
        <v>1239</v>
      </c>
      <c r="AK479" s="348"/>
    </row>
    <row r="480" spans="1:37">
      <c r="A480" s="148" t="s">
        <v>5095</v>
      </c>
      <c r="B480" s="93">
        <v>134</v>
      </c>
      <c r="C480" s="93">
        <v>140</v>
      </c>
      <c r="D480" s="93">
        <v>-44</v>
      </c>
      <c r="E480" s="93">
        <v>-27</v>
      </c>
      <c r="F480" s="6">
        <v>4.34</v>
      </c>
      <c r="G480" s="81">
        <v>2102</v>
      </c>
      <c r="H480" s="8" t="s">
        <v>318</v>
      </c>
      <c r="I480" s="22" t="s">
        <v>5096</v>
      </c>
      <c r="J480" s="75">
        <v>53.48</v>
      </c>
      <c r="K480" s="75">
        <v>8.8699999999999992</v>
      </c>
      <c r="L480" s="75">
        <v>6.09</v>
      </c>
      <c r="N480" s="325">
        <f t="shared" ref="N480:N490" si="107">J480+K480+L480+M480</f>
        <v>68.44</v>
      </c>
      <c r="O480" s="27"/>
      <c r="P480" s="56"/>
      <c r="Q480" s="26"/>
      <c r="S480" s="330">
        <v>8.85</v>
      </c>
      <c r="T480" s="34">
        <v>0.02</v>
      </c>
      <c r="U480" s="366">
        <f t="shared" si="102"/>
        <v>7.5471698113207543E-4</v>
      </c>
      <c r="V480" s="97">
        <v>0.24</v>
      </c>
      <c r="W480" s="13">
        <f>RTD("money.excel",,"2102","Price")</f>
        <v>26.5</v>
      </c>
      <c r="X480" s="67"/>
      <c r="Y480" s="15">
        <f t="shared" si="103"/>
        <v>26.5</v>
      </c>
      <c r="Z480" s="3" t="e">
        <f t="shared" si="104"/>
        <v>#DIV/0!</v>
      </c>
      <c r="AB480" s="22" t="s">
        <v>5096</v>
      </c>
      <c r="AE480" s="33">
        <f t="shared" si="105"/>
        <v>0</v>
      </c>
      <c r="AF480" s="43" t="s">
        <v>5097</v>
      </c>
      <c r="AG480" s="128"/>
      <c r="AI480" s="64">
        <f t="shared" si="106"/>
        <v>1.0718816067653277E-3</v>
      </c>
      <c r="AJ480" s="313">
        <f>RTD("money.excel",,$G480,"PredictVolume")</f>
        <v>507</v>
      </c>
      <c r="AK480" s="348"/>
    </row>
    <row r="481" spans="1:37">
      <c r="A481" s="132" t="s">
        <v>5098</v>
      </c>
      <c r="B481" s="95">
        <v>3610</v>
      </c>
      <c r="C481" s="81">
        <v>449</v>
      </c>
      <c r="D481" s="81">
        <v>12</v>
      </c>
      <c r="E481" s="81">
        <v>39</v>
      </c>
      <c r="F481" s="58">
        <v>12.16</v>
      </c>
      <c r="G481" s="81">
        <v>2103</v>
      </c>
      <c r="H481" s="8" t="s">
        <v>318</v>
      </c>
      <c r="I481" s="160" t="s">
        <v>5099</v>
      </c>
      <c r="J481" s="75">
        <v>64.89</v>
      </c>
      <c r="K481" s="75">
        <v>32.96</v>
      </c>
      <c r="L481" s="75">
        <v>5.0599999999999996</v>
      </c>
      <c r="M481" s="75">
        <v>14.14</v>
      </c>
      <c r="N481" s="325">
        <f t="shared" si="107"/>
        <v>117.05</v>
      </c>
      <c r="O481" s="27"/>
      <c r="P481" s="56"/>
      <c r="Q481" s="26"/>
      <c r="R481" s="308" t="s">
        <v>4728</v>
      </c>
      <c r="S481" s="330">
        <v>1.42</v>
      </c>
      <c r="T481" s="199">
        <v>0.36</v>
      </c>
      <c r="U481" s="366">
        <f t="shared" si="102"/>
        <v>1.0526315789473682E-2</v>
      </c>
      <c r="V481" s="97">
        <v>4.37</v>
      </c>
      <c r="W481" s="36">
        <f>RTD("money.excel",,"2103","Price")</f>
        <v>34.200000000000003</v>
      </c>
      <c r="X481" s="67"/>
      <c r="Y481" s="15">
        <f t="shared" si="103"/>
        <v>34.200000000000003</v>
      </c>
      <c r="Z481" s="3" t="e">
        <f t="shared" si="104"/>
        <v>#DIV/0!</v>
      </c>
      <c r="AA481" s="174" t="s">
        <v>4710</v>
      </c>
      <c r="AB481" s="22" t="s">
        <v>5099</v>
      </c>
      <c r="AE481" s="33">
        <f t="shared" si="105"/>
        <v>0</v>
      </c>
      <c r="AF481" s="122" t="s">
        <v>3868</v>
      </c>
      <c r="AG481" s="128"/>
      <c r="AI481" s="64">
        <f t="shared" si="106"/>
        <v>3.6327272727272727E-3</v>
      </c>
      <c r="AJ481" s="313">
        <f>RTD("money.excel",,$G481,"PredictVolume")</f>
        <v>2997</v>
      </c>
      <c r="AK481" s="348"/>
    </row>
    <row r="482" spans="1:37">
      <c r="A482" s="148" t="s">
        <v>5100</v>
      </c>
      <c r="B482" s="81">
        <v>294</v>
      </c>
      <c r="C482" s="95">
        <v>1505</v>
      </c>
      <c r="D482" s="82">
        <v>-4</v>
      </c>
      <c r="E482" s="81">
        <v>27</v>
      </c>
      <c r="F482" s="6">
        <v>9.1300000000000008</v>
      </c>
      <c r="G482" s="81">
        <v>2104</v>
      </c>
      <c r="H482" s="8" t="s">
        <v>318</v>
      </c>
      <c r="I482" s="22" t="s">
        <v>5101</v>
      </c>
      <c r="J482" s="330">
        <v>47.67</v>
      </c>
      <c r="K482" s="330">
        <v>12.67</v>
      </c>
      <c r="L482" s="75">
        <v>3.52</v>
      </c>
      <c r="N482" s="325">
        <f t="shared" si="107"/>
        <v>63.860000000000007</v>
      </c>
      <c r="O482" s="27"/>
      <c r="P482" s="56"/>
      <c r="Q482" s="26"/>
      <c r="S482" s="330">
        <v>0.3</v>
      </c>
      <c r="T482" s="34">
        <v>0.1</v>
      </c>
      <c r="U482" s="366">
        <f t="shared" si="102"/>
        <v>3.6832412523020264E-3</v>
      </c>
      <c r="V482" s="97">
        <v>1.77</v>
      </c>
      <c r="W482" s="36">
        <f>RTD("money.excel",,"2104","Price")</f>
        <v>27.15</v>
      </c>
      <c r="X482" s="67"/>
      <c r="Y482" s="15">
        <f t="shared" si="103"/>
        <v>27.15</v>
      </c>
      <c r="Z482" s="3" t="e">
        <f t="shared" si="104"/>
        <v>#DIV/0!</v>
      </c>
      <c r="AA482" s="174" t="s">
        <v>4710</v>
      </c>
      <c r="AB482" s="22" t="s">
        <v>5101</v>
      </c>
      <c r="AE482" s="33">
        <f t="shared" si="105"/>
        <v>0</v>
      </c>
      <c r="AF482" s="43" t="s">
        <v>5102</v>
      </c>
      <c r="AG482" s="128"/>
      <c r="AI482" s="64">
        <f t="shared" si="106"/>
        <v>2.5243902439024391E-3</v>
      </c>
      <c r="AJ482" s="313">
        <f>RTD("money.excel",,$G482,"PredictVolume")</f>
        <v>2484</v>
      </c>
      <c r="AK482" s="348"/>
    </row>
    <row r="483" spans="1:37">
      <c r="A483" s="148" t="s">
        <v>5103</v>
      </c>
      <c r="B483" s="81">
        <v>54</v>
      </c>
      <c r="C483" s="81">
        <v>22</v>
      </c>
      <c r="D483" s="81">
        <v>3</v>
      </c>
      <c r="E483" s="82">
        <v>-9</v>
      </c>
      <c r="F483" s="6">
        <v>8.17</v>
      </c>
      <c r="G483" s="81">
        <v>2105</v>
      </c>
      <c r="H483" s="8" t="s">
        <v>318</v>
      </c>
      <c r="I483" s="22" t="s">
        <v>5104</v>
      </c>
      <c r="J483" s="330">
        <v>76.3</v>
      </c>
      <c r="K483" s="330">
        <v>14.75</v>
      </c>
      <c r="L483" s="330">
        <v>1.33</v>
      </c>
      <c r="M483" s="75">
        <v>15.4</v>
      </c>
      <c r="N483" s="325">
        <f t="shared" si="107"/>
        <v>107.78</v>
      </c>
      <c r="O483" s="27"/>
      <c r="P483" s="56"/>
      <c r="Q483" s="26"/>
      <c r="R483" s="308" t="s">
        <v>4754</v>
      </c>
      <c r="S483" s="330">
        <v>1.05</v>
      </c>
      <c r="T483" s="34">
        <v>1.2</v>
      </c>
      <c r="U483" s="366">
        <f t="shared" si="102"/>
        <v>3.4782608695652174E-2</v>
      </c>
      <c r="V483" s="58">
        <v>2.3199999999999998</v>
      </c>
      <c r="W483" s="36">
        <f>RTD("money.excel",,"2105","Price")</f>
        <v>34.5</v>
      </c>
      <c r="X483" s="67"/>
      <c r="Y483" s="15">
        <f t="shared" si="103"/>
        <v>34.5</v>
      </c>
      <c r="Z483" s="3" t="e">
        <f t="shared" si="104"/>
        <v>#DIV/0!</v>
      </c>
      <c r="AA483" s="174" t="s">
        <v>4710</v>
      </c>
      <c r="AB483" s="22" t="s">
        <v>5104</v>
      </c>
      <c r="AE483" s="33">
        <f t="shared" si="105"/>
        <v>0</v>
      </c>
      <c r="AF483" s="122" t="s">
        <v>5097</v>
      </c>
      <c r="AG483" s="128"/>
      <c r="AI483" s="64">
        <f t="shared" si="106"/>
        <v>5.4320987654320988E-4</v>
      </c>
      <c r="AJ483" s="313">
        <f>RTD("money.excel",,$G483,"PredictVolume")</f>
        <v>1760</v>
      </c>
      <c r="AK483" s="348"/>
    </row>
    <row r="484" spans="1:37">
      <c r="A484" s="148" t="s">
        <v>5105</v>
      </c>
      <c r="B484" s="95">
        <v>1800</v>
      </c>
      <c r="C484" s="237">
        <v>96342</v>
      </c>
      <c r="D484" s="81">
        <v>3</v>
      </c>
      <c r="E484" s="81">
        <v>7</v>
      </c>
      <c r="F484" s="6">
        <v>8.32</v>
      </c>
      <c r="G484" s="81">
        <v>2106</v>
      </c>
      <c r="H484" s="8" t="s">
        <v>318</v>
      </c>
      <c r="I484" s="22" t="s">
        <v>5106</v>
      </c>
      <c r="J484" s="330">
        <v>80.400000000000006</v>
      </c>
      <c r="K484" s="330">
        <v>7.9</v>
      </c>
      <c r="L484" s="75">
        <v>1.2</v>
      </c>
      <c r="N484" s="325">
        <f t="shared" si="107"/>
        <v>89.500000000000014</v>
      </c>
      <c r="O484" s="27"/>
      <c r="P484" s="56"/>
      <c r="Q484" s="26"/>
      <c r="S484" s="330">
        <v>0.18</v>
      </c>
      <c r="T484" s="34">
        <v>1</v>
      </c>
      <c r="U484" s="366">
        <f t="shared" si="102"/>
        <v>3.316749585406302E-2</v>
      </c>
      <c r="V484" s="58">
        <v>2.36</v>
      </c>
      <c r="W484" s="36">
        <f>RTD("money.excel",,"2106","Price")</f>
        <v>30.15</v>
      </c>
      <c r="X484" s="67"/>
      <c r="Y484" s="15">
        <f t="shared" si="103"/>
        <v>30.15</v>
      </c>
      <c r="Z484" s="3" t="e">
        <f t="shared" si="104"/>
        <v>#DIV/0!</v>
      </c>
      <c r="AA484" s="174" t="s">
        <v>4710</v>
      </c>
      <c r="AB484" s="22" t="s">
        <v>5106</v>
      </c>
      <c r="AE484" s="33">
        <f t="shared" si="105"/>
        <v>0</v>
      </c>
      <c r="AF484" s="122" t="s">
        <v>5097</v>
      </c>
      <c r="AG484" s="128"/>
      <c r="AI484" s="64">
        <f t="shared" si="106"/>
        <v>3.4983498349834986E-4</v>
      </c>
      <c r="AJ484" s="313">
        <f>RTD("money.excel",,$G484,"PredictVolume")</f>
        <v>318</v>
      </c>
      <c r="AK484" s="348"/>
    </row>
    <row r="485" spans="1:37">
      <c r="A485" s="132" t="s">
        <v>5107</v>
      </c>
      <c r="B485" s="82">
        <v>-13</v>
      </c>
      <c r="C485" s="81">
        <v>3</v>
      </c>
      <c r="D485" s="81">
        <v>19</v>
      </c>
      <c r="E485" s="82">
        <v>-4</v>
      </c>
      <c r="F485" s="58">
        <v>26.23</v>
      </c>
      <c r="G485" s="81">
        <v>2107</v>
      </c>
      <c r="H485" s="8" t="s">
        <v>318</v>
      </c>
      <c r="I485" s="22" t="s">
        <v>5108</v>
      </c>
      <c r="J485" s="330">
        <v>48.97</v>
      </c>
      <c r="K485" s="330">
        <v>10.79</v>
      </c>
      <c r="L485" s="330">
        <v>2.58</v>
      </c>
      <c r="N485" s="325">
        <f t="shared" si="107"/>
        <v>62.339999999999996</v>
      </c>
      <c r="O485" s="27"/>
      <c r="P485" s="56"/>
      <c r="Q485" s="26"/>
      <c r="S485" s="330">
        <v>0.59</v>
      </c>
      <c r="T485" s="34">
        <v>1.5</v>
      </c>
      <c r="U485" s="366">
        <f t="shared" si="102"/>
        <v>6.8493150684931517E-2</v>
      </c>
      <c r="V485" s="97">
        <v>2.46</v>
      </c>
      <c r="W485" s="36">
        <f>RTD("money.excel",,"2107","Price")</f>
        <v>21.9</v>
      </c>
      <c r="X485" s="67"/>
      <c r="Y485" s="15">
        <f t="shared" si="103"/>
        <v>21.9</v>
      </c>
      <c r="Z485" s="3" t="e">
        <f t="shared" si="104"/>
        <v>#DIV/0!</v>
      </c>
      <c r="AB485" s="22" t="s">
        <v>5108</v>
      </c>
      <c r="AE485" s="33">
        <f t="shared" si="105"/>
        <v>0</v>
      </c>
      <c r="AF485" s="43" t="s">
        <v>5109</v>
      </c>
      <c r="AG485" s="128"/>
      <c r="AI485" s="64">
        <f t="shared" si="106"/>
        <v>3.6549707602339179E-4</v>
      </c>
      <c r="AJ485" s="313">
        <f>RTD("money.excel",,$G485,"PredictVolume")</f>
        <v>125</v>
      </c>
      <c r="AK485" s="348"/>
    </row>
    <row r="486" spans="1:37">
      <c r="A486" s="132" t="s">
        <v>5110</v>
      </c>
      <c r="B486" s="81">
        <v>313</v>
      </c>
      <c r="C486" s="81">
        <v>301</v>
      </c>
      <c r="D486" s="81">
        <v>2</v>
      </c>
      <c r="E486" s="82">
        <v>-44</v>
      </c>
      <c r="F486" s="58">
        <v>45.03</v>
      </c>
      <c r="G486" s="81">
        <v>2108</v>
      </c>
      <c r="H486" s="8" t="s">
        <v>318</v>
      </c>
      <c r="I486" s="22" t="s">
        <v>5111</v>
      </c>
      <c r="J486" s="330">
        <v>68.87</v>
      </c>
      <c r="K486" s="330">
        <v>14.68</v>
      </c>
      <c r="L486" s="75">
        <v>5.74</v>
      </c>
      <c r="M486" s="330">
        <v>41</v>
      </c>
      <c r="N486" s="75">
        <f t="shared" si="107"/>
        <v>130.29000000000002</v>
      </c>
      <c r="O486" s="27" t="s">
        <v>760</v>
      </c>
      <c r="P486" s="56"/>
      <c r="Q486" s="26"/>
      <c r="R486" s="308" t="s">
        <v>6117</v>
      </c>
      <c r="S486" s="330">
        <v>7</v>
      </c>
      <c r="T486" s="67">
        <v>4</v>
      </c>
      <c r="U486" s="366">
        <f t="shared" si="102"/>
        <v>4.8899755501222497E-2</v>
      </c>
      <c r="V486" s="58">
        <v>17.559999999999999</v>
      </c>
      <c r="W486" s="36">
        <f>RTD("money.excel",,"2108","Price")</f>
        <v>81.8</v>
      </c>
      <c r="X486" s="67"/>
      <c r="Y486" s="15">
        <f t="shared" si="103"/>
        <v>81.8</v>
      </c>
      <c r="Z486" s="3" t="e">
        <f t="shared" si="104"/>
        <v>#DIV/0!</v>
      </c>
      <c r="AA486" s="174" t="s">
        <v>2185</v>
      </c>
      <c r="AB486" s="22" t="s">
        <v>5111</v>
      </c>
      <c r="AE486" s="33">
        <f t="shared" si="105"/>
        <v>0</v>
      </c>
      <c r="AF486" s="43" t="s">
        <v>5112</v>
      </c>
      <c r="AG486" s="128"/>
      <c r="AI486" s="64">
        <f t="shared" si="106"/>
        <v>1.0910569105691057E-2</v>
      </c>
      <c r="AJ486" s="313">
        <f>RTD("money.excel",,$G486,"PredictVolume")</f>
        <v>5368</v>
      </c>
      <c r="AK486" s="348">
        <v>10.93</v>
      </c>
    </row>
    <row r="487" spans="1:37">
      <c r="A487" s="132" t="s">
        <v>5113</v>
      </c>
      <c r="B487" s="81">
        <v>554</v>
      </c>
      <c r="C487" s="81">
        <v>48</v>
      </c>
      <c r="D487" s="82">
        <v>-19</v>
      </c>
      <c r="E487" s="82">
        <v>-6</v>
      </c>
      <c r="F487" s="58">
        <v>11.64</v>
      </c>
      <c r="G487" s="81">
        <v>2109</v>
      </c>
      <c r="H487" s="8" t="s">
        <v>318</v>
      </c>
      <c r="I487" s="22" t="s">
        <v>5114</v>
      </c>
      <c r="J487" s="330">
        <v>69.86</v>
      </c>
      <c r="K487" s="330">
        <v>14.75</v>
      </c>
      <c r="N487" s="325">
        <f t="shared" si="107"/>
        <v>84.61</v>
      </c>
      <c r="O487" s="27"/>
      <c r="P487" s="56"/>
      <c r="Q487" s="26"/>
      <c r="T487" s="34">
        <v>0</v>
      </c>
      <c r="U487" s="366">
        <f t="shared" si="102"/>
        <v>0</v>
      </c>
      <c r="V487" s="97">
        <v>1.17</v>
      </c>
      <c r="W487" s="36">
        <f>RTD("money.excel",,"2109","Price")</f>
        <v>15.25</v>
      </c>
      <c r="X487" s="67"/>
      <c r="Y487" s="15">
        <f t="shared" si="103"/>
        <v>15.25</v>
      </c>
      <c r="Z487" s="3" t="e">
        <f t="shared" si="104"/>
        <v>#DIV/0!</v>
      </c>
      <c r="AA487" s="174" t="s">
        <v>4710</v>
      </c>
      <c r="AB487" s="22" t="s">
        <v>5114</v>
      </c>
      <c r="AE487" s="33">
        <f t="shared" si="105"/>
        <v>0</v>
      </c>
      <c r="AF487" s="43" t="s">
        <v>5097</v>
      </c>
      <c r="AG487" s="128"/>
      <c r="AI487" s="64">
        <f t="shared" si="106"/>
        <v>1.7771084337349398E-4</v>
      </c>
      <c r="AJ487" s="313">
        <f>RTD("money.excel",,$G487,"PredictVolume")</f>
        <v>59</v>
      </c>
      <c r="AK487" s="348"/>
    </row>
    <row r="488" spans="1:37">
      <c r="A488" s="132" t="s">
        <v>5115</v>
      </c>
      <c r="B488" s="81">
        <v>5</v>
      </c>
      <c r="C488" s="81">
        <v>30</v>
      </c>
      <c r="D488" s="81">
        <v>1</v>
      </c>
      <c r="E488" s="82">
        <v>-5</v>
      </c>
      <c r="F488" s="58">
        <v>34.1</v>
      </c>
      <c r="G488" s="81">
        <v>2114</v>
      </c>
      <c r="H488" s="8" t="s">
        <v>318</v>
      </c>
      <c r="I488" s="22" t="s">
        <v>5116</v>
      </c>
      <c r="J488" s="330">
        <v>60.6</v>
      </c>
      <c r="K488" s="330">
        <v>1.31</v>
      </c>
      <c r="L488" s="75">
        <v>0.51</v>
      </c>
      <c r="N488" s="325">
        <f t="shared" si="107"/>
        <v>62.42</v>
      </c>
      <c r="O488" s="27"/>
      <c r="P488" s="56"/>
      <c r="Q488" s="26"/>
      <c r="S488" s="330">
        <v>0</v>
      </c>
      <c r="T488" s="67">
        <v>6</v>
      </c>
      <c r="U488" s="366">
        <f t="shared" si="102"/>
        <v>4.3165467625899283E-2</v>
      </c>
      <c r="V488" s="97">
        <v>7.39</v>
      </c>
      <c r="W488" s="36">
        <f>RTD("money.excel",,"2114","Price")</f>
        <v>139</v>
      </c>
      <c r="X488" s="67"/>
      <c r="Y488" s="15">
        <f t="shared" si="103"/>
        <v>139</v>
      </c>
      <c r="Z488" s="3" t="e">
        <f t="shared" si="104"/>
        <v>#DIV/0!</v>
      </c>
      <c r="AA488" s="174" t="s">
        <v>4714</v>
      </c>
      <c r="AB488" s="22" t="s">
        <v>5116</v>
      </c>
      <c r="AE488" s="33">
        <f t="shared" si="105"/>
        <v>0</v>
      </c>
      <c r="AF488" s="43" t="s">
        <v>5117</v>
      </c>
      <c r="AG488" s="128"/>
      <c r="AI488" s="64">
        <f t="shared" si="106"/>
        <v>3.2016925246826518E-3</v>
      </c>
      <c r="AJ488" s="313">
        <f>RTD("money.excel",,$G488,"PredictVolume")</f>
        <v>227</v>
      </c>
      <c r="AK488" s="348"/>
    </row>
    <row r="489" spans="1:37">
      <c r="A489" s="148" t="s">
        <v>5118</v>
      </c>
      <c r="B489" s="81">
        <v>19</v>
      </c>
      <c r="C489" s="82">
        <v>-16</v>
      </c>
      <c r="D489" s="82">
        <v>-32</v>
      </c>
      <c r="E489" s="82">
        <v>-2</v>
      </c>
      <c r="F489" s="6">
        <v>4.29</v>
      </c>
      <c r="G489" s="81">
        <v>5102</v>
      </c>
      <c r="H489" s="8" t="s">
        <v>318</v>
      </c>
      <c r="I489" s="16" t="s">
        <v>5119</v>
      </c>
      <c r="J489" s="75">
        <v>79.459999999999994</v>
      </c>
      <c r="K489" s="75">
        <v>0.1</v>
      </c>
      <c r="L489" s="75">
        <v>0.94</v>
      </c>
      <c r="N489" s="325">
        <f t="shared" si="107"/>
        <v>80.499999999999986</v>
      </c>
      <c r="O489" s="27"/>
      <c r="P489" s="56"/>
      <c r="Q489" s="26"/>
      <c r="S489" s="330">
        <v>0</v>
      </c>
      <c r="T489" s="34"/>
      <c r="U489" s="366">
        <f t="shared" si="102"/>
        <v>0</v>
      </c>
      <c r="V489" s="58">
        <v>0.79</v>
      </c>
      <c r="W489" s="36">
        <f>RTD("money.excel",,"5102","Price")</f>
        <v>24.7</v>
      </c>
      <c r="X489" s="67"/>
      <c r="Y489" s="15">
        <f t="shared" si="103"/>
        <v>24.7</v>
      </c>
      <c r="Z489" s="3" t="e">
        <f t="shared" si="104"/>
        <v>#DIV/0!</v>
      </c>
      <c r="AB489" s="16" t="s">
        <v>5119</v>
      </c>
      <c r="AE489" s="33">
        <f t="shared" si="105"/>
        <v>0</v>
      </c>
      <c r="AF489" s="43" t="s">
        <v>5120</v>
      </c>
      <c r="AG489" s="269"/>
      <c r="AI489" s="64">
        <f t="shared" si="106"/>
        <v>1.8876755070202807E-2</v>
      </c>
      <c r="AJ489" s="313">
        <f>RTD("money.excel",,$G489,"PredictVolume")</f>
        <v>1210</v>
      </c>
      <c r="AK489" s="348"/>
    </row>
    <row r="490" spans="1:37">
      <c r="A490" s="132" t="s">
        <v>4785</v>
      </c>
      <c r="B490" s="81">
        <v>239</v>
      </c>
      <c r="C490" s="81">
        <v>250</v>
      </c>
      <c r="D490" s="82">
        <v>-75</v>
      </c>
      <c r="E490" s="82">
        <v>-78</v>
      </c>
      <c r="F490" s="58">
        <v>55.97</v>
      </c>
      <c r="G490" s="81">
        <v>6582</v>
      </c>
      <c r="H490" s="8" t="s">
        <v>318</v>
      </c>
      <c r="I490" s="22" t="s">
        <v>5121</v>
      </c>
      <c r="J490" s="330">
        <v>78.349999999999994</v>
      </c>
      <c r="K490" s="75">
        <v>17.579999999999998</v>
      </c>
      <c r="L490" s="330">
        <v>4.0199999999999996</v>
      </c>
      <c r="M490" s="330">
        <v>50.77</v>
      </c>
      <c r="N490" s="75">
        <f t="shared" si="107"/>
        <v>150.72</v>
      </c>
      <c r="O490" s="27"/>
      <c r="P490" s="56"/>
      <c r="Q490" s="26"/>
      <c r="R490" s="308" t="s">
        <v>4728</v>
      </c>
      <c r="S490" s="330">
        <v>1.1100000000000001</v>
      </c>
      <c r="T490" s="67">
        <v>10</v>
      </c>
      <c r="U490" s="366">
        <f t="shared" si="102"/>
        <v>6.9930069930069935E-2</v>
      </c>
      <c r="V490" s="58">
        <v>38.15</v>
      </c>
      <c r="W490" s="36">
        <f>RTD("money.excel",,"6582","Price")</f>
        <v>143</v>
      </c>
      <c r="X490" s="67"/>
      <c r="Y490" s="15">
        <f t="shared" si="103"/>
        <v>143</v>
      </c>
      <c r="Z490" s="3" t="e">
        <f t="shared" si="104"/>
        <v>#DIV/0!</v>
      </c>
      <c r="AA490" s="174" t="s">
        <v>4714</v>
      </c>
      <c r="AB490" s="22" t="s">
        <v>5121</v>
      </c>
      <c r="AE490" s="33">
        <f t="shared" si="105"/>
        <v>0</v>
      </c>
      <c r="AF490" s="43" t="s">
        <v>5122</v>
      </c>
      <c r="AG490" s="51"/>
      <c r="AI490" s="64">
        <f t="shared" si="106"/>
        <v>1.6320754716981133E-3</v>
      </c>
      <c r="AJ490" s="313">
        <f>RTD("money.excel",,$G490,"PredictVolume")</f>
        <v>173</v>
      </c>
      <c r="AK490" s="108"/>
    </row>
    <row r="491" spans="1:37">
      <c r="B491" s="81"/>
      <c r="C491" s="81"/>
      <c r="D491" s="82"/>
      <c r="E491" s="82"/>
      <c r="F491" s="58"/>
      <c r="G491" s="81"/>
      <c r="H491" s="8"/>
      <c r="I491" s="22"/>
      <c r="J491" s="330"/>
      <c r="K491" s="75"/>
      <c r="L491" s="330"/>
      <c r="M491" s="330"/>
      <c r="N491" s="75"/>
      <c r="O491" s="27"/>
      <c r="P491" s="56"/>
      <c r="Q491" s="26"/>
      <c r="T491" s="67"/>
      <c r="V491" s="58"/>
      <c r="W491" s="36"/>
      <c r="X491" s="67"/>
      <c r="Y491" s="15"/>
      <c r="Z491" s="3"/>
      <c r="AB491" s="22"/>
      <c r="AE491" s="33"/>
      <c r="AF491" s="43"/>
      <c r="AG491" s="51"/>
      <c r="AI491" s="64"/>
      <c r="AJ491" s="313"/>
      <c r="AK491" s="108"/>
    </row>
    <row r="492" spans="1:37">
      <c r="A492" s="132" t="s">
        <v>4917</v>
      </c>
      <c r="B492" s="93" t="s">
        <v>4918</v>
      </c>
      <c r="C492" s="93" t="s">
        <v>4919</v>
      </c>
      <c r="D492" s="93" t="s">
        <v>4920</v>
      </c>
      <c r="E492" s="93" t="s">
        <v>4921</v>
      </c>
      <c r="F492" s="8" t="s">
        <v>4922</v>
      </c>
      <c r="G492" s="27" t="s">
        <v>5123</v>
      </c>
      <c r="H492" s="55" t="s">
        <v>342</v>
      </c>
      <c r="I492" s="8" t="s">
        <v>5124</v>
      </c>
      <c r="J492" s="324" t="s">
        <v>4925</v>
      </c>
      <c r="K492" s="324" t="s">
        <v>4926</v>
      </c>
      <c r="L492" s="324" t="s">
        <v>4927</v>
      </c>
      <c r="M492" s="324" t="s">
        <v>4928</v>
      </c>
      <c r="N492" s="324" t="s">
        <v>6091</v>
      </c>
      <c r="O492" s="27" t="s">
        <v>6253</v>
      </c>
      <c r="P492" s="56" t="s">
        <v>6219</v>
      </c>
      <c r="Q492" s="26" t="s">
        <v>6313</v>
      </c>
      <c r="R492" s="309" t="s">
        <v>4929</v>
      </c>
      <c r="S492" s="335" t="s">
        <v>4930</v>
      </c>
      <c r="T492" s="10" t="s">
        <v>4931</v>
      </c>
      <c r="U492" s="364" t="s">
        <v>6152</v>
      </c>
      <c r="V492" s="69" t="s">
        <v>4932</v>
      </c>
      <c r="W492" s="28" t="s">
        <v>4933</v>
      </c>
      <c r="X492" s="17" t="s">
        <v>4934</v>
      </c>
      <c r="Y492" s="14" t="s">
        <v>4935</v>
      </c>
      <c r="Z492" s="21" t="s">
        <v>4936</v>
      </c>
      <c r="AA492" s="322" t="s">
        <v>4937</v>
      </c>
      <c r="AB492" s="8" t="s">
        <v>5124</v>
      </c>
      <c r="AC492" s="73" t="s">
        <v>4938</v>
      </c>
      <c r="AD492" s="74" t="s">
        <v>4939</v>
      </c>
      <c r="AE492" s="32" t="s">
        <v>4940</v>
      </c>
      <c r="AF492" s="43"/>
      <c r="AG492" s="269"/>
      <c r="AI492" s="8" t="s">
        <v>4941</v>
      </c>
      <c r="AJ492" s="50" t="s">
        <v>4942</v>
      </c>
      <c r="AK492" s="348" t="s">
        <v>6074</v>
      </c>
    </row>
    <row r="493" spans="1:37">
      <c r="A493" s="148" t="s">
        <v>5125</v>
      </c>
      <c r="B493" s="82">
        <v>-68</v>
      </c>
      <c r="C493" s="82">
        <v>-88</v>
      </c>
      <c r="D493" s="82">
        <v>-2</v>
      </c>
      <c r="E493" s="82">
        <v>-14</v>
      </c>
      <c r="F493" s="6">
        <v>1.51</v>
      </c>
      <c r="G493" s="81">
        <v>1319</v>
      </c>
      <c r="H493" s="8" t="s">
        <v>319</v>
      </c>
      <c r="I493" s="22" t="s">
        <v>5126</v>
      </c>
      <c r="J493" s="75">
        <v>79.5</v>
      </c>
      <c r="K493" s="330">
        <v>18.739999999999998</v>
      </c>
      <c r="L493" s="330">
        <v>1.31</v>
      </c>
      <c r="N493" s="325">
        <f t="shared" ref="N493" si="108">J493+K493+L493+M493</f>
        <v>99.55</v>
      </c>
      <c r="O493" s="27"/>
      <c r="P493" s="56"/>
      <c r="Q493" s="26"/>
      <c r="S493" s="330">
        <v>0.08</v>
      </c>
      <c r="T493" s="34">
        <v>0.8</v>
      </c>
      <c r="U493" s="366">
        <f t="shared" ref="U493:U525" si="109">T493/W493</f>
        <v>2.6143790849673203E-2</v>
      </c>
      <c r="V493" s="97">
        <v>1.39</v>
      </c>
      <c r="W493" s="36">
        <f>RTD("money.excel",,"1319","Price")</f>
        <v>30.6</v>
      </c>
      <c r="X493" s="67"/>
      <c r="Y493" s="15">
        <f t="shared" ref="Y493:Y525" si="110">W493-X493</f>
        <v>30.6</v>
      </c>
      <c r="Z493" s="3" t="e">
        <f t="shared" ref="Z493:Z525" si="111">Y493/X493</f>
        <v>#DIV/0!</v>
      </c>
      <c r="AA493" s="174" t="s">
        <v>4710</v>
      </c>
      <c r="AB493" s="22" t="s">
        <v>5126</v>
      </c>
      <c r="AE493" s="33">
        <f t="shared" ref="AE493:AE525" si="112">AD493-AC493</f>
        <v>0</v>
      </c>
      <c r="AF493" s="122" t="s">
        <v>5127</v>
      </c>
      <c r="AG493" s="128"/>
      <c r="AI493" s="64">
        <f t="shared" ref="AI493:AI525" si="113">AJ493/(A493*10000)</f>
        <v>2.1015228426395937E-3</v>
      </c>
      <c r="AJ493" s="313">
        <f>RTD("money.excel",,$G493,"PredictVolume")</f>
        <v>1242</v>
      </c>
      <c r="AK493" s="348"/>
    </row>
    <row r="494" spans="1:37">
      <c r="A494" s="148" t="s">
        <v>5128</v>
      </c>
      <c r="B494" s="82">
        <v>-35</v>
      </c>
      <c r="C494" s="82">
        <v>-27</v>
      </c>
      <c r="D494" s="82">
        <v>-54</v>
      </c>
      <c r="E494" s="82">
        <v>-42</v>
      </c>
      <c r="F494" s="6">
        <v>7.18</v>
      </c>
      <c r="G494" s="81">
        <v>1338</v>
      </c>
      <c r="H494" s="8" t="s">
        <v>319</v>
      </c>
      <c r="I494" s="22" t="s">
        <v>5129</v>
      </c>
      <c r="J494" s="330">
        <v>48.11</v>
      </c>
      <c r="K494" s="330">
        <v>15.06</v>
      </c>
      <c r="L494" s="330">
        <v>7.21</v>
      </c>
      <c r="N494" s="325">
        <f t="shared" ref="N494:N525" si="114">J494+K494+L494+M494</f>
        <v>70.38</v>
      </c>
      <c r="O494" s="27"/>
      <c r="P494" s="56"/>
      <c r="Q494" s="26"/>
      <c r="S494" s="330">
        <v>18.2</v>
      </c>
      <c r="T494" s="67">
        <v>3.5</v>
      </c>
      <c r="U494" s="366">
        <f t="shared" si="109"/>
        <v>5.9625212947189095E-2</v>
      </c>
      <c r="V494" s="97">
        <v>3.51</v>
      </c>
      <c r="W494" s="36">
        <f>RTD("money.excel",,"1338","Price")</f>
        <v>58.7</v>
      </c>
      <c r="X494" s="67"/>
      <c r="Y494" s="15">
        <f t="shared" si="110"/>
        <v>58.7</v>
      </c>
      <c r="Z494" s="3" t="e">
        <f t="shared" si="111"/>
        <v>#DIV/0!</v>
      </c>
      <c r="AA494" s="174" t="s">
        <v>4714</v>
      </c>
      <c r="AB494" s="22" t="s">
        <v>5129</v>
      </c>
      <c r="AE494" s="33">
        <f t="shared" si="112"/>
        <v>0</v>
      </c>
      <c r="AF494" s="43" t="s">
        <v>5130</v>
      </c>
      <c r="AG494" s="128"/>
      <c r="AI494" s="64">
        <f t="shared" si="113"/>
        <v>4.2004773269689729E-3</v>
      </c>
      <c r="AJ494" s="313">
        <f>RTD("money.excel",,$G494,"PredictVolume")</f>
        <v>352</v>
      </c>
      <c r="AK494" s="348"/>
    </row>
    <row r="495" spans="1:37">
      <c r="A495" s="132" t="s">
        <v>5131</v>
      </c>
      <c r="B495" s="82">
        <v>-34</v>
      </c>
      <c r="C495" s="81">
        <v>1</v>
      </c>
      <c r="D495" s="81">
        <v>14</v>
      </c>
      <c r="E495" s="82">
        <v>-21</v>
      </c>
      <c r="F495" s="58">
        <v>17.43</v>
      </c>
      <c r="G495" s="81">
        <v>1339</v>
      </c>
      <c r="H495" s="8" t="s">
        <v>319</v>
      </c>
      <c r="I495" s="22" t="s">
        <v>5132</v>
      </c>
      <c r="J495" s="330">
        <v>67.900000000000006</v>
      </c>
      <c r="K495" s="75">
        <v>1.33</v>
      </c>
      <c r="L495" s="330">
        <v>7.25</v>
      </c>
      <c r="N495" s="325">
        <f t="shared" si="114"/>
        <v>76.48</v>
      </c>
      <c r="O495" s="27"/>
      <c r="P495" s="56"/>
      <c r="Q495" s="26"/>
      <c r="S495" s="330">
        <v>0.15</v>
      </c>
      <c r="T495" s="34">
        <v>2</v>
      </c>
      <c r="U495" s="366">
        <f t="shared" si="109"/>
        <v>5.8479532163742687E-2</v>
      </c>
      <c r="V495" s="97">
        <v>1.59</v>
      </c>
      <c r="W495" s="13">
        <f>RTD("money.excel",,"1339","Price")</f>
        <v>34.200000000000003</v>
      </c>
      <c r="X495" s="67"/>
      <c r="Y495" s="15">
        <f t="shared" si="110"/>
        <v>34.200000000000003</v>
      </c>
      <c r="Z495" s="3" t="e">
        <f t="shared" si="111"/>
        <v>#DIV/0!</v>
      </c>
      <c r="AA495" s="174" t="s">
        <v>4710</v>
      </c>
      <c r="AB495" s="22" t="s">
        <v>5132</v>
      </c>
      <c r="AE495" s="33">
        <f t="shared" si="112"/>
        <v>0</v>
      </c>
      <c r="AF495" s="43" t="s">
        <v>5127</v>
      </c>
      <c r="AG495" s="128"/>
      <c r="AI495" s="64">
        <f t="shared" si="113"/>
        <v>4.7233468286099863E-4</v>
      </c>
      <c r="AJ495" s="313">
        <f>RTD("money.excel",,$G495,"PredictVolume")</f>
        <v>35</v>
      </c>
      <c r="AK495" s="348"/>
    </row>
    <row r="496" spans="1:37">
      <c r="A496" s="148" t="s">
        <v>5133</v>
      </c>
      <c r="B496" s="93">
        <v>1</v>
      </c>
      <c r="C496" s="93">
        <v>5</v>
      </c>
      <c r="D496" s="93">
        <v>7</v>
      </c>
      <c r="E496" s="93">
        <v>-29</v>
      </c>
      <c r="F496" s="6">
        <v>-10.72</v>
      </c>
      <c r="G496" s="81">
        <v>1512</v>
      </c>
      <c r="H496" s="8" t="s">
        <v>319</v>
      </c>
      <c r="I496" s="22" t="s">
        <v>5134</v>
      </c>
      <c r="J496" s="75">
        <v>50.87</v>
      </c>
      <c r="K496" s="75">
        <v>8.4499999999999993</v>
      </c>
      <c r="N496" s="325">
        <f t="shared" si="114"/>
        <v>59.319999999999993</v>
      </c>
      <c r="O496" s="27"/>
      <c r="P496" s="56"/>
      <c r="Q496" s="26"/>
      <c r="S496" s="330">
        <v>10.81</v>
      </c>
      <c r="T496" s="34">
        <v>0</v>
      </c>
      <c r="U496" s="366">
        <f t="shared" si="109"/>
        <v>0</v>
      </c>
      <c r="V496" s="97">
        <v>-0.55000000000000004</v>
      </c>
      <c r="W496" s="13">
        <f>RTD("money.excel",,"1512","Price")</f>
        <v>4.4400000000000004</v>
      </c>
      <c r="X496" s="67"/>
      <c r="Y496" s="15">
        <f t="shared" si="110"/>
        <v>4.4400000000000004</v>
      </c>
      <c r="Z496" s="3" t="e">
        <f t="shared" si="111"/>
        <v>#DIV/0!</v>
      </c>
      <c r="AB496" s="22" t="s">
        <v>5134</v>
      </c>
      <c r="AE496" s="33">
        <f t="shared" si="112"/>
        <v>0</v>
      </c>
      <c r="AF496" s="43" t="s">
        <v>5135</v>
      </c>
      <c r="AG496" s="128"/>
      <c r="AI496" s="64">
        <f t="shared" si="113"/>
        <v>4.6186440677966104E-4</v>
      </c>
      <c r="AJ496" s="313">
        <f>RTD("money.excel",,$G496,"PredictVolume")</f>
        <v>109</v>
      </c>
      <c r="AK496" s="348"/>
    </row>
    <row r="497" spans="1:37">
      <c r="A497" s="148" t="s">
        <v>5136</v>
      </c>
      <c r="B497" s="82">
        <v>-55</v>
      </c>
      <c r="C497" s="82">
        <v>-54</v>
      </c>
      <c r="D497" s="82">
        <v>-15</v>
      </c>
      <c r="E497" s="82">
        <v>-26</v>
      </c>
      <c r="F497" s="6">
        <v>3.89</v>
      </c>
      <c r="G497" s="81">
        <v>1521</v>
      </c>
      <c r="H497" s="8" t="s">
        <v>319</v>
      </c>
      <c r="I497" s="22" t="s">
        <v>5137</v>
      </c>
      <c r="J497" s="330">
        <v>65.66</v>
      </c>
      <c r="K497" s="330">
        <v>33.47</v>
      </c>
      <c r="L497" s="75">
        <v>0.54</v>
      </c>
      <c r="N497" s="325">
        <f t="shared" si="114"/>
        <v>99.67</v>
      </c>
      <c r="O497" s="27"/>
      <c r="P497" s="56"/>
      <c r="Q497" s="26"/>
      <c r="S497" s="330">
        <v>0</v>
      </c>
      <c r="T497" s="34">
        <v>1.3</v>
      </c>
      <c r="U497" s="366">
        <f t="shared" si="109"/>
        <v>3.2994923857868022E-2</v>
      </c>
      <c r="V497" s="58">
        <v>2.1</v>
      </c>
      <c r="W497" s="36">
        <f>RTD("money.excel",,"1521","Price")</f>
        <v>39.4</v>
      </c>
      <c r="X497" s="67"/>
      <c r="Y497" s="15">
        <f t="shared" si="110"/>
        <v>39.4</v>
      </c>
      <c r="Z497" s="3" t="e">
        <f t="shared" si="111"/>
        <v>#DIV/0!</v>
      </c>
      <c r="AA497" s="174" t="s">
        <v>4710</v>
      </c>
      <c r="AB497" s="22" t="s">
        <v>5137</v>
      </c>
      <c r="AE497" s="33">
        <f t="shared" si="112"/>
        <v>0</v>
      </c>
      <c r="AF497" s="43" t="s">
        <v>2538</v>
      </c>
      <c r="AG497" s="128"/>
      <c r="AI497" s="64">
        <f t="shared" si="113"/>
        <v>2.6246719160104987E-4</v>
      </c>
      <c r="AJ497" s="313">
        <f>RTD("money.excel",,$G497,"PredictVolume")</f>
        <v>20</v>
      </c>
      <c r="AK497" s="348"/>
    </row>
    <row r="498" spans="1:37">
      <c r="A498" s="148" t="s">
        <v>5138</v>
      </c>
      <c r="B498" s="93">
        <v>-75</v>
      </c>
      <c r="C498" s="93">
        <v>-73</v>
      </c>
      <c r="D498" s="93">
        <v>3</v>
      </c>
      <c r="E498" s="93">
        <v>1</v>
      </c>
      <c r="F498" s="6">
        <v>4.17</v>
      </c>
      <c r="G498" s="81">
        <v>1522</v>
      </c>
      <c r="H498" s="8" t="s">
        <v>319</v>
      </c>
      <c r="I498" s="23" t="s">
        <v>5139</v>
      </c>
      <c r="J498" s="75">
        <v>61.97</v>
      </c>
      <c r="K498" s="75">
        <v>8.02</v>
      </c>
      <c r="L498" s="75">
        <v>8.89</v>
      </c>
      <c r="N498" s="325">
        <f t="shared" si="114"/>
        <v>78.88</v>
      </c>
      <c r="O498" s="27"/>
      <c r="P498" s="56"/>
      <c r="Q498" s="26"/>
      <c r="S498" s="330">
        <v>8.43</v>
      </c>
      <c r="T498" s="34">
        <v>0.6</v>
      </c>
      <c r="U498" s="366">
        <f t="shared" si="109"/>
        <v>3.3519553072625698E-2</v>
      </c>
      <c r="V498" s="97">
        <v>0.84</v>
      </c>
      <c r="W498" s="13">
        <f>RTD("money.excel",,"1522","Price")</f>
        <v>17.899999999999999</v>
      </c>
      <c r="X498" s="67"/>
      <c r="Y498" s="15">
        <f t="shared" si="110"/>
        <v>17.899999999999999</v>
      </c>
      <c r="Z498" s="3" t="e">
        <f t="shared" si="111"/>
        <v>#DIV/0!</v>
      </c>
      <c r="AA498" s="174" t="s">
        <v>4710</v>
      </c>
      <c r="AB498" s="23" t="s">
        <v>5139</v>
      </c>
      <c r="AE498" s="33">
        <f t="shared" si="112"/>
        <v>0</v>
      </c>
      <c r="AF498" s="124" t="s">
        <v>2538</v>
      </c>
      <c r="AG498" s="128"/>
      <c r="AI498" s="64">
        <f t="shared" si="113"/>
        <v>8.8782051282051283E-4</v>
      </c>
      <c r="AJ498" s="313">
        <f>RTD("money.excel",,$G498,"PredictVolume")</f>
        <v>277</v>
      </c>
      <c r="AK498" s="348"/>
    </row>
    <row r="499" spans="1:37">
      <c r="A499" s="148" t="s">
        <v>5068</v>
      </c>
      <c r="B499" s="93">
        <v>-73</v>
      </c>
      <c r="C499" s="93">
        <v>-76</v>
      </c>
      <c r="D499" s="93">
        <v>-19</v>
      </c>
      <c r="E499" s="93">
        <v>45</v>
      </c>
      <c r="F499" s="6">
        <v>9.49</v>
      </c>
      <c r="G499" s="81">
        <v>1524</v>
      </c>
      <c r="H499" s="8" t="s">
        <v>319</v>
      </c>
      <c r="I499" s="22" t="s">
        <v>5140</v>
      </c>
      <c r="J499" s="75">
        <v>53.03</v>
      </c>
      <c r="K499" s="75">
        <v>0.2</v>
      </c>
      <c r="L499" s="75">
        <v>12.38</v>
      </c>
      <c r="N499" s="325">
        <f t="shared" si="114"/>
        <v>65.61</v>
      </c>
      <c r="O499" s="27"/>
      <c r="P499" s="56"/>
      <c r="Q499" s="26"/>
      <c r="S499" s="330">
        <v>28.16</v>
      </c>
      <c r="T499" s="34">
        <v>0.21</v>
      </c>
      <c r="U499" s="366">
        <f t="shared" si="109"/>
        <v>2.0289855072463767E-2</v>
      </c>
      <c r="V499" s="97">
        <v>0.21</v>
      </c>
      <c r="W499" s="13">
        <f>RTD("money.excel",,"1524","Price")</f>
        <v>10.35</v>
      </c>
      <c r="X499" s="67"/>
      <c r="Y499" s="15">
        <f t="shared" si="110"/>
        <v>10.35</v>
      </c>
      <c r="Z499" s="3" t="e">
        <f t="shared" si="111"/>
        <v>#DIV/0!</v>
      </c>
      <c r="AB499" s="22" t="s">
        <v>5140</v>
      </c>
      <c r="AE499" s="33">
        <f t="shared" si="112"/>
        <v>0</v>
      </c>
      <c r="AF499" s="124" t="s">
        <v>5141</v>
      </c>
      <c r="AG499" s="128"/>
      <c r="AI499" s="64">
        <f t="shared" si="113"/>
        <v>9.878787878787878E-4</v>
      </c>
      <c r="AJ499" s="313">
        <f>RTD("money.excel",,$G499,"PredictVolume")</f>
        <v>163</v>
      </c>
      <c r="AK499" s="348"/>
    </row>
    <row r="500" spans="1:37">
      <c r="A500" s="148" t="s">
        <v>5142</v>
      </c>
      <c r="B500" s="82">
        <v>-85</v>
      </c>
      <c r="C500" s="82">
        <v>-163</v>
      </c>
      <c r="D500" s="81">
        <v>5</v>
      </c>
      <c r="E500" s="82">
        <v>-20</v>
      </c>
      <c r="F500" s="6">
        <v>-3.91</v>
      </c>
      <c r="G500" s="81">
        <v>1525</v>
      </c>
      <c r="H500" s="8" t="s">
        <v>319</v>
      </c>
      <c r="I500" s="22" t="s">
        <v>5143</v>
      </c>
      <c r="J500" s="330">
        <v>83.44</v>
      </c>
      <c r="K500" s="75">
        <v>0.09</v>
      </c>
      <c r="L500" s="75">
        <v>10.17</v>
      </c>
      <c r="N500" s="325">
        <f t="shared" si="114"/>
        <v>93.7</v>
      </c>
      <c r="O500" s="27"/>
      <c r="P500" s="56"/>
      <c r="Q500" s="26"/>
      <c r="S500" s="330">
        <v>77.83</v>
      </c>
      <c r="T500" s="34">
        <v>2.2000000000000002</v>
      </c>
      <c r="U500" s="366">
        <f t="shared" si="109"/>
        <v>3.678929765886288E-2</v>
      </c>
      <c r="V500" s="58">
        <v>4.42</v>
      </c>
      <c r="W500" s="36">
        <f>RTD("money.excel",,"1525","Price")</f>
        <v>59.8</v>
      </c>
      <c r="X500" s="67"/>
      <c r="Y500" s="15">
        <f t="shared" si="110"/>
        <v>59.8</v>
      </c>
      <c r="Z500" s="3" t="e">
        <f t="shared" si="111"/>
        <v>#DIV/0!</v>
      </c>
      <c r="AA500" s="174" t="s">
        <v>4710</v>
      </c>
      <c r="AB500" s="22" t="s">
        <v>5143</v>
      </c>
      <c r="AC500" s="115"/>
      <c r="AE500" s="33">
        <f t="shared" si="112"/>
        <v>0</v>
      </c>
      <c r="AF500" s="43" t="s">
        <v>5144</v>
      </c>
      <c r="AG500" s="128"/>
      <c r="AI500" s="64">
        <f t="shared" si="113"/>
        <v>3.8147138964577656E-4</v>
      </c>
      <c r="AJ500" s="313">
        <f>RTD("money.excel",,$G500,"PredictVolume")</f>
        <v>28</v>
      </c>
      <c r="AK500" s="348"/>
    </row>
    <row r="501" spans="1:37">
      <c r="A501" s="148" t="s">
        <v>5145</v>
      </c>
      <c r="B501" s="82">
        <v>-104</v>
      </c>
      <c r="C501" s="82">
        <v>-61</v>
      </c>
      <c r="D501" s="81">
        <v>32</v>
      </c>
      <c r="E501" s="81">
        <v>12</v>
      </c>
      <c r="F501" s="6">
        <v>2.23</v>
      </c>
      <c r="G501" s="81">
        <v>1533</v>
      </c>
      <c r="H501" s="8" t="s">
        <v>319</v>
      </c>
      <c r="I501" s="23" t="s">
        <v>5146</v>
      </c>
      <c r="J501" s="330">
        <v>52.46</v>
      </c>
      <c r="K501" s="330">
        <v>6.53</v>
      </c>
      <c r="L501" s="330">
        <v>12.78</v>
      </c>
      <c r="N501" s="325">
        <f t="shared" si="114"/>
        <v>71.77</v>
      </c>
      <c r="O501" s="27"/>
      <c r="P501" s="56"/>
      <c r="Q501" s="26"/>
      <c r="S501" s="330">
        <v>0.88</v>
      </c>
      <c r="T501" s="34">
        <v>0</v>
      </c>
      <c r="U501" s="366">
        <f t="shared" si="109"/>
        <v>0</v>
      </c>
      <c r="V501" s="58">
        <v>0.86</v>
      </c>
      <c r="W501" s="36">
        <f>RTD("money.excel",,"1533","Price")</f>
        <v>54.3</v>
      </c>
      <c r="X501" s="67"/>
      <c r="Y501" s="15">
        <f t="shared" si="110"/>
        <v>54.3</v>
      </c>
      <c r="Z501" s="3" t="e">
        <f t="shared" si="111"/>
        <v>#DIV/0!</v>
      </c>
      <c r="AA501" s="174" t="s">
        <v>4710</v>
      </c>
      <c r="AB501" s="23" t="s">
        <v>5146</v>
      </c>
      <c r="AE501" s="33">
        <f t="shared" si="112"/>
        <v>0</v>
      </c>
      <c r="AF501" s="124" t="s">
        <v>5147</v>
      </c>
      <c r="AG501" s="128"/>
      <c r="AI501" s="64">
        <f t="shared" si="113"/>
        <v>3.2081218274111673E-3</v>
      </c>
      <c r="AJ501" s="313">
        <f>RTD("money.excel",,$G501,"PredictVolume")</f>
        <v>316</v>
      </c>
      <c r="AK501" s="348"/>
    </row>
    <row r="502" spans="1:37">
      <c r="A502" s="148" t="s">
        <v>5148</v>
      </c>
      <c r="B502" s="81">
        <v>100</v>
      </c>
      <c r="C502" s="81">
        <v>86</v>
      </c>
      <c r="D502" s="81">
        <v>12</v>
      </c>
      <c r="E502" s="81">
        <v>1</v>
      </c>
      <c r="F502" s="6">
        <v>9.11</v>
      </c>
      <c r="G502" s="81">
        <v>1536</v>
      </c>
      <c r="H502" s="8" t="s">
        <v>319</v>
      </c>
      <c r="I502" s="22" t="s">
        <v>5149</v>
      </c>
      <c r="J502" s="330">
        <v>54.11</v>
      </c>
      <c r="K502" s="330">
        <v>13.41</v>
      </c>
      <c r="L502" s="75">
        <v>7.37</v>
      </c>
      <c r="M502" s="330">
        <v>12.91</v>
      </c>
      <c r="N502" s="325">
        <f t="shared" si="114"/>
        <v>87.8</v>
      </c>
      <c r="O502" s="27"/>
      <c r="P502" s="56"/>
      <c r="Q502" s="26"/>
      <c r="R502" s="308" t="s">
        <v>4829</v>
      </c>
      <c r="S502" s="330">
        <v>4.1399999999999997</v>
      </c>
      <c r="T502" s="34">
        <v>1.1000000000000001</v>
      </c>
      <c r="U502" s="366">
        <f t="shared" si="109"/>
        <v>1.4322916666666668E-2</v>
      </c>
      <c r="V502" s="58">
        <v>1.66</v>
      </c>
      <c r="W502" s="36">
        <f>RTD("money.excel",,"1536","Price")</f>
        <v>76.8</v>
      </c>
      <c r="X502" s="67"/>
      <c r="Y502" s="15">
        <f t="shared" si="110"/>
        <v>76.8</v>
      </c>
      <c r="Z502" s="3" t="e">
        <f t="shared" si="111"/>
        <v>#DIV/0!</v>
      </c>
      <c r="AA502" s="174" t="s">
        <v>4710</v>
      </c>
      <c r="AB502" s="22" t="s">
        <v>5149</v>
      </c>
      <c r="AE502" s="33">
        <f t="shared" si="112"/>
        <v>0</v>
      </c>
      <c r="AF502" s="122" t="s">
        <v>5150</v>
      </c>
      <c r="AG502" s="128"/>
      <c r="AI502" s="64">
        <f t="shared" si="113"/>
        <v>1.3476702508960574E-3</v>
      </c>
      <c r="AJ502" s="313">
        <f>RTD("money.excel",,$G502,"PredictVolume")</f>
        <v>376</v>
      </c>
      <c r="AK502" s="348"/>
    </row>
    <row r="503" spans="1:37">
      <c r="A503" s="148" t="s">
        <v>5151</v>
      </c>
      <c r="B503" s="82">
        <v>-73</v>
      </c>
      <c r="C503" s="82">
        <v>-90</v>
      </c>
      <c r="D503" s="81">
        <v>21</v>
      </c>
      <c r="E503" s="81">
        <v>31</v>
      </c>
      <c r="F503" s="6">
        <v>0.64</v>
      </c>
      <c r="G503" s="81">
        <v>1568</v>
      </c>
      <c r="H503" s="8" t="s">
        <v>319</v>
      </c>
      <c r="I503" s="22" t="s">
        <v>5152</v>
      </c>
      <c r="J503" s="330">
        <v>66.900000000000006</v>
      </c>
      <c r="K503" s="75">
        <v>2.06</v>
      </c>
      <c r="L503" s="330">
        <v>8.42</v>
      </c>
      <c r="N503" s="325">
        <f t="shared" si="114"/>
        <v>77.38000000000001</v>
      </c>
      <c r="O503" s="27"/>
      <c r="P503" s="56"/>
      <c r="Q503" s="26"/>
      <c r="S503" s="330">
        <v>21.12</v>
      </c>
      <c r="T503" s="34">
        <v>0.3</v>
      </c>
      <c r="U503" s="366">
        <f t="shared" si="109"/>
        <v>1.4851485148514851E-2</v>
      </c>
      <c r="V503" s="97">
        <v>0.1</v>
      </c>
      <c r="W503" s="13">
        <f>RTD("money.excel",,"1568","Price")</f>
        <v>20.2</v>
      </c>
      <c r="X503" s="67"/>
      <c r="Y503" s="15">
        <f t="shared" si="110"/>
        <v>20.2</v>
      </c>
      <c r="Z503" s="3" t="e">
        <f t="shared" si="111"/>
        <v>#DIV/0!</v>
      </c>
      <c r="AA503" s="174" t="s">
        <v>4710</v>
      </c>
      <c r="AB503" s="22" t="s">
        <v>5152</v>
      </c>
      <c r="AE503" s="33">
        <f t="shared" si="112"/>
        <v>0</v>
      </c>
      <c r="AF503" s="43" t="s">
        <v>5153</v>
      </c>
      <c r="AG503" s="269"/>
      <c r="AI503" s="64">
        <f t="shared" si="113"/>
        <v>3.0097087378640777E-4</v>
      </c>
      <c r="AJ503" s="313">
        <f>RTD("money.excel",,$G503,"PredictVolume")</f>
        <v>31</v>
      </c>
      <c r="AK503" s="348"/>
    </row>
    <row r="504" spans="1:37">
      <c r="A504" s="148" t="s">
        <v>5154</v>
      </c>
      <c r="B504" s="95">
        <v>1293</v>
      </c>
      <c r="C504" s="81">
        <v>23</v>
      </c>
      <c r="D504" s="82">
        <v>-4</v>
      </c>
      <c r="E504" s="81">
        <v>8</v>
      </c>
      <c r="F504" s="6">
        <v>2.62</v>
      </c>
      <c r="G504" s="81">
        <v>1587</v>
      </c>
      <c r="H504" s="8" t="s">
        <v>319</v>
      </c>
      <c r="I504" s="22" t="s">
        <v>5155</v>
      </c>
      <c r="J504" s="330">
        <v>57.74</v>
      </c>
      <c r="K504" s="75">
        <v>20.91</v>
      </c>
      <c r="L504" s="75">
        <v>17.22</v>
      </c>
      <c r="N504" s="325">
        <f t="shared" si="114"/>
        <v>95.87</v>
      </c>
      <c r="O504" s="27"/>
      <c r="P504" s="56"/>
      <c r="Q504" s="26"/>
      <c r="S504" s="330">
        <v>0.81</v>
      </c>
      <c r="T504" s="34">
        <v>2</v>
      </c>
      <c r="U504" s="366">
        <f t="shared" si="109"/>
        <v>8.0160320641282562E-2</v>
      </c>
      <c r="V504" s="97">
        <v>2.63</v>
      </c>
      <c r="W504" s="36">
        <f>RTD("money.excel",,"1587","Price")</f>
        <v>24.95</v>
      </c>
      <c r="X504" s="67"/>
      <c r="Y504" s="15">
        <f t="shared" si="110"/>
        <v>24.95</v>
      </c>
      <c r="Z504" s="3" t="e">
        <f t="shared" si="111"/>
        <v>#DIV/0!</v>
      </c>
      <c r="AA504" s="174" t="s">
        <v>4710</v>
      </c>
      <c r="AB504" s="22" t="s">
        <v>5155</v>
      </c>
      <c r="AE504" s="33">
        <f t="shared" si="112"/>
        <v>0</v>
      </c>
      <c r="AF504" s="43" t="s">
        <v>5156</v>
      </c>
      <c r="AG504" s="128"/>
      <c r="AI504" s="64">
        <f t="shared" si="113"/>
        <v>3.6697247706422018E-4</v>
      </c>
      <c r="AJ504" s="313">
        <f>RTD("money.excel",,$G504,"PredictVolume")</f>
        <v>24</v>
      </c>
      <c r="AK504" s="348"/>
    </row>
    <row r="505" spans="1:37">
      <c r="A505" s="132" t="s">
        <v>3734</v>
      </c>
      <c r="B505" s="93">
        <v>180</v>
      </c>
      <c r="C505" s="93">
        <v>-14</v>
      </c>
      <c r="D505" s="93">
        <v>5</v>
      </c>
      <c r="E505" s="93">
        <v>78</v>
      </c>
      <c r="F505" s="58">
        <v>10.56</v>
      </c>
      <c r="G505" s="81">
        <v>2115</v>
      </c>
      <c r="H505" s="8" t="s">
        <v>319</v>
      </c>
      <c r="I505" s="22" t="s">
        <v>256</v>
      </c>
      <c r="J505" s="75">
        <v>77.349999999999994</v>
      </c>
      <c r="K505" s="75">
        <v>46.22</v>
      </c>
      <c r="L505" s="75">
        <v>1.23</v>
      </c>
      <c r="N505" s="325">
        <f t="shared" si="114"/>
        <v>124.8</v>
      </c>
      <c r="O505" s="27"/>
      <c r="P505" s="56"/>
      <c r="Q505" s="26"/>
      <c r="S505" s="330">
        <v>7.41</v>
      </c>
      <c r="T505" s="34">
        <v>2.5</v>
      </c>
      <c r="U505" s="366">
        <f t="shared" si="109"/>
        <v>6.1500615006150061E-2</v>
      </c>
      <c r="V505" s="58">
        <v>6.74</v>
      </c>
      <c r="W505" s="13">
        <f>RTD("money.excel",,"2115","Price")</f>
        <v>40.65</v>
      </c>
      <c r="X505" s="67"/>
      <c r="Y505" s="15">
        <f t="shared" si="110"/>
        <v>40.65</v>
      </c>
      <c r="Z505" s="3" t="e">
        <f t="shared" si="111"/>
        <v>#DIV/0!</v>
      </c>
      <c r="AB505" s="22" t="s">
        <v>256</v>
      </c>
      <c r="AE505" s="33">
        <f t="shared" si="112"/>
        <v>0</v>
      </c>
      <c r="AF505" s="124" t="s">
        <v>3309</v>
      </c>
      <c r="AG505" s="128"/>
      <c r="AI505" s="64">
        <f t="shared" si="113"/>
        <v>1.261061946902655E-3</v>
      </c>
      <c r="AJ505" s="313">
        <f>RTD("money.excel",,$G505,"PredictVolume")</f>
        <v>114</v>
      </c>
      <c r="AK505" s="348"/>
    </row>
    <row r="506" spans="1:37">
      <c r="A506" s="148" t="s">
        <v>1735</v>
      </c>
      <c r="B506" s="81">
        <v>125</v>
      </c>
      <c r="C506" s="81">
        <v>247</v>
      </c>
      <c r="D506" s="81">
        <v>19</v>
      </c>
      <c r="E506" s="81">
        <v>-22</v>
      </c>
      <c r="F506" s="6">
        <v>9.16</v>
      </c>
      <c r="G506" s="81">
        <v>2201</v>
      </c>
      <c r="H506" s="8" t="s">
        <v>319</v>
      </c>
      <c r="I506" s="22" t="s">
        <v>30</v>
      </c>
      <c r="J506" s="330">
        <v>66.25</v>
      </c>
      <c r="K506" s="330">
        <v>8.0399999999999991</v>
      </c>
      <c r="L506" s="330">
        <v>6.16</v>
      </c>
      <c r="N506" s="325">
        <f t="shared" si="114"/>
        <v>80.449999999999989</v>
      </c>
      <c r="O506" s="27"/>
      <c r="P506" s="56"/>
      <c r="Q506" s="26"/>
      <c r="S506" s="330">
        <v>0.3</v>
      </c>
      <c r="T506" s="34">
        <v>1</v>
      </c>
      <c r="U506" s="366">
        <f t="shared" si="109"/>
        <v>2.5608194622279132E-2</v>
      </c>
      <c r="V506" s="58">
        <v>4.37</v>
      </c>
      <c r="W506" s="36">
        <f>RTD("money.excel",,"2201","Price")</f>
        <v>39.049999999999997</v>
      </c>
      <c r="X506" s="67"/>
      <c r="Y506" s="15">
        <f t="shared" si="110"/>
        <v>39.049999999999997</v>
      </c>
      <c r="Z506" s="3" t="e">
        <f t="shared" si="111"/>
        <v>#DIV/0!</v>
      </c>
      <c r="AA506" s="174" t="s">
        <v>1943</v>
      </c>
      <c r="AB506" s="22" t="s">
        <v>30</v>
      </c>
      <c r="AE506" s="33">
        <f t="shared" si="112"/>
        <v>0</v>
      </c>
      <c r="AF506" s="122" t="s">
        <v>1481</v>
      </c>
      <c r="AG506" s="128"/>
      <c r="AI506" s="64">
        <f t="shared" si="113"/>
        <v>5.2779999999999997E-3</v>
      </c>
      <c r="AJ506" s="313">
        <f>RTD("money.excel",,$G506,"PredictVolume")</f>
        <v>5278</v>
      </c>
      <c r="AK506" s="348"/>
    </row>
    <row r="507" spans="1:37">
      <c r="A507" s="148" t="s">
        <v>2184</v>
      </c>
      <c r="B507" s="81">
        <v>28</v>
      </c>
      <c r="C507" s="81">
        <v>35</v>
      </c>
      <c r="D507" s="82">
        <v>-6</v>
      </c>
      <c r="E507" s="82">
        <v>-20</v>
      </c>
      <c r="F507" s="6">
        <v>7.64</v>
      </c>
      <c r="G507" s="81">
        <v>2204</v>
      </c>
      <c r="H507" s="8" t="s">
        <v>319</v>
      </c>
      <c r="I507" s="22" t="s">
        <v>176</v>
      </c>
      <c r="J507" s="75">
        <v>74.62</v>
      </c>
      <c r="K507" s="75">
        <v>30.26</v>
      </c>
      <c r="L507" s="330">
        <v>0.79</v>
      </c>
      <c r="N507" s="325">
        <f t="shared" si="114"/>
        <v>105.67000000000002</v>
      </c>
      <c r="O507" s="27"/>
      <c r="P507" s="56"/>
      <c r="Q507" s="26"/>
      <c r="S507" s="330">
        <v>9.3800000000000008</v>
      </c>
      <c r="T507" s="67">
        <v>7</v>
      </c>
      <c r="U507" s="366">
        <f t="shared" si="109"/>
        <v>0.11345218800648298</v>
      </c>
      <c r="V507" s="58">
        <v>7.39</v>
      </c>
      <c r="W507" s="36">
        <f>RTD("money.excel",,"2204","Price")</f>
        <v>61.7</v>
      </c>
      <c r="X507" s="67"/>
      <c r="Y507" s="15">
        <f t="shared" si="110"/>
        <v>61.7</v>
      </c>
      <c r="Z507" s="3" t="e">
        <f t="shared" si="111"/>
        <v>#DIV/0!</v>
      </c>
      <c r="AA507" s="174" t="s">
        <v>2185</v>
      </c>
      <c r="AB507" s="22" t="s">
        <v>176</v>
      </c>
      <c r="AE507" s="33">
        <f t="shared" si="112"/>
        <v>0</v>
      </c>
      <c r="AF507" s="122" t="s">
        <v>3310</v>
      </c>
      <c r="AG507" s="128"/>
      <c r="AI507" s="64">
        <f t="shared" si="113"/>
        <v>9.9276672694394207E-4</v>
      </c>
      <c r="AJ507" s="313">
        <f>RTD("money.excel",,$G507,"PredictVolume")</f>
        <v>549</v>
      </c>
      <c r="AK507" s="348"/>
    </row>
    <row r="508" spans="1:37">
      <c r="A508" s="148" t="s">
        <v>3735</v>
      </c>
      <c r="B508" s="81">
        <v>5</v>
      </c>
      <c r="C508" s="81">
        <v>64</v>
      </c>
      <c r="D508" s="82">
        <v>-14</v>
      </c>
      <c r="E508" s="82">
        <v>-3</v>
      </c>
      <c r="F508" s="6">
        <v>6.31</v>
      </c>
      <c r="G508" s="81">
        <v>2206</v>
      </c>
      <c r="H508" s="8" t="s">
        <v>319</v>
      </c>
      <c r="I508" s="22" t="s">
        <v>1185</v>
      </c>
      <c r="J508" s="75">
        <v>73.98</v>
      </c>
      <c r="K508" s="330">
        <v>9.7200000000000006</v>
      </c>
      <c r="L508" s="75">
        <v>4.84</v>
      </c>
      <c r="N508" s="325">
        <f t="shared" si="114"/>
        <v>88.54</v>
      </c>
      <c r="O508" s="27"/>
      <c r="P508" s="56"/>
      <c r="Q508" s="26"/>
      <c r="S508" s="330">
        <v>0.08</v>
      </c>
      <c r="T508" s="34">
        <v>1.31</v>
      </c>
      <c r="U508" s="366">
        <f t="shared" si="109"/>
        <v>4.6785714285714285E-2</v>
      </c>
      <c r="V508" s="58">
        <v>2.42</v>
      </c>
      <c r="W508" s="36">
        <f>RTD("money.excel",,"2206","Price")</f>
        <v>28</v>
      </c>
      <c r="X508" s="67"/>
      <c r="Y508" s="15">
        <f t="shared" si="110"/>
        <v>28</v>
      </c>
      <c r="Z508" s="3" t="e">
        <f t="shared" si="111"/>
        <v>#DIV/0!</v>
      </c>
      <c r="AA508" s="174" t="s">
        <v>1943</v>
      </c>
      <c r="AB508" s="22" t="s">
        <v>1185</v>
      </c>
      <c r="AE508" s="33">
        <f t="shared" si="112"/>
        <v>0</v>
      </c>
      <c r="AF508" s="43" t="s">
        <v>3311</v>
      </c>
      <c r="AG508" s="128"/>
      <c r="AI508" s="64">
        <f t="shared" si="113"/>
        <v>4.2092154420921544E-4</v>
      </c>
      <c r="AJ508" s="313">
        <f>RTD("money.excel",,$G508,"PredictVolume")</f>
        <v>338</v>
      </c>
      <c r="AK508" s="348"/>
    </row>
    <row r="509" spans="1:37">
      <c r="A509" s="132" t="s">
        <v>1772</v>
      </c>
      <c r="B509" s="81">
        <v>35</v>
      </c>
      <c r="C509" s="81">
        <v>29</v>
      </c>
      <c r="D509" s="82">
        <v>-14</v>
      </c>
      <c r="E509" s="82">
        <v>-12</v>
      </c>
      <c r="F509" s="58">
        <v>10.91</v>
      </c>
      <c r="G509" s="81">
        <v>2207</v>
      </c>
      <c r="H509" s="8" t="s">
        <v>319</v>
      </c>
      <c r="I509" s="22" t="s">
        <v>14</v>
      </c>
      <c r="J509" s="75">
        <v>83.99</v>
      </c>
      <c r="K509" s="75">
        <v>24.27</v>
      </c>
      <c r="L509" s="330">
        <v>0.04</v>
      </c>
      <c r="N509" s="325">
        <f t="shared" si="114"/>
        <v>108.3</v>
      </c>
      <c r="O509" s="27"/>
      <c r="P509" s="56"/>
      <c r="Q509" s="26"/>
      <c r="S509" s="330">
        <v>0</v>
      </c>
      <c r="T509" s="67">
        <v>17</v>
      </c>
      <c r="U509" s="366">
        <f t="shared" si="109"/>
        <v>2.9209621993127148E-2</v>
      </c>
      <c r="V509" s="58">
        <v>29.83</v>
      </c>
      <c r="W509" s="36">
        <f>RTD("money.excel",,"2207","Price")</f>
        <v>582</v>
      </c>
      <c r="X509" s="67"/>
      <c r="Y509" s="15">
        <f t="shared" si="110"/>
        <v>582</v>
      </c>
      <c r="Z509" s="3" t="e">
        <f t="shared" si="111"/>
        <v>#DIV/0!</v>
      </c>
      <c r="AA509" s="174" t="s">
        <v>2185</v>
      </c>
      <c r="AB509" s="22" t="s">
        <v>14</v>
      </c>
      <c r="AE509" s="33">
        <f t="shared" si="112"/>
        <v>0</v>
      </c>
      <c r="AF509" s="122" t="s">
        <v>3145</v>
      </c>
      <c r="AG509" s="128"/>
      <c r="AI509" s="64">
        <f t="shared" si="113"/>
        <v>3.2783882783882782E-4</v>
      </c>
      <c r="AJ509" s="313">
        <f>RTD("money.excel",,$G509,"PredictVolume")</f>
        <v>179</v>
      </c>
      <c r="AK509" s="348"/>
    </row>
    <row r="510" spans="1:37">
      <c r="A510" s="148" t="s">
        <v>2779</v>
      </c>
      <c r="B510" s="82">
        <v>-9</v>
      </c>
      <c r="C510" s="81">
        <v>32</v>
      </c>
      <c r="D510" s="81">
        <v>29</v>
      </c>
      <c r="E510" s="82">
        <v>-43</v>
      </c>
      <c r="F510" s="6">
        <v>0.79</v>
      </c>
      <c r="G510" s="81">
        <v>2227</v>
      </c>
      <c r="H510" s="8" t="s">
        <v>319</v>
      </c>
      <c r="I510" s="22" t="s">
        <v>123</v>
      </c>
      <c r="J510" s="330">
        <v>93.54</v>
      </c>
      <c r="K510" s="330">
        <v>41.26</v>
      </c>
      <c r="L510" s="330"/>
      <c r="N510" s="325">
        <f t="shared" si="114"/>
        <v>134.80000000000001</v>
      </c>
      <c r="O510" s="27"/>
      <c r="P510" s="56"/>
      <c r="Q510" s="26"/>
      <c r="T510" s="67">
        <v>18.53</v>
      </c>
      <c r="U510" s="366">
        <f t="shared" si="109"/>
        <v>7.5172413793103451E-2</v>
      </c>
      <c r="V510" s="58">
        <v>21.27</v>
      </c>
      <c r="W510" s="13">
        <f>RTD("money.excel",,"2227","Price")</f>
        <v>246.5</v>
      </c>
      <c r="X510" s="67"/>
      <c r="Y510" s="15">
        <f t="shared" si="110"/>
        <v>246.5</v>
      </c>
      <c r="Z510" s="3" t="e">
        <f t="shared" si="111"/>
        <v>#DIV/0!</v>
      </c>
      <c r="AA510" s="174" t="s">
        <v>2185</v>
      </c>
      <c r="AB510" s="22" t="s">
        <v>123</v>
      </c>
      <c r="AE510" s="33">
        <f t="shared" si="112"/>
        <v>0</v>
      </c>
      <c r="AF510" s="122" t="s">
        <v>3312</v>
      </c>
      <c r="AG510" s="128"/>
      <c r="AI510" s="64">
        <f t="shared" si="113"/>
        <v>7.6666666666666669E-5</v>
      </c>
      <c r="AJ510" s="313">
        <f>RTD("money.excel",,$G510,"PredictVolume")</f>
        <v>23</v>
      </c>
      <c r="AK510" s="348"/>
    </row>
    <row r="511" spans="1:37">
      <c r="A511" s="148" t="s">
        <v>1801</v>
      </c>
      <c r="B511" s="82">
        <v>-104</v>
      </c>
      <c r="C511" s="82">
        <v>-103</v>
      </c>
      <c r="D511" s="81">
        <v>32</v>
      </c>
      <c r="E511" s="82">
        <v>-13</v>
      </c>
      <c r="F511" s="6">
        <v>-0.67</v>
      </c>
      <c r="G511" s="81">
        <v>2228</v>
      </c>
      <c r="H511" s="8" t="s">
        <v>319</v>
      </c>
      <c r="I511" s="22" t="s">
        <v>610</v>
      </c>
      <c r="J511" s="75">
        <v>60.6</v>
      </c>
      <c r="K511" s="75">
        <v>5.77</v>
      </c>
      <c r="L511" s="75">
        <v>6.05</v>
      </c>
      <c r="N511" s="325">
        <f t="shared" si="114"/>
        <v>72.42</v>
      </c>
      <c r="O511" s="27"/>
      <c r="P511" s="56"/>
      <c r="Q511" s="26"/>
      <c r="S511" s="330">
        <v>0.09</v>
      </c>
      <c r="T511" s="34">
        <v>1.05</v>
      </c>
      <c r="U511" s="366">
        <f t="shared" si="109"/>
        <v>1.5350877192982455E-2</v>
      </c>
      <c r="V511" s="97">
        <v>1.31</v>
      </c>
      <c r="W511" s="36">
        <f>RTD("money.excel",,"2228","Price")</f>
        <v>68.400000000000006</v>
      </c>
      <c r="X511" s="67"/>
      <c r="Y511" s="15">
        <f t="shared" si="110"/>
        <v>68.400000000000006</v>
      </c>
      <c r="Z511" s="3" t="e">
        <f t="shared" si="111"/>
        <v>#DIV/0!</v>
      </c>
      <c r="AA511" s="174" t="s">
        <v>1943</v>
      </c>
      <c r="AB511" s="22" t="s">
        <v>610</v>
      </c>
      <c r="AE511" s="33">
        <f t="shared" si="112"/>
        <v>0</v>
      </c>
      <c r="AF511" s="43" t="s">
        <v>3313</v>
      </c>
      <c r="AG511" s="128"/>
      <c r="AI511" s="64">
        <f t="shared" si="113"/>
        <v>2.6385224274406332E-4</v>
      </c>
      <c r="AJ511" s="313">
        <f>RTD("money.excel",,$G511,"PredictVolume")</f>
        <v>20</v>
      </c>
      <c r="AK511" s="348"/>
    </row>
    <row r="512" spans="1:37">
      <c r="A512" s="132" t="s">
        <v>1752</v>
      </c>
      <c r="B512" s="81">
        <v>179</v>
      </c>
      <c r="C512" s="81">
        <v>134</v>
      </c>
      <c r="D512" s="81">
        <v>12</v>
      </c>
      <c r="E512" s="81">
        <v>17</v>
      </c>
      <c r="F512" s="58">
        <v>16.32</v>
      </c>
      <c r="G512" s="81">
        <v>2231</v>
      </c>
      <c r="H512" s="8" t="s">
        <v>319</v>
      </c>
      <c r="I512" s="22" t="s">
        <v>177</v>
      </c>
      <c r="J512" s="75">
        <v>59.38</v>
      </c>
      <c r="K512" s="75">
        <v>7.72</v>
      </c>
      <c r="L512" s="75">
        <v>25.89</v>
      </c>
      <c r="M512" s="330">
        <v>35.25</v>
      </c>
      <c r="N512" s="325">
        <f t="shared" si="114"/>
        <v>128.24</v>
      </c>
      <c r="O512" s="27"/>
      <c r="P512" s="56"/>
      <c r="Q512" s="26"/>
      <c r="R512" s="308" t="s">
        <v>4374</v>
      </c>
      <c r="S512" s="330">
        <v>3.18</v>
      </c>
      <c r="T512" s="34">
        <v>1.2</v>
      </c>
      <c r="U512" s="366">
        <f t="shared" si="109"/>
        <v>8.1355932203389832E-3</v>
      </c>
      <c r="V512" s="58">
        <v>4.2699999999999996</v>
      </c>
      <c r="W512" s="36">
        <f>RTD("money.excel",,"2231","Price")</f>
        <v>147.5</v>
      </c>
      <c r="X512" s="67"/>
      <c r="Y512" s="15">
        <f t="shared" si="110"/>
        <v>147.5</v>
      </c>
      <c r="Z512" s="3" t="e">
        <f t="shared" si="111"/>
        <v>#DIV/0!</v>
      </c>
      <c r="AA512" s="174" t="s">
        <v>1943</v>
      </c>
      <c r="AB512" s="22" t="s">
        <v>177</v>
      </c>
      <c r="AE512" s="33">
        <f t="shared" si="112"/>
        <v>0</v>
      </c>
      <c r="AF512" s="122" t="s">
        <v>3314</v>
      </c>
      <c r="AG512" s="128"/>
      <c r="AI512" s="64">
        <f t="shared" si="113"/>
        <v>1.2148760330578513E-3</v>
      </c>
      <c r="AJ512" s="313">
        <f>RTD("money.excel",,$G512,"PredictVolume")</f>
        <v>147</v>
      </c>
      <c r="AK512" s="348"/>
    </row>
    <row r="513" spans="1:37">
      <c r="A513" s="132" t="s">
        <v>1899</v>
      </c>
      <c r="B513" s="81">
        <v>67</v>
      </c>
      <c r="C513" s="81">
        <v>108</v>
      </c>
      <c r="D513" s="81">
        <v>31</v>
      </c>
      <c r="E513" s="81">
        <v>5</v>
      </c>
      <c r="F513" s="58">
        <v>21.5</v>
      </c>
      <c r="G513" s="81">
        <v>2233</v>
      </c>
      <c r="H513" s="8" t="s">
        <v>319</v>
      </c>
      <c r="I513" s="22" t="s">
        <v>166</v>
      </c>
      <c r="J513" s="330">
        <v>23.94</v>
      </c>
      <c r="K513" s="75">
        <v>18.91</v>
      </c>
      <c r="L513" s="75">
        <v>17.18</v>
      </c>
      <c r="M513" s="330">
        <v>9.84</v>
      </c>
      <c r="N513" s="325">
        <f t="shared" si="114"/>
        <v>69.87</v>
      </c>
      <c r="O513" s="27" t="s">
        <v>1735</v>
      </c>
      <c r="P513" s="56" t="s">
        <v>6260</v>
      </c>
      <c r="Q513" s="26" t="s">
        <v>6273</v>
      </c>
      <c r="R513" s="309" t="s">
        <v>6219</v>
      </c>
      <c r="S513" s="330">
        <v>1.46</v>
      </c>
      <c r="T513" s="67">
        <v>3.74</v>
      </c>
      <c r="U513" s="366">
        <f t="shared" si="109"/>
        <v>3.2951541850220263E-2</v>
      </c>
      <c r="V513" s="97">
        <v>9.02</v>
      </c>
      <c r="W513" s="36">
        <f>RTD("money.excel",,"2233","Price")</f>
        <v>113.5</v>
      </c>
      <c r="X513" s="67"/>
      <c r="Y513" s="15">
        <f t="shared" si="110"/>
        <v>113.5</v>
      </c>
      <c r="Z513" s="3" t="e">
        <f t="shared" si="111"/>
        <v>#DIV/0!</v>
      </c>
      <c r="AA513" s="174" t="s">
        <v>2185</v>
      </c>
      <c r="AB513" s="22" t="s">
        <v>166</v>
      </c>
      <c r="AE513" s="33">
        <f t="shared" si="112"/>
        <v>0</v>
      </c>
      <c r="AF513" s="122" t="s">
        <v>3315</v>
      </c>
      <c r="AG513" s="128"/>
      <c r="AI513" s="64">
        <f t="shared" si="113"/>
        <v>6.9817578772802657E-3</v>
      </c>
      <c r="AJ513" s="313">
        <f>RTD("money.excel",,$G513,"PredictVolume")</f>
        <v>421</v>
      </c>
      <c r="AK513" s="348">
        <v>9.94</v>
      </c>
    </row>
    <row r="514" spans="1:37">
      <c r="A514" s="148" t="s">
        <v>3736</v>
      </c>
      <c r="B514" s="93">
        <v>-87</v>
      </c>
      <c r="C514" s="93">
        <v>-83</v>
      </c>
      <c r="D514" s="93">
        <v>1</v>
      </c>
      <c r="E514" s="93">
        <v>-7</v>
      </c>
      <c r="F514" s="6">
        <v>8.57</v>
      </c>
      <c r="G514" s="81">
        <v>2236</v>
      </c>
      <c r="H514" s="8" t="s">
        <v>319</v>
      </c>
      <c r="I514" s="22" t="s">
        <v>611</v>
      </c>
      <c r="J514" s="75">
        <v>79</v>
      </c>
      <c r="K514" s="75">
        <v>73.459999999999994</v>
      </c>
      <c r="L514" s="75">
        <v>10.7</v>
      </c>
      <c r="N514" s="325">
        <f t="shared" si="114"/>
        <v>163.15999999999997</v>
      </c>
      <c r="O514" s="27"/>
      <c r="P514" s="56"/>
      <c r="Q514" s="26"/>
      <c r="S514" s="330">
        <v>24.19</v>
      </c>
      <c r="T514" s="34">
        <v>0.37</v>
      </c>
      <c r="U514" s="366">
        <f t="shared" si="109"/>
        <v>1.4285714285714287E-2</v>
      </c>
      <c r="V514" s="58">
        <v>0.71</v>
      </c>
      <c r="W514" s="13">
        <f>RTD("money.excel",,"2236","Price")</f>
        <v>25.9</v>
      </c>
      <c r="X514" s="67"/>
      <c r="Y514" s="15">
        <f t="shared" si="110"/>
        <v>25.9</v>
      </c>
      <c r="Z514" s="3" t="e">
        <f t="shared" si="111"/>
        <v>#DIV/0!</v>
      </c>
      <c r="AB514" s="22" t="s">
        <v>611</v>
      </c>
      <c r="AE514" s="33">
        <f t="shared" si="112"/>
        <v>0</v>
      </c>
      <c r="AF514" s="43" t="s">
        <v>3316</v>
      </c>
      <c r="AG514" s="128"/>
      <c r="AI514" s="64">
        <f t="shared" si="113"/>
        <v>2.1551724137931033E-5</v>
      </c>
      <c r="AJ514" s="313">
        <f>RTD("money.excel",,$G514,"PredictVolume")</f>
        <v>1</v>
      </c>
      <c r="AK514" s="348"/>
    </row>
    <row r="515" spans="1:37">
      <c r="A515" s="148" t="s">
        <v>1807</v>
      </c>
      <c r="B515" s="81">
        <v>2</v>
      </c>
      <c r="C515" s="82">
        <v>-46</v>
      </c>
      <c r="D515" s="81">
        <v>6</v>
      </c>
      <c r="E515" s="82">
        <v>-25</v>
      </c>
      <c r="F515" s="6">
        <v>2.81</v>
      </c>
      <c r="G515" s="81">
        <v>2239</v>
      </c>
      <c r="H515" s="8" t="s">
        <v>319</v>
      </c>
      <c r="I515" s="22" t="s">
        <v>1012</v>
      </c>
      <c r="J515" s="330">
        <v>76.930000000000007</v>
      </c>
      <c r="K515" s="330">
        <v>75.97</v>
      </c>
      <c r="L515" s="330">
        <v>4.9400000000000004</v>
      </c>
      <c r="M515" s="330">
        <v>39.96</v>
      </c>
      <c r="N515" s="75">
        <f t="shared" si="114"/>
        <v>197.8</v>
      </c>
      <c r="O515" s="27"/>
      <c r="P515" s="56"/>
      <c r="Q515" s="26"/>
      <c r="R515" s="308" t="s">
        <v>4373</v>
      </c>
      <c r="S515" s="330">
        <v>0.73</v>
      </c>
      <c r="T515" s="34">
        <v>1.85</v>
      </c>
      <c r="U515" s="366">
        <f t="shared" si="109"/>
        <v>2.6019690576652606E-2</v>
      </c>
      <c r="V515" s="58">
        <v>2.15</v>
      </c>
      <c r="W515" s="13">
        <f>RTD("money.excel",,"2239","Price")</f>
        <v>71.099999999999994</v>
      </c>
      <c r="X515" s="67"/>
      <c r="Y515" s="15">
        <f t="shared" si="110"/>
        <v>71.099999999999994</v>
      </c>
      <c r="Z515" s="3" t="e">
        <f t="shared" si="111"/>
        <v>#DIV/0!</v>
      </c>
      <c r="AA515" s="174" t="s">
        <v>1943</v>
      </c>
      <c r="AB515" s="22" t="s">
        <v>1012</v>
      </c>
      <c r="AE515" s="33">
        <f t="shared" si="112"/>
        <v>0</v>
      </c>
      <c r="AF515" s="43" t="s">
        <v>2360</v>
      </c>
      <c r="AG515" s="269"/>
      <c r="AI515" s="64">
        <f t="shared" si="113"/>
        <v>4.4915254237288133E-4</v>
      </c>
      <c r="AJ515" s="313">
        <f>RTD("money.excel",,$G515,"PredictVolume")</f>
        <v>53</v>
      </c>
      <c r="AK515" s="348">
        <v>2.69</v>
      </c>
    </row>
    <row r="516" spans="1:37">
      <c r="A516" s="148" t="s">
        <v>2270</v>
      </c>
      <c r="B516" s="82">
        <v>-117</v>
      </c>
      <c r="C516" s="82">
        <v>-227</v>
      </c>
      <c r="D516" s="95">
        <v>8664</v>
      </c>
      <c r="E516" s="95">
        <v>1004</v>
      </c>
      <c r="F516" s="6">
        <v>-47.48</v>
      </c>
      <c r="G516" s="81">
        <v>2243</v>
      </c>
      <c r="H516" s="8" t="s">
        <v>319</v>
      </c>
      <c r="I516" s="22" t="s">
        <v>1013</v>
      </c>
      <c r="J516" s="75">
        <v>64.39</v>
      </c>
      <c r="K516" s="75">
        <v>44.13</v>
      </c>
      <c r="L516" s="75">
        <v>3.74</v>
      </c>
      <c r="N516" s="325">
        <f t="shared" si="114"/>
        <v>112.26</v>
      </c>
      <c r="O516" s="27"/>
      <c r="P516" s="56"/>
      <c r="Q516" s="26"/>
      <c r="S516" s="330">
        <v>0.01</v>
      </c>
      <c r="T516" s="34">
        <v>0</v>
      </c>
      <c r="U516" s="366">
        <f t="shared" si="109"/>
        <v>0</v>
      </c>
      <c r="V516" s="58">
        <v>-6.44</v>
      </c>
      <c r="W516" s="13">
        <f>RTD("money.excel",,"2243","Price")</f>
        <v>13.85</v>
      </c>
      <c r="X516" s="67"/>
      <c r="Y516" s="15">
        <f t="shared" si="110"/>
        <v>13.85</v>
      </c>
      <c r="Z516" s="3" t="e">
        <f t="shared" si="111"/>
        <v>#DIV/0!</v>
      </c>
      <c r="AB516" s="22" t="s">
        <v>1013</v>
      </c>
      <c r="AE516" s="33">
        <f t="shared" si="112"/>
        <v>0</v>
      </c>
      <c r="AF516" s="43" t="s">
        <v>3317</v>
      </c>
      <c r="AG516" s="128"/>
      <c r="AI516" s="64">
        <f t="shared" si="113"/>
        <v>2.2222222222222222E-3</v>
      </c>
      <c r="AJ516" s="313">
        <f>RTD("money.excel",,$G516,"PredictVolume")</f>
        <v>102</v>
      </c>
      <c r="AK516" s="348"/>
    </row>
    <row r="517" spans="1:37">
      <c r="A517" s="148" t="s">
        <v>2278</v>
      </c>
      <c r="B517" s="81">
        <v>48</v>
      </c>
      <c r="C517" s="81">
        <v>29</v>
      </c>
      <c r="D517" s="81">
        <v>20</v>
      </c>
      <c r="E517" s="81">
        <v>63</v>
      </c>
      <c r="F517" s="6">
        <v>2.74</v>
      </c>
      <c r="G517" s="81">
        <v>2247</v>
      </c>
      <c r="H517" s="8" t="s">
        <v>319</v>
      </c>
      <c r="I517" s="22" t="s">
        <v>2444</v>
      </c>
      <c r="J517" s="330">
        <v>74.87</v>
      </c>
      <c r="K517" s="75">
        <v>0.14000000000000001</v>
      </c>
      <c r="N517" s="325">
        <f t="shared" si="114"/>
        <v>75.010000000000005</v>
      </c>
      <c r="O517" s="27"/>
      <c r="P517" s="56"/>
      <c r="Q517" s="26"/>
      <c r="T517" s="67">
        <v>11</v>
      </c>
      <c r="U517" s="366">
        <f t="shared" si="109"/>
        <v>5.3268765133171914E-2</v>
      </c>
      <c r="V517" s="97">
        <v>14.82</v>
      </c>
      <c r="W517" s="36">
        <f>RTD("money.excel",,"2247","Price")</f>
        <v>206.5</v>
      </c>
      <c r="X517" s="67"/>
      <c r="Y517" s="15">
        <f t="shared" si="110"/>
        <v>206.5</v>
      </c>
      <c r="Z517" s="3" t="e">
        <f t="shared" si="111"/>
        <v>#DIV/0!</v>
      </c>
      <c r="AA517" s="174" t="s">
        <v>2185</v>
      </c>
      <c r="AB517" s="22" t="s">
        <v>2444</v>
      </c>
      <c r="AE517" s="33">
        <f t="shared" si="112"/>
        <v>0</v>
      </c>
      <c r="AF517" s="43" t="s">
        <v>2445</v>
      </c>
      <c r="AG517" s="128"/>
      <c r="AI517" s="64">
        <f t="shared" si="113"/>
        <v>4.8327137546468399E-4</v>
      </c>
      <c r="AJ517" s="313">
        <f>RTD("money.excel",,$G517,"PredictVolume")</f>
        <v>39</v>
      </c>
      <c r="AK517" s="348"/>
    </row>
    <row r="518" spans="1:37">
      <c r="A518" s="148" t="s">
        <v>3506</v>
      </c>
      <c r="B518" s="81">
        <v>59</v>
      </c>
      <c r="C518" s="81">
        <v>54</v>
      </c>
      <c r="D518" s="81">
        <v>7</v>
      </c>
      <c r="E518" s="82">
        <v>-16</v>
      </c>
      <c r="F518" s="6">
        <v>5.72</v>
      </c>
      <c r="G518" s="81">
        <v>2250</v>
      </c>
      <c r="H518" s="8" t="s">
        <v>319</v>
      </c>
      <c r="I518" s="22" t="s">
        <v>4106</v>
      </c>
      <c r="J518" s="75">
        <v>60.04</v>
      </c>
      <c r="K518" s="330">
        <v>5.72</v>
      </c>
      <c r="L518" s="75">
        <v>4.6100000000000003</v>
      </c>
      <c r="M518" s="75">
        <v>15.5</v>
      </c>
      <c r="N518" s="325">
        <f t="shared" si="114"/>
        <v>85.87</v>
      </c>
      <c r="O518" s="27"/>
      <c r="P518" s="56"/>
      <c r="Q518" s="26"/>
      <c r="R518" s="308" t="s">
        <v>4373</v>
      </c>
      <c r="S518" s="330">
        <v>0.1</v>
      </c>
      <c r="T518" s="67">
        <v>3</v>
      </c>
      <c r="U518" s="366">
        <f t="shared" si="109"/>
        <v>0.03</v>
      </c>
      <c r="V518" s="58">
        <v>6.57</v>
      </c>
      <c r="W518" s="36">
        <f>RTD("money.excel",,"2250","Price")</f>
        <v>100</v>
      </c>
      <c r="X518" s="67"/>
      <c r="Y518" s="15">
        <f t="shared" si="110"/>
        <v>100</v>
      </c>
      <c r="Z518" s="161" t="e">
        <f t="shared" si="111"/>
        <v>#DIV/0!</v>
      </c>
      <c r="AA518" s="174" t="s">
        <v>1986</v>
      </c>
      <c r="AB518" s="22" t="s">
        <v>4106</v>
      </c>
      <c r="AE518" s="33">
        <f t="shared" si="112"/>
        <v>0</v>
      </c>
      <c r="AF518" s="43" t="s">
        <v>4103</v>
      </c>
      <c r="AG518" s="128"/>
      <c r="AI518" s="64">
        <f t="shared" si="113"/>
        <v>1.8148148148148149E-3</v>
      </c>
      <c r="AJ518" s="313">
        <f>RTD("money.excel",,$G518,"PredictVolume")</f>
        <v>49</v>
      </c>
      <c r="AK518" s="348"/>
    </row>
    <row r="519" spans="1:37">
      <c r="A519" s="148" t="s">
        <v>1807</v>
      </c>
      <c r="B519" s="81">
        <v>109</v>
      </c>
      <c r="C519" s="81">
        <v>139</v>
      </c>
      <c r="D519" s="81">
        <v>3</v>
      </c>
      <c r="E519" s="81">
        <v>49</v>
      </c>
      <c r="F519" s="6">
        <v>3.32</v>
      </c>
      <c r="G519" s="81">
        <v>2497</v>
      </c>
      <c r="H519" s="8" t="s">
        <v>319</v>
      </c>
      <c r="I519" s="22" t="s">
        <v>257</v>
      </c>
      <c r="J519" s="330">
        <v>55.89</v>
      </c>
      <c r="K519" s="330">
        <v>2.02</v>
      </c>
      <c r="L519" s="75">
        <v>27.32</v>
      </c>
      <c r="M519" s="330">
        <v>24.75</v>
      </c>
      <c r="N519" s="325">
        <f t="shared" si="114"/>
        <v>109.98</v>
      </c>
      <c r="O519" s="27" t="s">
        <v>4289</v>
      </c>
      <c r="P519" s="56"/>
      <c r="Q519" s="26"/>
      <c r="R519" s="309" t="s">
        <v>6180</v>
      </c>
      <c r="S519" s="330">
        <v>4.05</v>
      </c>
      <c r="T519" s="34">
        <v>0</v>
      </c>
      <c r="U519" s="366">
        <f t="shared" si="109"/>
        <v>0</v>
      </c>
      <c r="V519" s="58">
        <v>0.16</v>
      </c>
      <c r="W519" s="36">
        <f>RTD("money.excel",,"2497","Price")</f>
        <v>103.5</v>
      </c>
      <c r="X519" s="67"/>
      <c r="Y519" s="15">
        <f t="shared" si="110"/>
        <v>103.5</v>
      </c>
      <c r="Z519" s="3" t="e">
        <f t="shared" si="111"/>
        <v>#DIV/0!</v>
      </c>
      <c r="AA519" s="174" t="s">
        <v>1943</v>
      </c>
      <c r="AB519" s="22" t="s">
        <v>257</v>
      </c>
      <c r="AE519" s="33">
        <f t="shared" si="112"/>
        <v>0</v>
      </c>
      <c r="AF519" s="124" t="s">
        <v>2602</v>
      </c>
      <c r="AG519" s="128"/>
      <c r="AI519" s="64">
        <f t="shared" si="113"/>
        <v>3.9661016949152543E-3</v>
      </c>
      <c r="AJ519" s="313">
        <f>RTD("money.excel",,$G519,"PredictVolume")</f>
        <v>468</v>
      </c>
      <c r="AK519" s="348">
        <v>42.57</v>
      </c>
    </row>
    <row r="520" spans="1:37">
      <c r="A520" s="148" t="s">
        <v>4119</v>
      </c>
      <c r="B520" s="81">
        <v>214</v>
      </c>
      <c r="C520" s="81">
        <v>165</v>
      </c>
      <c r="D520" s="81">
        <v>69</v>
      </c>
      <c r="E520" s="81">
        <v>25</v>
      </c>
      <c r="F520" s="6">
        <v>1.33</v>
      </c>
      <c r="G520" s="81">
        <v>3346</v>
      </c>
      <c r="H520" s="8" t="s">
        <v>319</v>
      </c>
      <c r="I520" s="22" t="s">
        <v>612</v>
      </c>
      <c r="J520" s="75">
        <v>29.03</v>
      </c>
      <c r="K520" s="75">
        <v>3.45</v>
      </c>
      <c r="L520" s="330">
        <v>25.43</v>
      </c>
      <c r="M520" s="330">
        <v>11.73</v>
      </c>
      <c r="N520" s="325">
        <f t="shared" si="114"/>
        <v>69.64</v>
      </c>
      <c r="O520" s="27"/>
      <c r="P520" s="56"/>
      <c r="Q520" s="26"/>
      <c r="R520" s="308" t="s">
        <v>4372</v>
      </c>
      <c r="S520" s="330">
        <v>2.0699999999999998</v>
      </c>
      <c r="T520" s="34">
        <v>0.15</v>
      </c>
      <c r="U520" s="366">
        <f t="shared" si="109"/>
        <v>3.9318479685452159E-3</v>
      </c>
      <c r="V520" s="97">
        <v>1.36</v>
      </c>
      <c r="W520" s="36">
        <f>RTD("money.excel",,"3346","Price")</f>
        <v>38.15</v>
      </c>
      <c r="X520" s="67"/>
      <c r="Y520" s="15">
        <f t="shared" si="110"/>
        <v>38.15</v>
      </c>
      <c r="Z520" s="3" t="e">
        <f t="shared" si="111"/>
        <v>#DIV/0!</v>
      </c>
      <c r="AA520" s="174" t="s">
        <v>1943</v>
      </c>
      <c r="AB520" s="22" t="s">
        <v>612</v>
      </c>
      <c r="AE520" s="33">
        <f t="shared" si="112"/>
        <v>0</v>
      </c>
      <c r="AF520" s="43" t="s">
        <v>2538</v>
      </c>
      <c r="AG520" s="128"/>
      <c r="AI520" s="64">
        <f t="shared" si="113"/>
        <v>2.4248704663212433E-3</v>
      </c>
      <c r="AJ520" s="313">
        <f>RTD("money.excel",,$G520,"PredictVolume")</f>
        <v>234</v>
      </c>
      <c r="AK520" s="348"/>
    </row>
    <row r="521" spans="1:37">
      <c r="A521" s="132" t="s">
        <v>2042</v>
      </c>
      <c r="B521" s="82">
        <v>-15</v>
      </c>
      <c r="C521" s="82">
        <v>-8</v>
      </c>
      <c r="D521" s="81">
        <v>21</v>
      </c>
      <c r="E521" s="81">
        <v>48</v>
      </c>
      <c r="F521" s="58">
        <v>16.43</v>
      </c>
      <c r="G521" s="81">
        <v>4551</v>
      </c>
      <c r="H521" s="8" t="s">
        <v>319</v>
      </c>
      <c r="I521" s="23" t="s">
        <v>254</v>
      </c>
      <c r="J521" s="330">
        <v>76.11</v>
      </c>
      <c r="K521" s="75">
        <v>63.15</v>
      </c>
      <c r="L521" s="330">
        <v>3.46</v>
      </c>
      <c r="N521" s="325">
        <f t="shared" si="114"/>
        <v>142.72</v>
      </c>
      <c r="O521" s="27"/>
      <c r="P521" s="56"/>
      <c r="Q521" s="26"/>
      <c r="S521" s="330">
        <v>0</v>
      </c>
      <c r="T521" s="67">
        <v>4</v>
      </c>
      <c r="U521" s="366">
        <f t="shared" si="109"/>
        <v>2.6936026936026935E-2</v>
      </c>
      <c r="V521" s="58">
        <v>6.69</v>
      </c>
      <c r="W521" s="13">
        <f>RTD("money.excel",,"4551","Price")</f>
        <v>148.5</v>
      </c>
      <c r="X521" s="67"/>
      <c r="Y521" s="15">
        <f t="shared" si="110"/>
        <v>148.5</v>
      </c>
      <c r="Z521" s="35" t="e">
        <f t="shared" si="111"/>
        <v>#DIV/0!</v>
      </c>
      <c r="AA521" s="174" t="s">
        <v>2185</v>
      </c>
      <c r="AB521" s="23" t="s">
        <v>254</v>
      </c>
      <c r="AE521" s="33">
        <f t="shared" si="112"/>
        <v>0</v>
      </c>
      <c r="AF521" s="124" t="s">
        <v>3316</v>
      </c>
      <c r="AG521" s="128"/>
      <c r="AI521" s="64">
        <f t="shared" si="113"/>
        <v>2.435897435897436E-3</v>
      </c>
      <c r="AJ521" s="313">
        <f>RTD("money.excel",,$G521,"PredictVolume")</f>
        <v>285</v>
      </c>
      <c r="AK521" s="348"/>
    </row>
    <row r="522" spans="1:37">
      <c r="A522" s="148" t="s">
        <v>1890</v>
      </c>
      <c r="B522" s="81">
        <v>34</v>
      </c>
      <c r="C522" s="82">
        <v>-52</v>
      </c>
      <c r="D522" s="81">
        <v>1</v>
      </c>
      <c r="E522" s="82">
        <v>-28</v>
      </c>
      <c r="F522" s="6">
        <v>7.31</v>
      </c>
      <c r="G522" s="81">
        <v>4557</v>
      </c>
      <c r="H522" s="8" t="s">
        <v>319</v>
      </c>
      <c r="I522" s="22" t="s">
        <v>616</v>
      </c>
      <c r="J522" s="75">
        <v>54.47</v>
      </c>
      <c r="K522" s="330">
        <v>40.36</v>
      </c>
      <c r="L522" s="75">
        <v>7.87</v>
      </c>
      <c r="N522" s="325">
        <f t="shared" si="114"/>
        <v>102.7</v>
      </c>
      <c r="O522" s="27"/>
      <c r="P522" s="56"/>
      <c r="Q522" s="26"/>
      <c r="S522" s="330">
        <v>0.01</v>
      </c>
      <c r="T522" s="67">
        <v>3.5</v>
      </c>
      <c r="U522" s="366">
        <f t="shared" si="109"/>
        <v>4.6357615894039736E-2</v>
      </c>
      <c r="V522" s="97">
        <v>3.61</v>
      </c>
      <c r="W522" s="13">
        <f>RTD("money.excel",,"4557","Price")</f>
        <v>75.5</v>
      </c>
      <c r="X522" s="67"/>
      <c r="Y522" s="15">
        <f t="shared" si="110"/>
        <v>75.5</v>
      </c>
      <c r="Z522" s="3" t="e">
        <f t="shared" si="111"/>
        <v>#DIV/0!</v>
      </c>
      <c r="AA522" s="174" t="s">
        <v>1986</v>
      </c>
      <c r="AB522" s="22" t="s">
        <v>616</v>
      </c>
      <c r="AE522" s="33">
        <f t="shared" si="112"/>
        <v>0</v>
      </c>
      <c r="AF522" s="43" t="s">
        <v>3318</v>
      </c>
      <c r="AG522" s="128"/>
      <c r="AI522" s="64">
        <f t="shared" si="113"/>
        <v>7.5376884422110558E-5</v>
      </c>
      <c r="AJ522" s="313">
        <f>RTD("money.excel",,$G522,"PredictVolume")</f>
        <v>3</v>
      </c>
      <c r="AK522" s="348"/>
    </row>
    <row r="523" spans="1:37">
      <c r="A523" s="132" t="s">
        <v>1555</v>
      </c>
      <c r="B523" s="82">
        <v>-37</v>
      </c>
      <c r="C523" s="82">
        <v>-33</v>
      </c>
      <c r="D523" s="82">
        <v>-20</v>
      </c>
      <c r="E523" s="82">
        <v>-8</v>
      </c>
      <c r="F523" s="58">
        <v>10.72</v>
      </c>
      <c r="G523" s="81">
        <v>4581</v>
      </c>
      <c r="H523" s="8" t="s">
        <v>319</v>
      </c>
      <c r="I523" s="22" t="s">
        <v>2188</v>
      </c>
      <c r="J523" s="330">
        <v>75.489999999999995</v>
      </c>
      <c r="K523" s="75">
        <v>29.09</v>
      </c>
      <c r="L523" s="330"/>
      <c r="N523" s="325">
        <f t="shared" si="114"/>
        <v>104.58</v>
      </c>
      <c r="O523" s="27"/>
      <c r="P523" s="56"/>
      <c r="Q523" s="26"/>
      <c r="T523" s="34">
        <v>2</v>
      </c>
      <c r="U523" s="366">
        <f t="shared" si="109"/>
        <v>5.6980056980056981E-2</v>
      </c>
      <c r="V523" s="97">
        <v>2.11</v>
      </c>
      <c r="W523" s="13">
        <f>RTD("money.excel",,"4581","Price")</f>
        <v>35.1</v>
      </c>
      <c r="X523" s="67"/>
      <c r="Y523" s="15">
        <f t="shared" si="110"/>
        <v>35.1</v>
      </c>
      <c r="Z523" s="35" t="e">
        <f t="shared" si="111"/>
        <v>#DIV/0!</v>
      </c>
      <c r="AA523" s="174" t="s">
        <v>1943</v>
      </c>
      <c r="AB523" s="22" t="s">
        <v>2188</v>
      </c>
      <c r="AE523" s="33">
        <f t="shared" si="112"/>
        <v>0</v>
      </c>
      <c r="AF523" s="124" t="s">
        <v>3319</v>
      </c>
      <c r="AG523" s="128"/>
      <c r="AI523" s="64">
        <f t="shared" si="113"/>
        <v>8.849557522123894E-5</v>
      </c>
      <c r="AJ523" s="313">
        <f>RTD("money.excel",,$G523,"PredictVolume")</f>
        <v>3</v>
      </c>
      <c r="AK523" s="348"/>
    </row>
    <row r="524" spans="1:37">
      <c r="A524" s="148" t="s">
        <v>1928</v>
      </c>
      <c r="B524" s="82">
        <v>-30</v>
      </c>
      <c r="C524" s="82">
        <v>-26</v>
      </c>
      <c r="D524" s="81">
        <v>27</v>
      </c>
      <c r="E524" s="81">
        <v>20</v>
      </c>
      <c r="F524" s="6">
        <v>4.99</v>
      </c>
      <c r="G524" s="81">
        <v>6288</v>
      </c>
      <c r="H524" s="8" t="s">
        <v>319</v>
      </c>
      <c r="I524" s="22" t="s">
        <v>479</v>
      </c>
      <c r="J524" s="330">
        <v>46.74</v>
      </c>
      <c r="K524" s="75">
        <v>1.66</v>
      </c>
      <c r="L524" s="75">
        <v>19.04</v>
      </c>
      <c r="N524" s="325">
        <f t="shared" si="114"/>
        <v>67.44</v>
      </c>
      <c r="O524" s="27"/>
      <c r="P524" s="56"/>
      <c r="Q524" s="26"/>
      <c r="S524" s="330">
        <v>0.16</v>
      </c>
      <c r="T524" s="34">
        <v>0.7</v>
      </c>
      <c r="U524" s="366">
        <f t="shared" si="109"/>
        <v>2.6871401151631474E-2</v>
      </c>
      <c r="V524" s="97">
        <v>0.85</v>
      </c>
      <c r="W524" s="36">
        <f>RTD("money.excel",,"6288","Price")</f>
        <v>26.05</v>
      </c>
      <c r="X524" s="67"/>
      <c r="Y524" s="15">
        <f t="shared" si="110"/>
        <v>26.05</v>
      </c>
      <c r="Z524" s="35" t="e">
        <f t="shared" si="111"/>
        <v>#DIV/0!</v>
      </c>
      <c r="AA524" s="174" t="s">
        <v>1943</v>
      </c>
      <c r="AB524" s="22" t="s">
        <v>479</v>
      </c>
      <c r="AE524" s="33">
        <f t="shared" si="112"/>
        <v>0</v>
      </c>
      <c r="AF524" s="61" t="s">
        <v>2429</v>
      </c>
      <c r="AG524" s="128"/>
      <c r="AI524" s="64">
        <f t="shared" si="113"/>
        <v>3.1384615384615383E-3</v>
      </c>
      <c r="AJ524" s="313">
        <f>RTD("money.excel",,$G524,"PredictVolume")</f>
        <v>612</v>
      </c>
      <c r="AK524" s="348"/>
    </row>
    <row r="525" spans="1:37">
      <c r="A525" s="148" t="s">
        <v>1818</v>
      </c>
      <c r="B525" s="82">
        <v>-39</v>
      </c>
      <c r="C525" s="82">
        <v>-31</v>
      </c>
      <c r="D525" s="81">
        <v>7</v>
      </c>
      <c r="E525" s="81">
        <v>4</v>
      </c>
      <c r="F525" s="6">
        <v>6.44</v>
      </c>
      <c r="G525" s="81">
        <v>6605</v>
      </c>
      <c r="H525" s="8" t="s">
        <v>319</v>
      </c>
      <c r="I525" s="22" t="s">
        <v>5158</v>
      </c>
      <c r="J525" s="75">
        <v>62.04</v>
      </c>
      <c r="K525" s="75">
        <v>12.49</v>
      </c>
      <c r="L525" s="75">
        <v>1.47</v>
      </c>
      <c r="N525" s="325">
        <f t="shared" si="114"/>
        <v>76</v>
      </c>
      <c r="O525" s="27"/>
      <c r="P525" s="56"/>
      <c r="Q525" s="26"/>
      <c r="S525" s="330">
        <v>0</v>
      </c>
      <c r="T525" s="34">
        <v>1.5</v>
      </c>
      <c r="U525" s="366">
        <f t="shared" si="109"/>
        <v>2.6501766784452298E-2</v>
      </c>
      <c r="V525" s="97">
        <v>3.56</v>
      </c>
      <c r="W525" s="36">
        <f>RTD("money.excel",,"6605","Price")</f>
        <v>56.6</v>
      </c>
      <c r="X525" s="67"/>
      <c r="Y525" s="15">
        <f t="shared" si="110"/>
        <v>56.6</v>
      </c>
      <c r="Z525" s="3" t="e">
        <f t="shared" si="111"/>
        <v>#DIV/0!</v>
      </c>
      <c r="AA525" s="174" t="s">
        <v>1943</v>
      </c>
      <c r="AB525" s="22" t="s">
        <v>5158</v>
      </c>
      <c r="AE525" s="33">
        <f t="shared" si="112"/>
        <v>0</v>
      </c>
      <c r="AF525" s="122" t="s">
        <v>2538</v>
      </c>
      <c r="AG525" s="128"/>
      <c r="AI525" s="64">
        <f t="shared" si="113"/>
        <v>7.6363636363636369E-4</v>
      </c>
      <c r="AJ525" s="313">
        <f>RTD("money.excel",,$G525,"PredictVolume")</f>
        <v>126</v>
      </c>
      <c r="AK525" s="348"/>
    </row>
    <row r="526" spans="1:37">
      <c r="A526" s="148"/>
      <c r="B526" s="82"/>
      <c r="C526" s="82"/>
      <c r="D526" s="81"/>
      <c r="E526" s="81"/>
      <c r="F526" s="6"/>
      <c r="G526" s="81"/>
      <c r="H526" s="8"/>
      <c r="I526" s="22"/>
      <c r="J526" s="75"/>
      <c r="K526" s="75"/>
      <c r="N526" s="325"/>
      <c r="O526" s="27"/>
      <c r="P526" s="56"/>
      <c r="Q526" s="26"/>
      <c r="T526" s="34"/>
      <c r="V526" s="97"/>
      <c r="W526" s="36"/>
      <c r="X526" s="67"/>
      <c r="Y526" s="15"/>
      <c r="Z526" s="3"/>
      <c r="AB526" s="22"/>
      <c r="AE526" s="33"/>
      <c r="AF526" s="122"/>
      <c r="AG526" s="128"/>
      <c r="AI526" s="64"/>
      <c r="AJ526" s="313"/>
      <c r="AK526" s="348"/>
    </row>
    <row r="527" spans="1:37">
      <c r="A527" s="132" t="s">
        <v>1854</v>
      </c>
      <c r="B527" s="93" t="s">
        <v>1657</v>
      </c>
      <c r="C527" s="93" t="s">
        <v>1658</v>
      </c>
      <c r="D527" s="93" t="s">
        <v>1659</v>
      </c>
      <c r="E527" s="93" t="s">
        <v>1660</v>
      </c>
      <c r="F527" s="8" t="s">
        <v>1122</v>
      </c>
      <c r="G527" s="27" t="s">
        <v>457</v>
      </c>
      <c r="H527" s="55" t="s">
        <v>342</v>
      </c>
      <c r="I527" s="8" t="s">
        <v>370</v>
      </c>
      <c r="J527" s="324" t="s">
        <v>1529</v>
      </c>
      <c r="K527" s="324" t="s">
        <v>1217</v>
      </c>
      <c r="L527" s="324" t="s">
        <v>298</v>
      </c>
      <c r="M527" s="324" t="s">
        <v>1115</v>
      </c>
      <c r="N527" s="324" t="s">
        <v>6091</v>
      </c>
      <c r="O527" s="27" t="s">
        <v>6253</v>
      </c>
      <c r="P527" s="56" t="s">
        <v>6219</v>
      </c>
      <c r="Q527" s="26" t="s">
        <v>6313</v>
      </c>
      <c r="R527" s="309" t="s">
        <v>4371</v>
      </c>
      <c r="S527" s="335" t="s">
        <v>4398</v>
      </c>
      <c r="T527" s="10" t="s">
        <v>75</v>
      </c>
      <c r="U527" s="364" t="s">
        <v>6152</v>
      </c>
      <c r="V527" s="69" t="s">
        <v>4022</v>
      </c>
      <c r="W527" s="28" t="s">
        <v>2</v>
      </c>
      <c r="X527" s="17" t="s">
        <v>1465</v>
      </c>
      <c r="Y527" s="14" t="s">
        <v>5</v>
      </c>
      <c r="Z527" s="21" t="s">
        <v>3</v>
      </c>
      <c r="AA527" s="322" t="s">
        <v>117</v>
      </c>
      <c r="AB527" s="8" t="s">
        <v>370</v>
      </c>
      <c r="AC527" s="73" t="s">
        <v>1466</v>
      </c>
      <c r="AD527" s="74" t="s">
        <v>1223</v>
      </c>
      <c r="AE527" s="32" t="s">
        <v>1224</v>
      </c>
      <c r="AF527" s="43"/>
      <c r="AG527" s="128"/>
      <c r="AI527" s="8" t="s">
        <v>4414</v>
      </c>
      <c r="AJ527" s="50" t="s">
        <v>4121</v>
      </c>
      <c r="AK527" s="348" t="s">
        <v>6074</v>
      </c>
    </row>
    <row r="528" spans="1:37">
      <c r="A528" s="148" t="s">
        <v>2029</v>
      </c>
      <c r="B528" s="93">
        <v>59</v>
      </c>
      <c r="C528" s="142">
        <v>2663</v>
      </c>
      <c r="D528" s="93">
        <v>-30</v>
      </c>
      <c r="E528" s="93">
        <v>68</v>
      </c>
      <c r="F528" s="6">
        <v>7.36</v>
      </c>
      <c r="G528" s="81">
        <v>2302</v>
      </c>
      <c r="H528" s="17" t="s">
        <v>3761</v>
      </c>
      <c r="I528" s="22" t="s">
        <v>5159</v>
      </c>
      <c r="J528" s="75">
        <v>66.06</v>
      </c>
      <c r="K528" s="75">
        <v>4.41</v>
      </c>
      <c r="L528" s="75">
        <v>0</v>
      </c>
      <c r="N528" s="325">
        <f t="shared" ref="N528" si="115">J528+K528+L528+M528</f>
        <v>70.47</v>
      </c>
      <c r="O528" s="27"/>
      <c r="P528" s="56"/>
      <c r="Q528" s="26"/>
      <c r="S528" s="330">
        <v>26.63</v>
      </c>
      <c r="T528" s="34">
        <v>0.3</v>
      </c>
      <c r="U528" s="366">
        <f t="shared" ref="U528:U559" si="116">T528/W528</f>
        <v>1.9543973941368076E-2</v>
      </c>
      <c r="V528" s="97">
        <v>0.64</v>
      </c>
      <c r="W528" s="36">
        <f>RTD("money.excel",,"2302","Price")</f>
        <v>15.35</v>
      </c>
      <c r="X528" s="67"/>
      <c r="Y528" s="15">
        <f t="shared" ref="Y528:Y591" si="117">W528-X528</f>
        <v>15.35</v>
      </c>
      <c r="Z528" s="3" t="e">
        <f t="shared" ref="Z528:Z591" si="118">Y528/X528</f>
        <v>#DIV/0!</v>
      </c>
      <c r="AB528" s="22" t="s">
        <v>5159</v>
      </c>
      <c r="AE528" s="33">
        <f t="shared" ref="AE528:AE591" si="119">AD528-AC528</f>
        <v>0</v>
      </c>
      <c r="AF528" s="43" t="s">
        <v>2668</v>
      </c>
      <c r="AG528" s="128"/>
      <c r="AI528" s="64">
        <f t="shared" ref="AI528:AI559" si="120">AJ528/(A528*10000)</f>
        <v>6.44578313253012E-4</v>
      </c>
      <c r="AJ528" s="313">
        <f>RTD("money.excel",,$G528,"PredictVolume")</f>
        <v>107</v>
      </c>
      <c r="AK528" s="348"/>
    </row>
    <row r="529" spans="1:37">
      <c r="A529" s="132" t="s">
        <v>2300</v>
      </c>
      <c r="B529" s="81">
        <v>343</v>
      </c>
      <c r="C529" s="81">
        <v>369</v>
      </c>
      <c r="D529" s="82">
        <v>-3</v>
      </c>
      <c r="E529" s="81">
        <v>9</v>
      </c>
      <c r="F529" s="58">
        <v>12.45</v>
      </c>
      <c r="G529" s="81">
        <v>2303</v>
      </c>
      <c r="H529" s="17" t="s">
        <v>3761</v>
      </c>
      <c r="I529" s="22" t="s">
        <v>2100</v>
      </c>
      <c r="J529" s="330">
        <v>68.540000000000006</v>
      </c>
      <c r="K529" s="330">
        <v>44.04</v>
      </c>
      <c r="L529" s="330">
        <v>7.43</v>
      </c>
      <c r="N529" s="325">
        <f t="shared" ref="N529:N591" si="121">J529+K529+L529+M529</f>
        <v>120.01000000000002</v>
      </c>
      <c r="O529" s="27"/>
      <c r="P529" s="56"/>
      <c r="Q529" s="26"/>
      <c r="S529" s="330">
        <v>0.64</v>
      </c>
      <c r="T529" s="34">
        <v>1.6</v>
      </c>
      <c r="U529" s="366">
        <f t="shared" si="116"/>
        <v>3.0476190476190476E-2</v>
      </c>
      <c r="V529" s="58">
        <v>2.4300000000000002</v>
      </c>
      <c r="W529" s="13">
        <f>RTD("money.excel",,"2303","Price")</f>
        <v>52.5</v>
      </c>
      <c r="X529" s="67"/>
      <c r="Y529" s="15">
        <f t="shared" si="117"/>
        <v>52.5</v>
      </c>
      <c r="Z529" s="3" t="e">
        <f t="shared" si="118"/>
        <v>#DIV/0!</v>
      </c>
      <c r="AA529" s="174" t="s">
        <v>1943</v>
      </c>
      <c r="AB529" s="22" t="s">
        <v>2100</v>
      </c>
      <c r="AE529" s="33">
        <f t="shared" si="119"/>
        <v>0</v>
      </c>
      <c r="AF529" s="123" t="s">
        <v>3081</v>
      </c>
      <c r="AG529" s="128"/>
      <c r="AI529" s="64">
        <f t="shared" si="120"/>
        <v>3.6486360093530789E-3</v>
      </c>
      <c r="AJ529" s="313">
        <f>RTD("money.excel",,$G529,"PredictVolume")</f>
        <v>46812</v>
      </c>
      <c r="AK529" s="348"/>
    </row>
    <row r="530" spans="1:37">
      <c r="A530" s="148" t="s">
        <v>2159</v>
      </c>
      <c r="B530" s="82">
        <v>-146</v>
      </c>
      <c r="C530" s="82">
        <v>-139</v>
      </c>
      <c r="D530" s="81">
        <v>1</v>
      </c>
      <c r="E530" s="82">
        <v>-20</v>
      </c>
      <c r="F530" s="6">
        <v>-2.5499999999999998</v>
      </c>
      <c r="G530" s="81">
        <v>2329</v>
      </c>
      <c r="H530" s="17" t="s">
        <v>3761</v>
      </c>
      <c r="I530" s="22" t="s">
        <v>371</v>
      </c>
      <c r="J530" s="330">
        <v>47.15</v>
      </c>
      <c r="K530" s="330">
        <v>29.34</v>
      </c>
      <c r="L530" s="75">
        <v>11.75</v>
      </c>
      <c r="N530" s="325">
        <f t="shared" si="121"/>
        <v>88.24</v>
      </c>
      <c r="O530" s="27"/>
      <c r="P530" s="56"/>
      <c r="Q530" s="26"/>
      <c r="S530" s="330">
        <v>1.22</v>
      </c>
      <c r="T530" s="34">
        <v>0</v>
      </c>
      <c r="U530" s="366">
        <f t="shared" si="116"/>
        <v>0</v>
      </c>
      <c r="V530" s="97">
        <v>-0.48</v>
      </c>
      <c r="W530" s="36">
        <f>RTD("money.excel",,"2329","Price")</f>
        <v>21.55</v>
      </c>
      <c r="X530" s="67"/>
      <c r="Y530" s="15">
        <f t="shared" si="117"/>
        <v>21.55</v>
      </c>
      <c r="Z530" s="3" t="e">
        <f t="shared" si="118"/>
        <v>#DIV/0!</v>
      </c>
      <c r="AA530" s="174" t="s">
        <v>1943</v>
      </c>
      <c r="AB530" s="22" t="s">
        <v>371</v>
      </c>
      <c r="AE530" s="33">
        <f t="shared" si="119"/>
        <v>0</v>
      </c>
      <c r="AF530" s="43" t="s">
        <v>4032</v>
      </c>
      <c r="AG530" s="128"/>
      <c r="AI530" s="64">
        <f t="shared" si="120"/>
        <v>1.9587073608617594E-3</v>
      </c>
      <c r="AJ530" s="313">
        <f>RTD("money.excel",,$G530,"PredictVolume")</f>
        <v>1091</v>
      </c>
      <c r="AK530" s="348"/>
    </row>
    <row r="531" spans="1:37">
      <c r="A531" s="132" t="s">
        <v>1777</v>
      </c>
      <c r="B531" s="81">
        <v>15</v>
      </c>
      <c r="C531" s="81">
        <v>14</v>
      </c>
      <c r="D531" s="81">
        <v>10</v>
      </c>
      <c r="E531" s="81">
        <v>11</v>
      </c>
      <c r="F531" s="58">
        <v>40.32</v>
      </c>
      <c r="G531" s="81">
        <v>2330</v>
      </c>
      <c r="H531" s="17" t="s">
        <v>3761</v>
      </c>
      <c r="I531" s="22" t="s">
        <v>8</v>
      </c>
      <c r="J531" s="203">
        <v>88.32</v>
      </c>
      <c r="K531" s="330">
        <v>76.209999999999994</v>
      </c>
      <c r="L531" s="75">
        <v>0.43</v>
      </c>
      <c r="N531" s="325">
        <f t="shared" si="121"/>
        <v>164.95999999999998</v>
      </c>
      <c r="O531" s="27"/>
      <c r="P531" s="56"/>
      <c r="Q531" s="26"/>
      <c r="S531" s="330">
        <v>0.28000000000000003</v>
      </c>
      <c r="T531" s="223">
        <v>2.75</v>
      </c>
      <c r="U531" s="366">
        <f t="shared" si="116"/>
        <v>4.7826086956521737E-3</v>
      </c>
      <c r="V531" s="58">
        <v>21.37</v>
      </c>
      <c r="W531" s="13">
        <f>RTD("money.excel",,"2330","Price")</f>
        <v>575</v>
      </c>
      <c r="X531" s="66"/>
      <c r="Y531" s="15">
        <f t="shared" si="117"/>
        <v>575</v>
      </c>
      <c r="Z531" s="3" t="e">
        <f t="shared" si="118"/>
        <v>#DIV/0!</v>
      </c>
      <c r="AA531" s="174" t="s">
        <v>4380</v>
      </c>
      <c r="AB531" s="22" t="s">
        <v>8</v>
      </c>
      <c r="AE531" s="33">
        <f t="shared" si="119"/>
        <v>0</v>
      </c>
      <c r="AF531" s="43" t="s">
        <v>3080</v>
      </c>
      <c r="AG531" s="269"/>
      <c r="AI531" s="64">
        <f t="shared" si="120"/>
        <v>1.4928268414963362E-3</v>
      </c>
      <c r="AJ531" s="313">
        <f>RTD("money.excel",,$G531,"PredictVolume")</f>
        <v>38709</v>
      </c>
      <c r="AK531" s="348"/>
    </row>
    <row r="532" spans="1:37">
      <c r="A532" s="132" t="s">
        <v>2273</v>
      </c>
      <c r="B532" s="81">
        <v>11</v>
      </c>
      <c r="C532" s="81">
        <v>35</v>
      </c>
      <c r="D532" s="82">
        <v>-9</v>
      </c>
      <c r="E532" s="81">
        <v>20</v>
      </c>
      <c r="F532" s="58">
        <v>16.5</v>
      </c>
      <c r="G532" s="81">
        <v>2337</v>
      </c>
      <c r="H532" s="17" t="s">
        <v>3761</v>
      </c>
      <c r="I532" s="22" t="s">
        <v>48</v>
      </c>
      <c r="J532" s="330">
        <v>35.25</v>
      </c>
      <c r="K532" s="75">
        <v>21.24</v>
      </c>
      <c r="L532" s="330">
        <v>15</v>
      </c>
      <c r="N532" s="325">
        <f t="shared" si="121"/>
        <v>71.489999999999995</v>
      </c>
      <c r="O532" s="27"/>
      <c r="P532" s="56"/>
      <c r="Q532" s="26"/>
      <c r="S532" s="330">
        <v>3.68</v>
      </c>
      <c r="T532" s="34">
        <v>1.2</v>
      </c>
      <c r="U532" s="366">
        <f t="shared" si="116"/>
        <v>2.9090909090909091E-2</v>
      </c>
      <c r="V532" s="97">
        <v>3.05</v>
      </c>
      <c r="W532" s="36">
        <f>RTD("money.excel",,"2337","Price")</f>
        <v>41.25</v>
      </c>
      <c r="X532" s="67"/>
      <c r="Y532" s="15">
        <f t="shared" si="117"/>
        <v>41.25</v>
      </c>
      <c r="Z532" s="3" t="e">
        <f t="shared" si="118"/>
        <v>#DIV/0!</v>
      </c>
      <c r="AA532" s="174" t="s">
        <v>1943</v>
      </c>
      <c r="AB532" s="22" t="s">
        <v>48</v>
      </c>
      <c r="AE532" s="33">
        <f t="shared" si="119"/>
        <v>0</v>
      </c>
      <c r="AF532" s="122" t="s">
        <v>1492</v>
      </c>
      <c r="AG532" s="128"/>
      <c r="AI532" s="64">
        <f t="shared" si="120"/>
        <v>7.8578378378378385E-3</v>
      </c>
      <c r="AJ532" s="313">
        <f>RTD("money.excel",,$G532,"PredictVolume")</f>
        <v>14537</v>
      </c>
      <c r="AK532" s="348"/>
    </row>
    <row r="533" spans="1:37">
      <c r="A533" s="148" t="s">
        <v>1808</v>
      </c>
      <c r="B533" s="81">
        <v>193</v>
      </c>
      <c r="C533" s="82">
        <v>-10</v>
      </c>
      <c r="D533" s="82">
        <v>-1</v>
      </c>
      <c r="E533" s="81">
        <v>29</v>
      </c>
      <c r="F533" s="6">
        <v>3.73</v>
      </c>
      <c r="G533" s="81">
        <v>2338</v>
      </c>
      <c r="H533" s="17" t="s">
        <v>3761</v>
      </c>
      <c r="I533" s="22" t="s">
        <v>306</v>
      </c>
      <c r="J533" s="330">
        <v>36.86</v>
      </c>
      <c r="K533" s="75">
        <v>9.65</v>
      </c>
      <c r="L533" s="330">
        <v>30.53</v>
      </c>
      <c r="N533" s="325">
        <f t="shared" si="121"/>
        <v>77.039999999999992</v>
      </c>
      <c r="O533" s="27"/>
      <c r="P533" s="56"/>
      <c r="Q533" s="26"/>
      <c r="S533" s="330">
        <v>9.6199999999999992</v>
      </c>
      <c r="T533" s="34">
        <v>1.5</v>
      </c>
      <c r="U533" s="366">
        <f t="shared" si="116"/>
        <v>1.6411378555798686E-2</v>
      </c>
      <c r="V533" s="97">
        <v>5.22</v>
      </c>
      <c r="W533" s="36">
        <f>RTD("money.excel",,"2338","Price")</f>
        <v>91.4</v>
      </c>
      <c r="X533" s="67"/>
      <c r="Y533" s="15">
        <f t="shared" si="117"/>
        <v>91.4</v>
      </c>
      <c r="Z533" s="3" t="e">
        <f t="shared" si="118"/>
        <v>#DIV/0!</v>
      </c>
      <c r="AA533" s="174" t="s">
        <v>1943</v>
      </c>
      <c r="AB533" s="22" t="s">
        <v>306</v>
      </c>
      <c r="AE533" s="33">
        <f t="shared" si="119"/>
        <v>0</v>
      </c>
      <c r="AF533" s="61" t="s">
        <v>306</v>
      </c>
      <c r="AG533" s="128"/>
      <c r="AI533" s="64">
        <f t="shared" si="120"/>
        <v>1.1400793650793651E-2</v>
      </c>
      <c r="AJ533" s="313">
        <f>RTD("money.excel",,$G533,"PredictVolume")</f>
        <v>2873</v>
      </c>
      <c r="AK533" s="348"/>
    </row>
    <row r="534" spans="1:37">
      <c r="A534" s="132" t="s">
        <v>2061</v>
      </c>
      <c r="B534" s="81">
        <v>162</v>
      </c>
      <c r="C534" s="82">
        <v>-9</v>
      </c>
      <c r="D534" s="81">
        <v>1</v>
      </c>
      <c r="E534" s="81">
        <v>19</v>
      </c>
      <c r="F534" s="58">
        <v>11.71</v>
      </c>
      <c r="G534" s="81">
        <v>2342</v>
      </c>
      <c r="H534" s="17" t="s">
        <v>3761</v>
      </c>
      <c r="I534" s="22" t="s">
        <v>5160</v>
      </c>
      <c r="J534" s="330">
        <v>39.590000000000003</v>
      </c>
      <c r="K534" s="75">
        <v>5.78</v>
      </c>
      <c r="L534" s="330">
        <v>50.17</v>
      </c>
      <c r="M534" s="75">
        <v>31.43</v>
      </c>
      <c r="N534" s="325">
        <f t="shared" si="121"/>
        <v>126.97</v>
      </c>
      <c r="O534" s="27"/>
      <c r="P534" s="56"/>
      <c r="Q534" s="26"/>
      <c r="R534" s="308" t="s">
        <v>6059</v>
      </c>
      <c r="S534" s="330">
        <v>4.42</v>
      </c>
      <c r="T534" s="34">
        <v>0.5</v>
      </c>
      <c r="U534" s="366">
        <f t="shared" si="116"/>
        <v>1.1668611435239206E-2</v>
      </c>
      <c r="V534" s="97">
        <v>2.0499999999999998</v>
      </c>
      <c r="W534" s="36">
        <f>RTD("money.excel",,"2342","Price")</f>
        <v>42.85</v>
      </c>
      <c r="X534" s="67"/>
      <c r="Y534" s="15">
        <f t="shared" si="117"/>
        <v>42.85</v>
      </c>
      <c r="Z534" s="3" t="e">
        <f t="shared" si="118"/>
        <v>#DIV/0!</v>
      </c>
      <c r="AA534" s="174" t="s">
        <v>1943</v>
      </c>
      <c r="AB534" s="22" t="s">
        <v>5160</v>
      </c>
      <c r="AE534" s="33">
        <f t="shared" si="119"/>
        <v>0</v>
      </c>
      <c r="AF534" s="43" t="s">
        <v>2064</v>
      </c>
      <c r="AG534" s="128"/>
      <c r="AI534" s="64">
        <f t="shared" si="120"/>
        <v>3.7435897435897435E-3</v>
      </c>
      <c r="AJ534" s="313">
        <f>RTD("money.excel",,$G534,"PredictVolume")</f>
        <v>584</v>
      </c>
      <c r="AK534" s="348"/>
    </row>
    <row r="535" spans="1:37">
      <c r="A535" s="148" t="s">
        <v>2225</v>
      </c>
      <c r="B535" s="82">
        <v>-30</v>
      </c>
      <c r="C535" s="82">
        <v>-26</v>
      </c>
      <c r="D535" s="81">
        <v>2</v>
      </c>
      <c r="E535" s="81">
        <v>67</v>
      </c>
      <c r="F535" s="6">
        <v>2.5299999999999998</v>
      </c>
      <c r="G535" s="81">
        <v>2344</v>
      </c>
      <c r="H535" s="17" t="s">
        <v>3761</v>
      </c>
      <c r="I535" s="22" t="s">
        <v>5161</v>
      </c>
      <c r="J535" s="75">
        <v>59.33</v>
      </c>
      <c r="K535" s="75">
        <v>20.66</v>
      </c>
      <c r="L535" s="75">
        <v>11.95</v>
      </c>
      <c r="N535" s="325">
        <f t="shared" si="121"/>
        <v>91.94</v>
      </c>
      <c r="O535" s="27"/>
      <c r="P535" s="56"/>
      <c r="Q535" s="26"/>
      <c r="S535" s="330">
        <v>2.2200000000000002</v>
      </c>
      <c r="T535" s="34">
        <v>0.2</v>
      </c>
      <c r="U535" s="366">
        <f t="shared" si="116"/>
        <v>5.9435364041604761E-3</v>
      </c>
      <c r="V535" s="97">
        <v>0.33</v>
      </c>
      <c r="W535" s="36">
        <f>RTD("money.excel",,"2344","Price")</f>
        <v>33.65</v>
      </c>
      <c r="X535" s="67"/>
      <c r="Y535" s="15">
        <f t="shared" si="117"/>
        <v>33.65</v>
      </c>
      <c r="Z535" s="3" t="e">
        <f t="shared" si="118"/>
        <v>#DIV/0!</v>
      </c>
      <c r="AA535" s="174" t="s">
        <v>1943</v>
      </c>
      <c r="AB535" s="22" t="s">
        <v>5161</v>
      </c>
      <c r="AE535" s="33">
        <f t="shared" si="119"/>
        <v>0</v>
      </c>
      <c r="AF535" s="122" t="s">
        <v>1495</v>
      </c>
      <c r="AG535" s="128"/>
      <c r="AI535" s="64">
        <f t="shared" si="120"/>
        <v>7.3459798994974877E-3</v>
      </c>
      <c r="AJ535" s="313">
        <f>RTD("money.excel",,$G535,"PredictVolume")</f>
        <v>29237</v>
      </c>
      <c r="AK535" s="348"/>
    </row>
    <row r="536" spans="1:37">
      <c r="A536" s="132" t="s">
        <v>1945</v>
      </c>
      <c r="B536" s="81">
        <v>166</v>
      </c>
      <c r="C536" s="81">
        <v>154</v>
      </c>
      <c r="D536" s="82">
        <v>-8</v>
      </c>
      <c r="E536" s="81">
        <v>12</v>
      </c>
      <c r="F536" s="58">
        <v>11.56</v>
      </c>
      <c r="G536" s="81">
        <v>2351</v>
      </c>
      <c r="H536" s="206" t="s">
        <v>3761</v>
      </c>
      <c r="I536" s="22" t="s">
        <v>68</v>
      </c>
      <c r="J536" s="330">
        <v>68.27</v>
      </c>
      <c r="K536" s="75">
        <v>24.92</v>
      </c>
      <c r="L536" s="75">
        <v>7.66</v>
      </c>
      <c r="M536" s="330">
        <v>11.24</v>
      </c>
      <c r="N536" s="325">
        <f t="shared" si="121"/>
        <v>112.08999999999999</v>
      </c>
      <c r="O536" s="27"/>
      <c r="P536" s="56" t="s">
        <v>6463</v>
      </c>
      <c r="Q536" s="26" t="s">
        <v>6464</v>
      </c>
      <c r="R536" s="309" t="s">
        <v>4374</v>
      </c>
      <c r="S536" s="330">
        <v>3.4</v>
      </c>
      <c r="T536" s="67">
        <v>3</v>
      </c>
      <c r="U536" s="366">
        <f t="shared" si="116"/>
        <v>2.1505376344086023E-2</v>
      </c>
      <c r="V536" s="58">
        <v>4.3099999999999996</v>
      </c>
      <c r="W536" s="36">
        <f>RTD("money.excel",,"2351","Price")</f>
        <v>139.5</v>
      </c>
      <c r="X536" s="67"/>
      <c r="Y536" s="15">
        <f t="shared" si="117"/>
        <v>139.5</v>
      </c>
      <c r="Z536" s="3" t="e">
        <f t="shared" si="118"/>
        <v>#DIV/0!</v>
      </c>
      <c r="AA536" s="174" t="s">
        <v>2185</v>
      </c>
      <c r="AB536" s="22" t="s">
        <v>68</v>
      </c>
      <c r="AE536" s="33">
        <f t="shared" si="119"/>
        <v>0</v>
      </c>
      <c r="AF536" s="122" t="s">
        <v>4129</v>
      </c>
      <c r="AG536" s="269"/>
      <c r="AI536" s="64">
        <f t="shared" si="120"/>
        <v>7.7527472527472528E-3</v>
      </c>
      <c r="AJ536" s="313">
        <f>RTD("money.excel",,$G536,"PredictVolume")</f>
        <v>1411</v>
      </c>
      <c r="AK536" s="348">
        <v>16.02</v>
      </c>
    </row>
    <row r="537" spans="1:37">
      <c r="A537" s="148" t="s">
        <v>3645</v>
      </c>
      <c r="B537" s="82">
        <v>-145</v>
      </c>
      <c r="C537" s="81">
        <v>6</v>
      </c>
      <c r="D537" s="81">
        <v>4</v>
      </c>
      <c r="E537" s="82">
        <v>-18</v>
      </c>
      <c r="F537" s="75">
        <v>-144</v>
      </c>
      <c r="G537" s="81">
        <v>2363</v>
      </c>
      <c r="H537" s="8" t="s">
        <v>3761</v>
      </c>
      <c r="I537" s="22" t="s">
        <v>343</v>
      </c>
      <c r="J537" s="330">
        <v>41.83</v>
      </c>
      <c r="K537" s="75">
        <v>9.41</v>
      </c>
      <c r="L537" s="330">
        <v>8.9700000000000006</v>
      </c>
      <c r="N537" s="325">
        <f t="shared" si="121"/>
        <v>60.209999999999994</v>
      </c>
      <c r="O537" s="27"/>
      <c r="P537" s="56"/>
      <c r="Q537" s="26"/>
      <c r="S537" s="330">
        <v>22.53</v>
      </c>
      <c r="T537" s="34">
        <v>1.6</v>
      </c>
      <c r="U537" s="366">
        <f t="shared" si="116"/>
        <v>6.8376068376068383E-2</v>
      </c>
      <c r="V537" s="97">
        <v>-0.52</v>
      </c>
      <c r="W537" s="36">
        <f>RTD("money.excel",,"2363","Price")</f>
        <v>23.4</v>
      </c>
      <c r="X537" s="67"/>
      <c r="Y537" s="15">
        <f t="shared" si="117"/>
        <v>23.4</v>
      </c>
      <c r="Z537" s="3" t="e">
        <f t="shared" si="118"/>
        <v>#DIV/0!</v>
      </c>
      <c r="AA537" s="174" t="s">
        <v>1943</v>
      </c>
      <c r="AB537" s="22" t="s">
        <v>343</v>
      </c>
      <c r="AE537" s="33">
        <f t="shared" si="119"/>
        <v>0</v>
      </c>
      <c r="AF537" s="43" t="s">
        <v>2864</v>
      </c>
      <c r="AG537" s="128"/>
      <c r="AI537" s="64">
        <f t="shared" si="120"/>
        <v>1.6407290015847859E-2</v>
      </c>
      <c r="AJ537" s="313">
        <f>RTD("money.excel",,$G537,"PredictVolume")</f>
        <v>10353</v>
      </c>
      <c r="AK537" s="348"/>
    </row>
    <row r="538" spans="1:37">
      <c r="A538" s="132" t="s">
        <v>2518</v>
      </c>
      <c r="B538" s="81">
        <v>670</v>
      </c>
      <c r="C538" s="81">
        <v>552</v>
      </c>
      <c r="D538" s="81">
        <v>0</v>
      </c>
      <c r="E538" s="81">
        <v>33</v>
      </c>
      <c r="F538" s="58">
        <v>11.27</v>
      </c>
      <c r="G538" s="81">
        <v>2369</v>
      </c>
      <c r="H538" s="17" t="s">
        <v>3761</v>
      </c>
      <c r="I538" s="22" t="s">
        <v>5162</v>
      </c>
      <c r="J538" s="75">
        <v>28.29</v>
      </c>
      <c r="K538" s="330">
        <v>14.08</v>
      </c>
      <c r="L538" s="75">
        <v>24.95</v>
      </c>
      <c r="M538" s="330">
        <v>4.6500000000000004</v>
      </c>
      <c r="N538" s="325">
        <f t="shared" si="121"/>
        <v>71.97</v>
      </c>
      <c r="O538" s="27"/>
      <c r="P538" s="56"/>
      <c r="Q538" s="26"/>
      <c r="R538" s="308" t="s">
        <v>6061</v>
      </c>
      <c r="S538" s="330">
        <v>7.15</v>
      </c>
      <c r="T538" s="34">
        <v>0</v>
      </c>
      <c r="U538" s="366">
        <f t="shared" si="116"/>
        <v>0</v>
      </c>
      <c r="V538" s="97">
        <v>1.45</v>
      </c>
      <c r="W538" s="36">
        <f>RTD("money.excel",,"2369","Price")</f>
        <v>22.9</v>
      </c>
      <c r="X538" s="67"/>
      <c r="Y538" s="15">
        <f t="shared" si="117"/>
        <v>22.9</v>
      </c>
      <c r="Z538" s="3" t="e">
        <f t="shared" si="118"/>
        <v>#DIV/0!</v>
      </c>
      <c r="AA538" s="174" t="s">
        <v>1943</v>
      </c>
      <c r="AB538" s="22" t="s">
        <v>5162</v>
      </c>
      <c r="AE538" s="33">
        <f t="shared" si="119"/>
        <v>0</v>
      </c>
      <c r="AF538" s="122" t="s">
        <v>2855</v>
      </c>
      <c r="AG538" s="269"/>
      <c r="AI538" s="64">
        <f t="shared" si="120"/>
        <v>4.5947368421052634E-3</v>
      </c>
      <c r="AJ538" s="313">
        <f>RTD("money.excel",,$G538,"PredictVolume")</f>
        <v>1746</v>
      </c>
      <c r="AK538" s="348"/>
    </row>
    <row r="539" spans="1:37">
      <c r="A539" s="132" t="s">
        <v>2473</v>
      </c>
      <c r="B539" s="81">
        <v>19</v>
      </c>
      <c r="C539" s="81">
        <v>31</v>
      </c>
      <c r="D539" s="81">
        <v>20</v>
      </c>
      <c r="E539" s="81">
        <v>53</v>
      </c>
      <c r="F539" s="58">
        <v>10.76</v>
      </c>
      <c r="G539" s="81">
        <v>2379</v>
      </c>
      <c r="H539" s="17" t="s">
        <v>3761</v>
      </c>
      <c r="I539" s="22" t="s">
        <v>26</v>
      </c>
      <c r="J539" s="330">
        <v>58.75</v>
      </c>
      <c r="K539" s="75">
        <v>65.38</v>
      </c>
      <c r="L539" s="330">
        <v>2.31</v>
      </c>
      <c r="N539" s="325">
        <f t="shared" si="121"/>
        <v>126.44</v>
      </c>
      <c r="O539" s="27"/>
      <c r="P539" s="56"/>
      <c r="Q539" s="26"/>
      <c r="S539" s="330">
        <v>0.31</v>
      </c>
      <c r="T539" s="67">
        <v>11</v>
      </c>
      <c r="U539" s="366">
        <f t="shared" si="116"/>
        <v>2.3605150214592276E-2</v>
      </c>
      <c r="V539" s="58">
        <v>17.239999999999998</v>
      </c>
      <c r="W539" s="13">
        <f>RTD("money.excel",,"2379","Price")</f>
        <v>466</v>
      </c>
      <c r="X539" s="67"/>
      <c r="Y539" s="15">
        <f t="shared" si="117"/>
        <v>466</v>
      </c>
      <c r="Z539" s="3" t="e">
        <f t="shared" si="118"/>
        <v>#DIV/0!</v>
      </c>
      <c r="AA539" s="174" t="s">
        <v>2185</v>
      </c>
      <c r="AB539" s="22" t="s">
        <v>26</v>
      </c>
      <c r="AE539" s="33">
        <f t="shared" si="119"/>
        <v>0</v>
      </c>
      <c r="AF539" s="122" t="s">
        <v>3083</v>
      </c>
      <c r="AG539" s="128"/>
      <c r="AI539" s="64">
        <f t="shared" si="120"/>
        <v>2.4254901960784315E-3</v>
      </c>
      <c r="AJ539" s="313">
        <f>RTD("money.excel",,$G539,"PredictVolume")</f>
        <v>1237</v>
      </c>
      <c r="AK539" s="348"/>
    </row>
    <row r="540" spans="1:37">
      <c r="A540" s="148" t="s">
        <v>3646</v>
      </c>
      <c r="B540" s="95">
        <v>5535</v>
      </c>
      <c r="C540" s="82">
        <v>-709</v>
      </c>
      <c r="D540" s="82">
        <v>-14</v>
      </c>
      <c r="E540" s="81">
        <v>4</v>
      </c>
      <c r="F540" s="6">
        <v>-31.32</v>
      </c>
      <c r="G540" s="81">
        <v>2388</v>
      </c>
      <c r="H540" s="17" t="s">
        <v>3761</v>
      </c>
      <c r="I540" s="22" t="s">
        <v>302</v>
      </c>
      <c r="J540" s="330">
        <v>70.94</v>
      </c>
      <c r="K540" s="330">
        <v>8.36</v>
      </c>
      <c r="L540" s="330">
        <v>3.8</v>
      </c>
      <c r="N540" s="325">
        <f t="shared" si="121"/>
        <v>83.1</v>
      </c>
      <c r="O540" s="27"/>
      <c r="P540" s="56"/>
      <c r="Q540" s="26"/>
      <c r="S540" s="330">
        <v>3.15</v>
      </c>
      <c r="T540" s="34">
        <v>0.8</v>
      </c>
      <c r="U540" s="366">
        <f t="shared" si="116"/>
        <v>1.322314049586777E-2</v>
      </c>
      <c r="V540" s="58">
        <v>12.94</v>
      </c>
      <c r="W540" s="36">
        <f>RTD("money.excel",,"2388","Price")</f>
        <v>60.5</v>
      </c>
      <c r="X540" s="67"/>
      <c r="Y540" s="15">
        <f t="shared" si="117"/>
        <v>60.5</v>
      </c>
      <c r="Z540" s="3" t="e">
        <f t="shared" si="118"/>
        <v>#DIV/0!</v>
      </c>
      <c r="AA540" s="174" t="s">
        <v>1943</v>
      </c>
      <c r="AB540" s="22" t="s">
        <v>302</v>
      </c>
      <c r="AE540" s="33">
        <f t="shared" si="119"/>
        <v>0</v>
      </c>
      <c r="AF540" s="43" t="s">
        <v>2498</v>
      </c>
      <c r="AG540" s="128"/>
      <c r="AI540" s="64">
        <f t="shared" si="120"/>
        <v>6.0364372469635628E-3</v>
      </c>
      <c r="AJ540" s="313">
        <f>RTD("money.excel",,$G540,"PredictVolume")</f>
        <v>2982</v>
      </c>
      <c r="AK540" s="348"/>
    </row>
    <row r="541" spans="1:37">
      <c r="A541" s="148" t="s">
        <v>3647</v>
      </c>
      <c r="B541" s="93">
        <v>118</v>
      </c>
      <c r="C541" s="93">
        <v>197</v>
      </c>
      <c r="D541" s="93">
        <v>-1</v>
      </c>
      <c r="E541" s="93">
        <v>100</v>
      </c>
      <c r="F541" s="6">
        <v>6.83</v>
      </c>
      <c r="G541" s="81">
        <v>2401</v>
      </c>
      <c r="H541" s="17" t="s">
        <v>3761</v>
      </c>
      <c r="I541" s="22" t="s">
        <v>106</v>
      </c>
      <c r="J541" s="75">
        <v>46.62</v>
      </c>
      <c r="K541" s="75">
        <v>13.14</v>
      </c>
      <c r="L541" s="75">
        <v>8.41</v>
      </c>
      <c r="N541" s="325">
        <f t="shared" si="121"/>
        <v>68.17</v>
      </c>
      <c r="O541" s="27"/>
      <c r="P541" s="56"/>
      <c r="Q541" s="26"/>
      <c r="S541" s="330">
        <v>17.59</v>
      </c>
      <c r="T541" s="34">
        <v>0.53</v>
      </c>
      <c r="U541" s="366">
        <f t="shared" si="116"/>
        <v>1.5750371471025263E-2</v>
      </c>
      <c r="V541" s="97">
        <v>0.55000000000000004</v>
      </c>
      <c r="W541" s="36">
        <f>RTD("money.excel",,"2401","Price")</f>
        <v>33.65</v>
      </c>
      <c r="X541" s="67"/>
      <c r="Y541" s="15">
        <f t="shared" si="117"/>
        <v>33.65</v>
      </c>
      <c r="Z541" s="3" t="e">
        <f t="shared" si="118"/>
        <v>#DIV/0!</v>
      </c>
      <c r="AA541" s="174" t="s">
        <v>1943</v>
      </c>
      <c r="AB541" s="22" t="s">
        <v>106</v>
      </c>
      <c r="AE541" s="33">
        <f t="shared" si="119"/>
        <v>0</v>
      </c>
      <c r="AF541" s="122" t="s">
        <v>1468</v>
      </c>
      <c r="AG541" s="128"/>
      <c r="AI541" s="64">
        <f t="shared" si="120"/>
        <v>6.0489864864864866E-3</v>
      </c>
      <c r="AJ541" s="313">
        <f>RTD("money.excel",,$G541,"PredictVolume")</f>
        <v>3581</v>
      </c>
      <c r="AK541" s="348"/>
    </row>
    <row r="542" spans="1:37">
      <c r="A542" s="132" t="s">
        <v>2380</v>
      </c>
      <c r="B542" s="81">
        <v>142</v>
      </c>
      <c r="C542" s="81">
        <v>168</v>
      </c>
      <c r="D542" s="82">
        <v>-6</v>
      </c>
      <c r="E542" s="81">
        <v>50</v>
      </c>
      <c r="F542" s="58">
        <v>29.85</v>
      </c>
      <c r="G542" s="81">
        <v>2408</v>
      </c>
      <c r="H542" s="17" t="s">
        <v>3761</v>
      </c>
      <c r="I542" s="22" t="s">
        <v>223</v>
      </c>
      <c r="J542" s="75">
        <v>82.93</v>
      </c>
      <c r="K542" s="75">
        <v>20.48</v>
      </c>
      <c r="L542" s="330">
        <v>2.2799999999999998</v>
      </c>
      <c r="N542" s="325">
        <f t="shared" si="121"/>
        <v>105.69000000000001</v>
      </c>
      <c r="O542" s="27"/>
      <c r="P542" s="56"/>
      <c r="Q542" s="26"/>
      <c r="S542" s="330">
        <v>20.7</v>
      </c>
      <c r="T542" s="34">
        <v>1.3</v>
      </c>
      <c r="U542" s="366">
        <f t="shared" si="116"/>
        <v>1.7195767195767198E-2</v>
      </c>
      <c r="V542" s="58">
        <v>5.62</v>
      </c>
      <c r="W542" s="36">
        <f>RTD("money.excel",,"2408","Price")</f>
        <v>75.599999999999994</v>
      </c>
      <c r="X542" s="67"/>
      <c r="Y542" s="15">
        <f t="shared" si="117"/>
        <v>75.599999999999994</v>
      </c>
      <c r="Z542" s="3" t="e">
        <f t="shared" si="118"/>
        <v>#DIV/0!</v>
      </c>
      <c r="AA542" s="174" t="s">
        <v>1943</v>
      </c>
      <c r="AB542" s="22" t="s">
        <v>223</v>
      </c>
      <c r="AE542" s="33">
        <f t="shared" si="119"/>
        <v>0</v>
      </c>
      <c r="AF542" s="122" t="s">
        <v>3082</v>
      </c>
      <c r="AG542" s="128"/>
      <c r="AI542" s="64">
        <f t="shared" si="120"/>
        <v>2.6313915857605176E-3</v>
      </c>
      <c r="AJ542" s="313">
        <f>RTD("money.excel",,$G542,"PredictVolume")</f>
        <v>8131</v>
      </c>
      <c r="AK542" s="348"/>
    </row>
    <row r="543" spans="1:37">
      <c r="A543" s="148" t="s">
        <v>3506</v>
      </c>
      <c r="B543" s="93">
        <v>69</v>
      </c>
      <c r="C543" s="93">
        <v>62</v>
      </c>
      <c r="D543" s="93">
        <v>-5</v>
      </c>
      <c r="E543" s="93">
        <v>32</v>
      </c>
      <c r="F543" s="6">
        <v>-55.57</v>
      </c>
      <c r="G543" s="81">
        <v>2434</v>
      </c>
      <c r="H543" s="17" t="s">
        <v>3761</v>
      </c>
      <c r="I543" s="22" t="s">
        <v>372</v>
      </c>
      <c r="J543" s="75">
        <v>57.56</v>
      </c>
      <c r="K543" s="75">
        <v>1.17</v>
      </c>
      <c r="N543" s="325">
        <f t="shared" si="121"/>
        <v>58.730000000000004</v>
      </c>
      <c r="O543" s="27"/>
      <c r="P543" s="56"/>
      <c r="Q543" s="26"/>
      <c r="S543" s="330">
        <v>28.52</v>
      </c>
      <c r="T543" s="34">
        <v>0</v>
      </c>
      <c r="U543" s="366">
        <f t="shared" si="116"/>
        <v>0</v>
      </c>
      <c r="V543" s="97">
        <v>-0.14000000000000001</v>
      </c>
      <c r="W543" s="13">
        <f>RTD("money.excel",,"2434","Price")</f>
        <v>36</v>
      </c>
      <c r="X543" s="67"/>
      <c r="Y543" s="15">
        <f t="shared" si="117"/>
        <v>36</v>
      </c>
      <c r="Z543" s="3" t="e">
        <f t="shared" si="118"/>
        <v>#DIV/0!</v>
      </c>
      <c r="AB543" s="22" t="s">
        <v>372</v>
      </c>
      <c r="AE543" s="33">
        <f t="shared" si="119"/>
        <v>0</v>
      </c>
      <c r="AF543" s="43" t="s">
        <v>2668</v>
      </c>
      <c r="AG543" s="269"/>
      <c r="AI543" s="64">
        <f t="shared" si="120"/>
        <v>3.7037037037037037E-5</v>
      </c>
      <c r="AJ543" s="313">
        <f>RTD("money.excel",,$G543,"PredictVolume")</f>
        <v>1</v>
      </c>
      <c r="AK543" s="348"/>
    </row>
    <row r="544" spans="1:37">
      <c r="A544" s="148" t="s">
        <v>1888</v>
      </c>
      <c r="B544" s="82">
        <v>-29</v>
      </c>
      <c r="C544" s="81">
        <v>71</v>
      </c>
      <c r="D544" s="81">
        <v>12</v>
      </c>
      <c r="E544" s="81">
        <v>29</v>
      </c>
      <c r="F544" s="6">
        <v>4.97</v>
      </c>
      <c r="G544" s="81">
        <v>2436</v>
      </c>
      <c r="H544" s="17" t="s">
        <v>3761</v>
      </c>
      <c r="I544" s="22" t="s">
        <v>124</v>
      </c>
      <c r="J544" s="75">
        <v>30.76</v>
      </c>
      <c r="K544" s="330">
        <v>10.87</v>
      </c>
      <c r="L544" s="75">
        <v>36.549999999999997</v>
      </c>
      <c r="N544" s="325">
        <f t="shared" si="121"/>
        <v>78.180000000000007</v>
      </c>
      <c r="O544" s="27"/>
      <c r="P544" s="56"/>
      <c r="Q544" s="26"/>
      <c r="S544" s="330">
        <v>0.87</v>
      </c>
      <c r="T544" s="34">
        <v>1.6</v>
      </c>
      <c r="U544" s="366">
        <f t="shared" si="116"/>
        <v>1.8018018018018018E-2</v>
      </c>
      <c r="V544" s="97">
        <v>1.93</v>
      </c>
      <c r="W544" s="36">
        <f>RTD("money.excel",,"2436","Price")</f>
        <v>88.8</v>
      </c>
      <c r="X544" s="67"/>
      <c r="Y544" s="15">
        <f t="shared" si="117"/>
        <v>88.8</v>
      </c>
      <c r="Z544" s="3" t="e">
        <f t="shared" si="118"/>
        <v>#DIV/0!</v>
      </c>
      <c r="AA544" s="174" t="s">
        <v>1943</v>
      </c>
      <c r="AB544" s="22" t="s">
        <v>124</v>
      </c>
      <c r="AE544" s="33">
        <f t="shared" si="119"/>
        <v>0</v>
      </c>
      <c r="AF544" s="43" t="s">
        <v>2679</v>
      </c>
      <c r="AG544" s="128"/>
      <c r="AI544" s="64">
        <f t="shared" si="120"/>
        <v>8.6123595505617975E-3</v>
      </c>
      <c r="AJ544" s="313">
        <f>RTD("money.excel",,$G544,"PredictVolume")</f>
        <v>1533</v>
      </c>
      <c r="AK544" s="348"/>
    </row>
    <row r="545" spans="1:37">
      <c r="A545" s="132" t="s">
        <v>2286</v>
      </c>
      <c r="B545" s="81">
        <v>36</v>
      </c>
      <c r="C545" s="81">
        <v>36</v>
      </c>
      <c r="D545" s="81">
        <v>0</v>
      </c>
      <c r="E545" s="81">
        <v>25</v>
      </c>
      <c r="F545" s="58">
        <v>21.78</v>
      </c>
      <c r="G545" s="81">
        <v>2441</v>
      </c>
      <c r="H545" s="17" t="s">
        <v>3761</v>
      </c>
      <c r="I545" s="22" t="s">
        <v>291</v>
      </c>
      <c r="J545" s="75">
        <v>74.75</v>
      </c>
      <c r="K545" s="330">
        <v>15.57</v>
      </c>
      <c r="L545" s="330">
        <v>0.93</v>
      </c>
      <c r="N545" s="325">
        <f t="shared" si="121"/>
        <v>91.25</v>
      </c>
      <c r="O545" s="27"/>
      <c r="P545" s="56"/>
      <c r="Q545" s="26"/>
      <c r="S545" s="330">
        <v>0</v>
      </c>
      <c r="T545" s="67">
        <v>3.1</v>
      </c>
      <c r="U545" s="366">
        <f t="shared" si="116"/>
        <v>4.2582417582417584E-2</v>
      </c>
      <c r="V545" s="97">
        <v>4.68</v>
      </c>
      <c r="W545" s="36">
        <f>RTD("money.excel",,"2441","Price")</f>
        <v>72.8</v>
      </c>
      <c r="X545" s="67"/>
      <c r="Y545" s="15">
        <f t="shared" si="117"/>
        <v>72.8</v>
      </c>
      <c r="Z545" s="3" t="e">
        <f t="shared" si="118"/>
        <v>#DIV/0!</v>
      </c>
      <c r="AA545" s="174" t="s">
        <v>2185</v>
      </c>
      <c r="AB545" s="22" t="s">
        <v>291</v>
      </c>
      <c r="AE545" s="33">
        <f t="shared" si="119"/>
        <v>0</v>
      </c>
      <c r="AF545" s="122" t="s">
        <v>3742</v>
      </c>
      <c r="AG545" s="128"/>
      <c r="AI545" s="64">
        <f t="shared" si="120"/>
        <v>9.8063380281690135E-4</v>
      </c>
      <c r="AJ545" s="313">
        <f>RTD("money.excel",,$G545,"PredictVolume")</f>
        <v>557</v>
      </c>
      <c r="AK545" s="348"/>
    </row>
    <row r="546" spans="1:37">
      <c r="A546" s="132" t="s">
        <v>1785</v>
      </c>
      <c r="B546" s="81">
        <v>45</v>
      </c>
      <c r="C546" s="81">
        <v>48</v>
      </c>
      <c r="D546" s="82">
        <v>-6</v>
      </c>
      <c r="E546" s="82">
        <v>-5</v>
      </c>
      <c r="F546" s="58">
        <v>17.91</v>
      </c>
      <c r="G546" s="81">
        <v>2449</v>
      </c>
      <c r="H546" s="17" t="s">
        <v>3761</v>
      </c>
      <c r="I546" s="22" t="s">
        <v>53</v>
      </c>
      <c r="J546" s="75">
        <v>54.05</v>
      </c>
      <c r="K546" s="75">
        <v>31.09</v>
      </c>
      <c r="L546" s="75">
        <v>7.4</v>
      </c>
      <c r="N546" s="325">
        <f t="shared" si="121"/>
        <v>92.54</v>
      </c>
      <c r="O546" s="27"/>
      <c r="P546" s="56"/>
      <c r="Q546" s="26"/>
      <c r="S546" s="330">
        <v>0.21</v>
      </c>
      <c r="T546" s="34">
        <v>2</v>
      </c>
      <c r="U546" s="366">
        <f t="shared" si="116"/>
        <v>4.7619047619047616E-2</v>
      </c>
      <c r="V546" s="97">
        <v>2.97</v>
      </c>
      <c r="W546" s="36">
        <f>RTD("money.excel",,"2449","Price")</f>
        <v>42</v>
      </c>
      <c r="X546" s="67"/>
      <c r="Y546" s="15">
        <f t="shared" si="117"/>
        <v>42</v>
      </c>
      <c r="Z546" s="3" t="e">
        <f t="shared" si="118"/>
        <v>#DIV/0!</v>
      </c>
      <c r="AA546" s="174" t="s">
        <v>1943</v>
      </c>
      <c r="AB546" s="22" t="s">
        <v>53</v>
      </c>
      <c r="AE546" s="33">
        <f t="shared" si="119"/>
        <v>0</v>
      </c>
      <c r="AF546" s="122" t="s">
        <v>2816</v>
      </c>
      <c r="AG546" s="128"/>
      <c r="AI546" s="64">
        <f t="shared" si="120"/>
        <v>3.9549180327868852E-3</v>
      </c>
      <c r="AJ546" s="313">
        <f>RTD("money.excel",,$G546,"PredictVolume")</f>
        <v>4825</v>
      </c>
      <c r="AK546" s="348"/>
    </row>
    <row r="547" spans="1:37">
      <c r="A547" s="132" t="s">
        <v>1776</v>
      </c>
      <c r="B547" s="81">
        <v>20</v>
      </c>
      <c r="C547" s="81">
        <v>24</v>
      </c>
      <c r="D547" s="82">
        <v>-4</v>
      </c>
      <c r="E547" s="81">
        <v>63</v>
      </c>
      <c r="F547" s="58">
        <v>14.82</v>
      </c>
      <c r="G547" s="81">
        <v>2451</v>
      </c>
      <c r="H547" s="17" t="s">
        <v>3761</v>
      </c>
      <c r="I547" s="22" t="s">
        <v>32</v>
      </c>
      <c r="J547" s="330">
        <v>67.23</v>
      </c>
      <c r="K547" s="330">
        <v>15.9</v>
      </c>
      <c r="L547" s="330">
        <v>11.9</v>
      </c>
      <c r="N547" s="325">
        <f t="shared" si="121"/>
        <v>95.030000000000015</v>
      </c>
      <c r="O547" s="27"/>
      <c r="P547" s="56"/>
      <c r="Q547" s="26"/>
      <c r="S547" s="330">
        <v>0.03</v>
      </c>
      <c r="T547" s="67">
        <v>3.05</v>
      </c>
      <c r="U547" s="366">
        <f t="shared" si="116"/>
        <v>4.1105121293800534E-2</v>
      </c>
      <c r="V547" s="58">
        <v>3.01</v>
      </c>
      <c r="W547" s="36">
        <f>RTD("money.excel",,"2451","Price")</f>
        <v>74.2</v>
      </c>
      <c r="X547" s="67"/>
      <c r="Y547" s="15">
        <f t="shared" si="117"/>
        <v>74.2</v>
      </c>
      <c r="Z547" s="3" t="e">
        <f t="shared" si="118"/>
        <v>#DIV/0!</v>
      </c>
      <c r="AA547" s="174" t="s">
        <v>1986</v>
      </c>
      <c r="AB547" s="22" t="s">
        <v>32</v>
      </c>
      <c r="AE547" s="33">
        <f t="shared" si="119"/>
        <v>0</v>
      </c>
      <c r="AF547" s="122" t="s">
        <v>1482</v>
      </c>
      <c r="AG547" s="128"/>
      <c r="AI547" s="64">
        <f t="shared" si="120"/>
        <v>1.7132867132867134E-3</v>
      </c>
      <c r="AJ547" s="313">
        <f>RTD("money.excel",,$G547,"PredictVolume")</f>
        <v>735</v>
      </c>
      <c r="AK547" s="348"/>
    </row>
    <row r="548" spans="1:37">
      <c r="A548" s="132" t="s">
        <v>2140</v>
      </c>
      <c r="B548" s="81">
        <v>57</v>
      </c>
      <c r="C548" s="81">
        <v>70</v>
      </c>
      <c r="D548" s="82">
        <v>-3</v>
      </c>
      <c r="E548" s="81">
        <v>46</v>
      </c>
      <c r="F548" s="58">
        <v>12.34</v>
      </c>
      <c r="G548" s="81">
        <v>2454</v>
      </c>
      <c r="H548" s="8" t="s">
        <v>3761</v>
      </c>
      <c r="I548" s="22" t="s">
        <v>2110</v>
      </c>
      <c r="J548" s="75">
        <v>69.28</v>
      </c>
      <c r="K548" s="330">
        <v>70.42</v>
      </c>
      <c r="L548" s="75">
        <v>1.94</v>
      </c>
      <c r="N548" s="325">
        <f t="shared" si="121"/>
        <v>141.63999999999999</v>
      </c>
      <c r="O548" s="27"/>
      <c r="P548" s="56"/>
      <c r="Q548" s="26"/>
      <c r="S548" s="330">
        <v>0.42</v>
      </c>
      <c r="T548" s="67">
        <v>10.5</v>
      </c>
      <c r="U548" s="366">
        <f t="shared" si="116"/>
        <v>1.0903426791277258E-2</v>
      </c>
      <c r="V548" s="58">
        <v>26.02</v>
      </c>
      <c r="W548" s="157">
        <f>RTD("money.excel",,"2454","Price")</f>
        <v>963</v>
      </c>
      <c r="X548" s="67"/>
      <c r="Y548" s="143">
        <f t="shared" si="117"/>
        <v>963</v>
      </c>
      <c r="Z548" s="3" t="e">
        <f t="shared" si="118"/>
        <v>#DIV/0!</v>
      </c>
      <c r="AA548" s="174" t="s">
        <v>2185</v>
      </c>
      <c r="AB548" s="22" t="s">
        <v>2110</v>
      </c>
      <c r="AE548" s="33">
        <f t="shared" si="119"/>
        <v>0</v>
      </c>
      <c r="AF548" s="123" t="s">
        <v>1112</v>
      </c>
      <c r="AG548" s="128"/>
      <c r="AI548" s="64">
        <f t="shared" si="120"/>
        <v>3.5100628930817609E-3</v>
      </c>
      <c r="AJ548" s="313">
        <f>RTD("money.excel",,$G548,"PredictVolume")</f>
        <v>5581</v>
      </c>
      <c r="AK548" s="348"/>
    </row>
    <row r="549" spans="1:37">
      <c r="A549" s="132" t="s">
        <v>1786</v>
      </c>
      <c r="B549" s="81">
        <v>85</v>
      </c>
      <c r="C549" s="81">
        <v>58</v>
      </c>
      <c r="D549" s="82">
        <v>-15</v>
      </c>
      <c r="E549" s="82">
        <v>-2</v>
      </c>
      <c r="F549" s="58">
        <v>31.99</v>
      </c>
      <c r="G549" s="81">
        <v>2458</v>
      </c>
      <c r="H549" s="8" t="s">
        <v>3761</v>
      </c>
      <c r="I549" s="22" t="s">
        <v>63</v>
      </c>
      <c r="J549" s="75">
        <v>45.59</v>
      </c>
      <c r="K549" s="75">
        <v>34.049999999999997</v>
      </c>
      <c r="L549" s="330">
        <v>8.2799999999999994</v>
      </c>
      <c r="N549" s="325">
        <f t="shared" si="121"/>
        <v>87.92</v>
      </c>
      <c r="O549" s="27"/>
      <c r="P549" s="56"/>
      <c r="Q549" s="26"/>
      <c r="S549" s="330">
        <v>23.16</v>
      </c>
      <c r="T549" s="67">
        <v>9</v>
      </c>
      <c r="U549" s="366">
        <f t="shared" si="116"/>
        <v>5.4545454545454543E-2</v>
      </c>
      <c r="V549" s="97">
        <v>17.100000000000001</v>
      </c>
      <c r="W549" s="36">
        <f>RTD("money.excel",,"2458","Price")</f>
        <v>165</v>
      </c>
      <c r="X549" s="67"/>
      <c r="Y549" s="15">
        <f t="shared" si="117"/>
        <v>165</v>
      </c>
      <c r="Z549" s="3" t="e">
        <f t="shared" si="118"/>
        <v>#DIV/0!</v>
      </c>
      <c r="AA549" s="174" t="s">
        <v>2185</v>
      </c>
      <c r="AB549" s="22" t="s">
        <v>63</v>
      </c>
      <c r="AE549" s="33">
        <f t="shared" si="119"/>
        <v>0</v>
      </c>
      <c r="AF549" s="122" t="s">
        <v>2864</v>
      </c>
      <c r="AG549" s="128"/>
      <c r="AI549" s="64">
        <f t="shared" si="120"/>
        <v>4.2013201320132013E-3</v>
      </c>
      <c r="AJ549" s="313">
        <f>RTD("money.excel",,$G549,"PredictVolume")</f>
        <v>1273</v>
      </c>
      <c r="AK549" s="348"/>
    </row>
    <row r="550" spans="1:37">
      <c r="A550" s="148" t="s">
        <v>2331</v>
      </c>
      <c r="B550" s="81">
        <v>98</v>
      </c>
      <c r="C550" s="81">
        <v>58</v>
      </c>
      <c r="D550" s="81">
        <v>6</v>
      </c>
      <c r="E550" s="81">
        <v>27</v>
      </c>
      <c r="F550" s="6">
        <v>9.1999999999999993</v>
      </c>
      <c r="G550" s="81">
        <v>2481</v>
      </c>
      <c r="H550" s="8" t="s">
        <v>3761</v>
      </c>
      <c r="I550" s="22" t="s">
        <v>196</v>
      </c>
      <c r="J550" s="75">
        <v>49.41</v>
      </c>
      <c r="K550" s="75">
        <v>22.93</v>
      </c>
      <c r="L550" s="330">
        <v>17.98</v>
      </c>
      <c r="N550" s="325">
        <f t="shared" si="121"/>
        <v>90.320000000000007</v>
      </c>
      <c r="O550" s="27"/>
      <c r="P550" s="56"/>
      <c r="Q550" s="26"/>
      <c r="S550" s="330">
        <v>3.04</v>
      </c>
      <c r="T550" s="34">
        <v>1.5</v>
      </c>
      <c r="U550" s="366">
        <f t="shared" si="116"/>
        <v>1.4851485148514851E-2</v>
      </c>
      <c r="V550" s="58">
        <v>2.7</v>
      </c>
      <c r="W550" s="36">
        <f>RTD("money.excel",,"2481","Price")</f>
        <v>101</v>
      </c>
      <c r="X550" s="67"/>
      <c r="Y550" s="15">
        <f t="shared" si="117"/>
        <v>101</v>
      </c>
      <c r="Z550" s="3" t="e">
        <f t="shared" si="118"/>
        <v>#DIV/0!</v>
      </c>
      <c r="AA550" s="174" t="s">
        <v>1943</v>
      </c>
      <c r="AB550" s="22" t="s">
        <v>196</v>
      </c>
      <c r="AE550" s="33">
        <f t="shared" si="119"/>
        <v>0</v>
      </c>
      <c r="AF550" s="124" t="s">
        <v>2668</v>
      </c>
      <c r="AG550" s="128"/>
      <c r="AI550" s="64">
        <f t="shared" si="120"/>
        <v>1.4153614457831325E-2</v>
      </c>
      <c r="AJ550" s="313">
        <f>RTD("money.excel",,$G550,"PredictVolume")</f>
        <v>4699</v>
      </c>
      <c r="AK550" s="348"/>
    </row>
    <row r="551" spans="1:37">
      <c r="A551" s="132" t="s">
        <v>4177</v>
      </c>
      <c r="B551" s="81">
        <v>364</v>
      </c>
      <c r="C551" s="81">
        <v>408</v>
      </c>
      <c r="D551" s="82">
        <v>-12</v>
      </c>
      <c r="E551" s="81">
        <v>3</v>
      </c>
      <c r="F551" s="58">
        <v>24.64</v>
      </c>
      <c r="G551" s="81">
        <v>3006</v>
      </c>
      <c r="H551" s="8" t="s">
        <v>3761</v>
      </c>
      <c r="I551" s="22" t="s">
        <v>107</v>
      </c>
      <c r="J551" s="75">
        <v>40.950000000000003</v>
      </c>
      <c r="K551" s="75">
        <v>24.24</v>
      </c>
      <c r="L551" s="75">
        <v>56.87</v>
      </c>
      <c r="M551" s="330">
        <v>5.75</v>
      </c>
      <c r="N551" s="325">
        <f t="shared" si="121"/>
        <v>127.81</v>
      </c>
      <c r="O551" s="27"/>
      <c r="P551" s="56" t="s">
        <v>6266</v>
      </c>
      <c r="Q551" s="26" t="s">
        <v>6274</v>
      </c>
      <c r="R551" s="309" t="s">
        <v>6219</v>
      </c>
      <c r="S551" s="330">
        <v>8.1</v>
      </c>
      <c r="T551" s="67">
        <v>8</v>
      </c>
      <c r="U551" s="366">
        <f t="shared" si="116"/>
        <v>5.0793650793650794E-2</v>
      </c>
      <c r="V551" s="97">
        <v>17.760000000000002</v>
      </c>
      <c r="W551" s="36">
        <f>RTD("money.excel",,"3006","Price")</f>
        <v>157.5</v>
      </c>
      <c r="X551" s="67"/>
      <c r="Y551" s="15">
        <f t="shared" si="117"/>
        <v>157.5</v>
      </c>
      <c r="Z551" s="3" t="e">
        <f t="shared" si="118"/>
        <v>#DIV/0!</v>
      </c>
      <c r="AA551" s="174" t="s">
        <v>2185</v>
      </c>
      <c r="AB551" s="22" t="s">
        <v>107</v>
      </c>
      <c r="AE551" s="33">
        <f t="shared" si="119"/>
        <v>0</v>
      </c>
      <c r="AF551" s="122" t="s">
        <v>2592</v>
      </c>
      <c r="AG551" s="128"/>
      <c r="AI551" s="64">
        <f t="shared" si="120"/>
        <v>3.4720279720279718E-2</v>
      </c>
      <c r="AJ551" s="313">
        <f>RTD("money.excel",,$G551,"PredictVolume")</f>
        <v>9930</v>
      </c>
      <c r="AK551" s="348">
        <v>38.299999999999997</v>
      </c>
    </row>
    <row r="552" spans="1:37">
      <c r="A552" s="132" t="s">
        <v>1864</v>
      </c>
      <c r="B552" s="81">
        <v>93</v>
      </c>
      <c r="C552" s="81">
        <v>88</v>
      </c>
      <c r="D552" s="81">
        <v>8</v>
      </c>
      <c r="E552" s="81">
        <v>12</v>
      </c>
      <c r="F552" s="58">
        <v>29.18</v>
      </c>
      <c r="G552" s="81">
        <v>3014</v>
      </c>
      <c r="H552" s="8" t="s">
        <v>3761</v>
      </c>
      <c r="I552" s="22" t="s">
        <v>109</v>
      </c>
      <c r="J552" s="330">
        <v>20.91</v>
      </c>
      <c r="K552" s="330">
        <v>11.55</v>
      </c>
      <c r="L552" s="330">
        <v>16.88</v>
      </c>
      <c r="M552" s="330">
        <v>12.51</v>
      </c>
      <c r="N552" s="325">
        <f t="shared" si="121"/>
        <v>61.85</v>
      </c>
      <c r="O552" s="27"/>
      <c r="P552" s="56" t="s">
        <v>6231</v>
      </c>
      <c r="Q552" s="26" t="s">
        <v>6259</v>
      </c>
      <c r="R552" s="309" t="s">
        <v>4374</v>
      </c>
      <c r="S552" s="330">
        <v>3.57</v>
      </c>
      <c r="T552" s="67">
        <v>9</v>
      </c>
      <c r="U552" s="366">
        <f t="shared" si="116"/>
        <v>7.9295154185022032E-2</v>
      </c>
      <c r="V552" s="97">
        <v>11.21</v>
      </c>
      <c r="W552" s="36">
        <f>RTD("money.excel",,"3014","Price")</f>
        <v>113.5</v>
      </c>
      <c r="X552" s="67"/>
      <c r="Y552" s="15">
        <f t="shared" si="117"/>
        <v>113.5</v>
      </c>
      <c r="Z552" s="3" t="e">
        <f t="shared" si="118"/>
        <v>#DIV/0!</v>
      </c>
      <c r="AA552" s="174" t="s">
        <v>2185</v>
      </c>
      <c r="AB552" s="22" t="s">
        <v>109</v>
      </c>
      <c r="AE552" s="33">
        <f t="shared" si="119"/>
        <v>0</v>
      </c>
      <c r="AF552" s="122" t="s">
        <v>1506</v>
      </c>
      <c r="AG552" s="128"/>
      <c r="AI552" s="64">
        <f t="shared" si="120"/>
        <v>8.5279503105590067E-3</v>
      </c>
      <c r="AJ552" s="313">
        <f>RTD("money.excel",,$G552,"PredictVolume")</f>
        <v>1373</v>
      </c>
      <c r="AK552" s="348">
        <v>38.229999999999997</v>
      </c>
    </row>
    <row r="553" spans="1:37">
      <c r="A553" s="148" t="s">
        <v>2480</v>
      </c>
      <c r="B553" s="82">
        <v>-46</v>
      </c>
      <c r="C553" s="82">
        <v>-91</v>
      </c>
      <c r="D553" s="82">
        <v>-6</v>
      </c>
      <c r="E553" s="81">
        <v>5</v>
      </c>
      <c r="F553" s="6">
        <v>0.1</v>
      </c>
      <c r="G553" s="81">
        <v>3016</v>
      </c>
      <c r="H553" s="210" t="s">
        <v>3761</v>
      </c>
      <c r="I553" s="23" t="s">
        <v>260</v>
      </c>
      <c r="J553" s="330">
        <v>72.36</v>
      </c>
      <c r="K553" s="75">
        <v>2.66</v>
      </c>
      <c r="L553" s="75">
        <v>17.14</v>
      </c>
      <c r="N553" s="325">
        <f t="shared" si="121"/>
        <v>92.16</v>
      </c>
      <c r="O553" s="27"/>
      <c r="P553" s="56"/>
      <c r="Q553" s="26"/>
      <c r="S553" s="330">
        <v>2.68</v>
      </c>
      <c r="T553" s="34">
        <v>0.25</v>
      </c>
      <c r="U553" s="366">
        <f t="shared" si="116"/>
        <v>2.3923444976076554E-3</v>
      </c>
      <c r="V553" s="97">
        <v>0.09</v>
      </c>
      <c r="W553" s="36">
        <f>RTD("money.excel",,"3016","Price")</f>
        <v>104.5</v>
      </c>
      <c r="X553" s="67"/>
      <c r="Y553" s="15">
        <f t="shared" si="117"/>
        <v>104.5</v>
      </c>
      <c r="Z553" s="3" t="e">
        <f t="shared" si="118"/>
        <v>#DIV/0!</v>
      </c>
      <c r="AA553" s="174" t="s">
        <v>1943</v>
      </c>
      <c r="AB553" s="23" t="s">
        <v>260</v>
      </c>
      <c r="AE553" s="33">
        <f t="shared" si="119"/>
        <v>0</v>
      </c>
      <c r="AF553" s="124" t="s">
        <v>2828</v>
      </c>
      <c r="AG553" s="128"/>
      <c r="AI553" s="64">
        <f t="shared" si="120"/>
        <v>4.0892857142857141E-2</v>
      </c>
      <c r="AJ553" s="313">
        <f>RTD("money.excel",,$G553,"PredictVolume")</f>
        <v>11450</v>
      </c>
      <c r="AK553" s="348"/>
    </row>
    <row r="554" spans="1:37">
      <c r="A554" s="132" t="s">
        <v>1795</v>
      </c>
      <c r="B554" s="81">
        <v>241</v>
      </c>
      <c r="C554" s="81">
        <v>242</v>
      </c>
      <c r="D554" s="82">
        <v>-1</v>
      </c>
      <c r="E554" s="81">
        <v>62</v>
      </c>
      <c r="F554" s="58">
        <v>34.729999999999997</v>
      </c>
      <c r="G554" s="81">
        <v>3034</v>
      </c>
      <c r="H554" s="8" t="s">
        <v>3761</v>
      </c>
      <c r="I554" s="22" t="s">
        <v>5163</v>
      </c>
      <c r="J554" s="330">
        <v>53.13</v>
      </c>
      <c r="K554" s="330">
        <v>65.06</v>
      </c>
      <c r="L554" s="330">
        <v>4.3099999999999996</v>
      </c>
      <c r="M554" s="330">
        <v>6.94</v>
      </c>
      <c r="N554" s="325">
        <f t="shared" si="121"/>
        <v>129.44</v>
      </c>
      <c r="O554" s="27" t="s">
        <v>894</v>
      </c>
      <c r="P554" s="56"/>
      <c r="Q554" s="26"/>
      <c r="R554" s="309" t="s">
        <v>6214</v>
      </c>
      <c r="S554" s="330">
        <v>8.35</v>
      </c>
      <c r="T554" s="67">
        <v>15.6</v>
      </c>
      <c r="U554" s="366">
        <f t="shared" si="116"/>
        <v>3.3440514469453377E-2</v>
      </c>
      <c r="V554" s="58">
        <v>51.89</v>
      </c>
      <c r="W554" s="13">
        <f>RTD("money.excel",,"3034","Price")</f>
        <v>466.5</v>
      </c>
      <c r="X554" s="67"/>
      <c r="Y554" s="15">
        <f t="shared" si="117"/>
        <v>466.5</v>
      </c>
      <c r="Z554" s="3" t="e">
        <f t="shared" si="118"/>
        <v>#DIV/0!</v>
      </c>
      <c r="AA554" s="174" t="s">
        <v>2185</v>
      </c>
      <c r="AB554" s="22" t="s">
        <v>5163</v>
      </c>
      <c r="AE554" s="33">
        <f t="shared" si="119"/>
        <v>0</v>
      </c>
      <c r="AF554" s="122" t="s">
        <v>3084</v>
      </c>
      <c r="AG554" s="128"/>
      <c r="AI554" s="64">
        <f t="shared" si="120"/>
        <v>6.1940789473684211E-3</v>
      </c>
      <c r="AJ554" s="313">
        <f>RTD("money.excel",,$G554,"PredictVolume")</f>
        <v>3766</v>
      </c>
      <c r="AK554" s="348">
        <v>5.3</v>
      </c>
    </row>
    <row r="555" spans="1:37">
      <c r="A555" s="132" t="s">
        <v>1796</v>
      </c>
      <c r="B555" s="81">
        <v>403</v>
      </c>
      <c r="C555" s="81">
        <v>840</v>
      </c>
      <c r="D555" s="81">
        <v>12</v>
      </c>
      <c r="E555" s="81">
        <v>117</v>
      </c>
      <c r="F555" s="58">
        <v>17.34</v>
      </c>
      <c r="G555" s="81">
        <v>3035</v>
      </c>
      <c r="H555" s="8" t="s">
        <v>3761</v>
      </c>
      <c r="I555" s="22" t="s">
        <v>2097</v>
      </c>
      <c r="J555" s="75">
        <v>48.91</v>
      </c>
      <c r="K555" s="75">
        <v>49.57</v>
      </c>
      <c r="L555" s="75">
        <v>17.79</v>
      </c>
      <c r="M555" s="330">
        <v>14.36</v>
      </c>
      <c r="N555" s="75">
        <f t="shared" si="121"/>
        <v>130.63</v>
      </c>
      <c r="O555" s="27"/>
      <c r="P555" s="56" t="s">
        <v>6276</v>
      </c>
      <c r="Q555" s="26" t="s">
        <v>6259</v>
      </c>
      <c r="R555" s="309" t="s">
        <v>6219</v>
      </c>
      <c r="S555" s="330">
        <v>7.65</v>
      </c>
      <c r="T555" s="67">
        <v>3.3</v>
      </c>
      <c r="U555" s="366">
        <f t="shared" si="116"/>
        <v>1.1498257839721254E-2</v>
      </c>
      <c r="V555" s="97">
        <v>2.82</v>
      </c>
      <c r="W555" s="13">
        <f>RTD("money.excel",,"3035","Price")</f>
        <v>287</v>
      </c>
      <c r="X555" s="67"/>
      <c r="Y555" s="15">
        <f t="shared" si="117"/>
        <v>287</v>
      </c>
      <c r="Z555" s="3" t="e">
        <f t="shared" si="118"/>
        <v>#DIV/0!</v>
      </c>
      <c r="AA555" s="174" t="s">
        <v>2185</v>
      </c>
      <c r="AB555" s="22" t="s">
        <v>2097</v>
      </c>
      <c r="AE555" s="33">
        <f t="shared" si="119"/>
        <v>0</v>
      </c>
      <c r="AF555" s="122" t="s">
        <v>2833</v>
      </c>
      <c r="AG555" s="128"/>
      <c r="AI555" s="64">
        <f t="shared" si="120"/>
        <v>0.11507661290322581</v>
      </c>
      <c r="AJ555" s="313">
        <f>RTD("money.excel",,$G555,"PredictVolume")</f>
        <v>28539</v>
      </c>
      <c r="AK555" s="348">
        <v>45.71</v>
      </c>
    </row>
    <row r="556" spans="1:37">
      <c r="A556" s="148" t="s">
        <v>4037</v>
      </c>
      <c r="B556" s="81">
        <v>41</v>
      </c>
      <c r="C556" s="81">
        <v>56</v>
      </c>
      <c r="D556" s="81">
        <v>39</v>
      </c>
      <c r="E556" s="81">
        <v>73</v>
      </c>
      <c r="F556" s="6">
        <v>-5.41</v>
      </c>
      <c r="G556" s="81">
        <v>3041</v>
      </c>
      <c r="H556" s="8" t="s">
        <v>3761</v>
      </c>
      <c r="I556" s="22" t="s">
        <v>5164</v>
      </c>
      <c r="J556" s="330">
        <v>18.059999999999999</v>
      </c>
      <c r="K556" s="330">
        <v>10.92</v>
      </c>
      <c r="L556" s="75">
        <v>58.11</v>
      </c>
      <c r="M556" s="75">
        <v>0.98</v>
      </c>
      <c r="N556" s="325">
        <f t="shared" si="121"/>
        <v>88.070000000000007</v>
      </c>
      <c r="O556" s="27" t="s">
        <v>6181</v>
      </c>
      <c r="P556" s="56"/>
      <c r="Q556" s="26"/>
      <c r="R556" s="309" t="s">
        <v>6122</v>
      </c>
      <c r="S556" s="330">
        <v>6.68</v>
      </c>
      <c r="T556" s="34">
        <v>0</v>
      </c>
      <c r="U556" s="366">
        <f t="shared" si="116"/>
        <v>0</v>
      </c>
      <c r="V556" s="97">
        <v>-0.89</v>
      </c>
      <c r="W556" s="36">
        <f>RTD("money.excel",,"3041","Price")</f>
        <v>32.75</v>
      </c>
      <c r="X556" s="67"/>
      <c r="Y556" s="15">
        <f t="shared" si="117"/>
        <v>32.75</v>
      </c>
      <c r="Z556" s="3" t="e">
        <f t="shared" si="118"/>
        <v>#DIV/0!</v>
      </c>
      <c r="AA556" s="174" t="s">
        <v>1943</v>
      </c>
      <c r="AB556" s="22" t="s">
        <v>5164</v>
      </c>
      <c r="AE556" s="33">
        <f t="shared" si="119"/>
        <v>0</v>
      </c>
      <c r="AF556" s="43" t="s">
        <v>1526</v>
      </c>
      <c r="AG556" s="128"/>
      <c r="AI556" s="64">
        <f t="shared" si="120"/>
        <v>1.2735751295336788E-2</v>
      </c>
      <c r="AJ556" s="313">
        <f>RTD("money.excel",,$G556,"PredictVolume")</f>
        <v>2458</v>
      </c>
      <c r="AK556" s="348">
        <v>53.55</v>
      </c>
    </row>
    <row r="557" spans="1:37">
      <c r="A557" s="148" t="s">
        <v>2379</v>
      </c>
      <c r="B557" s="93">
        <v>-389</v>
      </c>
      <c r="C557" s="93">
        <v>-4</v>
      </c>
      <c r="D557" s="93">
        <v>-35</v>
      </c>
      <c r="E557" s="93">
        <v>0</v>
      </c>
      <c r="F557" s="6">
        <v>-26.46</v>
      </c>
      <c r="G557" s="81">
        <v>3054</v>
      </c>
      <c r="H557" s="8" t="s">
        <v>3761</v>
      </c>
      <c r="I557" s="22" t="s">
        <v>5165</v>
      </c>
      <c r="J557" s="75">
        <v>84.37</v>
      </c>
      <c r="K557" s="75">
        <v>0.23</v>
      </c>
      <c r="L557" s="75">
        <v>12.79</v>
      </c>
      <c r="N557" s="325">
        <f t="shared" si="121"/>
        <v>97.390000000000015</v>
      </c>
      <c r="O557" s="27"/>
      <c r="P557" s="56"/>
      <c r="Q557" s="26"/>
      <c r="S557" s="330">
        <v>51.83</v>
      </c>
      <c r="T557" s="34">
        <v>0</v>
      </c>
      <c r="U557" s="366">
        <f t="shared" si="116"/>
        <v>0</v>
      </c>
      <c r="V557" s="97">
        <v>-0.16</v>
      </c>
      <c r="W557" s="13">
        <f>RTD("money.excel",,"3054","Price")</f>
        <v>22.85</v>
      </c>
      <c r="X557" s="67"/>
      <c r="Y557" s="15">
        <f t="shared" si="117"/>
        <v>22.85</v>
      </c>
      <c r="Z557" s="3" t="e">
        <f t="shared" si="118"/>
        <v>#DIV/0!</v>
      </c>
      <c r="AB557" s="22" t="s">
        <v>5165</v>
      </c>
      <c r="AE557" s="33">
        <f t="shared" si="119"/>
        <v>0</v>
      </c>
      <c r="AF557" s="43" t="s">
        <v>1482</v>
      </c>
      <c r="AG557" s="128"/>
      <c r="AI557" s="64">
        <f t="shared" si="120"/>
        <v>2.3917995444191345E-4</v>
      </c>
      <c r="AJ557" s="313">
        <f>RTD("money.excel",,$G557,"PredictVolume")</f>
        <v>21</v>
      </c>
      <c r="AK557" s="348"/>
    </row>
    <row r="558" spans="1:37">
      <c r="A558" s="148" t="s">
        <v>1690</v>
      </c>
      <c r="B558" s="93">
        <v>91</v>
      </c>
      <c r="C558" s="93">
        <v>104</v>
      </c>
      <c r="D558" s="93">
        <v>-39</v>
      </c>
      <c r="E558" s="93">
        <v>102</v>
      </c>
      <c r="F558" s="6">
        <v>1.8</v>
      </c>
      <c r="G558" s="81">
        <v>3073</v>
      </c>
      <c r="H558" s="151" t="s">
        <v>3761</v>
      </c>
      <c r="I558" s="16" t="s">
        <v>3895</v>
      </c>
      <c r="J558" s="75">
        <v>55.6</v>
      </c>
      <c r="K558" s="75">
        <v>0.12</v>
      </c>
      <c r="N558" s="325">
        <f t="shared" si="121"/>
        <v>55.72</v>
      </c>
      <c r="O558" s="27"/>
      <c r="P558" s="56"/>
      <c r="Q558" s="26"/>
      <c r="T558" s="34">
        <v>0</v>
      </c>
      <c r="U558" s="366">
        <f t="shared" si="116"/>
        <v>0</v>
      </c>
      <c r="V558" s="97">
        <v>-0.31</v>
      </c>
      <c r="W558" s="36">
        <f>RTD("money.excel",,"3073","Price")</f>
        <v>28.95</v>
      </c>
      <c r="X558" s="67"/>
      <c r="Y558" s="15">
        <f t="shared" si="117"/>
        <v>28.95</v>
      </c>
      <c r="Z558" s="3" t="e">
        <f t="shared" si="118"/>
        <v>#DIV/0!</v>
      </c>
      <c r="AB558" s="16" t="s">
        <v>3895</v>
      </c>
      <c r="AE558" s="33">
        <f t="shared" si="119"/>
        <v>0</v>
      </c>
      <c r="AF558" s="43" t="s">
        <v>3896</v>
      </c>
      <c r="AG558" s="128"/>
      <c r="AI558" s="64">
        <f t="shared" si="120"/>
        <v>1.1695906432748539E-4</v>
      </c>
      <c r="AJ558" s="313">
        <f>RTD("money.excel",,$G558,"PredictVolume")</f>
        <v>2</v>
      </c>
      <c r="AK558" s="348"/>
    </row>
    <row r="559" spans="1:37">
      <c r="A559" s="132" t="s">
        <v>2585</v>
      </c>
      <c r="B559" s="81">
        <v>106</v>
      </c>
      <c r="C559" s="81">
        <v>199</v>
      </c>
      <c r="D559" s="81">
        <v>6</v>
      </c>
      <c r="E559" s="81">
        <v>12</v>
      </c>
      <c r="F559" s="58">
        <v>20.85</v>
      </c>
      <c r="G559" s="81">
        <v>3094</v>
      </c>
      <c r="H559" s="8" t="s">
        <v>3761</v>
      </c>
      <c r="I559" s="22" t="s">
        <v>373</v>
      </c>
      <c r="J559" s="330">
        <v>12.4</v>
      </c>
      <c r="K559" s="330">
        <v>2.0299999999999998</v>
      </c>
      <c r="L559" s="75">
        <v>59.24</v>
      </c>
      <c r="M559" s="330">
        <v>11.71</v>
      </c>
      <c r="N559" s="325">
        <f t="shared" si="121"/>
        <v>85.38</v>
      </c>
      <c r="O559" s="27"/>
      <c r="P559" s="56"/>
      <c r="Q559" s="26"/>
      <c r="R559" s="308" t="s">
        <v>4372</v>
      </c>
      <c r="S559" s="330">
        <v>5.2</v>
      </c>
      <c r="T559" s="34">
        <v>0.8</v>
      </c>
      <c r="U559" s="366">
        <f t="shared" si="116"/>
        <v>2.4169184290030211E-2</v>
      </c>
      <c r="V559" s="97">
        <v>0.73</v>
      </c>
      <c r="W559" s="36">
        <f>RTD("money.excel",,"3094","Price")</f>
        <v>33.1</v>
      </c>
      <c r="X559" s="67"/>
      <c r="Y559" s="15">
        <f t="shared" si="117"/>
        <v>33.1</v>
      </c>
      <c r="Z559" s="3" t="e">
        <f t="shared" si="118"/>
        <v>#DIV/0!</v>
      </c>
      <c r="AA559" s="174" t="s">
        <v>1943</v>
      </c>
      <c r="AB559" s="22" t="s">
        <v>373</v>
      </c>
      <c r="AE559" s="33">
        <f t="shared" si="119"/>
        <v>0</v>
      </c>
      <c r="AF559" s="43" t="s">
        <v>2611</v>
      </c>
      <c r="AG559" s="128"/>
      <c r="AI559" s="64">
        <f t="shared" si="120"/>
        <v>7.6477541371158383E-3</v>
      </c>
      <c r="AJ559" s="313">
        <f>RTD("money.excel",,$G559,"PredictVolume")</f>
        <v>647</v>
      </c>
      <c r="AK559" s="348"/>
    </row>
    <row r="560" spans="1:37">
      <c r="A560" s="132" t="s">
        <v>1797</v>
      </c>
      <c r="B560" s="82">
        <v>-37</v>
      </c>
      <c r="C560" s="82">
        <v>-34</v>
      </c>
      <c r="D560" s="81">
        <v>2</v>
      </c>
      <c r="E560" s="81">
        <v>3</v>
      </c>
      <c r="F560" s="58">
        <v>21.34</v>
      </c>
      <c r="G560" s="81">
        <v>3105</v>
      </c>
      <c r="H560" s="151" t="s">
        <v>3761</v>
      </c>
      <c r="I560" s="16" t="s">
        <v>274</v>
      </c>
      <c r="J560" s="330">
        <v>58.14</v>
      </c>
      <c r="K560" s="75">
        <v>48.02</v>
      </c>
      <c r="L560" s="75">
        <v>5.58</v>
      </c>
      <c r="N560" s="325">
        <f t="shared" si="121"/>
        <v>111.74</v>
      </c>
      <c r="O560" s="27"/>
      <c r="P560" s="56"/>
      <c r="Q560" s="26"/>
      <c r="S560" s="330">
        <v>7.49</v>
      </c>
      <c r="T560" s="67">
        <v>10</v>
      </c>
      <c r="U560" s="366">
        <f t="shared" ref="U560:U591" si="122">T560/W560</f>
        <v>3.4423407917383818E-2</v>
      </c>
      <c r="V560" s="58">
        <v>12.79</v>
      </c>
      <c r="W560" s="13">
        <f>RTD("money.excel",,"3105","Price")</f>
        <v>290.5</v>
      </c>
      <c r="X560" s="67"/>
      <c r="Y560" s="15">
        <f t="shared" si="117"/>
        <v>290.5</v>
      </c>
      <c r="Z560" s="3" t="e">
        <f t="shared" si="118"/>
        <v>#DIV/0!</v>
      </c>
      <c r="AA560" s="174" t="s">
        <v>2185</v>
      </c>
      <c r="AB560" s="16" t="s">
        <v>274</v>
      </c>
      <c r="AE560" s="33">
        <f t="shared" si="119"/>
        <v>0</v>
      </c>
      <c r="AF560" s="122" t="s">
        <v>2843</v>
      </c>
      <c r="AG560" s="128"/>
      <c r="AI560" s="64">
        <f t="shared" ref="AI560:AI591" si="123">AJ560/(A560*10000)</f>
        <v>3.6768867924528302E-3</v>
      </c>
      <c r="AJ560" s="313">
        <f>RTD("money.excel",,$G560,"PredictVolume")</f>
        <v>1559</v>
      </c>
      <c r="AK560" s="348"/>
    </row>
    <row r="561" spans="1:37">
      <c r="A561" s="132" t="s">
        <v>5715</v>
      </c>
      <c r="B561" s="95">
        <v>1262</v>
      </c>
      <c r="C561" s="95">
        <v>1058</v>
      </c>
      <c r="D561" s="81">
        <v>0</v>
      </c>
      <c r="E561" s="81">
        <v>47</v>
      </c>
      <c r="F561" s="58">
        <v>17.05</v>
      </c>
      <c r="G561" s="81">
        <v>3122</v>
      </c>
      <c r="H561" s="151" t="s">
        <v>3761</v>
      </c>
      <c r="I561" s="16" t="s">
        <v>387</v>
      </c>
      <c r="J561" s="330">
        <v>16.22</v>
      </c>
      <c r="K561" s="75">
        <v>4.8600000000000003</v>
      </c>
      <c r="L561" s="330">
        <v>35.43</v>
      </c>
      <c r="M561" s="75">
        <v>15.55</v>
      </c>
      <c r="N561" s="325">
        <f t="shared" si="121"/>
        <v>72.06</v>
      </c>
      <c r="O561" s="27" t="s">
        <v>6115</v>
      </c>
      <c r="P561" s="56" t="s">
        <v>6335</v>
      </c>
      <c r="Q561" s="26" t="s">
        <v>6274</v>
      </c>
      <c r="R561" s="309" t="s">
        <v>4373</v>
      </c>
      <c r="S561" s="330">
        <v>2.99</v>
      </c>
      <c r="T561" s="34">
        <v>2.2000000000000002</v>
      </c>
      <c r="U561" s="366">
        <f t="shared" si="122"/>
        <v>4.1509433962264156E-2</v>
      </c>
      <c r="V561" s="97">
        <v>3.38</v>
      </c>
      <c r="W561" s="36">
        <f>RTD("money.excel",,"3122","Price")</f>
        <v>53</v>
      </c>
      <c r="X561" s="67"/>
      <c r="Y561" s="15">
        <f t="shared" si="117"/>
        <v>53</v>
      </c>
      <c r="Z561" s="3" t="e">
        <f t="shared" si="118"/>
        <v>#DIV/0!</v>
      </c>
      <c r="AA561" s="174" t="s">
        <v>1943</v>
      </c>
      <c r="AB561" s="16" t="s">
        <v>387</v>
      </c>
      <c r="AE561" s="33">
        <f t="shared" si="119"/>
        <v>0</v>
      </c>
      <c r="AF561" s="43" t="s">
        <v>2872</v>
      </c>
      <c r="AG561" s="128"/>
      <c r="AI561" s="64">
        <f t="shared" si="123"/>
        <v>3.4536082474226806E-2</v>
      </c>
      <c r="AJ561" s="313">
        <f>RTD("money.excel",,$G561,"PredictVolume")</f>
        <v>1340</v>
      </c>
      <c r="AK561" s="348">
        <v>83.74</v>
      </c>
    </row>
    <row r="562" spans="1:37">
      <c r="A562" s="132" t="s">
        <v>4423</v>
      </c>
      <c r="B562" s="81">
        <v>605</v>
      </c>
      <c r="C562" s="81">
        <v>561</v>
      </c>
      <c r="D562" s="82">
        <v>-1</v>
      </c>
      <c r="E562" s="81">
        <v>27</v>
      </c>
      <c r="F562" s="58">
        <v>27.14</v>
      </c>
      <c r="G562" s="81">
        <v>3141</v>
      </c>
      <c r="H562" s="151" t="s">
        <v>3761</v>
      </c>
      <c r="I562" s="16" t="s">
        <v>194</v>
      </c>
      <c r="J562" s="330">
        <v>25.14</v>
      </c>
      <c r="K562" s="75">
        <v>18.86</v>
      </c>
      <c r="L562" s="75">
        <v>74.900000000000006</v>
      </c>
      <c r="M562" s="330">
        <v>4.4800000000000004</v>
      </c>
      <c r="N562" s="325">
        <f t="shared" si="121"/>
        <v>123.38000000000001</v>
      </c>
      <c r="O562" s="27"/>
      <c r="P562" s="56"/>
      <c r="Q562" s="26"/>
      <c r="R562" s="308" t="s">
        <v>4372</v>
      </c>
      <c r="S562" s="330">
        <v>7.85</v>
      </c>
      <c r="T562" s="34">
        <v>0.62</v>
      </c>
      <c r="U562" s="366">
        <f t="shared" si="122"/>
        <v>3.7014925373134327E-3</v>
      </c>
      <c r="V562" s="97">
        <v>7.4</v>
      </c>
      <c r="W562" s="36">
        <f>RTD("money.excel",,"3141","Price")</f>
        <v>167.5</v>
      </c>
      <c r="X562" s="67"/>
      <c r="Y562" s="15">
        <f t="shared" si="117"/>
        <v>167.5</v>
      </c>
      <c r="Z562" s="3" t="e">
        <f t="shared" si="118"/>
        <v>#DIV/0!</v>
      </c>
      <c r="AA562" s="174" t="s">
        <v>1943</v>
      </c>
      <c r="AB562" s="16" t="s">
        <v>194</v>
      </c>
      <c r="AE562" s="33">
        <f t="shared" si="119"/>
        <v>0</v>
      </c>
      <c r="AF562" s="124" t="s">
        <v>2613</v>
      </c>
      <c r="AG562" s="128"/>
      <c r="AI562" s="64">
        <f t="shared" si="123"/>
        <v>4.9113756613756616E-2</v>
      </c>
      <c r="AJ562" s="313">
        <f>RTD("money.excel",,$G562,"PredictVolume")</f>
        <v>3713</v>
      </c>
      <c r="AK562" s="348"/>
    </row>
    <row r="563" spans="1:37">
      <c r="A563" s="132" t="s">
        <v>2804</v>
      </c>
      <c r="B563" s="81">
        <v>141</v>
      </c>
      <c r="C563" s="81">
        <v>145</v>
      </c>
      <c r="D563" s="81">
        <v>3</v>
      </c>
      <c r="E563" s="81">
        <v>59</v>
      </c>
      <c r="F563" s="58">
        <v>34.74</v>
      </c>
      <c r="G563" s="81">
        <v>3169</v>
      </c>
      <c r="H563" s="151" t="s">
        <v>3761</v>
      </c>
      <c r="I563" s="16" t="s">
        <v>388</v>
      </c>
      <c r="J563" s="75">
        <v>28.47</v>
      </c>
      <c r="K563" s="75">
        <v>10.57</v>
      </c>
      <c r="L563" s="330">
        <v>52.61</v>
      </c>
      <c r="M563" s="330">
        <v>24.21</v>
      </c>
      <c r="N563" s="325">
        <f t="shared" si="121"/>
        <v>115.86000000000001</v>
      </c>
      <c r="O563" s="27"/>
      <c r="P563" s="56" t="s">
        <v>6480</v>
      </c>
      <c r="Q563" s="26" t="s">
        <v>6481</v>
      </c>
      <c r="R563" s="309" t="s">
        <v>6219</v>
      </c>
      <c r="S563" s="330">
        <v>2.58</v>
      </c>
      <c r="T563" s="67">
        <v>5</v>
      </c>
      <c r="U563" s="366">
        <f t="shared" si="122"/>
        <v>2.4937655860349128E-2</v>
      </c>
      <c r="V563" s="97">
        <v>5.5</v>
      </c>
      <c r="W563" s="36">
        <f>RTD("money.excel",,"3169","Price")</f>
        <v>200.5</v>
      </c>
      <c r="X563" s="67"/>
      <c r="Y563" s="15">
        <f t="shared" si="117"/>
        <v>200.5</v>
      </c>
      <c r="Z563" s="3" t="e">
        <f t="shared" si="118"/>
        <v>#DIV/0!</v>
      </c>
      <c r="AA563" s="174" t="s">
        <v>2185</v>
      </c>
      <c r="AB563" s="16" t="s">
        <v>388</v>
      </c>
      <c r="AE563" s="33">
        <f t="shared" si="119"/>
        <v>0</v>
      </c>
      <c r="AF563" s="43" t="s">
        <v>3418</v>
      </c>
      <c r="AG563" s="128"/>
      <c r="AI563" s="64">
        <f t="shared" si="123"/>
        <v>5.4228295819935692E-2</v>
      </c>
      <c r="AJ563" s="313">
        <f>RTD("money.excel",,$G563,"PredictVolume")</f>
        <v>3373</v>
      </c>
      <c r="AK563" s="348">
        <v>70.58</v>
      </c>
    </row>
    <row r="564" spans="1:37">
      <c r="A564" s="148" t="s">
        <v>2378</v>
      </c>
      <c r="B564" s="81">
        <v>129</v>
      </c>
      <c r="C564" s="81">
        <v>144</v>
      </c>
      <c r="D564" s="82">
        <v>-1</v>
      </c>
      <c r="E564" s="81">
        <v>15</v>
      </c>
      <c r="F564" s="6">
        <v>4.0599999999999996</v>
      </c>
      <c r="G564" s="81">
        <v>3189</v>
      </c>
      <c r="H564" s="8" t="s">
        <v>3761</v>
      </c>
      <c r="I564" s="22" t="s">
        <v>5166</v>
      </c>
      <c r="J564" s="75">
        <v>65.77</v>
      </c>
      <c r="K564" s="75">
        <v>25.38</v>
      </c>
      <c r="L564" s="330">
        <v>10.45</v>
      </c>
      <c r="N564" s="325">
        <f t="shared" si="121"/>
        <v>101.6</v>
      </c>
      <c r="O564" s="27"/>
      <c r="P564" s="56"/>
      <c r="Q564" s="26"/>
      <c r="S564" s="330">
        <v>1.89</v>
      </c>
      <c r="T564" s="34">
        <v>1</v>
      </c>
      <c r="U564" s="366">
        <f t="shared" si="122"/>
        <v>5.1813471502590676E-3</v>
      </c>
      <c r="V564" s="97">
        <v>1.6</v>
      </c>
      <c r="W564" s="36">
        <f>RTD("money.excel",,"3189","Price")</f>
        <v>193</v>
      </c>
      <c r="X564" s="67"/>
      <c r="Y564" s="15">
        <f t="shared" si="117"/>
        <v>193</v>
      </c>
      <c r="Z564" s="3" t="e">
        <f t="shared" si="118"/>
        <v>#DIV/0!</v>
      </c>
      <c r="AA564" s="174" t="s">
        <v>1943</v>
      </c>
      <c r="AB564" s="22" t="s">
        <v>5166</v>
      </c>
      <c r="AE564" s="33">
        <f t="shared" si="119"/>
        <v>0</v>
      </c>
      <c r="AF564" s="122" t="s">
        <v>2821</v>
      </c>
      <c r="AG564" s="128"/>
      <c r="AI564" s="64">
        <f t="shared" si="123"/>
        <v>1.4733333333333333E-2</v>
      </c>
      <c r="AJ564" s="313">
        <f>RTD("money.excel",,$G564,"PredictVolume")</f>
        <v>6630</v>
      </c>
      <c r="AK564" s="348"/>
    </row>
    <row r="565" spans="1:37">
      <c r="A565" s="148" t="s">
        <v>3496</v>
      </c>
      <c r="B565" s="93">
        <v>139</v>
      </c>
      <c r="C565" s="93">
        <v>181</v>
      </c>
      <c r="D565" s="93">
        <v>-1</v>
      </c>
      <c r="E565" s="93"/>
      <c r="F565" s="6">
        <v>-9.24</v>
      </c>
      <c r="G565" s="81">
        <v>3219</v>
      </c>
      <c r="H565" s="151" t="s">
        <v>3761</v>
      </c>
      <c r="I565" s="16" t="s">
        <v>3495</v>
      </c>
      <c r="J565" s="75">
        <v>47.33</v>
      </c>
      <c r="K565" s="75">
        <v>0.02</v>
      </c>
      <c r="L565" s="75">
        <v>5.95</v>
      </c>
      <c r="N565" s="325">
        <f t="shared" si="121"/>
        <v>53.300000000000004</v>
      </c>
      <c r="O565" s="27"/>
      <c r="P565" s="56"/>
      <c r="Q565" s="26"/>
      <c r="S565" s="330">
        <v>16.86</v>
      </c>
      <c r="T565" s="34">
        <v>0</v>
      </c>
      <c r="U565" s="366">
        <f t="shared" si="122"/>
        <v>0</v>
      </c>
      <c r="V565" s="97">
        <v>0.85</v>
      </c>
      <c r="W565" s="36">
        <f>RTD("money.excel",,"3219","Price")</f>
        <v>119</v>
      </c>
      <c r="X565" s="67"/>
      <c r="Y565" s="15">
        <f t="shared" si="117"/>
        <v>119</v>
      </c>
      <c r="Z565" s="3" t="e">
        <f t="shared" si="118"/>
        <v>#DIV/0!</v>
      </c>
      <c r="AB565" s="16" t="s">
        <v>3495</v>
      </c>
      <c r="AE565" s="33">
        <f t="shared" si="119"/>
        <v>0</v>
      </c>
      <c r="AF565" s="43" t="s">
        <v>1505</v>
      </c>
      <c r="AG565" s="128"/>
      <c r="AI565" s="64">
        <f t="shared" si="123"/>
        <v>1.7638691322901848E-3</v>
      </c>
      <c r="AJ565" s="313">
        <f>RTD("money.excel",,$G565,"PredictVolume")</f>
        <v>124</v>
      </c>
      <c r="AK565" s="348"/>
    </row>
    <row r="566" spans="1:37">
      <c r="A566" s="132" t="s">
        <v>1830</v>
      </c>
      <c r="B566" s="81">
        <v>71</v>
      </c>
      <c r="C566" s="81">
        <v>73</v>
      </c>
      <c r="D566" s="82">
        <v>-6</v>
      </c>
      <c r="E566" s="81">
        <v>2</v>
      </c>
      <c r="F566" s="58">
        <v>23.42</v>
      </c>
      <c r="G566" s="81">
        <v>3227</v>
      </c>
      <c r="H566" s="151" t="s">
        <v>3761</v>
      </c>
      <c r="I566" s="16" t="s">
        <v>5167</v>
      </c>
      <c r="J566" s="330">
        <v>21.25</v>
      </c>
      <c r="K566" s="330">
        <v>17.62</v>
      </c>
      <c r="L566" s="330">
        <v>23.22</v>
      </c>
      <c r="N566" s="325">
        <f t="shared" si="121"/>
        <v>62.09</v>
      </c>
      <c r="O566" s="27"/>
      <c r="P566" s="56"/>
      <c r="Q566" s="26"/>
      <c r="S566" s="330">
        <v>2.37</v>
      </c>
      <c r="T566" s="67">
        <v>8.48</v>
      </c>
      <c r="U566" s="366">
        <f t="shared" si="122"/>
        <v>6.1227436823104699E-2</v>
      </c>
      <c r="V566" s="97">
        <v>13.37</v>
      </c>
      <c r="W566" s="36">
        <f>RTD("money.excel",,"3227","Price")</f>
        <v>138.5</v>
      </c>
      <c r="X566" s="67"/>
      <c r="Y566" s="15">
        <f t="shared" si="117"/>
        <v>138.5</v>
      </c>
      <c r="Z566" s="3" t="e">
        <f t="shared" si="118"/>
        <v>#DIV/0!</v>
      </c>
      <c r="AA566" s="174" t="s">
        <v>2185</v>
      </c>
      <c r="AB566" s="16" t="s">
        <v>5167</v>
      </c>
      <c r="AE566" s="33">
        <f t="shared" si="119"/>
        <v>0</v>
      </c>
      <c r="AF566" s="122" t="s">
        <v>2830</v>
      </c>
      <c r="AG566" s="128"/>
      <c r="AI566" s="64">
        <f t="shared" si="123"/>
        <v>2.5664335664335666E-3</v>
      </c>
      <c r="AJ566" s="313">
        <f>RTD("money.excel",,$G566,"PredictVolume")</f>
        <v>367</v>
      </c>
      <c r="AK566" s="348"/>
    </row>
    <row r="567" spans="1:37">
      <c r="A567" s="132" t="s">
        <v>2015</v>
      </c>
      <c r="B567" s="95">
        <v>1292</v>
      </c>
      <c r="C567" s="95">
        <v>1487</v>
      </c>
      <c r="D567" s="82">
        <v>-58</v>
      </c>
      <c r="E567" s="82">
        <v>-31</v>
      </c>
      <c r="F567" s="58">
        <v>49.69</v>
      </c>
      <c r="G567" s="81">
        <v>3228</v>
      </c>
      <c r="H567" s="151" t="s">
        <v>3761</v>
      </c>
      <c r="I567" s="16" t="s">
        <v>5168</v>
      </c>
      <c r="J567" s="330">
        <v>22.78</v>
      </c>
      <c r="K567" s="330">
        <v>9.9700000000000006</v>
      </c>
      <c r="L567" s="330"/>
      <c r="N567" s="325">
        <f t="shared" si="121"/>
        <v>32.75</v>
      </c>
      <c r="O567" s="27"/>
      <c r="P567" s="56"/>
      <c r="Q567" s="26"/>
      <c r="T567" s="34">
        <v>0</v>
      </c>
      <c r="U567" s="366">
        <f t="shared" si="122"/>
        <v>0</v>
      </c>
      <c r="V567" s="97">
        <v>4.01</v>
      </c>
      <c r="W567" s="36">
        <f>RTD("money.excel",,"3228","Price")</f>
        <v>390</v>
      </c>
      <c r="X567" s="67"/>
      <c r="Y567" s="15">
        <f t="shared" si="117"/>
        <v>390</v>
      </c>
      <c r="Z567" s="3" t="e">
        <f t="shared" si="118"/>
        <v>#DIV/0!</v>
      </c>
      <c r="AA567" s="174" t="s">
        <v>1943</v>
      </c>
      <c r="AB567" s="16" t="s">
        <v>5168</v>
      </c>
      <c r="AE567" s="33">
        <f t="shared" si="119"/>
        <v>0</v>
      </c>
      <c r="AF567" s="61" t="s">
        <v>2453</v>
      </c>
      <c r="AG567" s="128"/>
      <c r="AI567" s="64">
        <f t="shared" si="123"/>
        <v>1.6504424778761063E-2</v>
      </c>
      <c r="AJ567" s="313">
        <f>RTD("money.excel",,$G567,"PredictVolume")</f>
        <v>1119</v>
      </c>
      <c r="AK567" s="348"/>
    </row>
    <row r="568" spans="1:37">
      <c r="A568" s="148" t="s">
        <v>2288</v>
      </c>
      <c r="B568" s="81">
        <v>853</v>
      </c>
      <c r="C568" s="81">
        <v>311</v>
      </c>
      <c r="D568" s="81">
        <v>6</v>
      </c>
      <c r="E568" s="81">
        <v>38</v>
      </c>
      <c r="F568" s="58">
        <v>18.32</v>
      </c>
      <c r="G568" s="81">
        <v>3257</v>
      </c>
      <c r="H568" s="8" t="s">
        <v>3761</v>
      </c>
      <c r="I568" s="22" t="s">
        <v>5169</v>
      </c>
      <c r="J568" s="75">
        <v>54.33</v>
      </c>
      <c r="K568" s="330">
        <v>4.9000000000000004</v>
      </c>
      <c r="L568" s="330">
        <v>21.86</v>
      </c>
      <c r="N568" s="325">
        <f t="shared" si="121"/>
        <v>81.09</v>
      </c>
      <c r="O568" s="27"/>
      <c r="P568" s="56"/>
      <c r="Q568" s="26"/>
      <c r="S568" s="330">
        <v>0.82</v>
      </c>
      <c r="T568" s="67">
        <v>4</v>
      </c>
      <c r="U568" s="366">
        <f t="shared" si="122"/>
        <v>5.037783375314861E-2</v>
      </c>
      <c r="V568" s="97">
        <v>3.92</v>
      </c>
      <c r="W568" s="36">
        <f>RTD("money.excel",,"3257","Price")</f>
        <v>79.400000000000006</v>
      </c>
      <c r="X568" s="67"/>
      <c r="Y568" s="15">
        <f t="shared" si="117"/>
        <v>79.400000000000006</v>
      </c>
      <c r="Z568" s="3" t="e">
        <f t="shared" si="118"/>
        <v>#DIV/0!</v>
      </c>
      <c r="AA568" s="174" t="s">
        <v>2185</v>
      </c>
      <c r="AB568" s="22" t="s">
        <v>5169</v>
      </c>
      <c r="AE568" s="33">
        <f t="shared" si="119"/>
        <v>0</v>
      </c>
      <c r="AF568" s="43" t="s">
        <v>2290</v>
      </c>
      <c r="AG568" s="128"/>
      <c r="AI568" s="64">
        <f t="shared" si="123"/>
        <v>1.2572214580467676E-2</v>
      </c>
      <c r="AJ568" s="313">
        <f>RTD("money.excel",,$G568,"PredictVolume")</f>
        <v>914</v>
      </c>
      <c r="AK568" s="348"/>
    </row>
    <row r="569" spans="1:37">
      <c r="A569" s="148" t="s">
        <v>2021</v>
      </c>
      <c r="B569" s="81">
        <v>118</v>
      </c>
      <c r="C569" s="81">
        <v>103</v>
      </c>
      <c r="D569" s="82">
        <v>-3</v>
      </c>
      <c r="E569" s="82">
        <v>-5</v>
      </c>
      <c r="F569" s="6">
        <v>0.69</v>
      </c>
      <c r="G569" s="81">
        <v>3259</v>
      </c>
      <c r="H569" s="151" t="s">
        <v>3761</v>
      </c>
      <c r="I569" s="16" t="s">
        <v>5170</v>
      </c>
      <c r="J569" s="330">
        <v>44.07</v>
      </c>
      <c r="K569" s="75">
        <v>15.97</v>
      </c>
      <c r="L569" s="330"/>
      <c r="N569" s="325">
        <f t="shared" si="121"/>
        <v>60.04</v>
      </c>
      <c r="O569" s="27"/>
      <c r="P569" s="56"/>
      <c r="Q569" s="26"/>
      <c r="T569" s="34">
        <v>0</v>
      </c>
      <c r="U569" s="366">
        <f t="shared" si="122"/>
        <v>0</v>
      </c>
      <c r="V569" s="97">
        <v>-0.55000000000000004</v>
      </c>
      <c r="W569" s="36">
        <f>RTD("money.excel",,"3259","Price")</f>
        <v>23.45</v>
      </c>
      <c r="X569" s="67"/>
      <c r="Y569" s="15">
        <f t="shared" si="117"/>
        <v>23.45</v>
      </c>
      <c r="Z569" s="3" t="e">
        <f t="shared" si="118"/>
        <v>#DIV/0!</v>
      </c>
      <c r="AB569" s="16" t="s">
        <v>5170</v>
      </c>
      <c r="AE569" s="33">
        <f t="shared" si="119"/>
        <v>0</v>
      </c>
      <c r="AF569" s="43" t="s">
        <v>2873</v>
      </c>
      <c r="AG569" s="128"/>
      <c r="AI569" s="64">
        <f t="shared" si="123"/>
        <v>5.7563587684069609E-4</v>
      </c>
      <c r="AJ569" s="313">
        <f>RTD("money.excel",,$G569,"PredictVolume")</f>
        <v>43</v>
      </c>
      <c r="AK569" s="348"/>
    </row>
    <row r="570" spans="1:37">
      <c r="A570" s="148" t="s">
        <v>1784</v>
      </c>
      <c r="B570" s="81">
        <v>116</v>
      </c>
      <c r="C570" s="81">
        <v>35</v>
      </c>
      <c r="D570" s="81">
        <v>1</v>
      </c>
      <c r="E570" s="81">
        <v>13</v>
      </c>
      <c r="F570" s="6">
        <v>7.23</v>
      </c>
      <c r="G570" s="81">
        <v>3260</v>
      </c>
      <c r="H570" s="151" t="s">
        <v>3761</v>
      </c>
      <c r="I570" s="16" t="s">
        <v>229</v>
      </c>
      <c r="J570" s="75">
        <v>20.6</v>
      </c>
      <c r="K570" s="75">
        <v>9.59</v>
      </c>
      <c r="L570" s="75">
        <v>29.86</v>
      </c>
      <c r="M570" s="75">
        <v>5.58</v>
      </c>
      <c r="N570" s="325">
        <f t="shared" si="121"/>
        <v>65.63</v>
      </c>
      <c r="O570" s="27"/>
      <c r="P570" s="56" t="s">
        <v>6270</v>
      </c>
      <c r="Q570" s="26" t="s">
        <v>6231</v>
      </c>
      <c r="R570" s="309" t="s">
        <v>6219</v>
      </c>
      <c r="S570" s="330">
        <v>7.35</v>
      </c>
      <c r="T570" s="67">
        <v>3.18</v>
      </c>
      <c r="U570" s="366">
        <f t="shared" si="122"/>
        <v>3.5570469798657717E-2</v>
      </c>
      <c r="V570" s="97">
        <v>10.55</v>
      </c>
      <c r="W570" s="36">
        <f>RTD("money.excel",,"3260","Price")</f>
        <v>89.4</v>
      </c>
      <c r="X570" s="67"/>
      <c r="Y570" s="15">
        <f t="shared" si="117"/>
        <v>89.4</v>
      </c>
      <c r="Z570" s="3" t="e">
        <f t="shared" si="118"/>
        <v>#DIV/0!</v>
      </c>
      <c r="AA570" s="174" t="s">
        <v>2185</v>
      </c>
      <c r="AB570" s="16" t="s">
        <v>229</v>
      </c>
      <c r="AE570" s="33">
        <f t="shared" si="119"/>
        <v>0</v>
      </c>
      <c r="AF570" s="122" t="s">
        <v>1482</v>
      </c>
      <c r="AG570" s="128"/>
      <c r="AI570" s="64">
        <f t="shared" si="123"/>
        <v>9.1596958174904944E-3</v>
      </c>
      <c r="AJ570" s="313">
        <f>RTD("money.excel",,$G570,"PredictVolume")</f>
        <v>2409</v>
      </c>
      <c r="AK570" s="348">
        <v>35.89</v>
      </c>
    </row>
    <row r="571" spans="1:37">
      <c r="A571" s="132" t="s">
        <v>2337</v>
      </c>
      <c r="B571" s="81">
        <v>50</v>
      </c>
      <c r="C571" s="81">
        <v>44</v>
      </c>
      <c r="D571" s="81">
        <v>7</v>
      </c>
      <c r="E571" s="81">
        <v>28</v>
      </c>
      <c r="F571" s="58">
        <v>22.44</v>
      </c>
      <c r="G571" s="81">
        <v>3264</v>
      </c>
      <c r="H571" s="151" t="s">
        <v>3761</v>
      </c>
      <c r="I571" s="16" t="s">
        <v>3443</v>
      </c>
      <c r="J571" s="330">
        <v>56.83</v>
      </c>
      <c r="K571" s="75">
        <v>31.12</v>
      </c>
      <c r="L571" s="330">
        <v>6.96</v>
      </c>
      <c r="N571" s="325">
        <f t="shared" si="121"/>
        <v>94.91</v>
      </c>
      <c r="O571" s="27"/>
      <c r="P571" s="56"/>
      <c r="Q571" s="26"/>
      <c r="S571" s="330">
        <v>0.02</v>
      </c>
      <c r="T571" s="34">
        <v>2</v>
      </c>
      <c r="U571" s="366">
        <f t="shared" si="122"/>
        <v>4.004004004004004E-2</v>
      </c>
      <c r="V571" s="58">
        <v>4.13</v>
      </c>
      <c r="W571" s="36">
        <f>RTD("money.excel",,"3264","Price")</f>
        <v>49.95</v>
      </c>
      <c r="X571" s="67"/>
      <c r="Y571" s="15">
        <f t="shared" si="117"/>
        <v>49.95</v>
      </c>
      <c r="Z571" s="3" t="e">
        <f t="shared" si="118"/>
        <v>#DIV/0!</v>
      </c>
      <c r="AA571" s="174" t="s">
        <v>1943</v>
      </c>
      <c r="AB571" s="16" t="s">
        <v>3443</v>
      </c>
      <c r="AE571" s="33">
        <f t="shared" si="119"/>
        <v>0</v>
      </c>
      <c r="AF571" s="122" t="s">
        <v>2862</v>
      </c>
      <c r="AG571" s="128"/>
      <c r="AI571" s="64">
        <f t="shared" si="123"/>
        <v>2.4224489795918367E-3</v>
      </c>
      <c r="AJ571" s="313">
        <f>RTD("money.excel",,$G571,"PredictVolume")</f>
        <v>1187</v>
      </c>
      <c r="AK571" s="348"/>
    </row>
    <row r="572" spans="1:37">
      <c r="A572" s="148" t="s">
        <v>1767</v>
      </c>
      <c r="B572" s="81">
        <v>34</v>
      </c>
      <c r="C572" s="81">
        <v>189</v>
      </c>
      <c r="D572" s="82">
        <v>-9</v>
      </c>
      <c r="E572" s="82">
        <v>-1</v>
      </c>
      <c r="F572" s="6">
        <v>5.3</v>
      </c>
      <c r="G572" s="81">
        <v>3265</v>
      </c>
      <c r="H572" s="151" t="s">
        <v>3761</v>
      </c>
      <c r="I572" s="173" t="s">
        <v>89</v>
      </c>
      <c r="J572" s="75">
        <v>57.57</v>
      </c>
      <c r="K572" s="75">
        <v>60.14</v>
      </c>
      <c r="L572" s="75">
        <v>2.65</v>
      </c>
      <c r="N572" s="325">
        <f t="shared" si="121"/>
        <v>120.36000000000001</v>
      </c>
      <c r="O572" s="27"/>
      <c r="P572" s="56"/>
      <c r="Q572" s="26"/>
      <c r="S572" s="330">
        <v>0</v>
      </c>
      <c r="T572" s="199">
        <v>1.23</v>
      </c>
      <c r="U572" s="366">
        <f t="shared" si="122"/>
        <v>3.6826347305389223E-2</v>
      </c>
      <c r="V572" s="97">
        <v>1.54</v>
      </c>
      <c r="W572" s="13">
        <f>RTD("money.excel",,"3265","Price")</f>
        <v>33.4</v>
      </c>
      <c r="X572" s="67"/>
      <c r="Y572" s="15">
        <f t="shared" si="117"/>
        <v>33.4</v>
      </c>
      <c r="Z572" s="3" t="e">
        <f t="shared" si="118"/>
        <v>#DIV/0!</v>
      </c>
      <c r="AA572" s="174" t="s">
        <v>1943</v>
      </c>
      <c r="AB572" s="16" t="s">
        <v>89</v>
      </c>
      <c r="AE572" s="33">
        <f t="shared" si="119"/>
        <v>0</v>
      </c>
      <c r="AF572" s="122" t="s">
        <v>3790</v>
      </c>
      <c r="AG572" s="128"/>
      <c r="AI572" s="64">
        <f t="shared" si="123"/>
        <v>6.0882352941176469E-3</v>
      </c>
      <c r="AJ572" s="313">
        <f>RTD("money.excel",,$G572,"PredictVolume")</f>
        <v>828</v>
      </c>
      <c r="AK572" s="348"/>
    </row>
    <row r="573" spans="1:37">
      <c r="A573" s="148" t="s">
        <v>3497</v>
      </c>
      <c r="B573" s="81">
        <v>935</v>
      </c>
      <c r="C573" s="81">
        <v>456</v>
      </c>
      <c r="D573" s="81">
        <v>52</v>
      </c>
      <c r="E573" s="81">
        <v>28</v>
      </c>
      <c r="F573" s="6">
        <v>2.4500000000000002</v>
      </c>
      <c r="G573" s="81">
        <v>3268</v>
      </c>
      <c r="H573" s="151" t="s">
        <v>3761</v>
      </c>
      <c r="I573" s="16" t="s">
        <v>390</v>
      </c>
      <c r="J573" s="330">
        <v>25.69</v>
      </c>
      <c r="K573" s="75">
        <v>0.87</v>
      </c>
      <c r="L573" s="330"/>
      <c r="N573" s="325">
        <f t="shared" si="121"/>
        <v>26.560000000000002</v>
      </c>
      <c r="O573" s="27"/>
      <c r="P573" s="56"/>
      <c r="Q573" s="26"/>
      <c r="T573" s="34">
        <v>0.5</v>
      </c>
      <c r="U573" s="366">
        <f t="shared" si="122"/>
        <v>2.1186440677966101E-2</v>
      </c>
      <c r="V573" s="97">
        <v>1.32</v>
      </c>
      <c r="W573" s="36">
        <f>RTD("money.excel",,"3268","Price")</f>
        <v>23.6</v>
      </c>
      <c r="X573" s="67"/>
      <c r="Y573" s="15">
        <f t="shared" si="117"/>
        <v>23.6</v>
      </c>
      <c r="Z573" s="3" t="e">
        <f t="shared" si="118"/>
        <v>#DIV/0!</v>
      </c>
      <c r="AB573" s="16" t="s">
        <v>390</v>
      </c>
      <c r="AE573" s="33">
        <f t="shared" si="119"/>
        <v>0</v>
      </c>
      <c r="AF573" s="43" t="s">
        <v>2874</v>
      </c>
      <c r="AG573" s="128"/>
      <c r="AI573" s="64">
        <f t="shared" si="123"/>
        <v>2.0958083832335329E-4</v>
      </c>
      <c r="AJ573" s="313">
        <f>RTD("money.excel",,$G573,"PredictVolume")</f>
        <v>7</v>
      </c>
      <c r="AK573" s="348"/>
    </row>
    <row r="574" spans="1:37">
      <c r="A574" s="148" t="s">
        <v>1870</v>
      </c>
      <c r="B574" s="82">
        <v>-23</v>
      </c>
      <c r="C574" s="82">
        <v>-10</v>
      </c>
      <c r="D574" s="82">
        <v>-35</v>
      </c>
      <c r="E574" s="81">
        <v>52</v>
      </c>
      <c r="F574" s="6">
        <v>10.69</v>
      </c>
      <c r="G574" s="81">
        <v>3317</v>
      </c>
      <c r="H574" s="210" t="s">
        <v>3761</v>
      </c>
      <c r="I574" s="16" t="s">
        <v>181</v>
      </c>
      <c r="J574" s="75">
        <v>20.97</v>
      </c>
      <c r="K574" s="330">
        <v>1.17</v>
      </c>
      <c r="L574" s="330">
        <v>46.05</v>
      </c>
      <c r="N574" s="325">
        <f t="shared" si="121"/>
        <v>68.19</v>
      </c>
      <c r="O574" s="27"/>
      <c r="P574" s="56"/>
      <c r="Q574" s="26"/>
      <c r="S574" s="330">
        <v>1.66</v>
      </c>
      <c r="T574" s="34">
        <v>1</v>
      </c>
      <c r="U574" s="366">
        <f t="shared" si="122"/>
        <v>1.5105740181268881E-2</v>
      </c>
      <c r="V574" s="97">
        <v>3.04</v>
      </c>
      <c r="W574" s="36">
        <f>RTD("money.excel",,"3317","Price")</f>
        <v>66.2</v>
      </c>
      <c r="X574" s="67"/>
      <c r="Y574" s="15">
        <f t="shared" si="117"/>
        <v>66.2</v>
      </c>
      <c r="Z574" s="3" t="e">
        <f t="shared" si="118"/>
        <v>#DIV/0!</v>
      </c>
      <c r="AA574" s="174" t="s">
        <v>1943</v>
      </c>
      <c r="AB574" s="16" t="s">
        <v>181</v>
      </c>
      <c r="AE574" s="33">
        <f t="shared" si="119"/>
        <v>0</v>
      </c>
      <c r="AF574" s="122" t="s">
        <v>2655</v>
      </c>
      <c r="AG574" s="128"/>
      <c r="AI574" s="64">
        <f t="shared" si="123"/>
        <v>4.5676998368678629E-3</v>
      </c>
      <c r="AJ574" s="313">
        <f>RTD("money.excel",,$G574,"PredictVolume")</f>
        <v>280</v>
      </c>
      <c r="AK574" s="348"/>
    </row>
    <row r="575" spans="1:37">
      <c r="A575" s="148" t="s">
        <v>1810</v>
      </c>
      <c r="B575" s="81">
        <v>76</v>
      </c>
      <c r="C575" s="81">
        <v>86</v>
      </c>
      <c r="D575" s="82">
        <v>-10</v>
      </c>
      <c r="E575" s="81">
        <v>32</v>
      </c>
      <c r="F575" s="6">
        <v>-0.7</v>
      </c>
      <c r="G575" s="81">
        <v>3372</v>
      </c>
      <c r="H575" s="151" t="s">
        <v>3761</v>
      </c>
      <c r="I575" s="16" t="s">
        <v>5171</v>
      </c>
      <c r="J575" s="75">
        <v>62.48</v>
      </c>
      <c r="K575" s="330">
        <v>2.5499999999999998</v>
      </c>
      <c r="L575" s="330">
        <v>0</v>
      </c>
      <c r="N575" s="325">
        <f t="shared" si="121"/>
        <v>65.03</v>
      </c>
      <c r="O575" s="27"/>
      <c r="P575" s="56"/>
      <c r="Q575" s="26"/>
      <c r="S575" s="330">
        <v>0</v>
      </c>
      <c r="T575" s="34">
        <v>0</v>
      </c>
      <c r="U575" s="366">
        <f t="shared" si="122"/>
        <v>0</v>
      </c>
      <c r="V575" s="58">
        <v>-0.06</v>
      </c>
      <c r="W575" s="36">
        <f>RTD("money.excel",,"3372","Price")</f>
        <v>19.05</v>
      </c>
      <c r="X575" s="67"/>
      <c r="Y575" s="15">
        <f t="shared" si="117"/>
        <v>19.05</v>
      </c>
      <c r="Z575" s="3" t="e">
        <f t="shared" si="118"/>
        <v>#DIV/0!</v>
      </c>
      <c r="AA575" s="174" t="s">
        <v>1943</v>
      </c>
      <c r="AB575" s="16" t="s">
        <v>5171</v>
      </c>
      <c r="AE575" s="33">
        <f t="shared" si="119"/>
        <v>0</v>
      </c>
      <c r="AF575" s="43" t="s">
        <v>2875</v>
      </c>
      <c r="AG575" s="128"/>
      <c r="AI575" s="64">
        <f t="shared" si="123"/>
        <v>1.4418604651162791E-3</v>
      </c>
      <c r="AJ575" s="313">
        <f>RTD("money.excel",,$G575,"PredictVolume")</f>
        <v>248</v>
      </c>
      <c r="AK575" s="348"/>
    </row>
    <row r="576" spans="1:37">
      <c r="A576" s="132" t="s">
        <v>1839</v>
      </c>
      <c r="B576" s="81">
        <v>181</v>
      </c>
      <c r="C576" s="81">
        <v>202</v>
      </c>
      <c r="D576" s="81">
        <v>5</v>
      </c>
      <c r="E576" s="82">
        <v>-1</v>
      </c>
      <c r="F576" s="58">
        <v>26.72</v>
      </c>
      <c r="G576" s="81">
        <v>3374</v>
      </c>
      <c r="H576" s="151" t="s">
        <v>3761</v>
      </c>
      <c r="I576" s="16" t="s">
        <v>5172</v>
      </c>
      <c r="J576" s="330">
        <v>49.14</v>
      </c>
      <c r="K576" s="330">
        <v>7.55</v>
      </c>
      <c r="L576" s="330">
        <v>16.61</v>
      </c>
      <c r="N576" s="325">
        <f t="shared" si="121"/>
        <v>73.3</v>
      </c>
      <c r="O576" s="27"/>
      <c r="P576" s="56"/>
      <c r="Q576" s="26"/>
      <c r="S576" s="330">
        <v>2.64</v>
      </c>
      <c r="T576" s="34">
        <v>2.5</v>
      </c>
      <c r="U576" s="366">
        <f t="shared" si="122"/>
        <v>2.0920502092050208E-2</v>
      </c>
      <c r="V576" s="97">
        <v>8.36</v>
      </c>
      <c r="W576" s="36">
        <f>RTD("money.excel",,"3374","Price")</f>
        <v>119.5</v>
      </c>
      <c r="X576" s="67"/>
      <c r="Y576" s="15">
        <f t="shared" si="117"/>
        <v>119.5</v>
      </c>
      <c r="Z576" s="3" t="e">
        <f t="shared" si="118"/>
        <v>#DIV/0!</v>
      </c>
      <c r="AA576" s="174" t="s">
        <v>4381</v>
      </c>
      <c r="AB576" s="16" t="s">
        <v>5172</v>
      </c>
      <c r="AE576" s="33">
        <f t="shared" si="119"/>
        <v>0</v>
      </c>
      <c r="AF576" s="122" t="s">
        <v>2840</v>
      </c>
      <c r="AG576" s="128"/>
      <c r="AI576" s="64">
        <f t="shared" si="123"/>
        <v>2.2804428044280443E-3</v>
      </c>
      <c r="AJ576" s="313">
        <f>RTD("money.excel",,$G576,"PredictVolume")</f>
        <v>618</v>
      </c>
      <c r="AK576" s="348"/>
    </row>
    <row r="577" spans="1:37">
      <c r="A577" s="132" t="s">
        <v>3648</v>
      </c>
      <c r="B577" s="81">
        <v>155</v>
      </c>
      <c r="C577" s="81">
        <v>166</v>
      </c>
      <c r="D577" s="82">
        <v>-1</v>
      </c>
      <c r="E577" s="81">
        <v>21</v>
      </c>
      <c r="F577" s="58">
        <v>17.11</v>
      </c>
      <c r="G577" s="81">
        <v>3413</v>
      </c>
      <c r="H577" s="8" t="s">
        <v>3761</v>
      </c>
      <c r="I577" s="22" t="s">
        <v>65</v>
      </c>
      <c r="J577" s="75">
        <v>38.85</v>
      </c>
      <c r="K577" s="75">
        <v>31.36</v>
      </c>
      <c r="L577" s="75">
        <v>21.15</v>
      </c>
      <c r="N577" s="325">
        <f t="shared" si="121"/>
        <v>91.360000000000014</v>
      </c>
      <c r="O577" s="27"/>
      <c r="P577" s="56"/>
      <c r="Q577" s="26"/>
      <c r="S577" s="330">
        <v>5.86</v>
      </c>
      <c r="T577" s="67">
        <v>7</v>
      </c>
      <c r="U577" s="366">
        <f t="shared" si="122"/>
        <v>3.2941176470588238E-2</v>
      </c>
      <c r="V577" s="58">
        <v>14.91</v>
      </c>
      <c r="W577" s="36">
        <f>RTD("money.excel",,"3413","Price")</f>
        <v>212.5</v>
      </c>
      <c r="X577" s="67"/>
      <c r="Y577" s="15">
        <f t="shared" si="117"/>
        <v>212.5</v>
      </c>
      <c r="Z577" s="3" t="e">
        <f t="shared" si="118"/>
        <v>#DIV/0!</v>
      </c>
      <c r="AA577" s="174" t="s">
        <v>2185</v>
      </c>
      <c r="AB577" s="22" t="s">
        <v>65</v>
      </c>
      <c r="AE577" s="33">
        <f t="shared" si="119"/>
        <v>0</v>
      </c>
      <c r="AF577" s="122" t="s">
        <v>1503</v>
      </c>
      <c r="AG577" s="128"/>
      <c r="AI577" s="64">
        <f t="shared" si="123"/>
        <v>9.5890410958904115E-3</v>
      </c>
      <c r="AJ577" s="313">
        <f>RTD("money.excel",,$G577,"PredictVolume")</f>
        <v>840</v>
      </c>
      <c r="AK577" s="348"/>
    </row>
    <row r="578" spans="1:37">
      <c r="A578" s="148" t="s">
        <v>2457</v>
      </c>
      <c r="B578" s="81">
        <v>355</v>
      </c>
      <c r="C578" s="81">
        <v>250</v>
      </c>
      <c r="D578" s="82">
        <v>-1</v>
      </c>
      <c r="E578" s="81">
        <v>28</v>
      </c>
      <c r="F578" s="6">
        <v>5.3</v>
      </c>
      <c r="G578" s="81">
        <v>3438</v>
      </c>
      <c r="H578" s="151" t="s">
        <v>3761</v>
      </c>
      <c r="I578" s="16" t="s">
        <v>391</v>
      </c>
      <c r="J578" s="75">
        <v>63.21</v>
      </c>
      <c r="K578" s="75">
        <v>5.4</v>
      </c>
      <c r="L578" s="75">
        <v>7.73</v>
      </c>
      <c r="N578" s="325">
        <f t="shared" si="121"/>
        <v>76.34</v>
      </c>
      <c r="O578" s="27"/>
      <c r="P578" s="56"/>
      <c r="Q578" s="26"/>
      <c r="S578" s="330">
        <v>0.65</v>
      </c>
      <c r="T578" s="34">
        <v>1.5</v>
      </c>
      <c r="U578" s="366">
        <f t="shared" si="122"/>
        <v>2.1216407355021217E-2</v>
      </c>
      <c r="V578" s="97">
        <v>1.79</v>
      </c>
      <c r="W578" s="36">
        <f>RTD("money.excel",,"3438","Price")</f>
        <v>70.7</v>
      </c>
      <c r="X578" s="67"/>
      <c r="Y578" s="15">
        <f t="shared" si="117"/>
        <v>70.7</v>
      </c>
      <c r="Z578" s="3" t="e">
        <f t="shared" si="118"/>
        <v>#DIV/0!</v>
      </c>
      <c r="AA578" s="174" t="s">
        <v>1943</v>
      </c>
      <c r="AB578" s="16" t="s">
        <v>391</v>
      </c>
      <c r="AE578" s="33">
        <f t="shared" si="119"/>
        <v>0</v>
      </c>
      <c r="AF578" s="43" t="s">
        <v>1506</v>
      </c>
      <c r="AG578" s="128"/>
      <c r="AI578" s="64">
        <f t="shared" si="123"/>
        <v>1.5254237288135593E-3</v>
      </c>
      <c r="AJ578" s="313">
        <f>RTD("money.excel",,$G578,"PredictVolume")</f>
        <v>72</v>
      </c>
      <c r="AK578" s="348"/>
    </row>
    <row r="579" spans="1:37">
      <c r="A579" s="132" t="s">
        <v>1793</v>
      </c>
      <c r="B579" s="81">
        <v>290</v>
      </c>
      <c r="C579" s="81">
        <v>313</v>
      </c>
      <c r="D579" s="82">
        <v>-9</v>
      </c>
      <c r="E579" s="82">
        <v>-23</v>
      </c>
      <c r="F579" s="58">
        <v>10.53</v>
      </c>
      <c r="G579" s="81">
        <v>3443</v>
      </c>
      <c r="H579" s="206" t="s">
        <v>3761</v>
      </c>
      <c r="I579" s="22" t="s">
        <v>55</v>
      </c>
      <c r="J579" s="330">
        <v>58.69</v>
      </c>
      <c r="K579" s="330">
        <v>48.4</v>
      </c>
      <c r="L579" s="75">
        <v>5.81</v>
      </c>
      <c r="M579" s="330">
        <v>35.049999999999997</v>
      </c>
      <c r="N579" s="75">
        <f t="shared" si="121"/>
        <v>147.94999999999999</v>
      </c>
      <c r="O579" s="27"/>
      <c r="P579" s="56"/>
      <c r="Q579" s="26"/>
      <c r="R579" s="308" t="s">
        <v>6090</v>
      </c>
      <c r="S579" s="330">
        <v>4.4000000000000004</v>
      </c>
      <c r="T579" s="67">
        <v>5</v>
      </c>
      <c r="U579" s="366">
        <f t="shared" si="122"/>
        <v>1.0526315789473684E-2</v>
      </c>
      <c r="V579" s="58">
        <v>11.59</v>
      </c>
      <c r="W579" s="13">
        <f>RTD("money.excel",,"3443","Price")</f>
        <v>475</v>
      </c>
      <c r="X579" s="67"/>
      <c r="Y579" s="15">
        <f t="shared" si="117"/>
        <v>475</v>
      </c>
      <c r="Z579" s="3" t="e">
        <f t="shared" si="118"/>
        <v>#DIV/0!</v>
      </c>
      <c r="AA579" s="174" t="s">
        <v>2185</v>
      </c>
      <c r="AB579" s="22" t="s">
        <v>55</v>
      </c>
      <c r="AE579" s="33">
        <f t="shared" si="119"/>
        <v>0</v>
      </c>
      <c r="AF579" s="122" t="s">
        <v>4068</v>
      </c>
      <c r="AG579" s="269"/>
      <c r="AI579" s="64">
        <f t="shared" si="123"/>
        <v>8.2910447761194023E-3</v>
      </c>
      <c r="AJ579" s="313">
        <f>RTD("money.excel",,$G579,"PredictVolume")</f>
        <v>1111</v>
      </c>
      <c r="AK579" s="348">
        <v>10.81</v>
      </c>
    </row>
    <row r="580" spans="1:37">
      <c r="A580" s="132" t="s">
        <v>2377</v>
      </c>
      <c r="B580" s="95">
        <v>1166</v>
      </c>
      <c r="C580" s="237">
        <v>25679</v>
      </c>
      <c r="D580" s="81">
        <v>5</v>
      </c>
      <c r="E580" s="81">
        <v>26</v>
      </c>
      <c r="F580" s="58">
        <v>18.239999999999998</v>
      </c>
      <c r="G580" s="81">
        <v>3527</v>
      </c>
      <c r="H580" s="8" t="s">
        <v>3761</v>
      </c>
      <c r="I580" s="16" t="s">
        <v>348</v>
      </c>
      <c r="J580" s="75">
        <v>23.18</v>
      </c>
      <c r="K580" s="75">
        <v>13.16</v>
      </c>
      <c r="L580" s="75">
        <v>30.96</v>
      </c>
      <c r="M580" s="75">
        <v>16.39</v>
      </c>
      <c r="N580" s="325">
        <f t="shared" si="121"/>
        <v>83.690000000000012</v>
      </c>
      <c r="O580" s="27" t="s">
        <v>6182</v>
      </c>
      <c r="P580" s="56" t="s">
        <v>6276</v>
      </c>
      <c r="Q580" s="26" t="s">
        <v>6276</v>
      </c>
      <c r="R580" s="309" t="s">
        <v>6219</v>
      </c>
      <c r="S580" s="330">
        <v>2.42</v>
      </c>
      <c r="T580" s="34">
        <v>2</v>
      </c>
      <c r="U580" s="366">
        <f t="shared" si="122"/>
        <v>1.1976047904191617E-2</v>
      </c>
      <c r="V580" s="97">
        <v>10.47</v>
      </c>
      <c r="W580" s="36">
        <f>RTD("money.excel",,"3527","Price")</f>
        <v>167</v>
      </c>
      <c r="X580" s="67"/>
      <c r="Y580" s="15">
        <f t="shared" si="117"/>
        <v>167</v>
      </c>
      <c r="Z580" s="3" t="e">
        <f t="shared" si="118"/>
        <v>#DIV/0!</v>
      </c>
      <c r="AA580" s="174" t="s">
        <v>1943</v>
      </c>
      <c r="AB580" s="16" t="s">
        <v>348</v>
      </c>
      <c r="AE580" s="33">
        <f t="shared" si="119"/>
        <v>0</v>
      </c>
      <c r="AF580" s="43" t="s">
        <v>2876</v>
      </c>
      <c r="AG580" s="128"/>
      <c r="AI580" s="64">
        <f t="shared" si="123"/>
        <v>5.1801801801801793E-3</v>
      </c>
      <c r="AJ580" s="313">
        <f>RTD("money.excel",,$G580,"PredictVolume")</f>
        <v>230</v>
      </c>
      <c r="AK580" s="348">
        <v>42.73</v>
      </c>
    </row>
    <row r="581" spans="1:37">
      <c r="A581" s="132" t="s">
        <v>1734</v>
      </c>
      <c r="B581" s="81">
        <v>30</v>
      </c>
      <c r="C581" s="81">
        <v>32</v>
      </c>
      <c r="D581" s="82">
        <v>-70</v>
      </c>
      <c r="E581" s="81">
        <v>48</v>
      </c>
      <c r="F581" s="58">
        <v>46.3</v>
      </c>
      <c r="G581" s="81">
        <v>3529</v>
      </c>
      <c r="H581" s="151" t="s">
        <v>3761</v>
      </c>
      <c r="I581" s="16" t="s">
        <v>41</v>
      </c>
      <c r="J581" s="330">
        <v>41.89</v>
      </c>
      <c r="K581" s="75">
        <v>67.680000000000007</v>
      </c>
      <c r="L581" s="330">
        <v>6.24</v>
      </c>
      <c r="N581" s="325">
        <f t="shared" si="121"/>
        <v>115.81</v>
      </c>
      <c r="O581" s="27"/>
      <c r="P581" s="56"/>
      <c r="Q581" s="26"/>
      <c r="S581" s="330">
        <v>0.96</v>
      </c>
      <c r="T581" s="67">
        <v>9</v>
      </c>
      <c r="U581" s="366">
        <f t="shared" si="122"/>
        <v>4.8517520215633422E-3</v>
      </c>
      <c r="V581" s="97">
        <v>9.52</v>
      </c>
      <c r="W581" s="157">
        <f>RTD("money.excel",,"3529","Price")</f>
        <v>1855</v>
      </c>
      <c r="X581" s="67"/>
      <c r="Y581" s="143">
        <f t="shared" si="117"/>
        <v>1855</v>
      </c>
      <c r="Z581" s="3" t="e">
        <f t="shared" si="118"/>
        <v>#DIV/0!</v>
      </c>
      <c r="AA581" s="174" t="s">
        <v>2185</v>
      </c>
      <c r="AB581" s="16" t="s">
        <v>41</v>
      </c>
      <c r="AE581" s="33">
        <f t="shared" si="119"/>
        <v>0</v>
      </c>
      <c r="AF581" s="122" t="s">
        <v>3458</v>
      </c>
      <c r="AG581" s="128"/>
      <c r="AI581" s="64">
        <f t="shared" si="123"/>
        <v>7.1616294349540078E-3</v>
      </c>
      <c r="AJ581" s="313">
        <f>RTD("money.excel",,$G581,"PredictVolume")</f>
        <v>545</v>
      </c>
      <c r="AK581" s="348"/>
    </row>
    <row r="582" spans="1:37">
      <c r="A582" s="132" t="s">
        <v>2163</v>
      </c>
      <c r="B582" s="81">
        <v>555</v>
      </c>
      <c r="C582" s="81">
        <v>674</v>
      </c>
      <c r="D582" s="82">
        <v>-3</v>
      </c>
      <c r="E582" s="81">
        <v>28</v>
      </c>
      <c r="F582" s="58">
        <v>21.69</v>
      </c>
      <c r="G582" s="81">
        <v>3530</v>
      </c>
      <c r="H582" s="210" t="s">
        <v>3761</v>
      </c>
      <c r="I582" s="22" t="s">
        <v>549</v>
      </c>
      <c r="J582" s="75">
        <v>48.19</v>
      </c>
      <c r="K582" s="330">
        <v>54.45</v>
      </c>
      <c r="L582" s="330">
        <v>25.76</v>
      </c>
      <c r="N582" s="325">
        <f t="shared" si="121"/>
        <v>128.4</v>
      </c>
      <c r="O582" s="27"/>
      <c r="P582" s="56"/>
      <c r="Q582" s="26"/>
      <c r="S582" s="330">
        <v>10.73</v>
      </c>
      <c r="T582" s="34">
        <v>2.8</v>
      </c>
      <c r="U582" s="366">
        <f t="shared" si="122"/>
        <v>2.7999999999999997E-2</v>
      </c>
      <c r="V582" s="97">
        <v>7.68</v>
      </c>
      <c r="W582" s="13">
        <f>RTD("money.excel",,"3530","Price")</f>
        <v>100</v>
      </c>
      <c r="X582" s="67"/>
      <c r="Y582" s="15">
        <f t="shared" si="117"/>
        <v>100</v>
      </c>
      <c r="Z582" s="3" t="e">
        <f t="shared" si="118"/>
        <v>#DIV/0!</v>
      </c>
      <c r="AA582" s="174" t="s">
        <v>1943</v>
      </c>
      <c r="AB582" s="22" t="s">
        <v>549</v>
      </c>
      <c r="AE582" s="33">
        <f t="shared" si="119"/>
        <v>0</v>
      </c>
      <c r="AF582" s="43" t="s">
        <v>2831</v>
      </c>
      <c r="AG582" s="128"/>
      <c r="AI582" s="64">
        <f t="shared" si="123"/>
        <v>2.9961587708066582E-3</v>
      </c>
      <c r="AJ582" s="313">
        <f>RTD("money.excel",,$G582,"PredictVolume")</f>
        <v>234</v>
      </c>
      <c r="AK582" s="348"/>
    </row>
    <row r="583" spans="1:37">
      <c r="A583" s="132" t="s">
        <v>1802</v>
      </c>
      <c r="B583" s="82">
        <v>-48</v>
      </c>
      <c r="C583" s="82">
        <v>-40</v>
      </c>
      <c r="D583" s="81">
        <v>4</v>
      </c>
      <c r="E583" s="81">
        <v>11</v>
      </c>
      <c r="F583" s="58">
        <v>14.95</v>
      </c>
      <c r="G583" s="81">
        <v>3532</v>
      </c>
      <c r="H583" s="8" t="s">
        <v>3761</v>
      </c>
      <c r="I583" s="22" t="s">
        <v>49</v>
      </c>
      <c r="J583" s="330">
        <v>85.54</v>
      </c>
      <c r="K583" s="75">
        <v>54.05</v>
      </c>
      <c r="L583" s="75">
        <v>5.22</v>
      </c>
      <c r="N583" s="325">
        <f t="shared" si="121"/>
        <v>144.81</v>
      </c>
      <c r="O583" s="27"/>
      <c r="P583" s="56"/>
      <c r="Q583" s="26"/>
      <c r="S583" s="330">
        <v>0.19</v>
      </c>
      <c r="T583" s="34">
        <v>2.15</v>
      </c>
      <c r="U583" s="366">
        <f t="shared" si="122"/>
        <v>7.312925170068027E-3</v>
      </c>
      <c r="V583" s="97">
        <v>3.37</v>
      </c>
      <c r="W583" s="13">
        <f>RTD("money.excel",,"3532","Price")</f>
        <v>294</v>
      </c>
      <c r="X583" s="67"/>
      <c r="Y583" s="15">
        <f t="shared" si="117"/>
        <v>294</v>
      </c>
      <c r="Z583" s="3" t="e">
        <f t="shared" si="118"/>
        <v>#DIV/0!</v>
      </c>
      <c r="AA583" s="174" t="s">
        <v>1943</v>
      </c>
      <c r="AB583" s="22" t="s">
        <v>49</v>
      </c>
      <c r="AE583" s="33">
        <f t="shared" si="119"/>
        <v>0</v>
      </c>
      <c r="AF583" s="123" t="s">
        <v>3085</v>
      </c>
      <c r="AG583" s="128"/>
      <c r="AI583" s="64">
        <f t="shared" si="123"/>
        <v>9.744186046511628E-3</v>
      </c>
      <c r="AJ583" s="313">
        <f>RTD("money.excel",,$G583,"PredictVolume")</f>
        <v>3771</v>
      </c>
      <c r="AK583" s="348"/>
    </row>
    <row r="584" spans="1:37">
      <c r="A584" s="148" t="s">
        <v>1927</v>
      </c>
      <c r="B584" s="93">
        <v>10</v>
      </c>
      <c r="C584" s="93">
        <v>10</v>
      </c>
      <c r="D584" s="93">
        <v>-8</v>
      </c>
      <c r="E584" s="93">
        <v>74</v>
      </c>
      <c r="F584" s="6">
        <v>-20.74</v>
      </c>
      <c r="G584" s="81">
        <v>3536</v>
      </c>
      <c r="H584" s="8" t="s">
        <v>3761</v>
      </c>
      <c r="I584" s="22" t="s">
        <v>5173</v>
      </c>
      <c r="J584" s="75">
        <v>55.86</v>
      </c>
      <c r="K584" s="75">
        <v>0.36</v>
      </c>
      <c r="N584" s="325">
        <f t="shared" si="121"/>
        <v>56.22</v>
      </c>
      <c r="O584" s="27"/>
      <c r="P584" s="56"/>
      <c r="Q584" s="26"/>
      <c r="S584" s="330">
        <v>27.24</v>
      </c>
      <c r="T584" s="34">
        <v>0</v>
      </c>
      <c r="U584" s="366">
        <f t="shared" si="122"/>
        <v>0</v>
      </c>
      <c r="V584" s="97">
        <v>-1.0900000000000001</v>
      </c>
      <c r="W584" s="36">
        <f>RTD("money.excel",,"3536","Price")</f>
        <v>5.9</v>
      </c>
      <c r="X584" s="67"/>
      <c r="Y584" s="15">
        <f t="shared" si="117"/>
        <v>5.9</v>
      </c>
      <c r="Z584" s="3" t="e">
        <f t="shared" si="118"/>
        <v>#DIV/0!</v>
      </c>
      <c r="AB584" s="22" t="s">
        <v>5173</v>
      </c>
      <c r="AE584" s="33">
        <f t="shared" si="119"/>
        <v>0</v>
      </c>
      <c r="AF584" s="43" t="s">
        <v>2660</v>
      </c>
      <c r="AG584" s="128"/>
      <c r="AI584" s="64">
        <f t="shared" si="123"/>
        <v>3.5849056603773583E-4</v>
      </c>
      <c r="AJ584" s="313">
        <f>RTD("money.excel",,$G584,"PredictVolume")</f>
        <v>38</v>
      </c>
      <c r="AK584" s="348"/>
    </row>
    <row r="585" spans="1:37">
      <c r="A585" s="132" t="s">
        <v>4183</v>
      </c>
      <c r="B585" s="95">
        <v>1012</v>
      </c>
      <c r="C585" s="95">
        <v>1190</v>
      </c>
      <c r="D585" s="82">
        <v>-8</v>
      </c>
      <c r="E585" s="81">
        <v>24</v>
      </c>
      <c r="F585" s="58">
        <v>32.83</v>
      </c>
      <c r="G585" s="81">
        <v>3545</v>
      </c>
      <c r="H585" s="8" t="s">
        <v>3761</v>
      </c>
      <c r="I585" s="22" t="s">
        <v>375</v>
      </c>
      <c r="J585" s="75">
        <v>19.98</v>
      </c>
      <c r="K585" s="75">
        <v>20.21</v>
      </c>
      <c r="L585" s="75">
        <v>39.81</v>
      </c>
      <c r="M585" s="75">
        <v>2.5</v>
      </c>
      <c r="N585" s="325">
        <f t="shared" si="121"/>
        <v>82.5</v>
      </c>
      <c r="O585" s="27"/>
      <c r="P585" s="56"/>
      <c r="Q585" s="26"/>
      <c r="R585" s="308" t="s">
        <v>4372</v>
      </c>
      <c r="S585" s="330">
        <v>7.5</v>
      </c>
      <c r="T585" s="67">
        <v>3.23</v>
      </c>
      <c r="U585" s="366">
        <f t="shared" si="122"/>
        <v>2.2275862068965518E-2</v>
      </c>
      <c r="V585" s="97">
        <v>24.89</v>
      </c>
      <c r="W585" s="36">
        <f>RTD("money.excel",,"3545","Price")</f>
        <v>145</v>
      </c>
      <c r="X585" s="67"/>
      <c r="Y585" s="15">
        <f t="shared" si="117"/>
        <v>145</v>
      </c>
      <c r="Z585" s="3" t="e">
        <f t="shared" si="118"/>
        <v>#DIV/0!</v>
      </c>
      <c r="AA585" s="174" t="s">
        <v>2185</v>
      </c>
      <c r="AB585" s="22" t="s">
        <v>375</v>
      </c>
      <c r="AE585" s="33">
        <f t="shared" si="119"/>
        <v>0</v>
      </c>
      <c r="AF585" s="43" t="s">
        <v>2864</v>
      </c>
      <c r="AG585" s="128"/>
      <c r="AI585" s="64">
        <f t="shared" si="123"/>
        <v>1.1162037037037036E-2</v>
      </c>
      <c r="AJ585" s="313">
        <f>RTD("money.excel",,$G585,"PredictVolume")</f>
        <v>2411</v>
      </c>
      <c r="AK585" s="348"/>
    </row>
    <row r="586" spans="1:37">
      <c r="A586" s="148" t="s">
        <v>2022</v>
      </c>
      <c r="B586" s="93">
        <v>-5</v>
      </c>
      <c r="C586" s="93">
        <v>68</v>
      </c>
      <c r="D586" s="93">
        <v>-70</v>
      </c>
      <c r="E586" s="93">
        <v>-93</v>
      </c>
      <c r="F586" s="6">
        <v>-15.41</v>
      </c>
      <c r="G586" s="81">
        <v>3555</v>
      </c>
      <c r="H586" s="151" t="s">
        <v>3761</v>
      </c>
      <c r="I586" s="16" t="s">
        <v>3498</v>
      </c>
      <c r="J586" s="75">
        <v>87.07</v>
      </c>
      <c r="K586" s="330">
        <v>3.43</v>
      </c>
      <c r="L586" s="330">
        <v>3.04</v>
      </c>
      <c r="N586" s="325">
        <f t="shared" si="121"/>
        <v>93.54</v>
      </c>
      <c r="O586" s="27"/>
      <c r="P586" s="56"/>
      <c r="Q586" s="26"/>
      <c r="S586" s="330">
        <v>24.22</v>
      </c>
      <c r="T586" s="34">
        <v>0</v>
      </c>
      <c r="U586" s="366">
        <f t="shared" si="122"/>
        <v>0</v>
      </c>
      <c r="V586" s="97">
        <v>-1.78</v>
      </c>
      <c r="W586" s="13">
        <f>RTD("money.excel",,"3555","Price")</f>
        <v>36.35</v>
      </c>
      <c r="X586" s="67"/>
      <c r="Y586" s="15">
        <f t="shared" si="117"/>
        <v>36.35</v>
      </c>
      <c r="Z586" s="3" t="e">
        <f t="shared" si="118"/>
        <v>#DIV/0!</v>
      </c>
      <c r="AB586" s="16" t="s">
        <v>3498</v>
      </c>
      <c r="AE586" s="33">
        <f t="shared" si="119"/>
        <v>0</v>
      </c>
      <c r="AF586" s="43" t="s">
        <v>2920</v>
      </c>
      <c r="AG586" s="128"/>
      <c r="AI586" s="64">
        <f t="shared" si="123"/>
        <v>8.4269662921348311E-5</v>
      </c>
      <c r="AJ586" s="313">
        <f>RTD("money.excel",,$G586,"PredictVolume")</f>
        <v>3</v>
      </c>
      <c r="AK586" s="348"/>
    </row>
    <row r="587" spans="1:37">
      <c r="A587" s="132" t="s">
        <v>1870</v>
      </c>
      <c r="B587" s="81">
        <v>56</v>
      </c>
      <c r="C587" s="81">
        <v>58</v>
      </c>
      <c r="D587" s="81">
        <v>25</v>
      </c>
      <c r="E587" s="81">
        <v>47</v>
      </c>
      <c r="F587" s="58">
        <v>28.75</v>
      </c>
      <c r="G587" s="81">
        <v>3556</v>
      </c>
      <c r="H587" s="151" t="s">
        <v>3761</v>
      </c>
      <c r="I587" s="16" t="s">
        <v>392</v>
      </c>
      <c r="J587" s="75">
        <v>15.79</v>
      </c>
      <c r="K587" s="75">
        <v>9.41</v>
      </c>
      <c r="L587" s="75">
        <v>26.94</v>
      </c>
      <c r="M587" s="330">
        <v>11.21</v>
      </c>
      <c r="N587" s="325">
        <f t="shared" si="121"/>
        <v>63.35</v>
      </c>
      <c r="O587" s="27" t="s">
        <v>6276</v>
      </c>
      <c r="P587" s="56" t="s">
        <v>6259</v>
      </c>
      <c r="Q587" s="26" t="s">
        <v>6259</v>
      </c>
      <c r="R587" s="309" t="s">
        <v>6219</v>
      </c>
      <c r="S587" s="330">
        <v>1.44</v>
      </c>
      <c r="T587" s="67">
        <v>3.45</v>
      </c>
      <c r="U587" s="366">
        <f t="shared" si="122"/>
        <v>4.2435424354243544E-2</v>
      </c>
      <c r="V587" s="97">
        <v>5.72</v>
      </c>
      <c r="W587" s="36">
        <f>RTD("money.excel",,"3556","Price")</f>
        <v>81.3</v>
      </c>
      <c r="X587" s="67"/>
      <c r="Y587" s="15">
        <f t="shared" si="117"/>
        <v>81.3</v>
      </c>
      <c r="Z587" s="3" t="e">
        <f t="shared" si="118"/>
        <v>#DIV/0!</v>
      </c>
      <c r="AA587" s="174" t="s">
        <v>1986</v>
      </c>
      <c r="AB587" s="16" t="s">
        <v>392</v>
      </c>
      <c r="AE587" s="33">
        <f t="shared" si="119"/>
        <v>0</v>
      </c>
      <c r="AF587" s="43" t="s">
        <v>2877</v>
      </c>
      <c r="AG587" s="128"/>
      <c r="AI587" s="64">
        <f t="shared" si="123"/>
        <v>8.2544861337683524E-3</v>
      </c>
      <c r="AJ587" s="313">
        <f>RTD("money.excel",,$G587,"PredictVolume")</f>
        <v>506</v>
      </c>
      <c r="AK587" s="348">
        <v>29.1</v>
      </c>
    </row>
    <row r="588" spans="1:37">
      <c r="A588" s="132" t="s">
        <v>2268</v>
      </c>
      <c r="B588" s="81">
        <v>38</v>
      </c>
      <c r="C588" s="81">
        <v>41</v>
      </c>
      <c r="D588" s="82">
        <v>-4</v>
      </c>
      <c r="E588" s="81">
        <v>5</v>
      </c>
      <c r="F588" s="58">
        <v>24.75</v>
      </c>
      <c r="G588" s="81">
        <v>3567</v>
      </c>
      <c r="H588" s="151" t="s">
        <v>3761</v>
      </c>
      <c r="I588" s="16" t="s">
        <v>5174</v>
      </c>
      <c r="J588" s="75">
        <v>21.52</v>
      </c>
      <c r="K588" s="75">
        <v>1.05</v>
      </c>
      <c r="L588" s="330">
        <v>12.46</v>
      </c>
      <c r="N588" s="325">
        <f t="shared" si="121"/>
        <v>35.03</v>
      </c>
      <c r="O588" s="27"/>
      <c r="P588" s="56"/>
      <c r="Q588" s="26"/>
      <c r="S588" s="330">
        <v>0.02</v>
      </c>
      <c r="T588" s="34">
        <v>2</v>
      </c>
      <c r="U588" s="366">
        <f t="shared" si="122"/>
        <v>5.6338028169014086E-2</v>
      </c>
      <c r="V588" s="97">
        <v>2.35</v>
      </c>
      <c r="W588" s="36">
        <f>RTD("money.excel",,"3567","Price")</f>
        <v>35.5</v>
      </c>
      <c r="X588" s="67"/>
      <c r="Y588" s="15">
        <f t="shared" si="117"/>
        <v>35.5</v>
      </c>
      <c r="Z588" s="3" t="e">
        <f t="shared" si="118"/>
        <v>#DIV/0!</v>
      </c>
      <c r="AB588" s="16" t="s">
        <v>5174</v>
      </c>
      <c r="AE588" s="33">
        <f t="shared" si="119"/>
        <v>0</v>
      </c>
      <c r="AF588" s="43" t="s">
        <v>2855</v>
      </c>
      <c r="AG588" s="128"/>
      <c r="AI588" s="64">
        <f t="shared" si="123"/>
        <v>1.2023460410557185E-3</v>
      </c>
      <c r="AJ588" s="313">
        <f>RTD("money.excel",,$G588,"PredictVolume")</f>
        <v>41</v>
      </c>
      <c r="AK588" s="348"/>
    </row>
    <row r="589" spans="1:37">
      <c r="A589" s="148" t="s">
        <v>3499</v>
      </c>
      <c r="B589" s="93">
        <v>6</v>
      </c>
      <c r="C589" s="93">
        <v>28</v>
      </c>
      <c r="D589" s="93">
        <v>-28</v>
      </c>
      <c r="E589" s="93">
        <v>21</v>
      </c>
      <c r="F589" s="6">
        <v>9.33</v>
      </c>
      <c r="G589" s="81">
        <v>3581</v>
      </c>
      <c r="H589" s="151" t="s">
        <v>3761</v>
      </c>
      <c r="I589" s="16" t="s">
        <v>393</v>
      </c>
      <c r="J589" s="75">
        <v>63.85</v>
      </c>
      <c r="K589" s="75">
        <v>7.24</v>
      </c>
      <c r="L589" s="75">
        <v>4.92</v>
      </c>
      <c r="N589" s="325">
        <f t="shared" si="121"/>
        <v>76.010000000000005</v>
      </c>
      <c r="O589" s="27"/>
      <c r="P589" s="56"/>
      <c r="Q589" s="26"/>
      <c r="S589" s="330">
        <v>14.17</v>
      </c>
      <c r="T589" s="34">
        <v>0.9</v>
      </c>
      <c r="U589" s="366">
        <f t="shared" si="122"/>
        <v>3.4220532319391636E-2</v>
      </c>
      <c r="V589" s="97">
        <v>1.5</v>
      </c>
      <c r="W589" s="13">
        <f>RTD("money.excel",,"3581","Price")</f>
        <v>26.3</v>
      </c>
      <c r="X589" s="67"/>
      <c r="Y589" s="15">
        <f t="shared" si="117"/>
        <v>26.3</v>
      </c>
      <c r="Z589" s="3" t="e">
        <f t="shared" si="118"/>
        <v>#DIV/0!</v>
      </c>
      <c r="AB589" s="16" t="s">
        <v>393</v>
      </c>
      <c r="AE589" s="33">
        <f t="shared" si="119"/>
        <v>0</v>
      </c>
      <c r="AF589" s="43" t="s">
        <v>2849</v>
      </c>
      <c r="AG589" s="128"/>
      <c r="AI589" s="64">
        <f t="shared" si="123"/>
        <v>5.8823529411764701E-4</v>
      </c>
      <c r="AJ589" s="313">
        <f>RTD("money.excel",,$G589,"PredictVolume")</f>
        <v>30</v>
      </c>
      <c r="AK589" s="348"/>
    </row>
    <row r="590" spans="1:37">
      <c r="A590" s="132" t="s">
        <v>2017</v>
      </c>
      <c r="B590" s="81">
        <v>48</v>
      </c>
      <c r="C590" s="81">
        <v>24</v>
      </c>
      <c r="D590" s="81">
        <v>12</v>
      </c>
      <c r="E590" s="81">
        <v>0</v>
      </c>
      <c r="F590" s="58">
        <v>11.79</v>
      </c>
      <c r="G590" s="81">
        <v>3583</v>
      </c>
      <c r="H590" s="8" t="s">
        <v>3761</v>
      </c>
      <c r="I590" s="22" t="s">
        <v>7</v>
      </c>
      <c r="J590" s="330">
        <v>53.27</v>
      </c>
      <c r="K590" s="75">
        <v>10.47</v>
      </c>
      <c r="L590" s="330">
        <v>23.35</v>
      </c>
      <c r="M590" s="330">
        <v>14.79</v>
      </c>
      <c r="N590" s="325">
        <f t="shared" si="121"/>
        <v>101.88</v>
      </c>
      <c r="O590" s="27" t="s">
        <v>5011</v>
      </c>
      <c r="P590" s="56"/>
      <c r="Q590" s="26"/>
      <c r="R590" s="309" t="s">
        <v>4373</v>
      </c>
      <c r="S590" s="330">
        <v>2.5099999999999998</v>
      </c>
      <c r="T590" s="34">
        <v>1.85</v>
      </c>
      <c r="U590" s="366">
        <f t="shared" si="122"/>
        <v>2.1637426900584796E-2</v>
      </c>
      <c r="V590" s="58">
        <v>5</v>
      </c>
      <c r="W590" s="36">
        <f>RTD("money.excel",,"3583","Price")</f>
        <v>85.5</v>
      </c>
      <c r="X590" s="67"/>
      <c r="Y590" s="15">
        <f t="shared" si="117"/>
        <v>85.5</v>
      </c>
      <c r="Z590" s="3" t="e">
        <f t="shared" si="118"/>
        <v>#DIV/0!</v>
      </c>
      <c r="AA590" s="174" t="s">
        <v>1943</v>
      </c>
      <c r="AB590" s="22" t="s">
        <v>7</v>
      </c>
      <c r="AE590" s="33">
        <f t="shared" si="119"/>
        <v>0</v>
      </c>
      <c r="AF590" s="122" t="s">
        <v>2627</v>
      </c>
      <c r="AG590" s="128"/>
      <c r="AI590" s="64">
        <f t="shared" si="123"/>
        <v>8.4710234278668316E-3</v>
      </c>
      <c r="AJ590" s="313">
        <f>RTD("money.excel",,$G590,"PredictVolume")</f>
        <v>687</v>
      </c>
      <c r="AK590" s="348">
        <v>56.41</v>
      </c>
    </row>
    <row r="591" spans="1:37">
      <c r="A591" s="132" t="s">
        <v>5739</v>
      </c>
      <c r="B591" s="81">
        <v>500</v>
      </c>
      <c r="C591" s="81">
        <v>404</v>
      </c>
      <c r="D591" s="82">
        <v>-4</v>
      </c>
      <c r="E591" s="81">
        <v>44</v>
      </c>
      <c r="F591" s="58">
        <v>16.600000000000001</v>
      </c>
      <c r="G591" s="81">
        <v>3588</v>
      </c>
      <c r="H591" s="8" t="s">
        <v>3761</v>
      </c>
      <c r="I591" s="22" t="s">
        <v>376</v>
      </c>
      <c r="J591" s="330">
        <v>26.68</v>
      </c>
      <c r="K591" s="330">
        <v>8.6199999999999992</v>
      </c>
      <c r="L591" s="330">
        <v>36.67</v>
      </c>
      <c r="M591" s="330">
        <v>9.27</v>
      </c>
      <c r="N591" s="325">
        <f t="shared" si="121"/>
        <v>81.239999999999995</v>
      </c>
      <c r="O591" s="27"/>
      <c r="P591" s="56"/>
      <c r="Q591" s="26"/>
      <c r="R591" s="308" t="s">
        <v>6059</v>
      </c>
      <c r="S591" s="330">
        <v>2.67</v>
      </c>
      <c r="T591" s="34">
        <v>1.6</v>
      </c>
      <c r="U591" s="366">
        <f t="shared" si="122"/>
        <v>1.1940298507462687E-2</v>
      </c>
      <c r="V591" s="97">
        <v>4.97</v>
      </c>
      <c r="W591" s="36">
        <f>RTD("money.excel",,"3588","Price")</f>
        <v>134</v>
      </c>
      <c r="X591" s="67"/>
      <c r="Y591" s="15">
        <f t="shared" si="117"/>
        <v>134</v>
      </c>
      <c r="Z591" s="3" t="e">
        <f t="shared" si="118"/>
        <v>#DIV/0!</v>
      </c>
      <c r="AA591" s="174" t="s">
        <v>1943</v>
      </c>
      <c r="AB591" s="22" t="s">
        <v>376</v>
      </c>
      <c r="AE591" s="33">
        <f t="shared" si="119"/>
        <v>0</v>
      </c>
      <c r="AF591" s="43" t="s">
        <v>4421</v>
      </c>
      <c r="AG591" s="128"/>
      <c r="AI591" s="64">
        <f t="shared" si="123"/>
        <v>8.9981096408317581E-3</v>
      </c>
      <c r="AJ591" s="313">
        <f>RTD("money.excel",,$G591,"PredictVolume")</f>
        <v>476</v>
      </c>
      <c r="AK591" s="348"/>
    </row>
    <row r="592" spans="1:37">
      <c r="A592" s="132" t="s">
        <v>4212</v>
      </c>
      <c r="B592" s="81">
        <v>592</v>
      </c>
      <c r="C592" s="81">
        <v>551</v>
      </c>
      <c r="D592" s="81">
        <v>8</v>
      </c>
      <c r="E592" s="81">
        <v>52</v>
      </c>
      <c r="F592" s="58">
        <v>20.25</v>
      </c>
      <c r="G592" s="81">
        <v>3592</v>
      </c>
      <c r="H592" s="8" t="s">
        <v>3761</v>
      </c>
      <c r="I592" s="22" t="s">
        <v>4442</v>
      </c>
      <c r="J592" s="330">
        <v>20.100000000000001</v>
      </c>
      <c r="K592" s="75">
        <v>11.32</v>
      </c>
      <c r="L592" s="330"/>
      <c r="M592" s="75">
        <v>17.350000000000001</v>
      </c>
      <c r="N592" s="325">
        <f t="shared" ref="N592:N594" si="124">J592+K592+L592+M592</f>
        <v>48.77</v>
      </c>
      <c r="O592" s="27" t="s">
        <v>6113</v>
      </c>
      <c r="P592" s="56"/>
      <c r="Q592" s="26"/>
      <c r="T592" s="67">
        <v>10.5</v>
      </c>
      <c r="U592" s="366">
        <f t="shared" ref="U592:U623" si="125">T592/W592</f>
        <v>1.8617021276595744E-2</v>
      </c>
      <c r="V592" s="97" t="s">
        <v>4029</v>
      </c>
      <c r="W592" s="36">
        <f>RTD("money.excel",,"3592","Price")</f>
        <v>564</v>
      </c>
      <c r="X592" s="67"/>
      <c r="Y592" s="15">
        <f t="shared" ref="Y592:Y656" si="126">W592-X592</f>
        <v>564</v>
      </c>
      <c r="Z592" s="3" t="e">
        <f t="shared" ref="Z592:Z656" si="127">Y592/X592</f>
        <v>#DIV/0!</v>
      </c>
      <c r="AA592" s="174" t="s">
        <v>2185</v>
      </c>
      <c r="AB592" s="22" t="s">
        <v>4442</v>
      </c>
      <c r="AE592" s="33">
        <f t="shared" ref="AE592:AE656" si="128">AD592-AC592</f>
        <v>0</v>
      </c>
      <c r="AF592" s="61" t="s">
        <v>4444</v>
      </c>
      <c r="AG592" s="128"/>
      <c r="AI592" s="64">
        <f t="shared" ref="AI592:AI623" si="129">AJ592/(A592*10000)</f>
        <v>8.1027667984189724E-3</v>
      </c>
      <c r="AJ592" s="313">
        <f>RTD("money.excel",,$G592,"PredictVolume")</f>
        <v>615</v>
      </c>
      <c r="AK592" s="348"/>
    </row>
    <row r="593" spans="1:37">
      <c r="A593" s="132" t="s">
        <v>6069</v>
      </c>
      <c r="B593" s="81">
        <v>89</v>
      </c>
      <c r="C593" s="81">
        <v>88</v>
      </c>
      <c r="D593" s="82">
        <v>-6</v>
      </c>
      <c r="E593" s="81">
        <v>17</v>
      </c>
      <c r="F593" s="58">
        <v>17.809999999999999</v>
      </c>
      <c r="G593" s="81">
        <v>3661</v>
      </c>
      <c r="H593" s="8" t="s">
        <v>3761</v>
      </c>
      <c r="I593" s="22" t="s">
        <v>5175</v>
      </c>
      <c r="J593" s="75">
        <v>31.66</v>
      </c>
      <c r="K593" s="330">
        <v>76.64</v>
      </c>
      <c r="L593" s="75">
        <v>14.53</v>
      </c>
      <c r="M593" s="330">
        <v>3.72</v>
      </c>
      <c r="N593" s="325">
        <f t="shared" si="124"/>
        <v>126.55</v>
      </c>
      <c r="O593" s="27" t="s">
        <v>1189</v>
      </c>
      <c r="P593" s="56"/>
      <c r="Q593" s="26"/>
      <c r="R593" s="309" t="s">
        <v>4095</v>
      </c>
      <c r="S593" s="330">
        <v>5.08</v>
      </c>
      <c r="T593" s="67">
        <v>6.62</v>
      </c>
      <c r="U593" s="366">
        <f t="shared" si="125"/>
        <v>6.0733944954128437E-3</v>
      </c>
      <c r="V593" s="97">
        <v>20.350000000000001</v>
      </c>
      <c r="W593" s="157">
        <f>RTD("money.excel",,"3661","Price")</f>
        <v>1090</v>
      </c>
      <c r="X593" s="67"/>
      <c r="Y593" s="143">
        <f t="shared" si="126"/>
        <v>1090</v>
      </c>
      <c r="Z593" s="3" t="e">
        <f t="shared" si="127"/>
        <v>#DIV/0!</v>
      </c>
      <c r="AA593" s="174" t="s">
        <v>2185</v>
      </c>
      <c r="AB593" s="22" t="s">
        <v>5175</v>
      </c>
      <c r="AE593" s="33">
        <f t="shared" si="128"/>
        <v>0</v>
      </c>
      <c r="AF593" s="43" t="s">
        <v>3763</v>
      </c>
      <c r="AG593" s="128"/>
      <c r="AI593" s="64">
        <f t="shared" si="129"/>
        <v>3.7086280056577089E-2</v>
      </c>
      <c r="AJ593" s="313">
        <f>RTD("money.excel",,$G593,"PredictVolume")</f>
        <v>2622</v>
      </c>
      <c r="AK593" s="348">
        <v>34.22</v>
      </c>
    </row>
    <row r="594" spans="1:37">
      <c r="A594" s="132" t="s">
        <v>2377</v>
      </c>
      <c r="B594" s="81">
        <v>249</v>
      </c>
      <c r="C594" s="81">
        <v>154</v>
      </c>
      <c r="D594" s="82">
        <v>-15</v>
      </c>
      <c r="E594" s="81">
        <v>19</v>
      </c>
      <c r="F594" s="58">
        <v>16.510000000000002</v>
      </c>
      <c r="G594" s="81">
        <v>3675</v>
      </c>
      <c r="H594" s="151" t="s">
        <v>3761</v>
      </c>
      <c r="I594" s="16" t="s">
        <v>394</v>
      </c>
      <c r="J594" s="330">
        <v>54.72</v>
      </c>
      <c r="K594" s="75">
        <v>67.400000000000006</v>
      </c>
      <c r="L594" s="330">
        <v>15.21</v>
      </c>
      <c r="M594" s="330">
        <v>54.85</v>
      </c>
      <c r="N594" s="75">
        <f t="shared" si="124"/>
        <v>192.18</v>
      </c>
      <c r="O594" s="27" t="s">
        <v>6276</v>
      </c>
      <c r="P594" s="56" t="s">
        <v>6231</v>
      </c>
      <c r="Q594" s="26" t="s">
        <v>6258</v>
      </c>
      <c r="R594" s="309" t="s">
        <v>6219</v>
      </c>
      <c r="S594" s="330">
        <v>2.0499999999999998</v>
      </c>
      <c r="T594" s="67">
        <v>5</v>
      </c>
      <c r="U594" s="366">
        <f t="shared" si="125"/>
        <v>1.8115942028985508E-2</v>
      </c>
      <c r="V594" s="58">
        <v>7.36</v>
      </c>
      <c r="W594" s="13">
        <f>RTD("money.excel",,"3675","Price")</f>
        <v>276</v>
      </c>
      <c r="X594" s="67"/>
      <c r="Y594" s="15">
        <f t="shared" si="126"/>
        <v>276</v>
      </c>
      <c r="Z594" s="3" t="e">
        <f t="shared" si="127"/>
        <v>#DIV/0!</v>
      </c>
      <c r="AA594" s="174" t="s">
        <v>2185</v>
      </c>
      <c r="AB594" s="16" t="s">
        <v>394</v>
      </c>
      <c r="AE594" s="33">
        <f t="shared" si="128"/>
        <v>0</v>
      </c>
      <c r="AF594" s="43" t="s">
        <v>3477</v>
      </c>
      <c r="AG594" s="128"/>
      <c r="AI594" s="64">
        <f t="shared" si="129"/>
        <v>3.0990990990990987E-2</v>
      </c>
      <c r="AJ594" s="313">
        <f>RTD("money.excel",,$G594,"PredictVolume")</f>
        <v>1376</v>
      </c>
      <c r="AK594" s="348">
        <v>42.38</v>
      </c>
    </row>
    <row r="595" spans="1:37">
      <c r="A595" s="148" t="s">
        <v>3492</v>
      </c>
      <c r="B595" s="82">
        <v>-34</v>
      </c>
      <c r="C595" s="82">
        <v>-44</v>
      </c>
      <c r="D595" s="82">
        <v>-14</v>
      </c>
      <c r="E595" s="81">
        <v>15</v>
      </c>
      <c r="F595" s="6">
        <v>8.75</v>
      </c>
      <c r="G595" s="81">
        <v>3680</v>
      </c>
      <c r="H595" s="151" t="s">
        <v>3761</v>
      </c>
      <c r="I595" s="16" t="s">
        <v>395</v>
      </c>
      <c r="J595" s="330">
        <v>44.02</v>
      </c>
      <c r="K595" s="330">
        <v>13.16</v>
      </c>
      <c r="L595" s="330">
        <v>10.18</v>
      </c>
      <c r="N595" s="325">
        <f t="shared" ref="N595:N656" si="130">J595+K595+L595+M595</f>
        <v>67.360000000000014</v>
      </c>
      <c r="O595" s="27"/>
      <c r="P595" s="56"/>
      <c r="Q595" s="26"/>
      <c r="S595" s="330">
        <v>11.73</v>
      </c>
      <c r="T595" s="67">
        <v>3.5</v>
      </c>
      <c r="U595" s="366">
        <f t="shared" si="125"/>
        <v>1.4285714285714285E-2</v>
      </c>
      <c r="V595" s="97">
        <v>5.12</v>
      </c>
      <c r="W595" s="36">
        <f>RTD("money.excel",,"3680","Price")</f>
        <v>245</v>
      </c>
      <c r="X595" s="67"/>
      <c r="Y595" s="15">
        <f t="shared" si="126"/>
        <v>245</v>
      </c>
      <c r="Z595" s="3" t="e">
        <f t="shared" si="127"/>
        <v>#DIV/0!</v>
      </c>
      <c r="AA595" s="174" t="s">
        <v>2185</v>
      </c>
      <c r="AB595" s="16" t="s">
        <v>395</v>
      </c>
      <c r="AE595" s="33">
        <f t="shared" si="128"/>
        <v>0</v>
      </c>
      <c r="AF595" s="43" t="s">
        <v>306</v>
      </c>
      <c r="AG595" s="128"/>
      <c r="AI595" s="64">
        <f t="shared" si="129"/>
        <v>1.0665873959571939E-2</v>
      </c>
      <c r="AJ595" s="313">
        <f>RTD("money.excel",,$G595,"PredictVolume")</f>
        <v>897</v>
      </c>
      <c r="AK595" s="348"/>
    </row>
    <row r="596" spans="1:37">
      <c r="A596" s="148" t="s">
        <v>2644</v>
      </c>
      <c r="B596" s="82">
        <v>-60</v>
      </c>
      <c r="C596" s="81">
        <v>39</v>
      </c>
      <c r="D596" s="82">
        <v>-2</v>
      </c>
      <c r="E596" s="81">
        <v>9</v>
      </c>
      <c r="F596" s="6">
        <v>-47.4</v>
      </c>
      <c r="G596" s="81">
        <v>3686</v>
      </c>
      <c r="H596" s="8" t="s">
        <v>3761</v>
      </c>
      <c r="I596" s="22" t="s">
        <v>377</v>
      </c>
      <c r="J596" s="75">
        <v>6.09</v>
      </c>
      <c r="K596" s="75">
        <v>2.63</v>
      </c>
      <c r="N596" s="325">
        <f t="shared" si="130"/>
        <v>8.7199999999999989</v>
      </c>
      <c r="O596" s="27"/>
      <c r="P596" s="56"/>
      <c r="Q596" s="26"/>
      <c r="T596" s="34">
        <v>0</v>
      </c>
      <c r="U596" s="366">
        <f t="shared" si="125"/>
        <v>0</v>
      </c>
      <c r="V596" s="97">
        <v>-1.33</v>
      </c>
      <c r="W596" s="36">
        <f>RTD("money.excel",,"3686","Price")</f>
        <v>16.399999999999999</v>
      </c>
      <c r="X596" s="67"/>
      <c r="Y596" s="15">
        <f t="shared" si="126"/>
        <v>16.399999999999999</v>
      </c>
      <c r="Z596" s="3" t="e">
        <f t="shared" si="127"/>
        <v>#DIV/0!</v>
      </c>
      <c r="AA596" s="174" t="s">
        <v>1943</v>
      </c>
      <c r="AB596" s="22" t="s">
        <v>377</v>
      </c>
      <c r="AE596" s="33">
        <f t="shared" si="128"/>
        <v>0</v>
      </c>
      <c r="AF596" s="43" t="s">
        <v>2643</v>
      </c>
      <c r="AG596" s="128"/>
      <c r="AI596" s="64">
        <f t="shared" si="129"/>
        <v>1.7008849557522125E-2</v>
      </c>
      <c r="AJ596" s="313">
        <f>RTD("money.excel",,$G596,"PredictVolume")</f>
        <v>1922</v>
      </c>
      <c r="AK596" s="348"/>
    </row>
    <row r="597" spans="1:37">
      <c r="A597" s="148" t="s">
        <v>2359</v>
      </c>
      <c r="B597" s="81">
        <v>134</v>
      </c>
      <c r="C597" s="81">
        <v>155</v>
      </c>
      <c r="D597" s="81">
        <v>4</v>
      </c>
      <c r="E597" s="81">
        <v>41</v>
      </c>
      <c r="F597" s="6">
        <v>3.66</v>
      </c>
      <c r="G597" s="81">
        <v>3707</v>
      </c>
      <c r="H597" s="210" t="s">
        <v>3761</v>
      </c>
      <c r="I597" s="24" t="s">
        <v>5176</v>
      </c>
      <c r="J597" s="330">
        <v>49.2</v>
      </c>
      <c r="K597" s="330">
        <v>19.309999999999999</v>
      </c>
      <c r="L597" s="75">
        <v>32.979999999999997</v>
      </c>
      <c r="N597" s="325">
        <f t="shared" si="130"/>
        <v>101.49000000000001</v>
      </c>
      <c r="O597" s="27"/>
      <c r="P597" s="56"/>
      <c r="Q597" s="26"/>
      <c r="S597" s="330">
        <v>29.37</v>
      </c>
      <c r="T597" s="34">
        <v>0</v>
      </c>
      <c r="U597" s="366">
        <f t="shared" si="125"/>
        <v>0</v>
      </c>
      <c r="V597" s="97">
        <v>-0.74</v>
      </c>
      <c r="W597" s="36">
        <f>RTD("money.excel",,"3707","Price")</f>
        <v>117.5</v>
      </c>
      <c r="X597" s="67"/>
      <c r="Y597" s="15">
        <f t="shared" si="126"/>
        <v>117.5</v>
      </c>
      <c r="Z597" s="3" t="e">
        <f t="shared" si="127"/>
        <v>#DIV/0!</v>
      </c>
      <c r="AA597" s="174" t="s">
        <v>1943</v>
      </c>
      <c r="AB597" s="24" t="s">
        <v>5176</v>
      </c>
      <c r="AE597" s="33">
        <f t="shared" si="128"/>
        <v>0</v>
      </c>
      <c r="AF597" s="124" t="s">
        <v>3079</v>
      </c>
      <c r="AG597" s="128"/>
      <c r="AI597" s="64">
        <f t="shared" si="129"/>
        <v>9.2556250000000007E-2</v>
      </c>
      <c r="AJ597" s="313">
        <f>RTD("money.excel",,$G597,"PredictVolume")</f>
        <v>29618</v>
      </c>
      <c r="AK597" s="348"/>
    </row>
    <row r="598" spans="1:37">
      <c r="A598" s="148" t="s">
        <v>1775</v>
      </c>
      <c r="B598" s="81">
        <v>71</v>
      </c>
      <c r="C598" s="81">
        <v>66</v>
      </c>
      <c r="D598" s="81">
        <v>6</v>
      </c>
      <c r="E598" s="81">
        <v>22</v>
      </c>
      <c r="F598" s="6">
        <v>9.77</v>
      </c>
      <c r="G598" s="81">
        <v>3711</v>
      </c>
      <c r="H598" s="8" t="s">
        <v>3761</v>
      </c>
      <c r="I598" s="22" t="s">
        <v>12</v>
      </c>
      <c r="J598" s="330">
        <v>84.38</v>
      </c>
      <c r="K598" s="330">
        <v>81.63</v>
      </c>
      <c r="L598" s="75">
        <v>0.88</v>
      </c>
      <c r="N598" s="325">
        <f t="shared" si="130"/>
        <v>166.89</v>
      </c>
      <c r="O598" s="27"/>
      <c r="P598" s="56"/>
      <c r="Q598" s="26"/>
      <c r="S598" s="330">
        <v>9.8000000000000007</v>
      </c>
      <c r="T598" s="67">
        <v>4.1900000000000004</v>
      </c>
      <c r="U598" s="366">
        <f t="shared" si="125"/>
        <v>4.1691542288557218E-2</v>
      </c>
      <c r="V598" s="58">
        <v>8.3000000000000007</v>
      </c>
      <c r="W598" s="13">
        <f>RTD("money.excel",,"3711","Price")</f>
        <v>100.5</v>
      </c>
      <c r="X598" s="67"/>
      <c r="Y598" s="15">
        <f t="shared" si="126"/>
        <v>100.5</v>
      </c>
      <c r="Z598" s="3" t="e">
        <f t="shared" si="127"/>
        <v>#DIV/0!</v>
      </c>
      <c r="AA598" s="174" t="s">
        <v>2185</v>
      </c>
      <c r="AB598" s="22" t="s">
        <v>12</v>
      </c>
      <c r="AE598" s="33">
        <f t="shared" si="128"/>
        <v>0</v>
      </c>
      <c r="AF598" s="122" t="s">
        <v>2911</v>
      </c>
      <c r="AG598" s="128"/>
      <c r="AI598" s="64">
        <f t="shared" si="129"/>
        <v>3.1181818181818181E-3</v>
      </c>
      <c r="AJ598" s="313">
        <f>RTD("money.excel",,$G598,"PredictVolume")</f>
        <v>13720</v>
      </c>
      <c r="AK598" s="348"/>
    </row>
    <row r="599" spans="1:37">
      <c r="A599" s="148" t="s">
        <v>4081</v>
      </c>
      <c r="B599" s="95">
        <v>2312</v>
      </c>
      <c r="C599" s="95">
        <v>3731</v>
      </c>
      <c r="D599" s="82">
        <v>-10</v>
      </c>
      <c r="E599" s="81">
        <v>269</v>
      </c>
      <c r="F599" s="6">
        <v>3.78</v>
      </c>
      <c r="G599" s="81">
        <v>4919</v>
      </c>
      <c r="H599" s="8" t="s">
        <v>3761</v>
      </c>
      <c r="I599" s="22" t="s">
        <v>5177</v>
      </c>
      <c r="J599" s="330">
        <v>59.67</v>
      </c>
      <c r="K599" s="330">
        <v>4.63</v>
      </c>
      <c r="L599" s="330">
        <v>26.14</v>
      </c>
      <c r="N599" s="325">
        <f t="shared" si="130"/>
        <v>90.44</v>
      </c>
      <c r="O599" s="27"/>
      <c r="P599" s="56"/>
      <c r="Q599" s="26"/>
      <c r="S599" s="330">
        <v>3.99</v>
      </c>
      <c r="T599" s="34">
        <v>0.8</v>
      </c>
      <c r="U599" s="366">
        <f t="shared" si="125"/>
        <v>5.5944055944055944E-3</v>
      </c>
      <c r="V599" s="58">
        <v>2.52</v>
      </c>
      <c r="W599" s="36">
        <f>RTD("money.excel",,"4919","Price")</f>
        <v>143</v>
      </c>
      <c r="X599" s="67"/>
      <c r="Y599" s="15">
        <f t="shared" si="126"/>
        <v>143</v>
      </c>
      <c r="Z599" s="3" t="e">
        <f t="shared" si="127"/>
        <v>#DIV/0!</v>
      </c>
      <c r="AA599" s="174" t="s">
        <v>1943</v>
      </c>
      <c r="AB599" s="22" t="s">
        <v>5177</v>
      </c>
      <c r="AE599" s="33">
        <f t="shared" si="128"/>
        <v>0</v>
      </c>
      <c r="AF599" s="122" t="s">
        <v>3743</v>
      </c>
      <c r="AG599" s="128"/>
      <c r="AI599" s="64">
        <f t="shared" si="129"/>
        <v>1.5967499999999999E-2</v>
      </c>
      <c r="AJ599" s="313">
        <f>RTD("money.excel",,$G599,"PredictVolume")</f>
        <v>6387</v>
      </c>
      <c r="AK599" s="348"/>
    </row>
    <row r="600" spans="1:37">
      <c r="A600" s="132" t="s">
        <v>2669</v>
      </c>
      <c r="B600" s="95">
        <v>2153</v>
      </c>
      <c r="C600" s="237">
        <v>22553</v>
      </c>
      <c r="D600" s="81">
        <v>51</v>
      </c>
      <c r="E600" s="82">
        <v>-4</v>
      </c>
      <c r="F600" s="58">
        <v>15.29</v>
      </c>
      <c r="G600" s="81">
        <v>4923</v>
      </c>
      <c r="H600" s="151" t="s">
        <v>3761</v>
      </c>
      <c r="I600" s="16" t="s">
        <v>6472</v>
      </c>
      <c r="J600" s="75">
        <v>12.11</v>
      </c>
      <c r="K600" s="330">
        <v>2.83</v>
      </c>
      <c r="L600" s="330"/>
      <c r="M600" s="330"/>
      <c r="N600" s="325">
        <f t="shared" ref="N600" si="131">J600+K600+L600+M600</f>
        <v>14.94</v>
      </c>
      <c r="O600" s="27"/>
      <c r="P600" s="56"/>
      <c r="Q600" s="26"/>
      <c r="S600" s="330">
        <v>3.76</v>
      </c>
      <c r="T600" s="34">
        <v>5</v>
      </c>
      <c r="U600" s="366">
        <f t="shared" si="125"/>
        <v>6.4516129032258063E-2</v>
      </c>
      <c r="V600" s="97" t="s">
        <v>4029</v>
      </c>
      <c r="W600" s="36">
        <f>RTD("money.excel",,"4923","Price")</f>
        <v>77.5</v>
      </c>
      <c r="X600" s="67"/>
      <c r="Y600" s="15">
        <f t="shared" ref="Y600" si="132">W600-X600</f>
        <v>77.5</v>
      </c>
      <c r="Z600" s="3" t="e">
        <f t="shared" ref="Z600" si="133">Y600/X600</f>
        <v>#DIV/0!</v>
      </c>
      <c r="AB600" s="16" t="s">
        <v>6472</v>
      </c>
      <c r="AE600" s="33">
        <f t="shared" ref="AE600" si="134">AD600-AC600</f>
        <v>0</v>
      </c>
      <c r="AF600" s="128" t="s">
        <v>6477</v>
      </c>
      <c r="AG600" s="243"/>
      <c r="AI600" s="64">
        <f t="shared" si="129"/>
        <v>1.6879999999999999E-2</v>
      </c>
      <c r="AJ600" s="313">
        <f>RTD("money.excel",,$G600,"PredictVolume")</f>
        <v>422</v>
      </c>
      <c r="AK600" s="348"/>
    </row>
    <row r="601" spans="1:37">
      <c r="A601" s="132" t="s">
        <v>1661</v>
      </c>
      <c r="B601" s="81">
        <v>37</v>
      </c>
      <c r="C601" s="81">
        <v>45</v>
      </c>
      <c r="D601" s="82">
        <v>-18</v>
      </c>
      <c r="E601" s="81">
        <v>23</v>
      </c>
      <c r="F601" s="58">
        <v>23.3</v>
      </c>
      <c r="G601" s="81">
        <v>4945</v>
      </c>
      <c r="H601" s="210" t="s">
        <v>3761</v>
      </c>
      <c r="I601" s="24" t="s">
        <v>2515</v>
      </c>
      <c r="J601" s="75">
        <v>48.69</v>
      </c>
      <c r="K601" s="75">
        <v>5.56</v>
      </c>
      <c r="L601" s="330">
        <v>11.14</v>
      </c>
      <c r="N601" s="325">
        <f t="shared" si="130"/>
        <v>65.39</v>
      </c>
      <c r="O601" s="27"/>
      <c r="P601" s="56"/>
      <c r="Q601" s="26"/>
      <c r="S601" s="330">
        <v>0.12</v>
      </c>
      <c r="T601" s="34">
        <v>1.6</v>
      </c>
      <c r="U601" s="366">
        <f t="shared" si="125"/>
        <v>1.7582417582417582E-2</v>
      </c>
      <c r="V601" s="97">
        <v>2.39</v>
      </c>
      <c r="W601" s="36">
        <f>RTD("money.excel",,"4945","Price")</f>
        <v>91</v>
      </c>
      <c r="X601" s="67"/>
      <c r="Y601" s="15">
        <f t="shared" si="126"/>
        <v>91</v>
      </c>
      <c r="Z601" s="3" t="e">
        <f t="shared" si="127"/>
        <v>#DIV/0!</v>
      </c>
      <c r="AA601" s="174" t="s">
        <v>1943</v>
      </c>
      <c r="AB601" s="24" t="s">
        <v>2515</v>
      </c>
      <c r="AE601" s="33">
        <f t="shared" si="128"/>
        <v>0</v>
      </c>
      <c r="AF601" s="124" t="s">
        <v>2519</v>
      </c>
      <c r="AG601" s="128"/>
      <c r="AI601" s="64">
        <f t="shared" si="129"/>
        <v>1.4584717607973424E-2</v>
      </c>
      <c r="AJ601" s="313">
        <f>RTD("money.excel",,$G601,"PredictVolume")</f>
        <v>439</v>
      </c>
      <c r="AK601" s="348"/>
    </row>
    <row r="602" spans="1:37">
      <c r="A602" s="132" t="s">
        <v>1881</v>
      </c>
      <c r="B602" s="81">
        <v>0</v>
      </c>
      <c r="C602" s="81">
        <v>11</v>
      </c>
      <c r="D602" s="81">
        <v>0</v>
      </c>
      <c r="E602" s="81">
        <v>34</v>
      </c>
      <c r="F602" s="58">
        <v>10.47</v>
      </c>
      <c r="G602" s="81">
        <v>4952</v>
      </c>
      <c r="H602" s="8" t="s">
        <v>3761</v>
      </c>
      <c r="I602" s="22" t="s">
        <v>189</v>
      </c>
      <c r="J602" s="330">
        <v>51.16</v>
      </c>
      <c r="K602" s="330">
        <v>3.07</v>
      </c>
      <c r="L602" s="75">
        <v>6.59</v>
      </c>
      <c r="N602" s="325">
        <f t="shared" si="130"/>
        <v>60.819999999999993</v>
      </c>
      <c r="O602" s="27"/>
      <c r="P602" s="56"/>
      <c r="Q602" s="26"/>
      <c r="S602" s="330">
        <v>0.47</v>
      </c>
      <c r="T602" s="34">
        <v>2.4</v>
      </c>
      <c r="U602" s="366">
        <f t="shared" si="125"/>
        <v>3.3566433566433566E-2</v>
      </c>
      <c r="V602" s="97">
        <v>2.59</v>
      </c>
      <c r="W602" s="36">
        <f>RTD("money.excel",,"4952","Price")</f>
        <v>71.5</v>
      </c>
      <c r="X602" s="67"/>
      <c r="Y602" s="15">
        <f t="shared" si="126"/>
        <v>71.5</v>
      </c>
      <c r="Z602" s="3" t="e">
        <f t="shared" si="127"/>
        <v>#DIV/0!</v>
      </c>
      <c r="AA602" s="174" t="s">
        <v>1943</v>
      </c>
      <c r="AB602" s="22" t="s">
        <v>189</v>
      </c>
      <c r="AE602" s="33">
        <f t="shared" si="128"/>
        <v>0</v>
      </c>
      <c r="AF602" s="122" t="s">
        <v>2561</v>
      </c>
      <c r="AG602" s="128"/>
      <c r="AI602" s="64">
        <f t="shared" si="129"/>
        <v>2.5611111111111112E-2</v>
      </c>
      <c r="AJ602" s="313">
        <f>RTD("money.excel",,$G602,"PredictVolume")</f>
        <v>2766</v>
      </c>
      <c r="AK602" s="348"/>
    </row>
    <row r="603" spans="1:37">
      <c r="A603" s="132" t="s">
        <v>1825</v>
      </c>
      <c r="B603" s="95">
        <v>1975</v>
      </c>
      <c r="C603" s="95">
        <v>2232</v>
      </c>
      <c r="D603" s="82">
        <v>-6</v>
      </c>
      <c r="E603" s="81">
        <v>68</v>
      </c>
      <c r="F603" s="58">
        <v>34.61</v>
      </c>
      <c r="G603" s="81">
        <v>4961</v>
      </c>
      <c r="H603" s="8" t="s">
        <v>3761</v>
      </c>
      <c r="I603" s="22" t="s">
        <v>1126</v>
      </c>
      <c r="J603" s="75">
        <v>38.81</v>
      </c>
      <c r="K603" s="75">
        <v>11.6</v>
      </c>
      <c r="L603" s="75">
        <v>28.3</v>
      </c>
      <c r="M603" s="330">
        <v>8.57</v>
      </c>
      <c r="N603" s="325">
        <f t="shared" si="130"/>
        <v>87.28</v>
      </c>
      <c r="O603" s="27"/>
      <c r="P603" s="56"/>
      <c r="Q603" s="26"/>
      <c r="R603" s="308" t="s">
        <v>4375</v>
      </c>
      <c r="S603" s="330">
        <v>5.55</v>
      </c>
      <c r="T603" s="34">
        <v>2.5</v>
      </c>
      <c r="U603" s="366">
        <f t="shared" si="125"/>
        <v>1.1876484560570071E-2</v>
      </c>
      <c r="V603" s="97">
        <v>29.22</v>
      </c>
      <c r="W603" s="36">
        <f>RTD("money.excel",,"4961","Price")</f>
        <v>210.5</v>
      </c>
      <c r="X603" s="67"/>
      <c r="Y603" s="15">
        <f t="shared" si="126"/>
        <v>210.5</v>
      </c>
      <c r="Z603" s="3" t="e">
        <f t="shared" si="127"/>
        <v>#DIV/0!</v>
      </c>
      <c r="AA603" s="174" t="s">
        <v>1943</v>
      </c>
      <c r="AB603" s="22" t="s">
        <v>1126</v>
      </c>
      <c r="AE603" s="33">
        <f t="shared" si="128"/>
        <v>0</v>
      </c>
      <c r="AF603" s="43" t="s">
        <v>4187</v>
      </c>
      <c r="AG603" s="128"/>
      <c r="AI603" s="64">
        <f t="shared" si="129"/>
        <v>8.8118279569892478E-3</v>
      </c>
      <c r="AJ603" s="313">
        <f>RTD("money.excel",,$G603,"PredictVolume")</f>
        <v>1639</v>
      </c>
      <c r="AK603" s="348"/>
    </row>
    <row r="604" spans="1:37">
      <c r="A604" s="132" t="s">
        <v>6087</v>
      </c>
      <c r="B604" s="81">
        <v>48</v>
      </c>
      <c r="C604" s="81">
        <v>58</v>
      </c>
      <c r="D604" s="81">
        <v>13</v>
      </c>
      <c r="E604" s="81">
        <v>50</v>
      </c>
      <c r="F604" s="58">
        <v>28.68</v>
      </c>
      <c r="G604" s="81">
        <v>4966</v>
      </c>
      <c r="H604" s="151" t="s">
        <v>3761</v>
      </c>
      <c r="I604" s="16" t="s">
        <v>5178</v>
      </c>
      <c r="J604" s="330">
        <v>27.57</v>
      </c>
      <c r="K604" s="75">
        <v>73.53</v>
      </c>
      <c r="L604" s="75">
        <v>3.59</v>
      </c>
      <c r="M604" s="330">
        <v>7.56</v>
      </c>
      <c r="N604" s="325">
        <f t="shared" si="130"/>
        <v>112.25</v>
      </c>
      <c r="O604" s="27"/>
      <c r="P604" s="56"/>
      <c r="Q604" s="26"/>
      <c r="R604" s="308" t="s">
        <v>6088</v>
      </c>
      <c r="S604" s="330">
        <v>1.88</v>
      </c>
      <c r="T604" s="67">
        <v>14.19</v>
      </c>
      <c r="U604" s="366">
        <f t="shared" si="125"/>
        <v>7.9273743016759768E-3</v>
      </c>
      <c r="V604" s="97">
        <v>60.13</v>
      </c>
      <c r="W604" s="157">
        <f>RTD("money.excel",,"4966","Price")</f>
        <v>1790</v>
      </c>
      <c r="X604" s="67"/>
      <c r="Y604" s="143">
        <f t="shared" si="126"/>
        <v>1790</v>
      </c>
      <c r="Z604" s="3" t="e">
        <f t="shared" si="127"/>
        <v>#DIV/0!</v>
      </c>
      <c r="AA604" s="174" t="s">
        <v>2185</v>
      </c>
      <c r="AB604" s="16" t="s">
        <v>5178</v>
      </c>
      <c r="AE604" s="33">
        <f t="shared" si="128"/>
        <v>0</v>
      </c>
      <c r="AF604" s="122" t="s">
        <v>2880</v>
      </c>
      <c r="AG604" s="128"/>
      <c r="AI604" s="64">
        <f t="shared" si="129"/>
        <v>2.9171817058096417E-3</v>
      </c>
      <c r="AJ604" s="313">
        <f>RTD("money.excel",,$G604,"PredictVolume")</f>
        <v>236</v>
      </c>
      <c r="AK604" s="348">
        <v>9.36</v>
      </c>
    </row>
    <row r="605" spans="1:37">
      <c r="A605" s="148" t="s">
        <v>1959</v>
      </c>
      <c r="B605" s="82">
        <v>-8</v>
      </c>
      <c r="C605" s="82">
        <v>-48</v>
      </c>
      <c r="D605" s="81">
        <v>17</v>
      </c>
      <c r="E605" s="81">
        <v>33</v>
      </c>
      <c r="F605" s="6">
        <v>1.49</v>
      </c>
      <c r="G605" s="81">
        <v>4967</v>
      </c>
      <c r="H605" s="8" t="s">
        <v>3761</v>
      </c>
      <c r="I605" s="22" t="s">
        <v>1951</v>
      </c>
      <c r="J605" s="75">
        <v>11.5</v>
      </c>
      <c r="K605" s="75">
        <v>1.81</v>
      </c>
      <c r="L605" s="330">
        <v>49.87</v>
      </c>
      <c r="M605" s="330">
        <v>4.84</v>
      </c>
      <c r="N605" s="325">
        <f t="shared" si="130"/>
        <v>68.02</v>
      </c>
      <c r="O605" s="27"/>
      <c r="P605" s="56"/>
      <c r="Q605" s="26"/>
      <c r="R605" s="308" t="s">
        <v>4372</v>
      </c>
      <c r="S605" s="330">
        <v>8.02</v>
      </c>
      <c r="T605" s="34">
        <v>0.86</v>
      </c>
      <c r="U605" s="366">
        <f t="shared" si="125"/>
        <v>2.0873786407766989E-2</v>
      </c>
      <c r="V605" s="97">
        <v>1.61</v>
      </c>
      <c r="W605" s="36">
        <f>RTD("money.excel",,"4967","Price")</f>
        <v>41.2</v>
      </c>
      <c r="X605" s="67"/>
      <c r="Y605" s="15">
        <f t="shared" si="126"/>
        <v>41.2</v>
      </c>
      <c r="Z605" s="3" t="e">
        <f t="shared" si="127"/>
        <v>#DIV/0!</v>
      </c>
      <c r="AA605" s="174" t="s">
        <v>1943</v>
      </c>
      <c r="AB605" s="22" t="s">
        <v>1951</v>
      </c>
      <c r="AE605" s="33">
        <f t="shared" si="128"/>
        <v>0</v>
      </c>
      <c r="AF605" s="43" t="s">
        <v>1482</v>
      </c>
      <c r="AG605" s="128"/>
      <c r="AI605" s="64">
        <f t="shared" si="129"/>
        <v>2.3921568627450979E-3</v>
      </c>
      <c r="AJ605" s="313">
        <f>RTD("money.excel",,$G605,"PredictVolume")</f>
        <v>244</v>
      </c>
      <c r="AK605" s="348"/>
    </row>
    <row r="606" spans="1:37">
      <c r="A606" s="132" t="s">
        <v>4274</v>
      </c>
      <c r="B606" s="81">
        <v>0</v>
      </c>
      <c r="C606" s="82">
        <v>-2</v>
      </c>
      <c r="D606" s="82">
        <v>-17</v>
      </c>
      <c r="E606" s="82">
        <v>-58</v>
      </c>
      <c r="F606" s="58">
        <v>13.82</v>
      </c>
      <c r="G606" s="81">
        <v>4968</v>
      </c>
      <c r="H606" s="8" t="s">
        <v>3761</v>
      </c>
      <c r="I606" s="22" t="s">
        <v>378</v>
      </c>
      <c r="J606" s="330">
        <v>23.36</v>
      </c>
      <c r="K606" s="330">
        <v>41.41</v>
      </c>
      <c r="L606" s="75">
        <v>21.41</v>
      </c>
      <c r="M606" s="330">
        <v>9.5</v>
      </c>
      <c r="N606" s="325">
        <f t="shared" si="130"/>
        <v>95.679999999999993</v>
      </c>
      <c r="O606" s="27"/>
      <c r="P606" s="56"/>
      <c r="Q606" s="26"/>
      <c r="R606" s="308" t="s">
        <v>4375</v>
      </c>
      <c r="S606" s="330">
        <v>6.59</v>
      </c>
      <c r="T606" s="67">
        <v>8</v>
      </c>
      <c r="U606" s="366">
        <f t="shared" si="125"/>
        <v>4.2440318302387266E-2</v>
      </c>
      <c r="V606" s="97">
        <v>12.49</v>
      </c>
      <c r="W606" s="13">
        <f>RTD("money.excel",,"4968","Price")</f>
        <v>188.5</v>
      </c>
      <c r="X606" s="67"/>
      <c r="Y606" s="15">
        <f t="shared" si="126"/>
        <v>188.5</v>
      </c>
      <c r="Z606" s="3" t="e">
        <f t="shared" si="127"/>
        <v>#DIV/0!</v>
      </c>
      <c r="AA606" s="174" t="s">
        <v>2185</v>
      </c>
      <c r="AB606" s="22" t="s">
        <v>378</v>
      </c>
      <c r="AE606" s="33">
        <f t="shared" si="128"/>
        <v>0</v>
      </c>
      <c r="AF606" s="43" t="s">
        <v>2393</v>
      </c>
      <c r="AG606" s="125"/>
      <c r="AI606" s="64">
        <f t="shared" si="129"/>
        <v>1.5548022598870056E-2</v>
      </c>
      <c r="AJ606" s="313">
        <f>RTD("money.excel",,$G606,"PredictVolume")</f>
        <v>1376</v>
      </c>
      <c r="AK606" s="83"/>
    </row>
    <row r="607" spans="1:37">
      <c r="A607" s="148" t="s">
        <v>1771</v>
      </c>
      <c r="B607" s="82">
        <v>-70</v>
      </c>
      <c r="C607" s="82">
        <v>-84</v>
      </c>
      <c r="D607" s="81">
        <v>0</v>
      </c>
      <c r="E607" s="82">
        <v>-2</v>
      </c>
      <c r="F607" s="6">
        <v>2.0699999999999998</v>
      </c>
      <c r="G607" s="81">
        <v>4971</v>
      </c>
      <c r="H607" s="151" t="s">
        <v>3761</v>
      </c>
      <c r="I607" s="16" t="s">
        <v>5179</v>
      </c>
      <c r="J607" s="75">
        <v>3</v>
      </c>
      <c r="K607" s="330">
        <v>15.72</v>
      </c>
      <c r="L607" s="75">
        <v>20.67</v>
      </c>
      <c r="N607" s="325">
        <f t="shared" si="130"/>
        <v>39.39</v>
      </c>
      <c r="O607" s="27"/>
      <c r="P607" s="56"/>
      <c r="Q607" s="26"/>
      <c r="S607" s="330">
        <v>0</v>
      </c>
      <c r="T607" s="34">
        <v>1</v>
      </c>
      <c r="U607" s="366">
        <f t="shared" si="125"/>
        <v>1.4492753623188406E-2</v>
      </c>
      <c r="V607" s="97">
        <v>1.84</v>
      </c>
      <c r="W607" s="36">
        <f>RTD("money.excel",,"4971","Price")</f>
        <v>69</v>
      </c>
      <c r="X607" s="67"/>
      <c r="Y607" s="15">
        <f t="shared" si="126"/>
        <v>69</v>
      </c>
      <c r="Z607" s="3" t="e">
        <f t="shared" si="127"/>
        <v>#DIV/0!</v>
      </c>
      <c r="AA607" s="174" t="s">
        <v>1943</v>
      </c>
      <c r="AB607" s="16" t="s">
        <v>5179</v>
      </c>
      <c r="AE607" s="33">
        <f t="shared" si="128"/>
        <v>0</v>
      </c>
      <c r="AF607" s="122" t="s">
        <v>2640</v>
      </c>
      <c r="AG607" s="128"/>
      <c r="AI607" s="64">
        <f t="shared" si="129"/>
        <v>3.1506849315068495E-3</v>
      </c>
      <c r="AJ607" s="313">
        <f>RTD("money.excel",,$G607,"PredictVolume")</f>
        <v>115</v>
      </c>
      <c r="AK607" s="348"/>
    </row>
    <row r="608" spans="1:37">
      <c r="A608" s="148" t="s">
        <v>3500</v>
      </c>
      <c r="B608" s="81">
        <v>91</v>
      </c>
      <c r="C608" s="81">
        <v>117</v>
      </c>
      <c r="D608" s="82">
        <v>-10</v>
      </c>
      <c r="E608" s="82">
        <v>-11</v>
      </c>
      <c r="F608" s="6">
        <v>2.06</v>
      </c>
      <c r="G608" s="81">
        <v>4973</v>
      </c>
      <c r="H608" s="151" t="s">
        <v>3761</v>
      </c>
      <c r="I608" s="16" t="s">
        <v>396</v>
      </c>
      <c r="J608" s="330">
        <v>22.55</v>
      </c>
      <c r="K608" s="330">
        <v>0.77</v>
      </c>
      <c r="L608" s="330">
        <v>19.77</v>
      </c>
      <c r="N608" s="325">
        <f t="shared" si="130"/>
        <v>43.09</v>
      </c>
      <c r="O608" s="27"/>
      <c r="P608" s="56"/>
      <c r="Q608" s="26"/>
      <c r="S608" s="330">
        <v>2.1</v>
      </c>
      <c r="T608" s="34">
        <v>1</v>
      </c>
      <c r="U608" s="366">
        <f t="shared" si="125"/>
        <v>4.3290043290043288E-2</v>
      </c>
      <c r="V608" s="97">
        <v>1.3</v>
      </c>
      <c r="W608" s="36">
        <f>RTD("money.excel",,"4973","Price")</f>
        <v>23.1</v>
      </c>
      <c r="X608" s="67"/>
      <c r="Y608" s="15">
        <f t="shared" si="126"/>
        <v>23.1</v>
      </c>
      <c r="Z608" s="3" t="e">
        <f t="shared" si="127"/>
        <v>#DIV/0!</v>
      </c>
      <c r="AB608" s="16" t="s">
        <v>396</v>
      </c>
      <c r="AE608" s="33">
        <f t="shared" si="128"/>
        <v>0</v>
      </c>
      <c r="AF608" s="43" t="s">
        <v>2879</v>
      </c>
      <c r="AG608" s="128"/>
      <c r="AI608" s="64">
        <f t="shared" si="129"/>
        <v>5.3543307086614171E-4</v>
      </c>
      <c r="AJ608" s="313">
        <f>RTD("money.excel",,$G608,"PredictVolume")</f>
        <v>34</v>
      </c>
      <c r="AK608" s="348"/>
    </row>
    <row r="609" spans="1:37">
      <c r="A609" s="132" t="s">
        <v>2483</v>
      </c>
      <c r="B609" s="82">
        <v>-43</v>
      </c>
      <c r="C609" s="82">
        <v>-41</v>
      </c>
      <c r="D609" s="81">
        <v>51</v>
      </c>
      <c r="E609" s="82">
        <v>-4</v>
      </c>
      <c r="F609" s="58">
        <v>14.61</v>
      </c>
      <c r="G609" s="81">
        <v>4991</v>
      </c>
      <c r="H609" s="151" t="s">
        <v>3761</v>
      </c>
      <c r="I609" s="16" t="s">
        <v>190</v>
      </c>
      <c r="J609" s="330">
        <v>49.09</v>
      </c>
      <c r="K609" s="75">
        <v>15.44</v>
      </c>
      <c r="L609" s="330">
        <v>25.38</v>
      </c>
      <c r="N609" s="325">
        <f t="shared" si="130"/>
        <v>89.91</v>
      </c>
      <c r="O609" s="27"/>
      <c r="P609" s="56"/>
      <c r="Q609" s="26"/>
      <c r="S609" s="330">
        <v>3.76</v>
      </c>
      <c r="T609" s="34">
        <v>0</v>
      </c>
      <c r="U609" s="366">
        <f t="shared" si="125"/>
        <v>0</v>
      </c>
      <c r="V609" s="97">
        <v>-1.28</v>
      </c>
      <c r="W609" s="36">
        <f>RTD("money.excel",,"4991","Price")</f>
        <v>43.65</v>
      </c>
      <c r="X609" s="67"/>
      <c r="Y609" s="15">
        <f t="shared" si="126"/>
        <v>43.65</v>
      </c>
      <c r="Z609" s="3" t="e">
        <f t="shared" si="127"/>
        <v>#DIV/0!</v>
      </c>
      <c r="AB609" s="16" t="s">
        <v>190</v>
      </c>
      <c r="AE609" s="33">
        <f t="shared" si="128"/>
        <v>0</v>
      </c>
      <c r="AF609" s="124" t="s">
        <v>2064</v>
      </c>
      <c r="AG609" s="128"/>
      <c r="AI609" s="64">
        <f t="shared" si="129"/>
        <v>2.9540481400437636E-4</v>
      </c>
      <c r="AJ609" s="313">
        <f>RTD("money.excel",,$G609,"PredictVolume")</f>
        <v>27</v>
      </c>
      <c r="AK609" s="348"/>
    </row>
    <row r="610" spans="1:37">
      <c r="A610" s="132" t="s">
        <v>2015</v>
      </c>
      <c r="B610" s="81">
        <v>164</v>
      </c>
      <c r="C610" s="81">
        <v>183</v>
      </c>
      <c r="D610" s="81">
        <v>77</v>
      </c>
      <c r="E610" s="81">
        <v>12</v>
      </c>
      <c r="F610" s="58">
        <v>35.46</v>
      </c>
      <c r="G610" s="81">
        <v>5222</v>
      </c>
      <c r="H610" s="8" t="s">
        <v>3761</v>
      </c>
      <c r="I610" s="22" t="s">
        <v>4294</v>
      </c>
      <c r="J610" s="330">
        <v>20.87</v>
      </c>
      <c r="K610" s="75">
        <v>4.0599999999999996</v>
      </c>
      <c r="L610" s="330"/>
      <c r="N610" s="325">
        <f t="shared" si="130"/>
        <v>24.93</v>
      </c>
      <c r="O610" s="27"/>
      <c r="P610" s="56"/>
      <c r="Q610" s="26"/>
      <c r="T610" s="67">
        <v>6.2</v>
      </c>
      <c r="U610" s="366">
        <f t="shared" si="125"/>
        <v>0.04</v>
      </c>
      <c r="V610" s="97" t="s">
        <v>4029</v>
      </c>
      <c r="W610" s="36">
        <f>RTD("money.excel",,"5222","Price")</f>
        <v>155</v>
      </c>
      <c r="X610" s="67"/>
      <c r="Y610" s="15">
        <f t="shared" si="126"/>
        <v>155</v>
      </c>
      <c r="Z610" s="3" t="e">
        <f t="shared" si="127"/>
        <v>#DIV/0!</v>
      </c>
      <c r="AA610" s="174" t="s">
        <v>2185</v>
      </c>
      <c r="AB610" s="22" t="s">
        <v>4294</v>
      </c>
      <c r="AE610" s="33">
        <f t="shared" si="128"/>
        <v>0</v>
      </c>
      <c r="AF610" s="43" t="s">
        <v>4298</v>
      </c>
      <c r="AG610" s="128"/>
      <c r="AI610" s="64">
        <f t="shared" si="129"/>
        <v>3.2448377581120944E-3</v>
      </c>
      <c r="AJ610" s="313">
        <f>RTD("money.excel",,$G610,"PredictVolume")</f>
        <v>220</v>
      </c>
      <c r="AK610" s="348"/>
    </row>
    <row r="611" spans="1:37">
      <c r="A611" s="132" t="s">
        <v>4170</v>
      </c>
      <c r="B611" s="81">
        <v>397</v>
      </c>
      <c r="C611" s="81">
        <v>422</v>
      </c>
      <c r="D611" s="81">
        <v>12</v>
      </c>
      <c r="E611" s="81">
        <v>0</v>
      </c>
      <c r="F611" s="58">
        <v>31.68</v>
      </c>
      <c r="G611" s="81">
        <v>5236</v>
      </c>
      <c r="H611" s="151" t="s">
        <v>3761</v>
      </c>
      <c r="I611" s="16" t="s">
        <v>4148</v>
      </c>
      <c r="J611" s="330">
        <v>62.15</v>
      </c>
      <c r="K611" s="75">
        <v>3.42</v>
      </c>
      <c r="L611" s="330"/>
      <c r="N611" s="325">
        <f t="shared" si="130"/>
        <v>65.569999999999993</v>
      </c>
      <c r="O611" s="27"/>
      <c r="P611" s="56"/>
      <c r="Q611" s="26"/>
      <c r="T611" s="34">
        <v>8</v>
      </c>
      <c r="U611" s="366">
        <f t="shared" si="125"/>
        <v>6.1068702290076333E-2</v>
      </c>
      <c r="V611" s="69" t="s">
        <v>4029</v>
      </c>
      <c r="W611" s="36">
        <f>RTD("money.excel",,"5236","Price")</f>
        <v>131</v>
      </c>
      <c r="X611" s="67"/>
      <c r="Y611" s="15">
        <f t="shared" si="126"/>
        <v>131</v>
      </c>
      <c r="Z611" s="3" t="e">
        <f t="shared" si="127"/>
        <v>#DIV/0!</v>
      </c>
      <c r="AB611" s="16" t="s">
        <v>4148</v>
      </c>
      <c r="AE611" s="33">
        <f t="shared" si="128"/>
        <v>0</v>
      </c>
      <c r="AF611" s="43" t="s">
        <v>4149</v>
      </c>
      <c r="AG611" s="269"/>
      <c r="AI611" s="64">
        <f t="shared" si="129"/>
        <v>2.1217391304347824E-3</v>
      </c>
      <c r="AJ611" s="313">
        <f>RTD("money.excel",,$G611,"PredictVolume")</f>
        <v>122</v>
      </c>
      <c r="AK611" s="348"/>
    </row>
    <row r="612" spans="1:37">
      <c r="A612" s="132" t="s">
        <v>2220</v>
      </c>
      <c r="B612" s="81">
        <v>12</v>
      </c>
      <c r="C612" s="82">
        <v>-5</v>
      </c>
      <c r="D612" s="82">
        <v>-1</v>
      </c>
      <c r="E612" s="82">
        <v>-31</v>
      </c>
      <c r="F612" s="58">
        <v>31.97</v>
      </c>
      <c r="G612" s="81">
        <v>5269</v>
      </c>
      <c r="H612" s="8" t="s">
        <v>3761</v>
      </c>
      <c r="I612" s="22" t="s">
        <v>59</v>
      </c>
      <c r="J612" s="75">
        <v>64.959999999999994</v>
      </c>
      <c r="K612" s="330">
        <v>25.91</v>
      </c>
      <c r="L612" s="75">
        <v>4.99</v>
      </c>
      <c r="N612" s="325">
        <f t="shared" si="130"/>
        <v>95.859999999999985</v>
      </c>
      <c r="O612" s="27"/>
      <c r="P612" s="56"/>
      <c r="Q612" s="26"/>
      <c r="S612" s="330">
        <v>14.72</v>
      </c>
      <c r="T612" s="67">
        <v>24</v>
      </c>
      <c r="U612" s="366">
        <f t="shared" si="125"/>
        <v>1.3483146067415731E-2</v>
      </c>
      <c r="V612" s="58">
        <v>45.19</v>
      </c>
      <c r="W612" s="36">
        <f>RTD("money.excel",,"5269","Price")</f>
        <v>1780</v>
      </c>
      <c r="X612" s="67"/>
      <c r="Y612" s="143">
        <f t="shared" si="126"/>
        <v>1780</v>
      </c>
      <c r="Z612" s="35" t="e">
        <f t="shared" si="127"/>
        <v>#DIV/0!</v>
      </c>
      <c r="AA612" s="174" t="s">
        <v>2185</v>
      </c>
      <c r="AB612" s="22" t="s">
        <v>59</v>
      </c>
      <c r="AE612" s="33">
        <f t="shared" si="128"/>
        <v>0</v>
      </c>
      <c r="AF612" s="122" t="s">
        <v>2486</v>
      </c>
      <c r="AG612" s="128"/>
      <c r="AI612" s="64">
        <f t="shared" si="129"/>
        <v>1.0982658959537572E-2</v>
      </c>
      <c r="AJ612" s="313">
        <f>RTD("money.excel",,$G612,"PredictVolume")</f>
        <v>760</v>
      </c>
      <c r="AK612" s="348"/>
    </row>
    <row r="613" spans="1:37">
      <c r="A613" s="148" t="s">
        <v>2436</v>
      </c>
      <c r="B613" s="82">
        <v>-460</v>
      </c>
      <c r="C613" s="82">
        <v>-647</v>
      </c>
      <c r="D613" s="81">
        <v>13</v>
      </c>
      <c r="E613" s="81">
        <v>8</v>
      </c>
      <c r="F613" s="6">
        <v>-12.54</v>
      </c>
      <c r="G613" s="81">
        <v>5272</v>
      </c>
      <c r="H613" s="151" t="s">
        <v>3761</v>
      </c>
      <c r="I613" s="16" t="s">
        <v>5180</v>
      </c>
      <c r="J613" s="75">
        <v>22.23</v>
      </c>
      <c r="K613" s="330">
        <v>0.86</v>
      </c>
      <c r="L613" s="75">
        <v>15.45</v>
      </c>
      <c r="N613" s="325">
        <f t="shared" si="130"/>
        <v>38.54</v>
      </c>
      <c r="O613" s="27"/>
      <c r="P613" s="56"/>
      <c r="Q613" s="26"/>
      <c r="S613" s="330">
        <v>1.07</v>
      </c>
      <c r="T613" s="34">
        <v>0</v>
      </c>
      <c r="U613" s="366">
        <f t="shared" si="125"/>
        <v>0</v>
      </c>
      <c r="V613" s="97">
        <v>-0.61</v>
      </c>
      <c r="W613" s="36">
        <f>RTD("money.excel",,"5272","Price")</f>
        <v>34.200000000000003</v>
      </c>
      <c r="X613" s="67"/>
      <c r="Y613" s="15">
        <f t="shared" si="126"/>
        <v>34.200000000000003</v>
      </c>
      <c r="Z613" s="3" t="e">
        <f t="shared" si="127"/>
        <v>#DIV/0!</v>
      </c>
      <c r="AB613" s="16" t="s">
        <v>5180</v>
      </c>
      <c r="AE613" s="33">
        <f t="shared" si="128"/>
        <v>0</v>
      </c>
      <c r="AF613" s="43" t="s">
        <v>2731</v>
      </c>
      <c r="AG613" s="128"/>
      <c r="AI613" s="64">
        <f t="shared" si="129"/>
        <v>3.4255319148936168E-2</v>
      </c>
      <c r="AJ613" s="313">
        <f>RTD("money.excel",,$G613,"PredictVolume")</f>
        <v>1932</v>
      </c>
      <c r="AK613" s="348"/>
    </row>
    <row r="614" spans="1:37">
      <c r="A614" s="132" t="s">
        <v>1738</v>
      </c>
      <c r="B614" s="81">
        <v>30</v>
      </c>
      <c r="C614" s="81">
        <v>30</v>
      </c>
      <c r="D614" s="82">
        <v>-13</v>
      </c>
      <c r="E614" s="81">
        <v>32</v>
      </c>
      <c r="F614" s="58">
        <v>45.42</v>
      </c>
      <c r="G614" s="81">
        <v>5274</v>
      </c>
      <c r="H614" s="151" t="s">
        <v>3761</v>
      </c>
      <c r="I614" s="16" t="s">
        <v>231</v>
      </c>
      <c r="J614" s="75">
        <v>21.57</v>
      </c>
      <c r="K614" s="75">
        <v>68.739999999999995</v>
      </c>
      <c r="L614" s="330">
        <v>1.51</v>
      </c>
      <c r="M614" s="75">
        <v>21.8</v>
      </c>
      <c r="N614" s="325">
        <f t="shared" si="130"/>
        <v>113.62</v>
      </c>
      <c r="O614" s="27"/>
      <c r="P614" s="56"/>
      <c r="Q614" s="26"/>
      <c r="R614" s="309" t="s">
        <v>4375</v>
      </c>
      <c r="S614" s="330">
        <v>1.48</v>
      </c>
      <c r="T614" s="67">
        <v>36</v>
      </c>
      <c r="U614" s="366">
        <f t="shared" si="125"/>
        <v>1.2413793103448275E-2</v>
      </c>
      <c r="V614" s="97">
        <v>38.32</v>
      </c>
      <c r="W614" s="157">
        <f>RTD("money.excel",,"5274","Price")</f>
        <v>2900</v>
      </c>
      <c r="X614" s="67"/>
      <c r="Y614" s="143">
        <f t="shared" si="126"/>
        <v>2900</v>
      </c>
      <c r="Z614" s="3" t="e">
        <f t="shared" si="127"/>
        <v>#DIV/0!</v>
      </c>
      <c r="AA614" s="174" t="s">
        <v>2185</v>
      </c>
      <c r="AB614" s="16" t="s">
        <v>231</v>
      </c>
      <c r="AE614" s="33">
        <f t="shared" si="128"/>
        <v>0</v>
      </c>
      <c r="AF614" s="122" t="s">
        <v>2878</v>
      </c>
      <c r="AG614" s="128"/>
      <c r="AI614" s="64">
        <f t="shared" si="129"/>
        <v>4.941860465116279E-3</v>
      </c>
      <c r="AJ614" s="313">
        <f>RTD("money.excel",,$G614,"PredictVolume")</f>
        <v>170</v>
      </c>
      <c r="AK614" s="348">
        <v>3.92</v>
      </c>
    </row>
    <row r="615" spans="1:37">
      <c r="A615" s="132" t="s">
        <v>2385</v>
      </c>
      <c r="B615" s="81">
        <v>502</v>
      </c>
      <c r="C615" s="81">
        <v>574</v>
      </c>
      <c r="D615" s="82">
        <v>-9</v>
      </c>
      <c r="E615" s="81">
        <v>62</v>
      </c>
      <c r="F615" s="58">
        <v>11.12</v>
      </c>
      <c r="G615" s="81">
        <v>5285</v>
      </c>
      <c r="H615" s="8" t="s">
        <v>3761</v>
      </c>
      <c r="I615" s="22" t="s">
        <v>379</v>
      </c>
      <c r="J615" s="75">
        <v>48.54</v>
      </c>
      <c r="K615" s="330">
        <v>7.95</v>
      </c>
      <c r="L615" s="75">
        <v>24.77</v>
      </c>
      <c r="N615" s="325">
        <f t="shared" si="130"/>
        <v>81.260000000000005</v>
      </c>
      <c r="O615" s="27"/>
      <c r="P615" s="56"/>
      <c r="Q615" s="26"/>
      <c r="S615" s="330">
        <v>6.51</v>
      </c>
      <c r="T615" s="34">
        <v>2.41</v>
      </c>
      <c r="U615" s="366">
        <f t="shared" si="125"/>
        <v>2.574786324786325E-2</v>
      </c>
      <c r="V615" s="97">
        <v>3.66</v>
      </c>
      <c r="W615" s="36">
        <f>RTD("money.excel",,"5285","Price")</f>
        <v>93.6</v>
      </c>
      <c r="X615" s="67"/>
      <c r="Y615" s="15">
        <f t="shared" si="126"/>
        <v>93.6</v>
      </c>
      <c r="Z615" s="3" t="e">
        <f t="shared" si="127"/>
        <v>#DIV/0!</v>
      </c>
      <c r="AA615" s="174" t="s">
        <v>1943</v>
      </c>
      <c r="AB615" s="22" t="s">
        <v>379</v>
      </c>
      <c r="AE615" s="33">
        <f t="shared" si="128"/>
        <v>0</v>
      </c>
      <c r="AF615" s="43" t="s">
        <v>3741</v>
      </c>
      <c r="AG615" s="27"/>
      <c r="AI615" s="64">
        <f t="shared" si="129"/>
        <v>4.96E-3</v>
      </c>
      <c r="AJ615" s="313">
        <f>RTD("money.excel",,$G615,"PredictVolume")</f>
        <v>496</v>
      </c>
      <c r="AK615" s="108"/>
    </row>
    <row r="616" spans="1:37">
      <c r="A616" s="132" t="s">
        <v>2550</v>
      </c>
      <c r="B616" s="81">
        <v>104</v>
      </c>
      <c r="C616" s="81">
        <v>102</v>
      </c>
      <c r="D616" s="81">
        <v>0</v>
      </c>
      <c r="E616" s="81">
        <v>26</v>
      </c>
      <c r="F616" s="58">
        <v>29.61</v>
      </c>
      <c r="G616" s="81">
        <v>5299</v>
      </c>
      <c r="H616" s="151" t="s">
        <v>3761</v>
      </c>
      <c r="I616" s="16" t="s">
        <v>337</v>
      </c>
      <c r="J616" s="75">
        <v>32.9</v>
      </c>
      <c r="K616" s="330">
        <v>4.26</v>
      </c>
      <c r="L616" s="75">
        <v>41.35</v>
      </c>
      <c r="M616" s="330">
        <v>10.130000000000001</v>
      </c>
      <c r="N616" s="325">
        <f t="shared" si="130"/>
        <v>88.639999999999986</v>
      </c>
      <c r="O616" s="27"/>
      <c r="P616" s="56"/>
      <c r="Q616" s="26"/>
      <c r="R616" s="308" t="s">
        <v>6092</v>
      </c>
      <c r="S616" s="330">
        <v>1.1599999999999999</v>
      </c>
      <c r="T616" s="67">
        <v>6.5</v>
      </c>
      <c r="U616" s="366">
        <f t="shared" si="125"/>
        <v>3.5519125683060107E-2</v>
      </c>
      <c r="V616" s="97">
        <v>12.91</v>
      </c>
      <c r="W616" s="36">
        <f>RTD("money.excel",,"5299","Price")</f>
        <v>183</v>
      </c>
      <c r="X616" s="67"/>
      <c r="Y616" s="15">
        <f t="shared" si="126"/>
        <v>183</v>
      </c>
      <c r="Z616" s="3" t="e">
        <f t="shared" si="127"/>
        <v>#DIV/0!</v>
      </c>
      <c r="AA616" s="174" t="s">
        <v>2185</v>
      </c>
      <c r="AB616" s="16" t="s">
        <v>337</v>
      </c>
      <c r="AE616" s="33">
        <f t="shared" si="128"/>
        <v>0</v>
      </c>
      <c r="AF616" s="43" t="s">
        <v>2899</v>
      </c>
      <c r="AG616" s="128"/>
      <c r="AI616" s="64">
        <f t="shared" si="129"/>
        <v>4.0845070422535212E-3</v>
      </c>
      <c r="AJ616" s="313">
        <f>RTD("money.excel",,$G616,"PredictVolume")</f>
        <v>145</v>
      </c>
      <c r="AK616" s="348">
        <v>48.13</v>
      </c>
    </row>
    <row r="617" spans="1:37">
      <c r="A617" s="148" t="s">
        <v>1924</v>
      </c>
      <c r="B617" s="93">
        <v>10</v>
      </c>
      <c r="C617" s="93">
        <v>0</v>
      </c>
      <c r="D617" s="93">
        <v>-57</v>
      </c>
      <c r="E617" s="93">
        <v>-57</v>
      </c>
      <c r="F617" s="75">
        <v>-286.97000000000003</v>
      </c>
      <c r="G617" s="81">
        <v>5302</v>
      </c>
      <c r="H617" s="151" t="s">
        <v>3761</v>
      </c>
      <c r="I617" s="16" t="s">
        <v>397</v>
      </c>
      <c r="J617" s="75">
        <v>51.94</v>
      </c>
      <c r="K617" s="75">
        <v>0.43</v>
      </c>
      <c r="L617" s="75">
        <v>0</v>
      </c>
      <c r="N617" s="325">
        <f t="shared" si="130"/>
        <v>52.37</v>
      </c>
      <c r="O617" s="27"/>
      <c r="P617" s="56"/>
      <c r="Q617" s="26"/>
      <c r="S617" s="330">
        <v>17.95</v>
      </c>
      <c r="T617" s="34">
        <v>0</v>
      </c>
      <c r="U617" s="366">
        <f t="shared" si="125"/>
        <v>0</v>
      </c>
      <c r="V617" s="97">
        <v>-0.37</v>
      </c>
      <c r="W617" s="13">
        <f>RTD("money.excel",,"5302","Price")</f>
        <v>10.3</v>
      </c>
      <c r="X617" s="67"/>
      <c r="Y617" s="15">
        <f t="shared" si="126"/>
        <v>10.3</v>
      </c>
      <c r="Z617" s="3" t="e">
        <f t="shared" si="127"/>
        <v>#DIV/0!</v>
      </c>
      <c r="AB617" s="16" t="s">
        <v>397</v>
      </c>
      <c r="AE617" s="33">
        <f t="shared" si="128"/>
        <v>0</v>
      </c>
      <c r="AF617" s="43" t="s">
        <v>2917</v>
      </c>
      <c r="AG617" s="128"/>
      <c r="AI617" s="64">
        <f t="shared" si="129"/>
        <v>3.7654320987654319E-4</v>
      </c>
      <c r="AJ617" s="313">
        <f>RTD("money.excel",,$G617,"PredictVolume")</f>
        <v>61</v>
      </c>
      <c r="AK617" s="348"/>
    </row>
    <row r="618" spans="1:37">
      <c r="A618" s="148" t="s">
        <v>2497</v>
      </c>
      <c r="B618" s="93">
        <v>-184</v>
      </c>
      <c r="C618" s="93">
        <v>-84</v>
      </c>
      <c r="D618" s="93">
        <v>69</v>
      </c>
      <c r="E618" s="93">
        <v>41</v>
      </c>
      <c r="F618" s="75">
        <v>-125.06</v>
      </c>
      <c r="G618" s="81">
        <v>5314</v>
      </c>
      <c r="H618" s="151" t="s">
        <v>3761</v>
      </c>
      <c r="I618" s="16" t="s">
        <v>5181</v>
      </c>
      <c r="J618" s="75">
        <v>47.96</v>
      </c>
      <c r="K618" s="75">
        <v>0.55000000000000004</v>
      </c>
      <c r="N618" s="325">
        <f t="shared" si="130"/>
        <v>48.51</v>
      </c>
      <c r="O618" s="27"/>
      <c r="P618" s="56"/>
      <c r="Q618" s="26"/>
      <c r="S618" s="330">
        <v>13.8</v>
      </c>
      <c r="T618" s="34">
        <v>0</v>
      </c>
      <c r="U618" s="366">
        <f t="shared" si="125"/>
        <v>0</v>
      </c>
      <c r="V618" s="97">
        <v>-0.51</v>
      </c>
      <c r="W618" s="36">
        <f>RTD("money.excel",,"5314","Price")</f>
        <v>5.38</v>
      </c>
      <c r="X618" s="67"/>
      <c r="Y618" s="15">
        <f t="shared" si="126"/>
        <v>5.38</v>
      </c>
      <c r="Z618" s="3" t="e">
        <f t="shared" si="127"/>
        <v>#DIV/0!</v>
      </c>
      <c r="AB618" s="16" t="s">
        <v>5181</v>
      </c>
      <c r="AE618" s="33">
        <f t="shared" si="128"/>
        <v>0</v>
      </c>
      <c r="AF618" s="43" t="s">
        <v>2918</v>
      </c>
      <c r="AG618" s="128"/>
      <c r="AI618" s="64">
        <f t="shared" si="129"/>
        <v>3.1666666666666665E-4</v>
      </c>
      <c r="AJ618" s="313">
        <f>RTD("money.excel",,$G618,"PredictVolume")</f>
        <v>19</v>
      </c>
      <c r="AK618" s="348"/>
    </row>
    <row r="619" spans="1:37">
      <c r="A619" s="148" t="s">
        <v>3501</v>
      </c>
      <c r="B619" s="93">
        <v>182</v>
      </c>
      <c r="C619" s="93">
        <v>160</v>
      </c>
      <c r="D619" s="93">
        <v>21</v>
      </c>
      <c r="E619" s="93">
        <v>62</v>
      </c>
      <c r="F619" s="6">
        <v>8.89</v>
      </c>
      <c r="G619" s="81">
        <v>5344</v>
      </c>
      <c r="H619" s="151" t="s">
        <v>3761</v>
      </c>
      <c r="I619" s="16" t="s">
        <v>1128</v>
      </c>
      <c r="J619" s="75">
        <v>76.540000000000006</v>
      </c>
      <c r="K619" s="75">
        <v>0.06</v>
      </c>
      <c r="N619" s="325">
        <f t="shared" si="130"/>
        <v>76.600000000000009</v>
      </c>
      <c r="O619" s="27"/>
      <c r="P619" s="56"/>
      <c r="Q619" s="26"/>
      <c r="S619" s="330">
        <v>69.41</v>
      </c>
      <c r="T619" s="34">
        <v>0</v>
      </c>
      <c r="U619" s="366">
        <f t="shared" si="125"/>
        <v>0</v>
      </c>
      <c r="V619" s="97">
        <v>0.53</v>
      </c>
      <c r="W619" s="13">
        <f>RTD("money.excel",,"5344","Price")</f>
        <v>23.95</v>
      </c>
      <c r="X619" s="67"/>
      <c r="Y619" s="15">
        <f t="shared" si="126"/>
        <v>23.95</v>
      </c>
      <c r="Z619" s="3" t="e">
        <f t="shared" si="127"/>
        <v>#DIV/0!</v>
      </c>
      <c r="AB619" s="16" t="s">
        <v>1128</v>
      </c>
      <c r="AE619" s="33">
        <f t="shared" si="128"/>
        <v>0</v>
      </c>
      <c r="AF619" s="43" t="s">
        <v>2919</v>
      </c>
      <c r="AG619" s="128"/>
      <c r="AI619" s="64">
        <f t="shared" si="129"/>
        <v>1.3602015113350126E-3</v>
      </c>
      <c r="AJ619" s="313">
        <f>RTD("money.excel",,$G619,"PredictVolume")</f>
        <v>108</v>
      </c>
      <c r="AK619" s="348"/>
    </row>
    <row r="620" spans="1:37">
      <c r="A620" s="132" t="s">
        <v>1816</v>
      </c>
      <c r="B620" s="81">
        <v>7</v>
      </c>
      <c r="C620" s="81">
        <v>7</v>
      </c>
      <c r="D620" s="81">
        <v>1</v>
      </c>
      <c r="E620" s="81">
        <v>8</v>
      </c>
      <c r="F620" s="58">
        <v>22.38</v>
      </c>
      <c r="G620" s="81">
        <v>5347</v>
      </c>
      <c r="H620" s="151" t="s">
        <v>3761</v>
      </c>
      <c r="I620" s="16" t="s">
        <v>33</v>
      </c>
      <c r="J620" s="330">
        <v>85.22</v>
      </c>
      <c r="K620" s="330">
        <v>42.42</v>
      </c>
      <c r="L620" s="330">
        <v>0.94</v>
      </c>
      <c r="N620" s="325">
        <f t="shared" si="130"/>
        <v>128.58000000000001</v>
      </c>
      <c r="O620" s="27"/>
      <c r="P620" s="56"/>
      <c r="Q620" s="26"/>
      <c r="S620" s="330">
        <v>0.06</v>
      </c>
      <c r="T620" s="67">
        <v>3.5</v>
      </c>
      <c r="U620" s="366">
        <f t="shared" si="125"/>
        <v>2.8112449799196786E-2</v>
      </c>
      <c r="V620" s="58">
        <v>3.85</v>
      </c>
      <c r="W620" s="13">
        <f>RTD("money.excel",,"5347","Price")</f>
        <v>124.5</v>
      </c>
      <c r="X620" s="67"/>
      <c r="Y620" s="15">
        <f t="shared" si="126"/>
        <v>124.5</v>
      </c>
      <c r="Z620" s="3" t="e">
        <f t="shared" si="127"/>
        <v>#DIV/0!</v>
      </c>
      <c r="AA620" s="174" t="s">
        <v>2185</v>
      </c>
      <c r="AB620" s="16" t="s">
        <v>33</v>
      </c>
      <c r="AE620" s="33">
        <f t="shared" si="128"/>
        <v>0</v>
      </c>
      <c r="AF620" s="122" t="s">
        <v>1521</v>
      </c>
      <c r="AG620" s="128"/>
      <c r="AI620" s="64">
        <f t="shared" si="129"/>
        <v>2.0981595092024541E-3</v>
      </c>
      <c r="AJ620" s="313">
        <f>RTD("money.excel",,$G620,"PredictVolume")</f>
        <v>3420</v>
      </c>
      <c r="AK620" s="348"/>
    </row>
    <row r="621" spans="1:37">
      <c r="A621" s="148" t="s">
        <v>2504</v>
      </c>
      <c r="B621" s="81">
        <v>55</v>
      </c>
      <c r="C621" s="81">
        <v>60</v>
      </c>
      <c r="D621" s="81">
        <v>13</v>
      </c>
      <c r="E621" s="81">
        <v>27</v>
      </c>
      <c r="F621" s="6">
        <v>-6.44</v>
      </c>
      <c r="G621" s="81">
        <v>5351</v>
      </c>
      <c r="H621" s="151" t="s">
        <v>3761</v>
      </c>
      <c r="I621" s="24" t="s">
        <v>264</v>
      </c>
      <c r="J621" s="75">
        <v>21.42</v>
      </c>
      <c r="K621" s="75">
        <v>7.21</v>
      </c>
      <c r="L621" s="330">
        <v>25.32</v>
      </c>
      <c r="N621" s="325">
        <f t="shared" si="130"/>
        <v>53.95</v>
      </c>
      <c r="O621" s="27"/>
      <c r="P621" s="56"/>
      <c r="Q621" s="26"/>
      <c r="S621" s="330">
        <v>0.33</v>
      </c>
      <c r="T621" s="34">
        <v>0</v>
      </c>
      <c r="U621" s="366">
        <f t="shared" si="125"/>
        <v>0</v>
      </c>
      <c r="V621" s="97">
        <v>-0.93</v>
      </c>
      <c r="W621" s="36">
        <f>RTD("money.excel",,"5351","Price")</f>
        <v>77.599999999999994</v>
      </c>
      <c r="X621" s="67"/>
      <c r="Y621" s="15">
        <f t="shared" si="126"/>
        <v>77.599999999999994</v>
      </c>
      <c r="Z621" s="3" t="e">
        <f t="shared" si="127"/>
        <v>#DIV/0!</v>
      </c>
      <c r="AA621" s="174" t="s">
        <v>1943</v>
      </c>
      <c r="AB621" s="24" t="s">
        <v>264</v>
      </c>
      <c r="AE621" s="33">
        <f t="shared" si="128"/>
        <v>0</v>
      </c>
      <c r="AF621" s="124" t="s">
        <v>3785</v>
      </c>
      <c r="AG621" s="128"/>
      <c r="AI621" s="64">
        <f t="shared" si="129"/>
        <v>3.703370786516854E-2</v>
      </c>
      <c r="AJ621" s="313">
        <f>RTD("money.excel",,$G621,"PredictVolume")</f>
        <v>9888</v>
      </c>
      <c r="AK621" s="348"/>
    </row>
    <row r="622" spans="1:37">
      <c r="A622" s="132" t="s">
        <v>4006</v>
      </c>
      <c r="B622" s="81">
        <v>61</v>
      </c>
      <c r="C622" s="81">
        <v>81</v>
      </c>
      <c r="D622" s="81">
        <v>1</v>
      </c>
      <c r="E622" s="81">
        <v>28</v>
      </c>
      <c r="F622" s="58">
        <v>13.85</v>
      </c>
      <c r="G622" s="81">
        <v>5425</v>
      </c>
      <c r="H622" s="151" t="s">
        <v>3761</v>
      </c>
      <c r="I622" s="16" t="s">
        <v>232</v>
      </c>
      <c r="J622" s="330">
        <v>38.270000000000003</v>
      </c>
      <c r="K622" s="75">
        <v>18.04</v>
      </c>
      <c r="L622" s="330">
        <v>26.1</v>
      </c>
      <c r="N622" s="325">
        <f t="shared" si="130"/>
        <v>82.41</v>
      </c>
      <c r="O622" s="27"/>
      <c r="P622" s="56"/>
      <c r="Q622" s="26"/>
      <c r="S622" s="330">
        <v>3.46</v>
      </c>
      <c r="T622" s="34">
        <v>1.5</v>
      </c>
      <c r="U622" s="366">
        <f t="shared" si="125"/>
        <v>2.1428571428571429E-2</v>
      </c>
      <c r="V622" s="97">
        <v>2.88</v>
      </c>
      <c r="W622" s="36">
        <f>RTD("money.excel",,"5425","Price")</f>
        <v>70</v>
      </c>
      <c r="X622" s="67"/>
      <c r="Y622" s="15">
        <f t="shared" si="126"/>
        <v>70</v>
      </c>
      <c r="Z622" s="3" t="e">
        <f t="shared" si="127"/>
        <v>#DIV/0!</v>
      </c>
      <c r="AA622" s="174" t="s">
        <v>1943</v>
      </c>
      <c r="AB622" s="16" t="s">
        <v>232</v>
      </c>
      <c r="AE622" s="33">
        <f t="shared" si="128"/>
        <v>0</v>
      </c>
      <c r="AF622" s="122" t="s">
        <v>3332</v>
      </c>
      <c r="AG622" s="128"/>
      <c r="AI622" s="64">
        <f t="shared" si="129"/>
        <v>6.0679245283018872E-3</v>
      </c>
      <c r="AJ622" s="313">
        <f>RTD("money.excel",,$G622,"PredictVolume")</f>
        <v>1608</v>
      </c>
      <c r="AK622" s="348"/>
    </row>
    <row r="623" spans="1:37">
      <c r="A623" s="148" t="s">
        <v>3502</v>
      </c>
      <c r="B623" s="81">
        <v>88</v>
      </c>
      <c r="C623" s="81">
        <v>84</v>
      </c>
      <c r="D623" s="82">
        <v>-25</v>
      </c>
      <c r="E623" s="82">
        <v>-15</v>
      </c>
      <c r="F623" s="6">
        <v>-5.24</v>
      </c>
      <c r="G623" s="81">
        <v>5468</v>
      </c>
      <c r="H623" s="151" t="s">
        <v>3761</v>
      </c>
      <c r="I623" s="16" t="s">
        <v>5182</v>
      </c>
      <c r="J623" s="330">
        <v>44.24</v>
      </c>
      <c r="K623" s="75">
        <v>0.28000000000000003</v>
      </c>
      <c r="N623" s="325">
        <f t="shared" si="130"/>
        <v>44.52</v>
      </c>
      <c r="O623" s="27"/>
      <c r="P623" s="56"/>
      <c r="Q623" s="26"/>
      <c r="T623" s="34">
        <v>0</v>
      </c>
      <c r="U623" s="366">
        <f t="shared" si="125"/>
        <v>0</v>
      </c>
      <c r="V623" s="97">
        <v>-0.48</v>
      </c>
      <c r="W623" s="36">
        <f>RTD("money.excel",,"5468","Price")</f>
        <v>21.85</v>
      </c>
      <c r="X623" s="67"/>
      <c r="Y623" s="15">
        <f t="shared" si="126"/>
        <v>21.85</v>
      </c>
      <c r="Z623" s="3" t="e">
        <f t="shared" si="127"/>
        <v>#DIV/0!</v>
      </c>
      <c r="AB623" s="16" t="s">
        <v>5182</v>
      </c>
      <c r="AE623" s="33">
        <f t="shared" si="128"/>
        <v>0</v>
      </c>
      <c r="AF623" s="43" t="s">
        <v>2881</v>
      </c>
      <c r="AG623" s="128"/>
      <c r="AI623" s="64">
        <f t="shared" si="129"/>
        <v>2.2553956834532377E-2</v>
      </c>
      <c r="AJ623" s="313">
        <f>RTD("money.excel",,$G623,"PredictVolume")</f>
        <v>627</v>
      </c>
      <c r="AK623" s="348"/>
    </row>
    <row r="624" spans="1:37">
      <c r="A624" s="132" t="s">
        <v>1860</v>
      </c>
      <c r="B624" s="81">
        <v>53</v>
      </c>
      <c r="C624" s="81">
        <v>69</v>
      </c>
      <c r="D624" s="82">
        <v>-10</v>
      </c>
      <c r="E624" s="82">
        <v>-22</v>
      </c>
      <c r="F624" s="58">
        <v>32.22</v>
      </c>
      <c r="G624" s="81">
        <v>5471</v>
      </c>
      <c r="H624" s="8" t="s">
        <v>3761</v>
      </c>
      <c r="I624" s="22" t="s">
        <v>5183</v>
      </c>
      <c r="J624" s="330">
        <v>25.78</v>
      </c>
      <c r="K624" s="330">
        <v>16.04</v>
      </c>
      <c r="L624" s="330">
        <v>18.82</v>
      </c>
      <c r="N624" s="325">
        <f t="shared" si="130"/>
        <v>60.64</v>
      </c>
      <c r="O624" s="27"/>
      <c r="P624" s="56"/>
      <c r="Q624" s="26"/>
      <c r="R624" s="308" t="s">
        <v>4373</v>
      </c>
      <c r="S624" s="330">
        <v>2.25</v>
      </c>
      <c r="T624" s="67">
        <v>5.7</v>
      </c>
      <c r="U624" s="366">
        <f t="shared" ref="U624:U655" si="135">T624/W624</f>
        <v>6.5972222222222224E-2</v>
      </c>
      <c r="V624" s="97">
        <v>8.57</v>
      </c>
      <c r="W624" s="36">
        <f>RTD("money.excel",,"5471","Price")</f>
        <v>86.4</v>
      </c>
      <c r="X624" s="67"/>
      <c r="Y624" s="15">
        <f t="shared" si="126"/>
        <v>86.4</v>
      </c>
      <c r="Z624" s="3" t="e">
        <f t="shared" si="127"/>
        <v>#DIV/0!</v>
      </c>
      <c r="AA624" s="174" t="s">
        <v>2185</v>
      </c>
      <c r="AB624" s="22" t="s">
        <v>5183</v>
      </c>
      <c r="AE624" s="33">
        <f t="shared" si="128"/>
        <v>0</v>
      </c>
      <c r="AF624" s="43" t="s">
        <v>4420</v>
      </c>
      <c r="AG624" s="128"/>
      <c r="AI624" s="64">
        <f t="shared" ref="AI624:AI655" si="136">AJ624/(A624*10000)</f>
        <v>6.0419161676646708E-3</v>
      </c>
      <c r="AJ624" s="313">
        <f>RTD("money.excel",,$G624,"PredictVolume")</f>
        <v>1009</v>
      </c>
      <c r="AK624" s="348"/>
    </row>
    <row r="625" spans="1:37">
      <c r="A625" s="132" t="s">
        <v>1820</v>
      </c>
      <c r="B625" s="81">
        <v>9</v>
      </c>
      <c r="C625" s="81">
        <v>11</v>
      </c>
      <c r="D625" s="82">
        <v>-5</v>
      </c>
      <c r="E625" s="81">
        <v>16</v>
      </c>
      <c r="F625" s="58">
        <v>25.8</v>
      </c>
      <c r="G625" s="81">
        <v>5483</v>
      </c>
      <c r="H625" s="151" t="s">
        <v>3761</v>
      </c>
      <c r="I625" s="16" t="s">
        <v>5184</v>
      </c>
      <c r="J625" s="75">
        <v>59.25</v>
      </c>
      <c r="K625" s="75">
        <v>31.4</v>
      </c>
      <c r="L625" s="75">
        <v>8.48</v>
      </c>
      <c r="N625" s="325">
        <f t="shared" si="130"/>
        <v>99.13000000000001</v>
      </c>
      <c r="O625" s="27"/>
      <c r="P625" s="56"/>
      <c r="Q625" s="26"/>
      <c r="S625" s="330">
        <v>4.3</v>
      </c>
      <c r="T625" s="67">
        <v>5.5</v>
      </c>
      <c r="U625" s="366">
        <f t="shared" si="135"/>
        <v>3.2069970845481049E-2</v>
      </c>
      <c r="V625" s="58">
        <v>12.22</v>
      </c>
      <c r="W625" s="36">
        <f>RTD("money.excel",,"5483","Price")</f>
        <v>171.5</v>
      </c>
      <c r="X625" s="67"/>
      <c r="Y625" s="15">
        <f t="shared" si="126"/>
        <v>171.5</v>
      </c>
      <c r="Z625" s="3" t="e">
        <f t="shared" si="127"/>
        <v>#DIV/0!</v>
      </c>
      <c r="AA625" s="174" t="s">
        <v>2185</v>
      </c>
      <c r="AB625" s="16" t="s">
        <v>5184</v>
      </c>
      <c r="AE625" s="33">
        <f t="shared" si="128"/>
        <v>0</v>
      </c>
      <c r="AF625" s="122" t="s">
        <v>2871</v>
      </c>
      <c r="AG625" s="128"/>
      <c r="AI625" s="64">
        <f t="shared" si="136"/>
        <v>6.3924914675767917E-3</v>
      </c>
      <c r="AJ625" s="313">
        <f>RTD("money.excel",,$G625,"PredictVolume")</f>
        <v>3746</v>
      </c>
      <c r="AK625" s="348"/>
    </row>
    <row r="626" spans="1:37">
      <c r="A626" s="132" t="s">
        <v>3503</v>
      </c>
      <c r="B626" s="93">
        <v>-46</v>
      </c>
      <c r="C626" s="93">
        <v>512</v>
      </c>
      <c r="D626" s="93">
        <v>72</v>
      </c>
      <c r="E626" s="93">
        <v>131</v>
      </c>
      <c r="F626" s="58">
        <v>13.23</v>
      </c>
      <c r="G626" s="81">
        <v>5487</v>
      </c>
      <c r="H626" s="151" t="s">
        <v>3761</v>
      </c>
      <c r="I626" s="16" t="s">
        <v>399</v>
      </c>
      <c r="J626" s="75">
        <v>60.51</v>
      </c>
      <c r="K626" s="75">
        <v>0</v>
      </c>
      <c r="L626" s="75">
        <v>2.11</v>
      </c>
      <c r="N626" s="325">
        <f t="shared" si="130"/>
        <v>62.62</v>
      </c>
      <c r="O626" s="27"/>
      <c r="P626" s="56"/>
      <c r="Q626" s="26"/>
      <c r="S626" s="330">
        <v>23.93</v>
      </c>
      <c r="T626" s="34">
        <v>1.1000000000000001</v>
      </c>
      <c r="U626" s="366" t="e">
        <f t="shared" si="135"/>
        <v>#VALUE!</v>
      </c>
      <c r="V626" s="97">
        <v>1.67</v>
      </c>
      <c r="W626" s="13" t="str">
        <f>RTD("money.excel",,"5487","Price")</f>
        <v>無資料</v>
      </c>
      <c r="X626" s="67"/>
      <c r="Y626" s="15" t="e">
        <f t="shared" si="126"/>
        <v>#VALUE!</v>
      </c>
      <c r="Z626" s="3" t="e">
        <f t="shared" si="127"/>
        <v>#VALUE!</v>
      </c>
      <c r="AB626" s="16" t="s">
        <v>399</v>
      </c>
      <c r="AE626" s="33">
        <f t="shared" si="128"/>
        <v>0</v>
      </c>
      <c r="AF626" s="43" t="s">
        <v>2245</v>
      </c>
      <c r="AG626" s="128"/>
      <c r="AI626" s="64">
        <f t="shared" si="136"/>
        <v>0</v>
      </c>
      <c r="AJ626" s="313">
        <f>RTD("money.excel",,$G626,"PredictVolume")</f>
        <v>0</v>
      </c>
      <c r="AK626" s="348"/>
    </row>
    <row r="627" spans="1:37">
      <c r="A627" s="148" t="s">
        <v>2045</v>
      </c>
      <c r="B627" s="93">
        <v>-367</v>
      </c>
      <c r="C627" s="93">
        <v>-155</v>
      </c>
      <c r="D627" s="93">
        <v>-62</v>
      </c>
      <c r="E627" s="93">
        <v>-66</v>
      </c>
      <c r="F627" s="75">
        <v>-136.97999999999999</v>
      </c>
      <c r="G627" s="81">
        <v>6103</v>
      </c>
      <c r="H627" s="151" t="s">
        <v>3761</v>
      </c>
      <c r="I627" s="16" t="s">
        <v>400</v>
      </c>
      <c r="J627" s="75">
        <v>90.61</v>
      </c>
      <c r="K627" s="75">
        <v>1.0900000000000001</v>
      </c>
      <c r="N627" s="325">
        <f t="shared" si="130"/>
        <v>91.7</v>
      </c>
      <c r="O627" s="27"/>
      <c r="P627" s="56"/>
      <c r="Q627" s="26"/>
      <c r="S627" s="330">
        <v>67.099999999999994</v>
      </c>
      <c r="T627" s="34">
        <v>0</v>
      </c>
      <c r="U627" s="366">
        <f t="shared" si="135"/>
        <v>0</v>
      </c>
      <c r="V627" s="97">
        <v>-2.76</v>
      </c>
      <c r="W627" s="13">
        <f>RTD("money.excel",,"6103","Price")</f>
        <v>7.8</v>
      </c>
      <c r="X627" s="67"/>
      <c r="Y627" s="15">
        <f t="shared" si="126"/>
        <v>7.8</v>
      </c>
      <c r="Z627" s="3" t="e">
        <f t="shared" si="127"/>
        <v>#DIV/0!</v>
      </c>
      <c r="AB627" s="16" t="s">
        <v>400</v>
      </c>
      <c r="AE627" s="33">
        <f t="shared" si="128"/>
        <v>0</v>
      </c>
      <c r="AF627" s="43" t="s">
        <v>2882</v>
      </c>
      <c r="AG627" s="128"/>
      <c r="AI627" s="64">
        <f t="shared" si="136"/>
        <v>1.3422818791946307E-4</v>
      </c>
      <c r="AJ627" s="313">
        <f>RTD("money.excel",,$G627,"PredictVolume")</f>
        <v>12</v>
      </c>
      <c r="AK627" s="348"/>
    </row>
    <row r="628" spans="1:37">
      <c r="A628" s="132" t="s">
        <v>2677</v>
      </c>
      <c r="B628" s="81">
        <v>23</v>
      </c>
      <c r="C628" s="81">
        <v>31</v>
      </c>
      <c r="D628" s="81">
        <v>13</v>
      </c>
      <c r="E628" s="81">
        <v>123</v>
      </c>
      <c r="F628" s="58">
        <v>18.86</v>
      </c>
      <c r="G628" s="81">
        <v>6104</v>
      </c>
      <c r="H628" s="151" t="s">
        <v>3761</v>
      </c>
      <c r="I628" s="16" t="s">
        <v>401</v>
      </c>
      <c r="J628" s="330">
        <v>19.649999999999999</v>
      </c>
      <c r="K628" s="75">
        <v>25.67</v>
      </c>
      <c r="L628" s="75">
        <v>68.150000000000006</v>
      </c>
      <c r="M628" s="75">
        <v>8.68</v>
      </c>
      <c r="N628" s="325">
        <f t="shared" si="130"/>
        <v>122.15</v>
      </c>
      <c r="O628" s="27"/>
      <c r="P628" s="56" t="s">
        <v>6259</v>
      </c>
      <c r="Q628" s="26" t="s">
        <v>6275</v>
      </c>
      <c r="R628" s="309" t="s">
        <v>6219</v>
      </c>
      <c r="S628" s="330">
        <v>10.24</v>
      </c>
      <c r="T628" s="67">
        <v>3</v>
      </c>
      <c r="U628" s="366">
        <f t="shared" si="135"/>
        <v>1.0362694300518135E-2</v>
      </c>
      <c r="V628" s="97">
        <v>4.42</v>
      </c>
      <c r="W628" s="36">
        <f>RTD("money.excel",,"6104","Price")</f>
        <v>289.5</v>
      </c>
      <c r="X628" s="67"/>
      <c r="Y628" s="15">
        <f t="shared" si="126"/>
        <v>289.5</v>
      </c>
      <c r="Z628" s="3" t="e">
        <f t="shared" si="127"/>
        <v>#DIV/0!</v>
      </c>
      <c r="AA628" s="174" t="s">
        <v>2185</v>
      </c>
      <c r="AB628" s="16" t="s">
        <v>401</v>
      </c>
      <c r="AE628" s="33">
        <f t="shared" si="128"/>
        <v>0</v>
      </c>
      <c r="AF628" s="43" t="s">
        <v>3768</v>
      </c>
      <c r="AG628" s="128"/>
      <c r="AI628" s="64">
        <f t="shared" si="136"/>
        <v>0.26252491694352159</v>
      </c>
      <c r="AJ628" s="313">
        <f>RTD("money.excel",,$G628,"PredictVolume")</f>
        <v>23706</v>
      </c>
      <c r="AK628" s="224">
        <v>114.78</v>
      </c>
    </row>
    <row r="629" spans="1:37">
      <c r="A629" s="148" t="s">
        <v>2394</v>
      </c>
      <c r="B629" s="81">
        <v>242</v>
      </c>
      <c r="C629" s="81">
        <v>244</v>
      </c>
      <c r="D629" s="82">
        <v>-9</v>
      </c>
      <c r="E629" s="81">
        <v>19</v>
      </c>
      <c r="F629" s="6">
        <v>7.31</v>
      </c>
      <c r="G629" s="81">
        <v>6129</v>
      </c>
      <c r="H629" s="151" t="s">
        <v>3761</v>
      </c>
      <c r="I629" s="16" t="s">
        <v>5185</v>
      </c>
      <c r="J629" s="330">
        <v>12.32</v>
      </c>
      <c r="K629" s="75">
        <v>0.78</v>
      </c>
      <c r="L629" s="330">
        <v>0</v>
      </c>
      <c r="M629" s="330">
        <v>11.65</v>
      </c>
      <c r="N629" s="325">
        <f t="shared" si="130"/>
        <v>24.75</v>
      </c>
      <c r="O629" s="27"/>
      <c r="P629" s="56"/>
      <c r="Q629" s="26"/>
      <c r="S629" s="330">
        <v>0</v>
      </c>
      <c r="T629" s="34">
        <v>0</v>
      </c>
      <c r="U629" s="366">
        <f t="shared" si="135"/>
        <v>0</v>
      </c>
      <c r="V629" s="97">
        <v>0.5</v>
      </c>
      <c r="W629" s="36">
        <f>RTD("money.excel",,"6129","Price")</f>
        <v>34.049999999999997</v>
      </c>
      <c r="X629" s="67"/>
      <c r="Y629" s="15">
        <f t="shared" si="126"/>
        <v>34.049999999999997</v>
      </c>
      <c r="Z629" s="3" t="e">
        <f t="shared" si="127"/>
        <v>#DIV/0!</v>
      </c>
      <c r="AB629" s="16" t="s">
        <v>5185</v>
      </c>
      <c r="AE629" s="33">
        <f t="shared" si="128"/>
        <v>0</v>
      </c>
      <c r="AF629" s="43" t="s">
        <v>2818</v>
      </c>
      <c r="AG629" s="128"/>
      <c r="AI629" s="64">
        <f t="shared" si="136"/>
        <v>9.6944444444444448E-3</v>
      </c>
      <c r="AJ629" s="313">
        <f>RTD("money.excel",,$G629,"PredictVolume")</f>
        <v>1745</v>
      </c>
      <c r="AK629" s="348"/>
    </row>
    <row r="630" spans="1:37">
      <c r="A630" s="132" t="s">
        <v>1800</v>
      </c>
      <c r="B630" s="81">
        <v>102</v>
      </c>
      <c r="C630" s="81">
        <v>118</v>
      </c>
      <c r="D630" s="82">
        <v>-3</v>
      </c>
      <c r="E630" s="81">
        <v>26</v>
      </c>
      <c r="F630" s="58">
        <v>19.43</v>
      </c>
      <c r="G630" s="81">
        <v>6138</v>
      </c>
      <c r="H630" s="151" t="s">
        <v>3761</v>
      </c>
      <c r="I630" s="16" t="s">
        <v>171</v>
      </c>
      <c r="J630" s="75">
        <v>18.809999999999999</v>
      </c>
      <c r="K630" s="75">
        <v>30.08</v>
      </c>
      <c r="L630" s="75">
        <v>29.74</v>
      </c>
      <c r="M630" s="330">
        <v>7.86</v>
      </c>
      <c r="N630" s="325">
        <f t="shared" si="130"/>
        <v>86.49</v>
      </c>
      <c r="O630" s="27" t="s">
        <v>6102</v>
      </c>
      <c r="P630" s="56"/>
      <c r="Q630" s="26"/>
      <c r="R630" s="309" t="s">
        <v>4374</v>
      </c>
      <c r="S630" s="330">
        <v>4.55</v>
      </c>
      <c r="T630" s="67">
        <v>5.2</v>
      </c>
      <c r="U630" s="366">
        <f t="shared" si="135"/>
        <v>2.4186046511627909E-2</v>
      </c>
      <c r="V630" s="97">
        <v>11.03</v>
      </c>
      <c r="W630" s="36">
        <f>RTD("money.excel",,"6138","Price")</f>
        <v>215</v>
      </c>
      <c r="X630" s="67"/>
      <c r="Y630" s="15">
        <f t="shared" si="126"/>
        <v>215</v>
      </c>
      <c r="Z630" s="3" t="e">
        <f t="shared" si="127"/>
        <v>#DIV/0!</v>
      </c>
      <c r="AA630" s="174" t="s">
        <v>2185</v>
      </c>
      <c r="AB630" s="16" t="s">
        <v>171</v>
      </c>
      <c r="AE630" s="33">
        <f t="shared" si="128"/>
        <v>0</v>
      </c>
      <c r="AF630" s="123" t="s">
        <v>4419</v>
      </c>
      <c r="AG630" s="269"/>
      <c r="AI630" s="64">
        <f t="shared" si="136"/>
        <v>2.3711201079622133E-2</v>
      </c>
      <c r="AJ630" s="313">
        <f>RTD("money.excel",,$G630,"PredictVolume")</f>
        <v>1757</v>
      </c>
      <c r="AK630" s="348">
        <v>35.200000000000003</v>
      </c>
    </row>
    <row r="631" spans="1:37">
      <c r="A631" s="132" t="s">
        <v>2743</v>
      </c>
      <c r="B631" s="82">
        <v>-10</v>
      </c>
      <c r="C631" s="82">
        <v>-10</v>
      </c>
      <c r="D631" s="82">
        <v>-3</v>
      </c>
      <c r="E631" s="81">
        <v>21</v>
      </c>
      <c r="F631" s="58">
        <v>21.7</v>
      </c>
      <c r="G631" s="81">
        <v>6147</v>
      </c>
      <c r="H631" s="151" t="s">
        <v>3761</v>
      </c>
      <c r="I631" s="173" t="s">
        <v>3446</v>
      </c>
      <c r="J631" s="75">
        <v>68.209999999999994</v>
      </c>
      <c r="K631" s="75">
        <v>51.18</v>
      </c>
      <c r="L631" s="75">
        <v>6.09</v>
      </c>
      <c r="N631" s="325">
        <f t="shared" si="130"/>
        <v>125.47999999999999</v>
      </c>
      <c r="O631" s="27"/>
      <c r="P631" s="56"/>
      <c r="Q631" s="26"/>
      <c r="S631" s="330">
        <v>0.47</v>
      </c>
      <c r="T631" s="66">
        <v>4.2</v>
      </c>
      <c r="U631" s="366">
        <f t="shared" si="135"/>
        <v>5.8906030855539977E-2</v>
      </c>
      <c r="V631" s="58">
        <v>5.61</v>
      </c>
      <c r="W631" s="172">
        <f>RTD("money.excel",,"6147","Price")</f>
        <v>71.3</v>
      </c>
      <c r="X631" s="67"/>
      <c r="Y631" s="15">
        <f t="shared" si="126"/>
        <v>71.3</v>
      </c>
      <c r="Z631" s="3" t="e">
        <f t="shared" si="127"/>
        <v>#DIV/0!</v>
      </c>
      <c r="AA631" s="174" t="s">
        <v>2185</v>
      </c>
      <c r="AB631" s="16" t="s">
        <v>3446</v>
      </c>
      <c r="AE631" s="33">
        <f t="shared" si="128"/>
        <v>0</v>
      </c>
      <c r="AF631" s="122" t="s">
        <v>2809</v>
      </c>
      <c r="AG631" s="128"/>
      <c r="AI631" s="64">
        <f t="shared" si="136"/>
        <v>4.4679582712369601E-3</v>
      </c>
      <c r="AJ631" s="313">
        <f>RTD("money.excel",,$G631,"PredictVolume")</f>
        <v>2998</v>
      </c>
      <c r="AK631" s="348"/>
    </row>
    <row r="632" spans="1:37">
      <c r="A632" s="132" t="s">
        <v>4269</v>
      </c>
      <c r="B632" s="81">
        <v>73</v>
      </c>
      <c r="C632" s="81">
        <v>135</v>
      </c>
      <c r="D632" s="81">
        <v>0</v>
      </c>
      <c r="E632" s="81">
        <v>52</v>
      </c>
      <c r="F632" s="58">
        <v>18.690000000000001</v>
      </c>
      <c r="G632" s="81">
        <v>6182</v>
      </c>
      <c r="H632" s="210" t="s">
        <v>3761</v>
      </c>
      <c r="I632" s="16" t="s">
        <v>178</v>
      </c>
      <c r="J632" s="330">
        <v>36.03</v>
      </c>
      <c r="K632" s="75">
        <v>25.53</v>
      </c>
      <c r="L632" s="330">
        <v>28.48</v>
      </c>
      <c r="M632" s="330">
        <v>4.22</v>
      </c>
      <c r="N632" s="325">
        <f t="shared" si="130"/>
        <v>94.26</v>
      </c>
      <c r="O632" s="27" t="s">
        <v>6221</v>
      </c>
      <c r="P632" s="56"/>
      <c r="Q632" s="26"/>
      <c r="R632" s="309" t="s">
        <v>6219</v>
      </c>
      <c r="S632" s="330">
        <v>5.77</v>
      </c>
      <c r="T632" s="34">
        <v>1.1000000000000001</v>
      </c>
      <c r="U632" s="366">
        <f t="shared" si="135"/>
        <v>1.5406162464985995E-2</v>
      </c>
      <c r="V632" s="97">
        <v>1.54</v>
      </c>
      <c r="W632" s="36">
        <f>RTD("money.excel",,"6182","Price")</f>
        <v>71.400000000000006</v>
      </c>
      <c r="X632" s="67"/>
      <c r="Y632" s="15">
        <f t="shared" si="126"/>
        <v>71.400000000000006</v>
      </c>
      <c r="Z632" s="3" t="e">
        <f t="shared" si="127"/>
        <v>#DIV/0!</v>
      </c>
      <c r="AA632" s="174" t="s">
        <v>1943</v>
      </c>
      <c r="AB632" s="16" t="s">
        <v>178</v>
      </c>
      <c r="AE632" s="33">
        <f t="shared" si="128"/>
        <v>0</v>
      </c>
      <c r="AF632" s="123" t="s">
        <v>2645</v>
      </c>
      <c r="AG632" s="269"/>
      <c r="AI632" s="64">
        <f t="shared" si="136"/>
        <v>1.4477777777777777E-2</v>
      </c>
      <c r="AJ632" s="313">
        <f>RTD("money.excel",,$G632,"PredictVolume")</f>
        <v>7818</v>
      </c>
      <c r="AK632" s="348">
        <v>39.35</v>
      </c>
    </row>
    <row r="633" spans="1:37">
      <c r="A633" s="148" t="s">
        <v>3504</v>
      </c>
      <c r="B633" s="93">
        <v>6</v>
      </c>
      <c r="C633" s="93">
        <v>18</v>
      </c>
      <c r="D633" s="93">
        <v>67</v>
      </c>
      <c r="E633" s="93">
        <v>-26</v>
      </c>
      <c r="F633" s="6">
        <v>-62.99</v>
      </c>
      <c r="G633" s="81">
        <v>6198</v>
      </c>
      <c r="H633" s="210" t="s">
        <v>3761</v>
      </c>
      <c r="I633" s="16" t="s">
        <v>402</v>
      </c>
      <c r="J633" s="75">
        <v>60.85</v>
      </c>
      <c r="K633" s="75">
        <v>8.6999999999999993</v>
      </c>
      <c r="N633" s="325">
        <f t="shared" si="130"/>
        <v>69.55</v>
      </c>
      <c r="O633" s="27"/>
      <c r="P633" s="56"/>
      <c r="Q633" s="26"/>
      <c r="S633" s="330">
        <v>16.52</v>
      </c>
      <c r="T633" s="34">
        <v>0</v>
      </c>
      <c r="U633" s="366">
        <f t="shared" si="135"/>
        <v>0</v>
      </c>
      <c r="V633" s="97">
        <v>-0.56999999999999995</v>
      </c>
      <c r="W633" s="13">
        <f>RTD("money.excel",,"6198","Price")</f>
        <v>34.75</v>
      </c>
      <c r="X633" s="67"/>
      <c r="Y633" s="15">
        <f t="shared" si="126"/>
        <v>34.75</v>
      </c>
      <c r="Z633" s="3" t="e">
        <f t="shared" si="127"/>
        <v>#DIV/0!</v>
      </c>
      <c r="AB633" s="16" t="s">
        <v>402</v>
      </c>
      <c r="AE633" s="33">
        <f t="shared" si="128"/>
        <v>0</v>
      </c>
      <c r="AF633" s="43" t="s">
        <v>2883</v>
      </c>
      <c r="AG633" s="128"/>
      <c r="AI633" s="64">
        <f t="shared" si="136"/>
        <v>4.8672566371681423E-4</v>
      </c>
      <c r="AJ633" s="313">
        <f>RTD("money.excel",,$G633,"PredictVolume")</f>
        <v>11</v>
      </c>
      <c r="AK633" s="348"/>
    </row>
    <row r="634" spans="1:37">
      <c r="A634" s="132" t="s">
        <v>1826</v>
      </c>
      <c r="B634" s="82">
        <v>-1</v>
      </c>
      <c r="C634" s="81">
        <v>4</v>
      </c>
      <c r="D634" s="81">
        <v>3</v>
      </c>
      <c r="E634" s="81">
        <v>35</v>
      </c>
      <c r="F634" s="58">
        <v>18.93</v>
      </c>
      <c r="G634" s="81">
        <v>6202</v>
      </c>
      <c r="H634" s="8" t="s">
        <v>3761</v>
      </c>
      <c r="I634" s="22" t="s">
        <v>131</v>
      </c>
      <c r="J634" s="75">
        <v>51.61</v>
      </c>
      <c r="K634" s="330">
        <v>27.13</v>
      </c>
      <c r="L634" s="330">
        <v>3.49</v>
      </c>
      <c r="N634" s="325">
        <f t="shared" si="130"/>
        <v>82.22999999999999</v>
      </c>
      <c r="O634" s="27"/>
      <c r="P634" s="56"/>
      <c r="Q634" s="26"/>
      <c r="S634" s="330">
        <v>0.04</v>
      </c>
      <c r="T634" s="67">
        <v>4.5599999999999996</v>
      </c>
      <c r="U634" s="366">
        <f t="shared" si="135"/>
        <v>3.880851063829787E-2</v>
      </c>
      <c r="V634" s="97">
        <v>5.45</v>
      </c>
      <c r="W634" s="36">
        <f>RTD("money.excel",,"6202","Price")</f>
        <v>117.5</v>
      </c>
      <c r="X634" s="67"/>
      <c r="Y634" s="15">
        <f t="shared" si="126"/>
        <v>117.5</v>
      </c>
      <c r="Z634" s="3" t="e">
        <f t="shared" si="127"/>
        <v>#DIV/0!</v>
      </c>
      <c r="AA634" s="174" t="s">
        <v>2185</v>
      </c>
      <c r="AB634" s="22" t="s">
        <v>131</v>
      </c>
      <c r="AE634" s="33">
        <f t="shared" si="128"/>
        <v>0</v>
      </c>
      <c r="AF634" s="122" t="s">
        <v>3744</v>
      </c>
      <c r="AG634" s="128"/>
      <c r="AI634" s="64">
        <f t="shared" si="136"/>
        <v>1.8951327433628318E-2</v>
      </c>
      <c r="AJ634" s="313">
        <f>RTD("money.excel",,$G634,"PredictVolume")</f>
        <v>4283</v>
      </c>
      <c r="AK634" s="348"/>
    </row>
    <row r="635" spans="1:37" ht="17.25" customHeight="1">
      <c r="A635" s="132" t="s">
        <v>4259</v>
      </c>
      <c r="B635" s="82">
        <v>-19</v>
      </c>
      <c r="C635" s="82">
        <v>-18</v>
      </c>
      <c r="D635" s="81">
        <v>15</v>
      </c>
      <c r="E635" s="81">
        <v>17</v>
      </c>
      <c r="F635" s="58">
        <v>12.25</v>
      </c>
      <c r="G635" s="81">
        <v>6223</v>
      </c>
      <c r="H635" s="210" t="s">
        <v>3761</v>
      </c>
      <c r="I635" s="16" t="s">
        <v>5186</v>
      </c>
      <c r="J635" s="75">
        <v>21</v>
      </c>
      <c r="K635" s="330">
        <v>14.35</v>
      </c>
      <c r="L635" s="75">
        <v>44.63</v>
      </c>
      <c r="M635" s="330">
        <v>12.43</v>
      </c>
      <c r="N635" s="325">
        <f t="shared" si="130"/>
        <v>92.41</v>
      </c>
      <c r="O635" s="27" t="s">
        <v>6130</v>
      </c>
      <c r="P635" s="56"/>
      <c r="Q635" s="26"/>
      <c r="R635" s="308" t="s">
        <v>4374</v>
      </c>
      <c r="S635" s="330">
        <v>3.51</v>
      </c>
      <c r="T635" s="67">
        <v>4.47</v>
      </c>
      <c r="U635" s="366">
        <f t="shared" si="135"/>
        <v>4.4257425742574255E-2</v>
      </c>
      <c r="V635" s="97">
        <v>6.6</v>
      </c>
      <c r="W635" s="36">
        <f>RTD("money.excel",,"6223","Price")</f>
        <v>101</v>
      </c>
      <c r="X635" s="67"/>
      <c r="Y635" s="15">
        <f t="shared" si="126"/>
        <v>101</v>
      </c>
      <c r="Z635" s="3" t="e">
        <f t="shared" si="127"/>
        <v>#DIV/0!</v>
      </c>
      <c r="AA635" s="174" t="s">
        <v>2185</v>
      </c>
      <c r="AB635" s="16" t="s">
        <v>5186</v>
      </c>
      <c r="AE635" s="33">
        <f t="shared" si="128"/>
        <v>0</v>
      </c>
      <c r="AF635" s="122" t="s">
        <v>2870</v>
      </c>
      <c r="AG635" s="128"/>
      <c r="AI635" s="64">
        <f t="shared" si="136"/>
        <v>5.4622741764080761E-3</v>
      </c>
      <c r="AJ635" s="313">
        <f>RTD("money.excel",,$G635,"PredictVolume")</f>
        <v>514</v>
      </c>
      <c r="AK635" s="348">
        <v>36.770000000000003</v>
      </c>
    </row>
    <row r="636" spans="1:37">
      <c r="A636" s="148" t="s">
        <v>2022</v>
      </c>
      <c r="B636" s="81">
        <v>571</v>
      </c>
      <c r="C636" s="81">
        <v>227</v>
      </c>
      <c r="D636" s="82">
        <v>-2</v>
      </c>
      <c r="E636" s="81">
        <v>8</v>
      </c>
      <c r="F636" s="6">
        <v>4.21</v>
      </c>
      <c r="G636" s="81">
        <v>6229</v>
      </c>
      <c r="H636" s="210" t="s">
        <v>3761</v>
      </c>
      <c r="I636" s="16" t="s">
        <v>403</v>
      </c>
      <c r="J636" s="330">
        <v>22.82</v>
      </c>
      <c r="K636" s="75">
        <v>4.0999999999999996</v>
      </c>
      <c r="L636" s="75">
        <v>36.200000000000003</v>
      </c>
      <c r="N636" s="325">
        <f t="shared" si="130"/>
        <v>63.120000000000005</v>
      </c>
      <c r="O636" s="27"/>
      <c r="P636" s="56"/>
      <c r="Q636" s="26"/>
      <c r="S636" s="330">
        <v>1.46</v>
      </c>
      <c r="T636" s="34">
        <v>1.02</v>
      </c>
      <c r="U636" s="366">
        <f t="shared" si="135"/>
        <v>2.6322580645161291E-2</v>
      </c>
      <c r="V636" s="97">
        <v>1.99</v>
      </c>
      <c r="W636" s="36">
        <f>RTD("money.excel",,"6229","Price")</f>
        <v>38.75</v>
      </c>
      <c r="X636" s="67"/>
      <c r="Y636" s="15">
        <f t="shared" si="126"/>
        <v>38.75</v>
      </c>
      <c r="Z636" s="3" t="e">
        <f t="shared" si="127"/>
        <v>#DIV/0!</v>
      </c>
      <c r="AB636" s="16" t="s">
        <v>403</v>
      </c>
      <c r="AE636" s="33">
        <f t="shared" si="128"/>
        <v>0</v>
      </c>
      <c r="AF636" s="43" t="s">
        <v>2874</v>
      </c>
      <c r="AG636" s="128"/>
      <c r="AI636" s="64">
        <f t="shared" si="136"/>
        <v>2.6741573033707864E-2</v>
      </c>
      <c r="AJ636" s="313">
        <f>RTD("money.excel",,$G636,"PredictVolume")</f>
        <v>952</v>
      </c>
      <c r="AK636" s="348"/>
    </row>
    <row r="637" spans="1:37">
      <c r="A637" s="148" t="s">
        <v>2729</v>
      </c>
      <c r="B637" s="82">
        <v>-7</v>
      </c>
      <c r="C637" s="81">
        <v>12</v>
      </c>
      <c r="D637" s="81">
        <v>33</v>
      </c>
      <c r="E637" s="81">
        <v>81</v>
      </c>
      <c r="F637" s="6">
        <v>-3.33</v>
      </c>
      <c r="G637" s="81">
        <v>6233</v>
      </c>
      <c r="H637" s="151" t="s">
        <v>3761</v>
      </c>
      <c r="I637" s="16" t="s">
        <v>404</v>
      </c>
      <c r="J637" s="75">
        <v>29.17</v>
      </c>
      <c r="K637" s="75">
        <v>8.2899999999999991</v>
      </c>
      <c r="L637" s="75">
        <v>64.209999999999994</v>
      </c>
      <c r="N637" s="325">
        <f t="shared" si="130"/>
        <v>101.66999999999999</v>
      </c>
      <c r="O637" s="27"/>
      <c r="P637" s="56"/>
      <c r="Q637" s="26"/>
      <c r="S637" s="330">
        <v>11.09</v>
      </c>
      <c r="T637" s="34">
        <v>0</v>
      </c>
      <c r="U637" s="366">
        <f t="shared" si="135"/>
        <v>0</v>
      </c>
      <c r="V637" s="97">
        <v>0.11</v>
      </c>
      <c r="W637" s="36">
        <f>RTD("money.excel",,"6233","Price")</f>
        <v>28.15</v>
      </c>
      <c r="X637" s="67"/>
      <c r="Y637" s="15">
        <f t="shared" si="126"/>
        <v>28.15</v>
      </c>
      <c r="Z637" s="3" t="e">
        <f t="shared" si="127"/>
        <v>#DIV/0!</v>
      </c>
      <c r="AB637" s="16" t="s">
        <v>404</v>
      </c>
      <c r="AE637" s="33">
        <f t="shared" si="128"/>
        <v>0</v>
      </c>
      <c r="AF637" s="43" t="s">
        <v>2730</v>
      </c>
      <c r="AG637" s="128"/>
      <c r="AI637" s="64">
        <f t="shared" si="136"/>
        <v>3.1532663316582916E-3</v>
      </c>
      <c r="AJ637" s="313">
        <f>RTD("money.excel",,$G637,"PredictVolume")</f>
        <v>251</v>
      </c>
      <c r="AK637" s="348"/>
    </row>
    <row r="638" spans="1:37">
      <c r="A638" s="132" t="s">
        <v>1798</v>
      </c>
      <c r="B638" s="81">
        <v>382</v>
      </c>
      <c r="C638" s="81">
        <v>870</v>
      </c>
      <c r="D638" s="82">
        <v>-12</v>
      </c>
      <c r="E638" s="82">
        <v>-33</v>
      </c>
      <c r="F638" s="58">
        <v>35.18</v>
      </c>
      <c r="G638" s="81">
        <v>6237</v>
      </c>
      <c r="H638" s="151" t="s">
        <v>3761</v>
      </c>
      <c r="I638" s="16" t="s">
        <v>405</v>
      </c>
      <c r="J638" s="75">
        <v>15.46</v>
      </c>
      <c r="K638" s="75">
        <v>2.59</v>
      </c>
      <c r="L638" s="75">
        <v>49.47</v>
      </c>
      <c r="M638" s="330">
        <v>12.4</v>
      </c>
      <c r="N638" s="325">
        <f t="shared" si="130"/>
        <v>79.92</v>
      </c>
      <c r="O638" s="27"/>
      <c r="P638" s="56"/>
      <c r="Q638" s="26"/>
      <c r="R638" s="308" t="s">
        <v>4372</v>
      </c>
      <c r="S638" s="330">
        <v>7.62</v>
      </c>
      <c r="T638" s="34">
        <v>1</v>
      </c>
      <c r="U638" s="366">
        <f t="shared" si="135"/>
        <v>1.3736263736263736E-2</v>
      </c>
      <c r="V638" s="97">
        <v>7.21</v>
      </c>
      <c r="W638" s="36">
        <f>RTD("money.excel",,"6237","Price")</f>
        <v>72.8</v>
      </c>
      <c r="X638" s="67"/>
      <c r="Y638" s="15">
        <f t="shared" si="126"/>
        <v>72.8</v>
      </c>
      <c r="Z638" s="3" t="e">
        <f t="shared" si="127"/>
        <v>#DIV/0!</v>
      </c>
      <c r="AA638" s="174" t="s">
        <v>1943</v>
      </c>
      <c r="AB638" s="16" t="s">
        <v>405</v>
      </c>
      <c r="AE638" s="33">
        <f t="shared" si="128"/>
        <v>0</v>
      </c>
      <c r="AF638" s="43" t="s">
        <v>3786</v>
      </c>
      <c r="AG638" s="128"/>
      <c r="AI638" s="64">
        <f t="shared" si="136"/>
        <v>9.7877652933832712E-3</v>
      </c>
      <c r="AJ638" s="313">
        <f>RTD("money.excel",,$G638,"PredictVolume")</f>
        <v>784</v>
      </c>
      <c r="AK638" s="348"/>
    </row>
    <row r="639" spans="1:37">
      <c r="A639" s="148" t="s">
        <v>1828</v>
      </c>
      <c r="B639" s="81">
        <v>38</v>
      </c>
      <c r="C639" s="81">
        <v>33</v>
      </c>
      <c r="D639" s="82">
        <v>-2</v>
      </c>
      <c r="E639" s="81">
        <v>18</v>
      </c>
      <c r="F639" s="58">
        <v>17.29</v>
      </c>
      <c r="G639" s="81">
        <v>6239</v>
      </c>
      <c r="H639" s="8" t="s">
        <v>3761</v>
      </c>
      <c r="I639" s="22" t="s">
        <v>22</v>
      </c>
      <c r="J639" s="75">
        <v>72.650000000000006</v>
      </c>
      <c r="K639" s="330">
        <v>54.67</v>
      </c>
      <c r="L639" s="330">
        <v>1.7</v>
      </c>
      <c r="M639" s="75">
        <v>6.2</v>
      </c>
      <c r="N639" s="75">
        <f t="shared" si="130"/>
        <v>135.22</v>
      </c>
      <c r="O639" s="27" t="s">
        <v>6230</v>
      </c>
      <c r="P639" s="56"/>
      <c r="Q639" s="26"/>
      <c r="R639" s="309" t="s">
        <v>6169</v>
      </c>
      <c r="S639" s="330">
        <v>4.05</v>
      </c>
      <c r="T639" s="67">
        <v>5</v>
      </c>
      <c r="U639" s="366">
        <f t="shared" si="135"/>
        <v>5.159958720330237E-2</v>
      </c>
      <c r="V639" s="58">
        <v>10.44</v>
      </c>
      <c r="W639" s="13">
        <f>RTD("money.excel",,"6239","Price")</f>
        <v>96.9</v>
      </c>
      <c r="X639" s="67"/>
      <c r="Y639" s="15">
        <f t="shared" si="126"/>
        <v>96.9</v>
      </c>
      <c r="Z639" s="3" t="e">
        <f t="shared" si="127"/>
        <v>#DIV/0!</v>
      </c>
      <c r="AA639" s="174" t="s">
        <v>2185</v>
      </c>
      <c r="AB639" s="22" t="s">
        <v>22</v>
      </c>
      <c r="AE639" s="33">
        <f t="shared" si="128"/>
        <v>0</v>
      </c>
      <c r="AF639" s="122" t="s">
        <v>2816</v>
      </c>
      <c r="AG639" s="128"/>
      <c r="AI639" s="64">
        <f t="shared" si="136"/>
        <v>4.7060333761232351E-3</v>
      </c>
      <c r="AJ639" s="313">
        <f>RTD("money.excel",,$G639,"PredictVolume")</f>
        <v>3666</v>
      </c>
      <c r="AK639" s="348">
        <v>10.16</v>
      </c>
    </row>
    <row r="640" spans="1:37">
      <c r="A640" s="148" t="s">
        <v>2447</v>
      </c>
      <c r="B640" s="81">
        <v>5</v>
      </c>
      <c r="C640" s="81">
        <v>58</v>
      </c>
      <c r="D640" s="81">
        <v>44</v>
      </c>
      <c r="E640" s="81">
        <v>33</v>
      </c>
      <c r="F640" s="6">
        <v>-4.0199999999999996</v>
      </c>
      <c r="G640" s="81">
        <v>6243</v>
      </c>
      <c r="H640" s="8" t="s">
        <v>3761</v>
      </c>
      <c r="I640" s="22" t="s">
        <v>382</v>
      </c>
      <c r="J640" s="330">
        <v>5.61</v>
      </c>
      <c r="K640" s="75">
        <v>2.91</v>
      </c>
      <c r="L640" s="330"/>
      <c r="N640" s="325">
        <f t="shared" si="130"/>
        <v>8.52</v>
      </c>
      <c r="O640" s="27"/>
      <c r="P640" s="56"/>
      <c r="Q640" s="26"/>
      <c r="T640" s="34">
        <v>0</v>
      </c>
      <c r="U640" s="366">
        <f t="shared" si="135"/>
        <v>0</v>
      </c>
      <c r="V640" s="97">
        <v>-0.82</v>
      </c>
      <c r="W640" s="36">
        <f>RTD("money.excel",,"6243","Price")</f>
        <v>43.1</v>
      </c>
      <c r="X640" s="67"/>
      <c r="Y640" s="15">
        <f t="shared" si="126"/>
        <v>43.1</v>
      </c>
      <c r="Z640" s="3" t="e">
        <f t="shared" si="127"/>
        <v>#DIV/0!</v>
      </c>
      <c r="AA640" s="174" t="s">
        <v>1943</v>
      </c>
      <c r="AB640" s="22" t="s">
        <v>382</v>
      </c>
      <c r="AE640" s="33">
        <f t="shared" si="128"/>
        <v>0</v>
      </c>
      <c r="AF640" s="43" t="s">
        <v>2912</v>
      </c>
      <c r="AG640" s="128"/>
      <c r="AI640" s="64">
        <f t="shared" si="136"/>
        <v>2.16E-3</v>
      </c>
      <c r="AJ640" s="313">
        <f>RTD("money.excel",,$G640,"PredictVolume")</f>
        <v>162</v>
      </c>
      <c r="AK640" s="348"/>
    </row>
    <row r="641" spans="1:37">
      <c r="A641" s="132" t="s">
        <v>6155</v>
      </c>
      <c r="B641" s="81">
        <v>64</v>
      </c>
      <c r="C641" s="81">
        <v>58</v>
      </c>
      <c r="D641" s="81">
        <v>14</v>
      </c>
      <c r="E641" s="81">
        <v>25</v>
      </c>
      <c r="F641" s="58">
        <v>21.36</v>
      </c>
      <c r="G641" s="81">
        <v>6257</v>
      </c>
      <c r="H641" s="8" t="s">
        <v>3761</v>
      </c>
      <c r="I641" s="22" t="s">
        <v>5187</v>
      </c>
      <c r="J641" s="330">
        <v>31.31</v>
      </c>
      <c r="K641" s="75">
        <v>24.18</v>
      </c>
      <c r="L641" s="330">
        <v>12.27</v>
      </c>
      <c r="M641" s="330">
        <v>6.48</v>
      </c>
      <c r="N641" s="325">
        <f t="shared" si="130"/>
        <v>74.239999999999995</v>
      </c>
      <c r="O641" s="27" t="s">
        <v>6157</v>
      </c>
      <c r="P641" s="56"/>
      <c r="Q641" s="26"/>
      <c r="R641" s="308" t="s">
        <v>6153</v>
      </c>
      <c r="S641" s="330">
        <v>3.43</v>
      </c>
      <c r="T641" s="34">
        <v>2.87</v>
      </c>
      <c r="U641" s="366">
        <f t="shared" si="135"/>
        <v>4.974003466204506E-2</v>
      </c>
      <c r="V641" s="97">
        <v>5.91</v>
      </c>
      <c r="W641" s="36">
        <f>RTD("money.excel",,"6257","Price")</f>
        <v>57.7</v>
      </c>
      <c r="X641" s="67"/>
      <c r="Y641" s="15">
        <f t="shared" si="126"/>
        <v>57.7</v>
      </c>
      <c r="Z641" s="3" t="e">
        <f t="shared" si="127"/>
        <v>#DIV/0!</v>
      </c>
      <c r="AA641" s="174" t="s">
        <v>1943</v>
      </c>
      <c r="AB641" s="22" t="s">
        <v>5187</v>
      </c>
      <c r="AE641" s="33">
        <f t="shared" si="128"/>
        <v>0</v>
      </c>
      <c r="AF641" s="43" t="s">
        <v>3330</v>
      </c>
      <c r="AG641" s="128"/>
      <c r="AI641" s="64">
        <f t="shared" si="136"/>
        <v>2.5508849557522124E-3</v>
      </c>
      <c r="AJ641" s="313">
        <f>RTD("money.excel",,$G641,"PredictVolume")</f>
        <v>1153</v>
      </c>
      <c r="AK641" s="348">
        <v>13.57</v>
      </c>
    </row>
    <row r="642" spans="1:37">
      <c r="A642" s="132" t="s">
        <v>1873</v>
      </c>
      <c r="B642" s="81">
        <v>100</v>
      </c>
      <c r="C642" s="81">
        <v>116</v>
      </c>
      <c r="D642" s="81">
        <v>3</v>
      </c>
      <c r="E642" s="81">
        <v>20</v>
      </c>
      <c r="F642" s="58">
        <v>28.89</v>
      </c>
      <c r="G642" s="81">
        <v>6261</v>
      </c>
      <c r="H642" s="151" t="s">
        <v>3761</v>
      </c>
      <c r="I642" s="24" t="s">
        <v>263</v>
      </c>
      <c r="J642" s="75">
        <v>24.27</v>
      </c>
      <c r="K642" s="75">
        <v>4.1500000000000004</v>
      </c>
      <c r="L642" s="330">
        <v>15.26</v>
      </c>
      <c r="M642" s="75">
        <v>11.1</v>
      </c>
      <c r="N642" s="325">
        <f t="shared" si="130"/>
        <v>54.78</v>
      </c>
      <c r="O642" s="27" t="s">
        <v>6168</v>
      </c>
      <c r="P642" s="56"/>
      <c r="Q642" s="26"/>
      <c r="R642" s="308" t="s">
        <v>4373</v>
      </c>
      <c r="S642" s="330">
        <v>1.98</v>
      </c>
      <c r="T642" s="67">
        <v>4</v>
      </c>
      <c r="U642" s="366">
        <f t="shared" si="135"/>
        <v>4.9937578027465672E-2</v>
      </c>
      <c r="V642" s="97">
        <v>7.54</v>
      </c>
      <c r="W642" s="36">
        <f>RTD("money.excel",,"6261","Price")</f>
        <v>80.099999999999994</v>
      </c>
      <c r="X642" s="67"/>
      <c r="Y642" s="15">
        <f t="shared" si="126"/>
        <v>80.099999999999994</v>
      </c>
      <c r="Z642" s="3" t="e">
        <f t="shared" si="127"/>
        <v>#DIV/0!</v>
      </c>
      <c r="AA642" s="174" t="s">
        <v>2185</v>
      </c>
      <c r="AB642" s="24" t="s">
        <v>263</v>
      </c>
      <c r="AE642" s="33">
        <f t="shared" si="128"/>
        <v>0</v>
      </c>
      <c r="AF642" s="124" t="s">
        <v>2342</v>
      </c>
      <c r="AG642" s="128"/>
      <c r="AI642" s="64">
        <f t="shared" si="136"/>
        <v>3.3515624999999999E-3</v>
      </c>
      <c r="AJ642" s="313">
        <f>RTD("money.excel",,$G642,"PredictVolume")</f>
        <v>429</v>
      </c>
      <c r="AK642" s="348">
        <v>15.48</v>
      </c>
    </row>
    <row r="643" spans="1:37">
      <c r="A643" s="132" t="s">
        <v>1888</v>
      </c>
      <c r="B643" s="81">
        <v>111</v>
      </c>
      <c r="C643" s="81">
        <v>92</v>
      </c>
      <c r="D643" s="81">
        <v>7</v>
      </c>
      <c r="E643" s="81">
        <v>13</v>
      </c>
      <c r="F643" s="58">
        <v>23.9</v>
      </c>
      <c r="G643" s="81">
        <v>6271</v>
      </c>
      <c r="H643" s="8" t="s">
        <v>3761</v>
      </c>
      <c r="I643" s="22" t="s">
        <v>61</v>
      </c>
      <c r="J643" s="75">
        <v>46.99</v>
      </c>
      <c r="K643" s="75">
        <v>54.45</v>
      </c>
      <c r="L643" s="330">
        <v>9.4499999999999993</v>
      </c>
      <c r="M643" s="330">
        <v>11.77</v>
      </c>
      <c r="N643" s="325">
        <f t="shared" si="130"/>
        <v>122.66</v>
      </c>
      <c r="O643" s="27"/>
      <c r="P643" s="56" t="s">
        <v>6432</v>
      </c>
      <c r="Q643" s="26" t="s">
        <v>6433</v>
      </c>
      <c r="R643" s="309" t="s">
        <v>6219</v>
      </c>
      <c r="S643" s="330">
        <v>5.56</v>
      </c>
      <c r="T643" s="67">
        <v>5.5</v>
      </c>
      <c r="U643" s="366">
        <f t="shared" si="135"/>
        <v>2.0446096654275093E-2</v>
      </c>
      <c r="V643" s="97">
        <v>14.03</v>
      </c>
      <c r="W643" s="13">
        <f>RTD("money.excel",,"6271","Price")</f>
        <v>269</v>
      </c>
      <c r="X643" s="67"/>
      <c r="Y643" s="15">
        <f t="shared" si="126"/>
        <v>269</v>
      </c>
      <c r="Z643" s="3" t="e">
        <f t="shared" si="127"/>
        <v>#DIV/0!</v>
      </c>
      <c r="AA643" s="174" t="s">
        <v>2185</v>
      </c>
      <c r="AB643" s="22" t="s">
        <v>61</v>
      </c>
      <c r="AE643" s="33">
        <f t="shared" si="128"/>
        <v>0</v>
      </c>
      <c r="AF643" s="122" t="s">
        <v>2814</v>
      </c>
      <c r="AG643" s="128"/>
      <c r="AI643" s="64">
        <f t="shared" si="136"/>
        <v>4.1179775280898879E-3</v>
      </c>
      <c r="AJ643" s="313">
        <f>RTD("money.excel",,$G643,"PredictVolume")</f>
        <v>733</v>
      </c>
      <c r="AK643" s="348">
        <v>4.34</v>
      </c>
    </row>
    <row r="644" spans="1:37">
      <c r="A644" s="148" t="s">
        <v>3505</v>
      </c>
      <c r="B644" s="93">
        <v>36</v>
      </c>
      <c r="C644" s="93">
        <v>42</v>
      </c>
      <c r="D644" s="93">
        <v>-9</v>
      </c>
      <c r="E644" s="93">
        <v>55</v>
      </c>
      <c r="F644" s="6">
        <v>-10.95</v>
      </c>
      <c r="G644" s="81">
        <v>6287</v>
      </c>
      <c r="H644" s="151" t="s">
        <v>3761</v>
      </c>
      <c r="I644" s="16" t="s">
        <v>406</v>
      </c>
      <c r="J644" s="75">
        <v>89.34</v>
      </c>
      <c r="K644" s="75">
        <v>5.92</v>
      </c>
      <c r="N644" s="325">
        <f t="shared" si="130"/>
        <v>95.26</v>
      </c>
      <c r="O644" s="27"/>
      <c r="P644" s="56"/>
      <c r="Q644" s="26"/>
      <c r="S644" s="330">
        <v>16.71</v>
      </c>
      <c r="T644" s="34">
        <v>0</v>
      </c>
      <c r="U644" s="366">
        <f t="shared" si="135"/>
        <v>0</v>
      </c>
      <c r="V644" s="97">
        <v>-0.34</v>
      </c>
      <c r="W644" s="13">
        <f>RTD("money.excel",,"6287","Price")</f>
        <v>8.1</v>
      </c>
      <c r="X644" s="67"/>
      <c r="Y644" s="15">
        <f t="shared" si="126"/>
        <v>8.1</v>
      </c>
      <c r="Z644" s="3" t="e">
        <f t="shared" si="127"/>
        <v>#DIV/0!</v>
      </c>
      <c r="AB644" s="16" t="s">
        <v>406</v>
      </c>
      <c r="AE644" s="33">
        <f t="shared" si="128"/>
        <v>0</v>
      </c>
      <c r="AF644" s="43" t="s">
        <v>2064</v>
      </c>
      <c r="AG644" s="128"/>
      <c r="AI644" s="64">
        <f t="shared" si="136"/>
        <v>1.0730593607305936E-4</v>
      </c>
      <c r="AJ644" s="313">
        <f>RTD("money.excel",,$G644,"PredictVolume")</f>
        <v>47</v>
      </c>
      <c r="AK644" s="348"/>
    </row>
    <row r="645" spans="1:37">
      <c r="A645" s="132" t="s">
        <v>3506</v>
      </c>
      <c r="B645" s="93">
        <v>170</v>
      </c>
      <c r="C645" s="93">
        <v>155</v>
      </c>
      <c r="D645" s="93">
        <v>15</v>
      </c>
      <c r="E645" s="93">
        <v>13</v>
      </c>
      <c r="F645" s="58">
        <v>10.64</v>
      </c>
      <c r="G645" s="81">
        <v>6291</v>
      </c>
      <c r="H645" s="151" t="s">
        <v>3761</v>
      </c>
      <c r="I645" s="16" t="s">
        <v>407</v>
      </c>
      <c r="J645" s="75">
        <v>78.709999999999994</v>
      </c>
      <c r="K645" s="75">
        <v>7.08</v>
      </c>
      <c r="N645" s="325">
        <f t="shared" si="130"/>
        <v>85.789999999999992</v>
      </c>
      <c r="O645" s="27"/>
      <c r="P645" s="56"/>
      <c r="Q645" s="26"/>
      <c r="S645" s="330">
        <v>57.14</v>
      </c>
      <c r="T645" s="34">
        <v>0</v>
      </c>
      <c r="U645" s="366">
        <f t="shared" si="135"/>
        <v>0</v>
      </c>
      <c r="V645" s="97">
        <v>0.86</v>
      </c>
      <c r="W645" s="13">
        <f>RTD("money.excel",,"6291","Price")</f>
        <v>42.85</v>
      </c>
      <c r="X645" s="67"/>
      <c r="Y645" s="15">
        <f t="shared" si="126"/>
        <v>42.85</v>
      </c>
      <c r="Z645" s="3" t="e">
        <f t="shared" si="127"/>
        <v>#DIV/0!</v>
      </c>
      <c r="AB645" s="16" t="s">
        <v>407</v>
      </c>
      <c r="AE645" s="33">
        <f t="shared" si="128"/>
        <v>0</v>
      </c>
      <c r="AF645" s="43" t="s">
        <v>1506</v>
      </c>
      <c r="AG645" s="128"/>
      <c r="AI645" s="64">
        <f t="shared" si="136"/>
        <v>5.9259259259259258E-4</v>
      </c>
      <c r="AJ645" s="313">
        <f>RTD("money.excel",,$G645,"PredictVolume")</f>
        <v>16</v>
      </c>
      <c r="AK645" s="348"/>
    </row>
    <row r="646" spans="1:37">
      <c r="A646" s="132" t="s">
        <v>1576</v>
      </c>
      <c r="B646" s="81">
        <v>75</v>
      </c>
      <c r="C646" s="81">
        <v>77</v>
      </c>
      <c r="D646" s="81">
        <v>3</v>
      </c>
      <c r="E646" s="81">
        <v>24</v>
      </c>
      <c r="F646" s="58">
        <v>24.43</v>
      </c>
      <c r="G646" s="81">
        <v>6411</v>
      </c>
      <c r="H646" s="151" t="s">
        <v>3761</v>
      </c>
      <c r="I646" s="16" t="s">
        <v>267</v>
      </c>
      <c r="J646" s="75">
        <v>26.05</v>
      </c>
      <c r="K646" s="330">
        <v>17.43</v>
      </c>
      <c r="L646" s="75">
        <v>35.590000000000003</v>
      </c>
      <c r="M646" s="330">
        <v>13.98</v>
      </c>
      <c r="N646" s="325">
        <f t="shared" si="130"/>
        <v>93.050000000000011</v>
      </c>
      <c r="O646" s="27" t="s">
        <v>6269</v>
      </c>
      <c r="P646" s="56" t="s">
        <v>6259</v>
      </c>
      <c r="Q646" s="26" t="s">
        <v>6259</v>
      </c>
      <c r="R646" s="309" t="s">
        <v>6219</v>
      </c>
      <c r="S646" s="330">
        <v>3.14</v>
      </c>
      <c r="T646" s="67">
        <v>5.03</v>
      </c>
      <c r="U646" s="366">
        <f t="shared" si="135"/>
        <v>2.7944444444444445E-2</v>
      </c>
      <c r="V646" s="97">
        <v>8.82</v>
      </c>
      <c r="W646" s="36">
        <f>RTD("money.excel",,"6411","Price")</f>
        <v>180</v>
      </c>
      <c r="X646" s="67"/>
      <c r="Y646" s="15">
        <f t="shared" si="126"/>
        <v>180</v>
      </c>
      <c r="Z646" s="3" t="e">
        <f t="shared" si="127"/>
        <v>#DIV/0!</v>
      </c>
      <c r="AA646" s="174" t="s">
        <v>2185</v>
      </c>
      <c r="AB646" s="16" t="s">
        <v>267</v>
      </c>
      <c r="AE646" s="33">
        <f t="shared" si="128"/>
        <v>0</v>
      </c>
      <c r="AF646" s="43" t="s">
        <v>2615</v>
      </c>
      <c r="AG646" s="128"/>
      <c r="AI646" s="64">
        <f t="shared" si="136"/>
        <v>1.5486338797814208E-2</v>
      </c>
      <c r="AJ646" s="313">
        <f>RTD("money.excel",,$G646,"PredictVolume")</f>
        <v>1417</v>
      </c>
      <c r="AK646" s="348">
        <v>48.2</v>
      </c>
    </row>
    <row r="647" spans="1:37">
      <c r="A647" s="132" t="s">
        <v>3993</v>
      </c>
      <c r="B647" s="81">
        <v>103</v>
      </c>
      <c r="C647" s="81">
        <v>105</v>
      </c>
      <c r="D647" s="81">
        <v>1</v>
      </c>
      <c r="E647" s="81">
        <v>44</v>
      </c>
      <c r="F647" s="58">
        <v>30.5</v>
      </c>
      <c r="G647" s="81">
        <v>6415</v>
      </c>
      <c r="H647" s="8" t="s">
        <v>3761</v>
      </c>
      <c r="I647" s="22" t="s">
        <v>272</v>
      </c>
      <c r="J647" s="330">
        <v>35.28</v>
      </c>
      <c r="K647" s="330">
        <v>96.63</v>
      </c>
      <c r="L647" s="330">
        <v>0.34</v>
      </c>
      <c r="M647" s="330">
        <v>14.7</v>
      </c>
      <c r="N647" s="75">
        <f t="shared" si="130"/>
        <v>146.94999999999999</v>
      </c>
      <c r="O647" s="27"/>
      <c r="P647" s="56"/>
      <c r="Q647" s="26"/>
      <c r="R647" s="308" t="s">
        <v>6056</v>
      </c>
      <c r="S647" s="330">
        <v>3.19</v>
      </c>
      <c r="T647" s="67">
        <v>10.46</v>
      </c>
      <c r="U647" s="366">
        <f t="shared" si="135"/>
        <v>3.0629575402635434E-3</v>
      </c>
      <c r="V647" s="97">
        <v>58.56</v>
      </c>
      <c r="W647" s="157">
        <f>RTD("money.excel",,"6415","Price")</f>
        <v>3415</v>
      </c>
      <c r="X647" s="67"/>
      <c r="Y647" s="143">
        <f t="shared" si="126"/>
        <v>3415</v>
      </c>
      <c r="Z647" s="3" t="e">
        <f t="shared" si="127"/>
        <v>#DIV/0!</v>
      </c>
      <c r="AA647" s="174" t="s">
        <v>2185</v>
      </c>
      <c r="AB647" s="22" t="s">
        <v>272</v>
      </c>
      <c r="AE647" s="33">
        <f t="shared" si="128"/>
        <v>0</v>
      </c>
      <c r="AF647" s="122" t="s">
        <v>1506</v>
      </c>
      <c r="AG647" s="128"/>
      <c r="AI647" s="64">
        <f t="shared" si="136"/>
        <v>9.7454931071049838E-3</v>
      </c>
      <c r="AJ647" s="313">
        <f>RTD("money.excel",,$G647,"PredictVolume")</f>
        <v>919</v>
      </c>
      <c r="AK647" s="348"/>
    </row>
    <row r="648" spans="1:37">
      <c r="A648" s="132" t="s">
        <v>3497</v>
      </c>
      <c r="B648" s="81">
        <v>84</v>
      </c>
      <c r="C648" s="81">
        <v>110</v>
      </c>
      <c r="D648" s="81">
        <v>34</v>
      </c>
      <c r="E648" s="81">
        <v>33</v>
      </c>
      <c r="F648" s="58">
        <v>15</v>
      </c>
      <c r="G648" s="81">
        <v>6435</v>
      </c>
      <c r="H648" s="8" t="s">
        <v>3761</v>
      </c>
      <c r="I648" s="16" t="s">
        <v>5188</v>
      </c>
      <c r="J648" s="330">
        <v>43.41</v>
      </c>
      <c r="K648" s="330">
        <v>4.54</v>
      </c>
      <c r="L648" s="75">
        <v>32.18</v>
      </c>
      <c r="M648" s="75">
        <v>48.47</v>
      </c>
      <c r="N648" s="325">
        <f t="shared" si="130"/>
        <v>128.6</v>
      </c>
      <c r="O648" s="27" t="s">
        <v>6260</v>
      </c>
      <c r="P648" s="56" t="s">
        <v>6276</v>
      </c>
      <c r="Q648" s="26" t="s">
        <v>6276</v>
      </c>
      <c r="R648" s="309" t="s">
        <v>6219</v>
      </c>
      <c r="S648" s="330">
        <v>1.51</v>
      </c>
      <c r="T648" s="67">
        <v>5</v>
      </c>
      <c r="U648" s="366">
        <f t="shared" si="135"/>
        <v>3.484320557491289E-2</v>
      </c>
      <c r="V648" s="97">
        <v>11.25</v>
      </c>
      <c r="W648" s="36">
        <f>RTD("money.excel",,"6435","Price")</f>
        <v>143.5</v>
      </c>
      <c r="X648" s="67"/>
      <c r="Y648" s="15">
        <f t="shared" si="126"/>
        <v>143.5</v>
      </c>
      <c r="Z648" s="3" t="e">
        <f t="shared" si="127"/>
        <v>#DIV/0!</v>
      </c>
      <c r="AA648" s="174" t="s">
        <v>2185</v>
      </c>
      <c r="AB648" s="16" t="s">
        <v>5188</v>
      </c>
      <c r="AE648" s="33">
        <f t="shared" si="128"/>
        <v>0</v>
      </c>
      <c r="AF648" s="43" t="s">
        <v>2654</v>
      </c>
      <c r="AG648" s="128"/>
      <c r="AI648" s="64">
        <f t="shared" si="136"/>
        <v>5.9580838323353294E-3</v>
      </c>
      <c r="AJ648" s="313">
        <f>RTD("money.excel",,$G648,"PredictVolume")</f>
        <v>199</v>
      </c>
      <c r="AK648" s="348">
        <v>21.18</v>
      </c>
    </row>
    <row r="649" spans="1:37">
      <c r="A649" s="148" t="s">
        <v>1960</v>
      </c>
      <c r="B649" s="82">
        <v>-4</v>
      </c>
      <c r="C649" s="82">
        <v>-79</v>
      </c>
      <c r="D649" s="82">
        <v>-3</v>
      </c>
      <c r="E649" s="82">
        <v>-33</v>
      </c>
      <c r="F649" s="6">
        <v>3.96</v>
      </c>
      <c r="G649" s="81">
        <v>6451</v>
      </c>
      <c r="H649" s="8" t="s">
        <v>3761</v>
      </c>
      <c r="I649" s="22" t="s">
        <v>240</v>
      </c>
      <c r="J649" s="75">
        <v>63.4</v>
      </c>
      <c r="K649" s="330">
        <v>63.42</v>
      </c>
      <c r="L649" s="75">
        <v>14.65</v>
      </c>
      <c r="M649" s="75">
        <v>61.51</v>
      </c>
      <c r="N649" s="75">
        <f t="shared" si="130"/>
        <v>202.98</v>
      </c>
      <c r="O649" s="27"/>
      <c r="P649" s="56"/>
      <c r="Q649" s="26"/>
      <c r="R649" s="308" t="s">
        <v>4374</v>
      </c>
      <c r="S649" s="330">
        <v>1.91</v>
      </c>
      <c r="T649" s="67">
        <v>4.0999999999999996</v>
      </c>
      <c r="U649" s="366">
        <f t="shared" si="135"/>
        <v>4.9219687875150055E-2</v>
      </c>
      <c r="V649" s="58">
        <v>6.57</v>
      </c>
      <c r="W649" s="13">
        <f>RTD("money.excel",,"6451","Price")</f>
        <v>83.3</v>
      </c>
      <c r="X649" s="67"/>
      <c r="Y649" s="15">
        <f t="shared" si="126"/>
        <v>83.3</v>
      </c>
      <c r="Z649" s="3" t="e">
        <f t="shared" si="127"/>
        <v>#DIV/0!</v>
      </c>
      <c r="AA649" s="174" t="s">
        <v>2185</v>
      </c>
      <c r="AB649" s="22" t="s">
        <v>240</v>
      </c>
      <c r="AE649" s="33">
        <f t="shared" si="128"/>
        <v>0</v>
      </c>
      <c r="AF649" s="122" t="s">
        <v>2815</v>
      </c>
      <c r="AG649" s="128"/>
      <c r="AI649" s="64">
        <f t="shared" si="136"/>
        <v>2.1214953271028038E-3</v>
      </c>
      <c r="AJ649" s="313">
        <f>RTD("money.excel",,$G649,"PredictVolume")</f>
        <v>227</v>
      </c>
      <c r="AK649" s="348"/>
    </row>
    <row r="650" spans="1:37">
      <c r="A650" s="132" t="s">
        <v>1914</v>
      </c>
      <c r="B650" s="81">
        <v>109</v>
      </c>
      <c r="C650" s="81">
        <v>89</v>
      </c>
      <c r="D650" s="82">
        <v>-9</v>
      </c>
      <c r="E650" s="82">
        <v>-4</v>
      </c>
      <c r="F650" s="58">
        <v>32.36</v>
      </c>
      <c r="G650" s="81">
        <v>6457</v>
      </c>
      <c r="H650" s="151" t="s">
        <v>3761</v>
      </c>
      <c r="I650" s="16" t="s">
        <v>408</v>
      </c>
      <c r="J650" s="75">
        <v>17.48</v>
      </c>
      <c r="K650" s="75">
        <v>8.32</v>
      </c>
      <c r="L650" s="75">
        <v>15.69</v>
      </c>
      <c r="M650" s="330">
        <v>12.86</v>
      </c>
      <c r="N650" s="325">
        <f t="shared" si="130"/>
        <v>54.35</v>
      </c>
      <c r="O650" s="27" t="s">
        <v>6460</v>
      </c>
      <c r="P650" s="56" t="s">
        <v>6461</v>
      </c>
      <c r="Q650" s="26" t="s">
        <v>6462</v>
      </c>
      <c r="R650" s="309" t="s">
        <v>6465</v>
      </c>
      <c r="S650" s="330">
        <v>1.19</v>
      </c>
      <c r="T650" s="67">
        <v>6.32</v>
      </c>
      <c r="U650" s="366">
        <f t="shared" si="135"/>
        <v>4.22742474916388E-2</v>
      </c>
      <c r="V650" s="97">
        <v>12.2</v>
      </c>
      <c r="W650" s="36">
        <f>RTD("money.excel",,"6457","Price")</f>
        <v>149.5</v>
      </c>
      <c r="X650" s="67"/>
      <c r="Y650" s="15">
        <f t="shared" si="126"/>
        <v>149.5</v>
      </c>
      <c r="Z650" s="3" t="e">
        <f t="shared" si="127"/>
        <v>#DIV/0!</v>
      </c>
      <c r="AA650" s="174" t="s">
        <v>2185</v>
      </c>
      <c r="AB650" s="16" t="s">
        <v>408</v>
      </c>
      <c r="AE650" s="33">
        <f t="shared" si="128"/>
        <v>0</v>
      </c>
      <c r="AF650" s="43" t="s">
        <v>2884</v>
      </c>
      <c r="AG650" s="128"/>
      <c r="AI650" s="64">
        <f t="shared" si="136"/>
        <v>1.3636363636363636E-2</v>
      </c>
      <c r="AJ650" s="313">
        <f>RTD("money.excel",,$G650,"PredictVolume")</f>
        <v>435</v>
      </c>
      <c r="AK650" s="348">
        <v>30.26</v>
      </c>
    </row>
    <row r="651" spans="1:37">
      <c r="A651" s="148" t="s">
        <v>2026</v>
      </c>
      <c r="B651" s="82">
        <v>-129</v>
      </c>
      <c r="C651" s="82">
        <v>-125</v>
      </c>
      <c r="D651" s="81">
        <v>16</v>
      </c>
      <c r="E651" s="82">
        <v>-42</v>
      </c>
      <c r="F651" s="6">
        <v>-8.08</v>
      </c>
      <c r="G651" s="81">
        <v>6462</v>
      </c>
      <c r="H651" s="151" t="s">
        <v>3761</v>
      </c>
      <c r="I651" s="16" t="s">
        <v>234</v>
      </c>
      <c r="J651" s="330">
        <v>14.59</v>
      </c>
      <c r="K651" s="330">
        <v>20.14</v>
      </c>
      <c r="L651" s="75">
        <v>27.6</v>
      </c>
      <c r="M651" s="75">
        <v>9.7100000000000009</v>
      </c>
      <c r="N651" s="325">
        <f t="shared" si="130"/>
        <v>72.040000000000006</v>
      </c>
      <c r="O651" s="27"/>
      <c r="P651" s="56"/>
      <c r="Q651" s="26"/>
      <c r="R651" s="308" t="s">
        <v>4374</v>
      </c>
      <c r="S651" s="330">
        <v>5.58</v>
      </c>
      <c r="T651" s="67">
        <v>15</v>
      </c>
      <c r="U651" s="366">
        <f t="shared" si="135"/>
        <v>0.15706806282722513</v>
      </c>
      <c r="V651" s="97">
        <v>-2.48</v>
      </c>
      <c r="W651" s="36">
        <f>RTD("money.excel",,"6462","Price")</f>
        <v>95.5</v>
      </c>
      <c r="X651" s="67"/>
      <c r="Y651" s="15">
        <f t="shared" si="126"/>
        <v>95.5</v>
      </c>
      <c r="Z651" s="3" t="e">
        <f t="shared" si="127"/>
        <v>#DIV/0!</v>
      </c>
      <c r="AA651" s="174" t="s">
        <v>2185</v>
      </c>
      <c r="AB651" s="16" t="s">
        <v>234</v>
      </c>
      <c r="AE651" s="33">
        <f t="shared" si="128"/>
        <v>0</v>
      </c>
      <c r="AF651" s="122" t="s">
        <v>1510</v>
      </c>
      <c r="AG651" s="269"/>
      <c r="AI651" s="64">
        <f t="shared" si="136"/>
        <v>2.9581529581529584E-3</v>
      </c>
      <c r="AJ651" s="313">
        <f>RTD("money.excel",,$G651,"PredictVolume")</f>
        <v>205</v>
      </c>
      <c r="AK651" s="348"/>
    </row>
    <row r="652" spans="1:37">
      <c r="A652" s="132" t="s">
        <v>6299</v>
      </c>
      <c r="B652" s="95">
        <v>7630</v>
      </c>
      <c r="C652" s="95">
        <v>2113</v>
      </c>
      <c r="D652" s="82">
        <v>-9</v>
      </c>
      <c r="E652" s="81">
        <v>58</v>
      </c>
      <c r="F652" s="58">
        <v>29.19</v>
      </c>
      <c r="G652" s="81">
        <v>6485</v>
      </c>
      <c r="H652" s="17" t="s">
        <v>3761</v>
      </c>
      <c r="I652" s="16" t="s">
        <v>246</v>
      </c>
      <c r="J652" s="75">
        <v>10.3</v>
      </c>
      <c r="K652" s="75">
        <v>8.51</v>
      </c>
      <c r="L652" s="330">
        <v>61.79</v>
      </c>
      <c r="M652" s="330">
        <v>10.81</v>
      </c>
      <c r="N652" s="325">
        <f t="shared" si="130"/>
        <v>91.41</v>
      </c>
      <c r="O652" s="27" t="s">
        <v>6185</v>
      </c>
      <c r="P652" s="56" t="s">
        <v>6275</v>
      </c>
      <c r="Q652" s="26" t="s">
        <v>6275</v>
      </c>
      <c r="R652" s="385" t="s">
        <v>6290</v>
      </c>
      <c r="S652" s="330">
        <v>3.62</v>
      </c>
      <c r="T652" s="34">
        <v>0.49</v>
      </c>
      <c r="U652" s="366">
        <f t="shared" si="135"/>
        <v>3.5766423357664234E-3</v>
      </c>
      <c r="V652" s="97">
        <v>8.48</v>
      </c>
      <c r="W652" s="36">
        <f>RTD("money.excel",,"6485","Price")</f>
        <v>137</v>
      </c>
      <c r="X652" s="67"/>
      <c r="Y652" s="15">
        <f t="shared" si="126"/>
        <v>137</v>
      </c>
      <c r="Z652" s="3" t="e">
        <f t="shared" si="127"/>
        <v>#DIV/0!</v>
      </c>
      <c r="AA652" s="174" t="s">
        <v>1943</v>
      </c>
      <c r="AB652" s="16" t="s">
        <v>246</v>
      </c>
      <c r="AE652" s="33">
        <f t="shared" si="128"/>
        <v>0</v>
      </c>
      <c r="AF652" s="43" t="s">
        <v>2885</v>
      </c>
      <c r="AG652" s="128"/>
      <c r="AI652" s="64">
        <f t="shared" si="136"/>
        <v>1.5441860465116279E-2</v>
      </c>
      <c r="AJ652" s="313">
        <f>RTD("money.excel",,$G652,"PredictVolume")</f>
        <v>664</v>
      </c>
      <c r="AK652" s="348">
        <v>69.739999999999995</v>
      </c>
    </row>
    <row r="653" spans="1:37">
      <c r="A653" s="132" t="s">
        <v>1831</v>
      </c>
      <c r="B653" s="81">
        <v>5</v>
      </c>
      <c r="C653" s="81">
        <v>2</v>
      </c>
      <c r="D653" s="81">
        <v>6</v>
      </c>
      <c r="E653" s="81">
        <v>12</v>
      </c>
      <c r="F653" s="58">
        <v>27.36</v>
      </c>
      <c r="G653" s="81">
        <v>6488</v>
      </c>
      <c r="H653" s="206" t="s">
        <v>3761</v>
      </c>
      <c r="I653" s="16" t="s">
        <v>34</v>
      </c>
      <c r="J653" s="75">
        <v>73.260000000000005</v>
      </c>
      <c r="K653" s="330">
        <v>34.54</v>
      </c>
      <c r="L653" s="75">
        <v>2.04</v>
      </c>
      <c r="N653" s="325">
        <f t="shared" si="130"/>
        <v>109.84000000000002</v>
      </c>
      <c r="O653" s="27"/>
      <c r="P653" s="56"/>
      <c r="Q653" s="26"/>
      <c r="S653" s="330">
        <v>11.96</v>
      </c>
      <c r="T653" s="67">
        <v>10</v>
      </c>
      <c r="U653" s="366">
        <f t="shared" si="135"/>
        <v>1.5673981191222569E-2</v>
      </c>
      <c r="V653" s="58">
        <v>30.95</v>
      </c>
      <c r="W653" s="36">
        <f>RTD("money.excel",,"6488","Price")</f>
        <v>638</v>
      </c>
      <c r="X653" s="67"/>
      <c r="Y653" s="15">
        <f t="shared" si="126"/>
        <v>638</v>
      </c>
      <c r="Z653" s="3" t="e">
        <f t="shared" si="127"/>
        <v>#DIV/0!</v>
      </c>
      <c r="AA653" s="174" t="s">
        <v>2185</v>
      </c>
      <c r="AB653" s="16" t="s">
        <v>34</v>
      </c>
      <c r="AE653" s="33">
        <f t="shared" si="128"/>
        <v>0</v>
      </c>
      <c r="AF653" s="123" t="s">
        <v>2645</v>
      </c>
      <c r="AG653" s="128"/>
      <c r="AI653" s="64">
        <f t="shared" si="136"/>
        <v>2.6041189931350116E-3</v>
      </c>
      <c r="AJ653" s="313">
        <f>RTD("money.excel",,$G653,"PredictVolume")</f>
        <v>1138</v>
      </c>
      <c r="AK653" s="348"/>
    </row>
    <row r="654" spans="1:37">
      <c r="A654" s="132" t="s">
        <v>1709</v>
      </c>
      <c r="B654" s="95">
        <v>1185</v>
      </c>
      <c r="C654" s="95">
        <v>1672</v>
      </c>
      <c r="D654" s="81">
        <v>13</v>
      </c>
      <c r="E654" s="81">
        <v>108</v>
      </c>
      <c r="F654" s="58">
        <v>18.190000000000001</v>
      </c>
      <c r="G654" s="81">
        <v>6494</v>
      </c>
      <c r="H654" s="206" t="s">
        <v>3761</v>
      </c>
      <c r="I654" s="16" t="s">
        <v>409</v>
      </c>
      <c r="J654" s="75">
        <v>5.23</v>
      </c>
      <c r="K654" s="75">
        <v>12.1</v>
      </c>
      <c r="L654" s="75">
        <v>22.41</v>
      </c>
      <c r="N654" s="325">
        <f t="shared" si="130"/>
        <v>39.739999999999995</v>
      </c>
      <c r="O654" s="27"/>
      <c r="P654" s="56"/>
      <c r="Q654" s="26"/>
      <c r="S654" s="330">
        <v>3.03</v>
      </c>
      <c r="T654" s="67">
        <v>3.5</v>
      </c>
      <c r="U654" s="366">
        <f t="shared" si="135"/>
        <v>2.4137931034482758E-2</v>
      </c>
      <c r="V654" s="97">
        <v>5.68</v>
      </c>
      <c r="W654" s="36">
        <f>RTD("money.excel",,"6494","Price")</f>
        <v>145</v>
      </c>
      <c r="X654" s="67"/>
      <c r="Y654" s="15">
        <f t="shared" si="126"/>
        <v>145</v>
      </c>
      <c r="Z654" s="3" t="e">
        <f t="shared" si="127"/>
        <v>#DIV/0!</v>
      </c>
      <c r="AA654" s="174" t="s">
        <v>2185</v>
      </c>
      <c r="AB654" s="16" t="s">
        <v>409</v>
      </c>
      <c r="AE654" s="33">
        <f t="shared" si="128"/>
        <v>0</v>
      </c>
      <c r="AF654" s="43" t="s">
        <v>2886</v>
      </c>
      <c r="AG654" s="128"/>
      <c r="AI654" s="64">
        <f t="shared" si="136"/>
        <v>8.7658227848101261E-3</v>
      </c>
      <c r="AJ654" s="313">
        <f>RTD("money.excel",,$G654,"PredictVolume")</f>
        <v>277</v>
      </c>
      <c r="AK654" s="348"/>
    </row>
    <row r="655" spans="1:37">
      <c r="A655" s="132" t="s">
        <v>1833</v>
      </c>
      <c r="B655" s="82">
        <v>-12</v>
      </c>
      <c r="C655" s="82">
        <v>-17</v>
      </c>
      <c r="D655" s="82">
        <v>2</v>
      </c>
      <c r="E655" s="81">
        <v>26</v>
      </c>
      <c r="F655" s="58">
        <v>24.54</v>
      </c>
      <c r="G655" s="81">
        <v>6510</v>
      </c>
      <c r="H655" s="206" t="s">
        <v>3761</v>
      </c>
      <c r="I655" s="16" t="s">
        <v>235</v>
      </c>
      <c r="J655" s="75">
        <v>44.01</v>
      </c>
      <c r="K655" s="330">
        <v>14.31</v>
      </c>
      <c r="L655" s="330">
        <v>15.64</v>
      </c>
      <c r="M655" s="330">
        <v>38.82</v>
      </c>
      <c r="N655" s="325">
        <f t="shared" si="130"/>
        <v>112.78</v>
      </c>
      <c r="O655" s="27"/>
      <c r="P655" s="56"/>
      <c r="Q655" s="26"/>
      <c r="R655" s="308" t="s">
        <v>4374</v>
      </c>
      <c r="S655" s="330">
        <v>6.54</v>
      </c>
      <c r="T655" s="67">
        <v>12</v>
      </c>
      <c r="U655" s="366">
        <f t="shared" si="135"/>
        <v>1.9834710743801654E-2</v>
      </c>
      <c r="V655" s="97">
        <v>25.81</v>
      </c>
      <c r="W655" s="36">
        <f>RTD("money.excel",,"6510","Price")</f>
        <v>605</v>
      </c>
      <c r="X655" s="67"/>
      <c r="Y655" s="15">
        <f t="shared" si="126"/>
        <v>605</v>
      </c>
      <c r="Z655" s="3" t="e">
        <f t="shared" si="127"/>
        <v>#DIV/0!</v>
      </c>
      <c r="AA655" s="174" t="s">
        <v>2185</v>
      </c>
      <c r="AB655" s="16" t="s">
        <v>235</v>
      </c>
      <c r="AE655" s="33">
        <f t="shared" si="128"/>
        <v>0</v>
      </c>
      <c r="AF655" s="122" t="s">
        <v>1511</v>
      </c>
      <c r="AG655" s="128"/>
      <c r="AI655" s="64">
        <f t="shared" si="136"/>
        <v>2.1646341463414636E-3</v>
      </c>
      <c r="AJ655" s="313">
        <f>RTD("money.excel",,$G655,"PredictVolume")</f>
        <v>71</v>
      </c>
      <c r="AK655" s="348"/>
    </row>
    <row r="656" spans="1:37">
      <c r="A656" s="132" t="s">
        <v>1555</v>
      </c>
      <c r="B656" s="82">
        <v>-39</v>
      </c>
      <c r="C656" s="82">
        <v>-40</v>
      </c>
      <c r="D656" s="81">
        <v>2</v>
      </c>
      <c r="E656" s="81">
        <v>62</v>
      </c>
      <c r="F656" s="58">
        <v>16.149999999999999</v>
      </c>
      <c r="G656" s="81">
        <v>6515</v>
      </c>
      <c r="H656" s="8" t="s">
        <v>3761</v>
      </c>
      <c r="I656" s="22" t="s">
        <v>2772</v>
      </c>
      <c r="J656" s="330">
        <v>30.56</v>
      </c>
      <c r="K656" s="75">
        <v>12.33</v>
      </c>
      <c r="L656" s="330">
        <v>9.64</v>
      </c>
      <c r="M656" s="330">
        <v>21.84</v>
      </c>
      <c r="N656" s="325">
        <f t="shared" si="130"/>
        <v>74.37</v>
      </c>
      <c r="O656" s="27"/>
      <c r="P656" s="56"/>
      <c r="Q656" s="26"/>
      <c r="R656" s="308" t="s">
        <v>4372</v>
      </c>
      <c r="S656" s="330">
        <v>0.76</v>
      </c>
      <c r="T656" s="67">
        <v>12.98</v>
      </c>
      <c r="U656" s="366">
        <f t="shared" ref="U656:U687" si="137">T656/W656</f>
        <v>3.298602287166455E-2</v>
      </c>
      <c r="V656" s="97">
        <v>15.24</v>
      </c>
      <c r="W656" s="36">
        <f>RTD("money.excel",,"6515","Price")</f>
        <v>393.5</v>
      </c>
      <c r="X656" s="67"/>
      <c r="Y656" s="15">
        <f t="shared" si="126"/>
        <v>393.5</v>
      </c>
      <c r="Z656" s="3" t="e">
        <f t="shared" si="127"/>
        <v>#DIV/0!</v>
      </c>
      <c r="AA656" s="174" t="s">
        <v>2185</v>
      </c>
      <c r="AB656" s="22" t="s">
        <v>2772</v>
      </c>
      <c r="AE656" s="33">
        <f t="shared" si="128"/>
        <v>0</v>
      </c>
      <c r="AF656" s="122" t="s">
        <v>2774</v>
      </c>
      <c r="AG656" s="128"/>
      <c r="AI656" s="64">
        <f t="shared" ref="AI656:AI687" si="138">AJ656/(A656*10000)</f>
        <v>3.4926253687315632E-2</v>
      </c>
      <c r="AJ656" s="313">
        <f>RTD("money.excel",,$G656,"PredictVolume")</f>
        <v>1184</v>
      </c>
      <c r="AK656" s="348"/>
    </row>
    <row r="657" spans="1:37">
      <c r="A657" s="132" t="s">
        <v>1737</v>
      </c>
      <c r="B657" s="82">
        <v>-1</v>
      </c>
      <c r="C657" s="82">
        <v>-18</v>
      </c>
      <c r="D657" s="82">
        <v>-4</v>
      </c>
      <c r="E657" s="81">
        <v>9</v>
      </c>
      <c r="F657" s="58">
        <v>18.03</v>
      </c>
      <c r="G657" s="81">
        <v>6525</v>
      </c>
      <c r="H657" s="8" t="s">
        <v>3761</v>
      </c>
      <c r="I657" s="22" t="s">
        <v>307</v>
      </c>
      <c r="J657" s="75">
        <v>68.099999999999994</v>
      </c>
      <c r="K657" s="75">
        <v>12.34</v>
      </c>
      <c r="L657" s="75">
        <v>4.4000000000000004</v>
      </c>
      <c r="N657" s="325">
        <f t="shared" ref="N657:N676" si="139">J657+K657+L657+M657</f>
        <v>84.84</v>
      </c>
      <c r="O657" s="27"/>
      <c r="P657" s="56"/>
      <c r="Q657" s="26"/>
      <c r="S657" s="330">
        <v>0.02</v>
      </c>
      <c r="T657" s="67">
        <v>4.5</v>
      </c>
      <c r="U657" s="366">
        <f t="shared" si="137"/>
        <v>5.0732807215332583E-2</v>
      </c>
      <c r="V657" s="97">
        <v>5.31</v>
      </c>
      <c r="W657" s="36">
        <f>RTD("money.excel",,"6525","Price")</f>
        <v>88.7</v>
      </c>
      <c r="X657" s="67"/>
      <c r="Y657" s="15">
        <f t="shared" ref="Y657:Y693" si="140">W657-X657</f>
        <v>88.7</v>
      </c>
      <c r="Z657" s="3" t="e">
        <f t="shared" ref="Z657:Z693" si="141">Y657/X657</f>
        <v>#DIV/0!</v>
      </c>
      <c r="AA657" s="174" t="s">
        <v>1986</v>
      </c>
      <c r="AB657" s="22" t="s">
        <v>307</v>
      </c>
      <c r="AE657" s="33">
        <f t="shared" ref="AE657:AE693" si="142">AD657-AC657</f>
        <v>0</v>
      </c>
      <c r="AF657" s="43" t="s">
        <v>2913</v>
      </c>
      <c r="AG657" s="128"/>
      <c r="AI657" s="64">
        <f t="shared" si="138"/>
        <v>8.7596899224806201E-4</v>
      </c>
      <c r="AJ657" s="313">
        <f>RTD("money.excel",,$G657,"PredictVolume")</f>
        <v>113</v>
      </c>
      <c r="AK657" s="348"/>
    </row>
    <row r="658" spans="1:37">
      <c r="A658" s="132" t="s">
        <v>2278</v>
      </c>
      <c r="B658" s="81">
        <v>146</v>
      </c>
      <c r="C658" s="81">
        <v>356</v>
      </c>
      <c r="D658" s="82">
        <v>-6</v>
      </c>
      <c r="E658" s="81">
        <v>47</v>
      </c>
      <c r="F658" s="58">
        <v>35.82</v>
      </c>
      <c r="G658" s="81">
        <v>6531</v>
      </c>
      <c r="H658" s="8" t="s">
        <v>3761</v>
      </c>
      <c r="I658" s="22" t="s">
        <v>383</v>
      </c>
      <c r="J658" s="330">
        <v>49.15</v>
      </c>
      <c r="K658" s="75">
        <v>17.8</v>
      </c>
      <c r="L658" s="330">
        <v>36.11</v>
      </c>
      <c r="M658" s="330">
        <v>18.329999999999998</v>
      </c>
      <c r="N658" s="325">
        <f t="shared" si="139"/>
        <v>121.39</v>
      </c>
      <c r="O658" s="27"/>
      <c r="P658" s="56" t="s">
        <v>6485</v>
      </c>
      <c r="Q658" s="26" t="s">
        <v>6486</v>
      </c>
      <c r="R658" s="309" t="s">
        <v>4373</v>
      </c>
      <c r="S658" s="330">
        <v>4.4000000000000004</v>
      </c>
      <c r="T658" s="67">
        <v>6</v>
      </c>
      <c r="U658" s="366">
        <f t="shared" si="137"/>
        <v>1.7804154302670624E-2</v>
      </c>
      <c r="V658" s="97">
        <v>10.94</v>
      </c>
      <c r="W658" s="36">
        <f>RTD("money.excel",,"6531","Price")</f>
        <v>337</v>
      </c>
      <c r="X658" s="67"/>
      <c r="Y658" s="15">
        <f t="shared" si="140"/>
        <v>337</v>
      </c>
      <c r="Z658" s="3" t="e">
        <f t="shared" si="141"/>
        <v>#DIV/0!</v>
      </c>
      <c r="AA658" s="174" t="s">
        <v>2185</v>
      </c>
      <c r="AB658" s="22" t="s">
        <v>383</v>
      </c>
      <c r="AE658" s="33">
        <f t="shared" si="142"/>
        <v>0</v>
      </c>
      <c r="AF658" s="61" t="s">
        <v>2592</v>
      </c>
      <c r="AG658" s="128"/>
      <c r="AI658" s="64">
        <f t="shared" si="138"/>
        <v>2.9913258983890953E-2</v>
      </c>
      <c r="AJ658" s="313">
        <f>RTD("money.excel",,$G658,"PredictVolume")</f>
        <v>2414</v>
      </c>
      <c r="AK658" s="348">
        <v>30.22</v>
      </c>
    </row>
    <row r="659" spans="1:37">
      <c r="A659" s="132" t="s">
        <v>1916</v>
      </c>
      <c r="B659" s="82">
        <v>-32</v>
      </c>
      <c r="C659" s="82">
        <v>-32</v>
      </c>
      <c r="D659" s="82">
        <v>-20</v>
      </c>
      <c r="E659" s="82">
        <v>-5</v>
      </c>
      <c r="F659" s="58">
        <v>23.82</v>
      </c>
      <c r="G659" s="81">
        <v>6532</v>
      </c>
      <c r="H659" s="206" t="s">
        <v>3761</v>
      </c>
      <c r="I659" s="16" t="s">
        <v>410</v>
      </c>
      <c r="J659" s="330">
        <v>15.08</v>
      </c>
      <c r="K659" s="330">
        <v>2.1800000000000002</v>
      </c>
      <c r="L659" s="330">
        <v>22.97</v>
      </c>
      <c r="M659" s="330">
        <v>13.71</v>
      </c>
      <c r="N659" s="325">
        <f t="shared" si="139"/>
        <v>53.940000000000005</v>
      </c>
      <c r="O659" s="27" t="s">
        <v>6195</v>
      </c>
      <c r="P659" s="56"/>
      <c r="Q659" s="26"/>
      <c r="R659" s="309" t="s">
        <v>6163</v>
      </c>
      <c r="S659" s="330">
        <v>1.37</v>
      </c>
      <c r="T659" s="34">
        <v>2</v>
      </c>
      <c r="U659" s="366">
        <f t="shared" si="137"/>
        <v>4.2826552462526764E-2</v>
      </c>
      <c r="V659" s="97">
        <v>2.04</v>
      </c>
      <c r="W659" s="36">
        <f>RTD("money.excel",,"6532","Price")</f>
        <v>46.7</v>
      </c>
      <c r="X659" s="67"/>
      <c r="Y659" s="15">
        <f t="shared" si="140"/>
        <v>46.7</v>
      </c>
      <c r="Z659" s="3" t="e">
        <f t="shared" si="141"/>
        <v>#DIV/0!</v>
      </c>
      <c r="AA659" s="174" t="s">
        <v>1943</v>
      </c>
      <c r="AB659" s="16" t="s">
        <v>410</v>
      </c>
      <c r="AE659" s="33">
        <f t="shared" si="142"/>
        <v>0</v>
      </c>
      <c r="AF659" s="43" t="s">
        <v>2827</v>
      </c>
      <c r="AG659" s="128"/>
      <c r="AI659" s="64">
        <f t="shared" si="138"/>
        <v>1.3019390581717452E-3</v>
      </c>
      <c r="AJ659" s="313">
        <f>RTD("money.excel",,$G659,"PredictVolume")</f>
        <v>47</v>
      </c>
      <c r="AK659" s="348">
        <v>13.7</v>
      </c>
    </row>
    <row r="660" spans="1:37">
      <c r="A660" s="132" t="s">
        <v>4258</v>
      </c>
      <c r="B660" s="81">
        <v>258</v>
      </c>
      <c r="C660" s="81">
        <v>236</v>
      </c>
      <c r="D660" s="81">
        <v>58</v>
      </c>
      <c r="E660" s="81">
        <v>217</v>
      </c>
      <c r="F660" s="58">
        <v>22.97</v>
      </c>
      <c r="G660" s="81">
        <v>6533</v>
      </c>
      <c r="H660" s="8" t="s">
        <v>3761</v>
      </c>
      <c r="I660" s="22" t="s">
        <v>5189</v>
      </c>
      <c r="J660" s="330">
        <v>43.07</v>
      </c>
      <c r="K660" s="330">
        <v>33.840000000000003</v>
      </c>
      <c r="L660" s="330">
        <v>46.29</v>
      </c>
      <c r="N660" s="325">
        <f t="shared" si="139"/>
        <v>123.19999999999999</v>
      </c>
      <c r="O660" s="27"/>
      <c r="P660" s="56"/>
      <c r="Q660" s="26"/>
      <c r="S660" s="330">
        <v>10.92</v>
      </c>
      <c r="T660" s="34">
        <v>0.74</v>
      </c>
      <c r="U660" s="366">
        <f t="shared" si="137"/>
        <v>1.8686868686868686E-3</v>
      </c>
      <c r="V660" s="97">
        <v>4.18</v>
      </c>
      <c r="W660" s="36">
        <f>RTD("money.excel",,"6533","Price")</f>
        <v>396</v>
      </c>
      <c r="X660" s="67"/>
      <c r="Y660" s="15">
        <f t="shared" si="140"/>
        <v>396</v>
      </c>
      <c r="Z660" s="3" t="e">
        <f t="shared" si="141"/>
        <v>#DIV/0!</v>
      </c>
      <c r="AA660" s="174" t="s">
        <v>1943</v>
      </c>
      <c r="AB660" s="22" t="s">
        <v>5189</v>
      </c>
      <c r="AE660" s="33">
        <f t="shared" si="142"/>
        <v>0</v>
      </c>
      <c r="AF660" s="43" t="s">
        <v>2832</v>
      </c>
      <c r="AG660" s="128"/>
      <c r="AI660" s="64">
        <f t="shared" si="138"/>
        <v>1.3431952662721893E-2</v>
      </c>
      <c r="AJ660" s="313">
        <f>RTD("money.excel",,$G660,"PredictVolume")</f>
        <v>681</v>
      </c>
      <c r="AK660" s="348"/>
    </row>
    <row r="661" spans="1:37">
      <c r="A661" s="132" t="s">
        <v>3972</v>
      </c>
      <c r="B661" s="81">
        <v>84</v>
      </c>
      <c r="C661" s="81">
        <v>120</v>
      </c>
      <c r="D661" s="81">
        <v>2</v>
      </c>
      <c r="E661" s="81">
        <v>32</v>
      </c>
      <c r="F661" s="58">
        <v>15.8</v>
      </c>
      <c r="G661" s="81">
        <v>6548</v>
      </c>
      <c r="H661" s="206" t="s">
        <v>3761</v>
      </c>
      <c r="I661" s="16" t="s">
        <v>1464</v>
      </c>
      <c r="J661" s="330">
        <v>84.12</v>
      </c>
      <c r="K661" s="75">
        <v>6.06</v>
      </c>
      <c r="L661" s="330">
        <v>7.37</v>
      </c>
      <c r="M661" s="330">
        <v>63.22</v>
      </c>
      <c r="N661" s="75">
        <f t="shared" si="139"/>
        <v>160.77000000000001</v>
      </c>
      <c r="O661" s="27" t="s">
        <v>6182</v>
      </c>
      <c r="P661" s="56"/>
      <c r="Q661" s="26"/>
      <c r="R661" s="309" t="s">
        <v>6219</v>
      </c>
      <c r="S661" s="330">
        <v>5.66</v>
      </c>
      <c r="T661" s="67">
        <v>0.68</v>
      </c>
      <c r="U661" s="366">
        <f t="shared" si="137"/>
        <v>6.9458631256384068E-3</v>
      </c>
      <c r="V661" s="58">
        <v>3.64</v>
      </c>
      <c r="W661" s="36">
        <f>RTD("money.excel",,"6548","Price")</f>
        <v>97.9</v>
      </c>
      <c r="X661" s="67"/>
      <c r="Y661" s="15">
        <f t="shared" si="140"/>
        <v>97.9</v>
      </c>
      <c r="Z661" s="3" t="e">
        <f t="shared" si="141"/>
        <v>#DIV/0!</v>
      </c>
      <c r="AA661" s="174" t="s">
        <v>2185</v>
      </c>
      <c r="AB661" s="16" t="s">
        <v>1464</v>
      </c>
      <c r="AE661" s="33">
        <f t="shared" si="142"/>
        <v>0</v>
      </c>
      <c r="AF661" s="122" t="s">
        <v>3329</v>
      </c>
      <c r="AG661" s="128"/>
      <c r="AI661" s="64">
        <f t="shared" si="138"/>
        <v>1.1916010498687664E-2</v>
      </c>
      <c r="AJ661" s="313">
        <f>RTD("money.excel",,$G661,"PredictVolume")</f>
        <v>454</v>
      </c>
      <c r="AK661" s="348">
        <v>72.3</v>
      </c>
    </row>
    <row r="662" spans="1:37">
      <c r="A662" s="148" t="s">
        <v>3480</v>
      </c>
      <c r="B662" s="81">
        <v>193</v>
      </c>
      <c r="C662" s="95">
        <v>6133</v>
      </c>
      <c r="D662" s="82">
        <v>-1</v>
      </c>
      <c r="E662" s="81">
        <v>7</v>
      </c>
      <c r="F662" s="6">
        <v>4.97</v>
      </c>
      <c r="G662" s="81">
        <v>6552</v>
      </c>
      <c r="H662" s="8" t="s">
        <v>3761</v>
      </c>
      <c r="I662" s="22" t="s">
        <v>384</v>
      </c>
      <c r="J662" s="330">
        <v>54.81</v>
      </c>
      <c r="K662" s="75">
        <v>2.4300000000000002</v>
      </c>
      <c r="L662" s="75">
        <v>12.05</v>
      </c>
      <c r="N662" s="325">
        <f t="shared" si="139"/>
        <v>69.290000000000006</v>
      </c>
      <c r="O662" s="27"/>
      <c r="P662" s="56"/>
      <c r="Q662" s="26"/>
      <c r="S662" s="330">
        <v>1.4</v>
      </c>
      <c r="T662" s="34">
        <v>1.5</v>
      </c>
      <c r="U662" s="366">
        <f t="shared" si="137"/>
        <v>0.03</v>
      </c>
      <c r="V662" s="58">
        <v>1.85</v>
      </c>
      <c r="W662" s="36">
        <f>RTD("money.excel",,"6552","Price")</f>
        <v>50</v>
      </c>
      <c r="X662" s="67"/>
      <c r="Y662" s="15">
        <f t="shared" si="140"/>
        <v>50</v>
      </c>
      <c r="Z662" s="3" t="e">
        <f t="shared" si="141"/>
        <v>#DIV/0!</v>
      </c>
      <c r="AA662" s="174" t="s">
        <v>1943</v>
      </c>
      <c r="AB662" s="22" t="s">
        <v>384</v>
      </c>
      <c r="AE662" s="33">
        <f t="shared" si="142"/>
        <v>0</v>
      </c>
      <c r="AF662" s="43" t="s">
        <v>3059</v>
      </c>
      <c r="AG662" s="128"/>
      <c r="AI662" s="64">
        <f t="shared" si="138"/>
        <v>2.4096385542168674E-4</v>
      </c>
      <c r="AJ662" s="313">
        <f>RTD("money.excel",,$G662,"PredictVolume")</f>
        <v>20</v>
      </c>
      <c r="AK662" s="348"/>
    </row>
    <row r="663" spans="1:37">
      <c r="A663" s="132" t="s">
        <v>3543</v>
      </c>
      <c r="B663" s="81">
        <v>13</v>
      </c>
      <c r="C663" s="82">
        <v>-12</v>
      </c>
      <c r="D663" s="81">
        <v>34</v>
      </c>
      <c r="E663" s="82">
        <v>-4</v>
      </c>
      <c r="F663" s="58">
        <v>16.309999999999999</v>
      </c>
      <c r="G663" s="81">
        <v>6568</v>
      </c>
      <c r="H663" s="206" t="s">
        <v>3761</v>
      </c>
      <c r="I663" s="16" t="s">
        <v>5190</v>
      </c>
      <c r="J663" s="75">
        <v>11.42</v>
      </c>
      <c r="K663" s="75">
        <v>7.78</v>
      </c>
      <c r="M663" s="330">
        <v>12.67</v>
      </c>
      <c r="N663" s="325">
        <f t="shared" si="139"/>
        <v>31.869999999999997</v>
      </c>
      <c r="O663" s="27"/>
      <c r="P663" s="56"/>
      <c r="Q663" s="26"/>
      <c r="S663" s="330">
        <v>1.04</v>
      </c>
      <c r="T663" s="67">
        <v>7.08</v>
      </c>
      <c r="U663" s="366">
        <f t="shared" si="137"/>
        <v>3.4705882352941177E-2</v>
      </c>
      <c r="V663" s="97">
        <v>7.65</v>
      </c>
      <c r="W663" s="36">
        <f>RTD("money.excel",,"6568","Price")</f>
        <v>204</v>
      </c>
      <c r="X663" s="67"/>
      <c r="Y663" s="15">
        <f t="shared" si="140"/>
        <v>204</v>
      </c>
      <c r="Z663" s="3" t="e">
        <f t="shared" si="141"/>
        <v>#DIV/0!</v>
      </c>
      <c r="AA663" s="174" t="s">
        <v>2185</v>
      </c>
      <c r="AB663" s="16" t="s">
        <v>5190</v>
      </c>
      <c r="AE663" s="33">
        <f t="shared" si="142"/>
        <v>0</v>
      </c>
      <c r="AF663" s="43" t="s">
        <v>2887</v>
      </c>
      <c r="AG663" s="128"/>
      <c r="AI663" s="64">
        <f t="shared" si="138"/>
        <v>1.4415584415584416E-2</v>
      </c>
      <c r="AJ663" s="313">
        <f>RTD("money.excel",,$G663,"PredictVolume")</f>
        <v>444</v>
      </c>
      <c r="AK663" s="348"/>
    </row>
    <row r="664" spans="1:37">
      <c r="A664" s="148" t="s">
        <v>1652</v>
      </c>
      <c r="B664" s="82">
        <v>-371</v>
      </c>
      <c r="C664" s="81">
        <v>9</v>
      </c>
      <c r="D664" s="82">
        <v>-6</v>
      </c>
      <c r="E664" s="82">
        <v>-24</v>
      </c>
      <c r="F664" s="6">
        <v>-19.100000000000001</v>
      </c>
      <c r="G664" s="81">
        <v>6573</v>
      </c>
      <c r="H664" s="8" t="s">
        <v>3761</v>
      </c>
      <c r="I664" s="22" t="s">
        <v>385</v>
      </c>
      <c r="J664" s="330">
        <v>73.489999999999995</v>
      </c>
      <c r="K664" s="330">
        <v>67.2</v>
      </c>
      <c r="L664" s="75">
        <v>4.63</v>
      </c>
      <c r="N664" s="325">
        <f t="shared" si="139"/>
        <v>145.32</v>
      </c>
      <c r="O664" s="27"/>
      <c r="P664" s="56"/>
      <c r="Q664" s="26"/>
      <c r="S664" s="330">
        <v>0.11</v>
      </c>
      <c r="T664" s="34">
        <v>0</v>
      </c>
      <c r="U664" s="366">
        <f t="shared" si="137"/>
        <v>0</v>
      </c>
      <c r="V664" s="97">
        <v>-2.61</v>
      </c>
      <c r="W664" s="13">
        <f>RTD("money.excel",,"6573","Price")</f>
        <v>17</v>
      </c>
      <c r="X664" s="67"/>
      <c r="Y664" s="15">
        <f t="shared" si="140"/>
        <v>17</v>
      </c>
      <c r="Z664" s="3" t="e">
        <f t="shared" si="141"/>
        <v>#DIV/0!</v>
      </c>
      <c r="AA664" s="174" t="s">
        <v>1943</v>
      </c>
      <c r="AB664" s="22" t="s">
        <v>385</v>
      </c>
      <c r="AE664" s="33">
        <f t="shared" si="142"/>
        <v>0</v>
      </c>
      <c r="AF664" s="43" t="s">
        <v>1473</v>
      </c>
      <c r="AG664" s="128"/>
      <c r="AI664" s="64">
        <f t="shared" si="138"/>
        <v>1.0434782608695651E-3</v>
      </c>
      <c r="AJ664" s="313">
        <f>RTD("money.excel",,$G664,"PredictVolume")</f>
        <v>84</v>
      </c>
      <c r="AK664" s="348"/>
    </row>
    <row r="665" spans="1:37">
      <c r="A665" s="148" t="s">
        <v>1836</v>
      </c>
      <c r="B665" s="82">
        <v>-42</v>
      </c>
      <c r="C665" s="82">
        <v>-51</v>
      </c>
      <c r="D665" s="81">
        <v>9</v>
      </c>
      <c r="E665" s="81">
        <v>1</v>
      </c>
      <c r="F665" s="6">
        <v>3.44</v>
      </c>
      <c r="G665" s="81">
        <v>6594</v>
      </c>
      <c r="H665" s="206" t="s">
        <v>3761</v>
      </c>
      <c r="I665" s="16" t="s">
        <v>5191</v>
      </c>
      <c r="J665" s="330">
        <v>48.54</v>
      </c>
      <c r="K665" s="330">
        <v>1.2</v>
      </c>
      <c r="L665" s="330">
        <v>0</v>
      </c>
      <c r="M665" s="75">
        <v>53.73</v>
      </c>
      <c r="N665" s="325">
        <f t="shared" si="139"/>
        <v>103.47</v>
      </c>
      <c r="O665" s="27"/>
      <c r="P665" s="56"/>
      <c r="Q665" s="26"/>
      <c r="T665" s="34">
        <v>1.6</v>
      </c>
      <c r="U665" s="366">
        <f t="shared" si="137"/>
        <v>3.9702233250620354E-2</v>
      </c>
      <c r="V665" s="97">
        <v>1.1499999999999999</v>
      </c>
      <c r="W665" s="36">
        <f>RTD("money.excel",,"6594","Price")</f>
        <v>40.299999999999997</v>
      </c>
      <c r="X665" s="67"/>
      <c r="Y665" s="15">
        <f t="shared" si="140"/>
        <v>40.299999999999997</v>
      </c>
      <c r="Z665" s="3" t="e">
        <f t="shared" si="141"/>
        <v>#DIV/0!</v>
      </c>
      <c r="AB665" s="16" t="s">
        <v>5191</v>
      </c>
      <c r="AE665" s="33">
        <f t="shared" si="142"/>
        <v>0</v>
      </c>
      <c r="AF665" s="43" t="s">
        <v>2888</v>
      </c>
      <c r="AG665" s="128"/>
      <c r="AI665" s="64">
        <f t="shared" si="138"/>
        <v>3.2119205298013244E-3</v>
      </c>
      <c r="AJ665" s="313">
        <f>RTD("money.excel",,$G665,"PredictVolume")</f>
        <v>97</v>
      </c>
      <c r="AK665" s="348"/>
    </row>
    <row r="666" spans="1:37">
      <c r="A666" s="132" t="s">
        <v>2399</v>
      </c>
      <c r="B666" s="81">
        <v>65</v>
      </c>
      <c r="C666" s="81">
        <v>138</v>
      </c>
      <c r="D666" s="82">
        <v>-32</v>
      </c>
      <c r="E666" s="81">
        <v>25</v>
      </c>
      <c r="F666" s="58">
        <v>12.42</v>
      </c>
      <c r="G666" s="81">
        <v>6640</v>
      </c>
      <c r="H666" s="206" t="s">
        <v>3761</v>
      </c>
      <c r="I666" s="16" t="s">
        <v>1130</v>
      </c>
      <c r="J666" s="330">
        <v>67.78</v>
      </c>
      <c r="K666" s="330">
        <v>2.37</v>
      </c>
      <c r="L666" s="330"/>
      <c r="M666" s="75">
        <v>63.67</v>
      </c>
      <c r="N666" s="75">
        <f t="shared" si="139"/>
        <v>133.82</v>
      </c>
      <c r="O666" s="27"/>
      <c r="P666" s="56"/>
      <c r="Q666" s="26"/>
      <c r="S666" s="330">
        <v>0</v>
      </c>
      <c r="T666" s="67">
        <v>3</v>
      </c>
      <c r="U666" s="366">
        <f t="shared" si="137"/>
        <v>0.03</v>
      </c>
      <c r="V666" s="58">
        <v>3.42</v>
      </c>
      <c r="W666" s="36">
        <f>RTD("money.excel",,"6640","Price")</f>
        <v>100</v>
      </c>
      <c r="X666" s="67"/>
      <c r="Y666" s="15">
        <f t="shared" si="140"/>
        <v>100</v>
      </c>
      <c r="Z666" s="3" t="e">
        <f t="shared" si="141"/>
        <v>#DIV/0!</v>
      </c>
      <c r="AA666" s="174" t="s">
        <v>2185</v>
      </c>
      <c r="AB666" s="16" t="s">
        <v>1130</v>
      </c>
      <c r="AE666" s="33">
        <f t="shared" si="142"/>
        <v>0</v>
      </c>
      <c r="AF666" s="43" t="s">
        <v>2889</v>
      </c>
      <c r="AG666" s="128"/>
      <c r="AI666" s="64">
        <f t="shared" si="138"/>
        <v>4.9469964664310953E-4</v>
      </c>
      <c r="AJ666" s="313">
        <f>RTD("money.excel",,$G666,"PredictVolume")</f>
        <v>14</v>
      </c>
      <c r="AK666" s="348"/>
    </row>
    <row r="667" spans="1:37">
      <c r="A667" s="132" t="s">
        <v>1834</v>
      </c>
      <c r="B667" s="82">
        <v>-20</v>
      </c>
      <c r="C667" s="82">
        <v>-11</v>
      </c>
      <c r="D667" s="82">
        <v>-8</v>
      </c>
      <c r="E667" s="82">
        <v>-26</v>
      </c>
      <c r="F667" s="58">
        <v>30.55</v>
      </c>
      <c r="G667" s="81">
        <v>6643</v>
      </c>
      <c r="H667" s="206" t="s">
        <v>3761</v>
      </c>
      <c r="I667" s="16" t="s">
        <v>1691</v>
      </c>
      <c r="J667" s="75">
        <v>40.68</v>
      </c>
      <c r="K667" s="75">
        <v>9.73</v>
      </c>
      <c r="L667" s="75">
        <v>23.92</v>
      </c>
      <c r="N667" s="325">
        <f t="shared" si="139"/>
        <v>74.33</v>
      </c>
      <c r="O667" s="27"/>
      <c r="P667" s="56"/>
      <c r="Q667" s="26"/>
      <c r="S667" s="330">
        <v>0.16</v>
      </c>
      <c r="T667" s="67">
        <v>8</v>
      </c>
      <c r="U667" s="366">
        <f t="shared" si="137"/>
        <v>2.4615384615384615E-2</v>
      </c>
      <c r="V667" s="97">
        <v>9.52</v>
      </c>
      <c r="W667" s="36">
        <f>RTD("money.excel",,"6643","Price")</f>
        <v>325</v>
      </c>
      <c r="X667" s="67"/>
      <c r="Y667" s="15">
        <f t="shared" si="140"/>
        <v>325</v>
      </c>
      <c r="Z667" s="3" t="e">
        <f t="shared" si="141"/>
        <v>#DIV/0!</v>
      </c>
      <c r="AA667" s="174" t="s">
        <v>2185</v>
      </c>
      <c r="AB667" s="16" t="s">
        <v>1691</v>
      </c>
      <c r="AE667" s="33">
        <f t="shared" si="142"/>
        <v>0</v>
      </c>
      <c r="AF667" s="122" t="s">
        <v>3458</v>
      </c>
      <c r="AG667" s="128"/>
      <c r="AI667" s="64">
        <f t="shared" si="138"/>
        <v>8.977635782747604E-3</v>
      </c>
      <c r="AJ667" s="313">
        <f>RTD("money.excel",,$G667,"PredictVolume")</f>
        <v>281</v>
      </c>
      <c r="AK667" s="348"/>
    </row>
    <row r="668" spans="1:37">
      <c r="A668" s="132" t="s">
        <v>2657</v>
      </c>
      <c r="B668" s="81">
        <v>150</v>
      </c>
      <c r="C668" s="81">
        <v>123</v>
      </c>
      <c r="D668" s="81">
        <v>16</v>
      </c>
      <c r="E668" s="81">
        <v>43</v>
      </c>
      <c r="F668" s="58">
        <v>20.53</v>
      </c>
      <c r="G668" s="81">
        <v>6651</v>
      </c>
      <c r="H668" s="206" t="s">
        <v>3761</v>
      </c>
      <c r="I668" s="16" t="s">
        <v>2857</v>
      </c>
      <c r="J668" s="75">
        <v>27.87</v>
      </c>
      <c r="K668" s="330">
        <v>0.43</v>
      </c>
      <c r="L668" s="75">
        <v>16</v>
      </c>
      <c r="M668" s="75">
        <v>15.89</v>
      </c>
      <c r="N668" s="325">
        <f t="shared" si="139"/>
        <v>60.19</v>
      </c>
      <c r="O668" s="27" t="s">
        <v>2376</v>
      </c>
      <c r="P668" s="56"/>
      <c r="Q668" s="26"/>
      <c r="R668" s="308" t="s">
        <v>6122</v>
      </c>
      <c r="S668" s="330">
        <v>0.53</v>
      </c>
      <c r="T668" s="67">
        <v>3</v>
      </c>
      <c r="U668" s="366">
        <f t="shared" si="137"/>
        <v>3.2223415682062301E-2</v>
      </c>
      <c r="V668" s="97">
        <v>7.46</v>
      </c>
      <c r="W668" s="36">
        <f>RTD("money.excel",,"6651","Price")</f>
        <v>93.1</v>
      </c>
      <c r="X668" s="67"/>
      <c r="Y668" s="15">
        <f t="shared" si="140"/>
        <v>93.1</v>
      </c>
      <c r="Z668" s="3" t="e">
        <f t="shared" si="141"/>
        <v>#DIV/0!</v>
      </c>
      <c r="AA668" s="174" t="s">
        <v>1986</v>
      </c>
      <c r="AB668" s="16" t="s">
        <v>2857</v>
      </c>
      <c r="AE668" s="33">
        <f t="shared" si="142"/>
        <v>0</v>
      </c>
      <c r="AF668" s="43" t="s">
        <v>2655</v>
      </c>
      <c r="AG668" s="128"/>
      <c r="AI668" s="64">
        <f t="shared" si="138"/>
        <v>2.9696969696969698E-3</v>
      </c>
      <c r="AJ668" s="313">
        <f>RTD("money.excel",,$G668,"PredictVolume")</f>
        <v>98</v>
      </c>
      <c r="AK668" s="348">
        <v>18.14</v>
      </c>
    </row>
    <row r="669" spans="1:37">
      <c r="A669" s="132" t="s">
        <v>6063</v>
      </c>
      <c r="B669" s="81">
        <v>127</v>
      </c>
      <c r="C669" s="81">
        <v>120</v>
      </c>
      <c r="D669" s="81">
        <v>1</v>
      </c>
      <c r="E669" s="81">
        <v>12</v>
      </c>
      <c r="F669" s="58">
        <v>27.62</v>
      </c>
      <c r="G669" s="81">
        <v>6679</v>
      </c>
      <c r="H669" s="206" t="s">
        <v>3761</v>
      </c>
      <c r="I669" s="16" t="s">
        <v>1867</v>
      </c>
      <c r="J669" s="330">
        <v>29.58</v>
      </c>
      <c r="K669" s="75">
        <v>24.48</v>
      </c>
      <c r="L669" s="75">
        <v>11.46</v>
      </c>
      <c r="M669" s="75">
        <v>18.61</v>
      </c>
      <c r="N669" s="325">
        <f t="shared" si="139"/>
        <v>84.13000000000001</v>
      </c>
      <c r="O669" s="27"/>
      <c r="P669" s="56"/>
      <c r="Q669" s="26"/>
      <c r="R669" s="308" t="s">
        <v>6060</v>
      </c>
      <c r="S669" s="330">
        <v>1</v>
      </c>
      <c r="T669" s="67">
        <v>4.99</v>
      </c>
      <c r="U669" s="366">
        <f t="shared" si="137"/>
        <v>1.1880952380952381E-2</v>
      </c>
      <c r="V669" s="97">
        <v>13.96</v>
      </c>
      <c r="W669" s="36">
        <f>RTD("money.excel",,"6679","Price")</f>
        <v>420</v>
      </c>
      <c r="X669" s="67"/>
      <c r="Y669" s="15">
        <f t="shared" si="140"/>
        <v>420</v>
      </c>
      <c r="Z669" s="3" t="e">
        <f t="shared" si="141"/>
        <v>#DIV/0!</v>
      </c>
      <c r="AA669" s="174" t="s">
        <v>2185</v>
      </c>
      <c r="AB669" s="16" t="s">
        <v>1867</v>
      </c>
      <c r="AE669" s="33">
        <f t="shared" si="142"/>
        <v>0</v>
      </c>
      <c r="AF669" s="43" t="s">
        <v>2865</v>
      </c>
      <c r="AG669" s="128"/>
      <c r="AI669" s="64">
        <f t="shared" si="138"/>
        <v>1.5727699530516431E-2</v>
      </c>
      <c r="AJ669" s="313">
        <f>RTD("money.excel",,$G669,"PredictVolume")</f>
        <v>670</v>
      </c>
      <c r="AK669" s="348"/>
    </row>
    <row r="670" spans="1:37">
      <c r="A670" s="132" t="s">
        <v>1869</v>
      </c>
      <c r="B670" s="81">
        <v>61</v>
      </c>
      <c r="C670" s="81">
        <v>66</v>
      </c>
      <c r="D670" s="81">
        <v>11.46</v>
      </c>
      <c r="E670" s="81">
        <v>46</v>
      </c>
      <c r="F670" s="58">
        <v>35.51</v>
      </c>
      <c r="G670" s="81">
        <v>6683</v>
      </c>
      <c r="H670" s="206" t="s">
        <v>3761</v>
      </c>
      <c r="I670" s="16" t="s">
        <v>1868</v>
      </c>
      <c r="J670" s="75">
        <v>16.28</v>
      </c>
      <c r="K670" s="75">
        <v>10.6</v>
      </c>
      <c r="N670" s="325">
        <f t="shared" si="139"/>
        <v>26.880000000000003</v>
      </c>
      <c r="O670" s="27"/>
      <c r="P670" s="56"/>
      <c r="Q670" s="26"/>
      <c r="T670" s="67">
        <v>5.5</v>
      </c>
      <c r="U670" s="366">
        <f t="shared" si="137"/>
        <v>2.3354564755838639E-2</v>
      </c>
      <c r="V670" s="97">
        <v>12.34</v>
      </c>
      <c r="W670" s="36">
        <f>RTD("money.excel",,"6683","Price")</f>
        <v>235.5</v>
      </c>
      <c r="X670" s="67"/>
      <c r="Y670" s="15">
        <f t="shared" si="140"/>
        <v>235.5</v>
      </c>
      <c r="Z670" s="3" t="e">
        <f t="shared" si="141"/>
        <v>#DIV/0!</v>
      </c>
      <c r="AA670" s="174" t="s">
        <v>2185</v>
      </c>
      <c r="AB670" s="16" t="s">
        <v>1868</v>
      </c>
      <c r="AE670" s="33">
        <f t="shared" si="142"/>
        <v>0</v>
      </c>
      <c r="AF670" s="43" t="s">
        <v>3481</v>
      </c>
      <c r="AG670" s="128"/>
      <c r="AI670" s="64">
        <f t="shared" si="138"/>
        <v>6.0516605166051661E-3</v>
      </c>
      <c r="AJ670" s="313">
        <f>RTD("money.excel",,$G670,"PredictVolume")</f>
        <v>164</v>
      </c>
      <c r="AK670" s="348"/>
    </row>
    <row r="671" spans="1:37">
      <c r="A671" s="132" t="s">
        <v>4173</v>
      </c>
      <c r="B671" s="95">
        <v>1416</v>
      </c>
      <c r="C671" s="237">
        <v>25521</v>
      </c>
      <c r="D671" s="81">
        <v>4</v>
      </c>
      <c r="E671" s="81">
        <v>52</v>
      </c>
      <c r="F671" s="58">
        <v>28.59</v>
      </c>
      <c r="G671" s="81">
        <v>6684</v>
      </c>
      <c r="H671" s="206" t="s">
        <v>3761</v>
      </c>
      <c r="I671" s="16" t="s">
        <v>4160</v>
      </c>
      <c r="J671" s="330">
        <v>23.81</v>
      </c>
      <c r="K671" s="75">
        <v>7.02</v>
      </c>
      <c r="N671" s="325">
        <f t="shared" si="139"/>
        <v>30.83</v>
      </c>
      <c r="O671" s="27"/>
      <c r="P671" s="56"/>
      <c r="Q671" s="26"/>
      <c r="T671" s="34">
        <v>2.0099999999999998</v>
      </c>
      <c r="U671" s="366">
        <f t="shared" si="137"/>
        <v>1.4408602150537632E-2</v>
      </c>
      <c r="V671" s="296" t="s">
        <v>4029</v>
      </c>
      <c r="W671" s="36">
        <f>RTD("money.excel",,"6684","Price")</f>
        <v>139.5</v>
      </c>
      <c r="X671" s="67"/>
      <c r="Y671" s="15">
        <f t="shared" si="140"/>
        <v>139.5</v>
      </c>
      <c r="Z671" s="3" t="e">
        <f t="shared" si="141"/>
        <v>#DIV/0!</v>
      </c>
      <c r="AA671" s="174" t="s">
        <v>1943</v>
      </c>
      <c r="AB671" s="16" t="s">
        <v>4160</v>
      </c>
      <c r="AE671" s="33">
        <f t="shared" si="142"/>
        <v>0</v>
      </c>
      <c r="AF671" s="43" t="s">
        <v>4161</v>
      </c>
      <c r="AG671" s="128"/>
      <c r="AI671" s="64">
        <f t="shared" si="138"/>
        <v>3.5918367346938775E-3</v>
      </c>
      <c r="AJ671" s="313">
        <f>RTD("money.excel",,$G671,"PredictVolume")</f>
        <v>88</v>
      </c>
      <c r="AK671" s="348"/>
    </row>
    <row r="672" spans="1:37">
      <c r="A672" s="132" t="s">
        <v>2144</v>
      </c>
      <c r="B672" s="81">
        <v>320</v>
      </c>
      <c r="C672" s="81">
        <v>264</v>
      </c>
      <c r="D672" s="81"/>
      <c r="E672" s="81"/>
      <c r="F672" s="58">
        <v>11.47</v>
      </c>
      <c r="G672" s="81">
        <v>6693</v>
      </c>
      <c r="H672" s="206" t="s">
        <v>3761</v>
      </c>
      <c r="I672" s="16" t="s">
        <v>6301</v>
      </c>
      <c r="J672" s="330">
        <v>49.47</v>
      </c>
      <c r="K672" s="75">
        <v>0.21</v>
      </c>
      <c r="M672" s="75">
        <v>12.67</v>
      </c>
      <c r="N672" s="325">
        <f t="shared" ref="N672" si="143">J672+K672+L672+M672</f>
        <v>62.35</v>
      </c>
      <c r="O672" s="27"/>
      <c r="P672" s="56"/>
      <c r="Q672" s="26"/>
      <c r="T672" s="67">
        <v>0.2</v>
      </c>
      <c r="U672" s="366">
        <f t="shared" si="137"/>
        <v>2E-3</v>
      </c>
      <c r="V672" s="97" t="s">
        <v>4029</v>
      </c>
      <c r="W672" s="36">
        <f>RTD("money.excel",,"6693","Price")</f>
        <v>100</v>
      </c>
      <c r="X672" s="67"/>
      <c r="Y672" s="15">
        <f t="shared" ref="Y672" si="144">W672-X672</f>
        <v>100</v>
      </c>
      <c r="Z672" s="3" t="e">
        <f t="shared" ref="Z672" si="145">Y672/X672</f>
        <v>#DIV/0!</v>
      </c>
      <c r="AB672" s="16" t="s">
        <v>6301</v>
      </c>
      <c r="AE672" s="33">
        <f t="shared" ref="AE672" si="146">AD672-AC672</f>
        <v>0</v>
      </c>
      <c r="AF672" s="43" t="s">
        <v>6303</v>
      </c>
      <c r="AG672" s="128"/>
      <c r="AI672" s="64">
        <f t="shared" si="138"/>
        <v>6.9211822660098536E-3</v>
      </c>
      <c r="AJ672" s="313">
        <f>RTD("money.excel",,$G672,"PredictVolume")</f>
        <v>281</v>
      </c>
      <c r="AK672" s="348"/>
    </row>
    <row r="673" spans="1:37">
      <c r="A673" s="132" t="s">
        <v>4173</v>
      </c>
      <c r="B673" s="81">
        <v>163</v>
      </c>
      <c r="C673" s="81">
        <v>168</v>
      </c>
      <c r="D673" s="82">
        <v>-1</v>
      </c>
      <c r="E673" s="81">
        <v>33</v>
      </c>
      <c r="F673" s="58">
        <v>36.04</v>
      </c>
      <c r="G673" s="81">
        <v>6716</v>
      </c>
      <c r="H673" s="206" t="s">
        <v>3761</v>
      </c>
      <c r="I673" s="16" t="s">
        <v>2149</v>
      </c>
      <c r="J673" s="75">
        <v>28.86</v>
      </c>
      <c r="K673" s="75">
        <v>1.54</v>
      </c>
      <c r="L673" s="330"/>
      <c r="M673" s="330">
        <v>14.82</v>
      </c>
      <c r="N673" s="325">
        <f t="shared" si="139"/>
        <v>45.22</v>
      </c>
      <c r="O673" s="27" t="s">
        <v>6209</v>
      </c>
      <c r="P673" s="56"/>
      <c r="Q673" s="26"/>
      <c r="R673" s="309" t="s">
        <v>6163</v>
      </c>
      <c r="S673" s="330">
        <v>0.22</v>
      </c>
      <c r="T673" s="67">
        <v>5</v>
      </c>
      <c r="U673" s="366">
        <f t="shared" si="137"/>
        <v>3.2679738562091505E-2</v>
      </c>
      <c r="V673" s="97">
        <v>10.06</v>
      </c>
      <c r="W673" s="36">
        <f>RTD("money.excel",,"6716","Price")</f>
        <v>153</v>
      </c>
      <c r="X673" s="67"/>
      <c r="Y673" s="15">
        <f t="shared" si="140"/>
        <v>153</v>
      </c>
      <c r="Z673" s="3" t="e">
        <f t="shared" si="141"/>
        <v>#DIV/0!</v>
      </c>
      <c r="AA673" s="174" t="s">
        <v>2185</v>
      </c>
      <c r="AB673" s="16" t="s">
        <v>2149</v>
      </c>
      <c r="AE673" s="33">
        <f t="shared" si="142"/>
        <v>0</v>
      </c>
      <c r="AF673" s="43" t="s">
        <v>2834</v>
      </c>
      <c r="AG673" s="128"/>
      <c r="AI673" s="64">
        <f t="shared" si="138"/>
        <v>2.8163265306122448E-3</v>
      </c>
      <c r="AJ673" s="313">
        <f>RTD("money.excel",,$G673,"PredictVolume")</f>
        <v>69</v>
      </c>
      <c r="AK673" s="348">
        <v>7.28</v>
      </c>
    </row>
    <row r="674" spans="1:37">
      <c r="A674" s="132" t="s">
        <v>6072</v>
      </c>
      <c r="B674" s="81">
        <v>147</v>
      </c>
      <c r="C674" s="81">
        <v>153</v>
      </c>
      <c r="D674" s="81">
        <v>1</v>
      </c>
      <c r="E674" s="81">
        <v>62</v>
      </c>
      <c r="F674" s="58">
        <v>22.55</v>
      </c>
      <c r="G674" s="81">
        <v>6719</v>
      </c>
      <c r="H674" s="206" t="s">
        <v>3761</v>
      </c>
      <c r="I674" s="22" t="s">
        <v>6068</v>
      </c>
      <c r="J674" s="330">
        <v>46.14</v>
      </c>
      <c r="K674" s="75">
        <v>3.95</v>
      </c>
      <c r="M674" s="75">
        <v>39.69</v>
      </c>
      <c r="N674" s="325">
        <f t="shared" si="139"/>
        <v>89.78</v>
      </c>
      <c r="O674" s="27"/>
      <c r="P674" s="56"/>
      <c r="Q674" s="26"/>
      <c r="T674" s="34">
        <v>1.5</v>
      </c>
      <c r="U674" s="366">
        <f t="shared" si="137"/>
        <v>2.4590163934426232E-3</v>
      </c>
      <c r="V674" s="58" t="s">
        <v>4029</v>
      </c>
      <c r="W674" s="36">
        <f>RTD("money.excel",,"6719","Price")</f>
        <v>610</v>
      </c>
      <c r="X674" s="67"/>
      <c r="Y674" s="15">
        <f t="shared" ref="Y674" si="147">W674-X674</f>
        <v>610</v>
      </c>
      <c r="Z674" s="3" t="e">
        <f t="shared" ref="Z674" si="148">Y674/X674</f>
        <v>#DIV/0!</v>
      </c>
      <c r="AB674" s="22" t="s">
        <v>6068</v>
      </c>
      <c r="AE674" s="33">
        <f t="shared" ref="AE674" si="149">AD674-AC674</f>
        <v>0</v>
      </c>
      <c r="AF674" s="61" t="s">
        <v>6071</v>
      </c>
      <c r="AG674" s="128"/>
      <c r="AI674" s="64">
        <f t="shared" si="138"/>
        <v>2.8341902313624677E-2</v>
      </c>
      <c r="AJ674" s="313">
        <f>RTD("money.excel",,$G674,"PredictVolume")</f>
        <v>2205</v>
      </c>
      <c r="AK674" s="348"/>
    </row>
    <row r="675" spans="1:37">
      <c r="A675" s="132" t="s">
        <v>2231</v>
      </c>
      <c r="B675" s="81">
        <v>28</v>
      </c>
      <c r="C675" s="81">
        <v>33</v>
      </c>
      <c r="D675" s="82">
        <v>-11</v>
      </c>
      <c r="E675" s="82">
        <v>-15</v>
      </c>
      <c r="F675" s="58">
        <v>33.04</v>
      </c>
      <c r="G675" s="81">
        <v>6732</v>
      </c>
      <c r="H675" s="206" t="s">
        <v>3761</v>
      </c>
      <c r="I675" s="16" t="s">
        <v>2234</v>
      </c>
      <c r="J675" s="75">
        <v>58.83</v>
      </c>
      <c r="K675" s="75">
        <v>9.27</v>
      </c>
      <c r="L675" s="75">
        <v>8.57</v>
      </c>
      <c r="M675" s="330">
        <v>48.19</v>
      </c>
      <c r="N675" s="325">
        <f t="shared" si="139"/>
        <v>124.85999999999999</v>
      </c>
      <c r="O675" s="27"/>
      <c r="P675" s="56"/>
      <c r="Q675" s="26"/>
      <c r="R675" s="308" t="s">
        <v>4374</v>
      </c>
      <c r="S675" s="330">
        <v>1.32</v>
      </c>
      <c r="T675" s="67">
        <v>22.5</v>
      </c>
      <c r="U675" s="366">
        <f t="shared" si="137"/>
        <v>5.2816901408450703E-2</v>
      </c>
      <c r="V675" s="58">
        <v>34.31</v>
      </c>
      <c r="W675" s="36">
        <f>RTD("money.excel",,"6732","Price")</f>
        <v>426</v>
      </c>
      <c r="X675" s="67"/>
      <c r="Y675" s="15">
        <f t="shared" si="140"/>
        <v>426</v>
      </c>
      <c r="Z675" s="3" t="e">
        <f t="shared" si="141"/>
        <v>#DIV/0!</v>
      </c>
      <c r="AA675" s="174" t="s">
        <v>2185</v>
      </c>
      <c r="AB675" s="16" t="s">
        <v>2234</v>
      </c>
      <c r="AE675" s="33">
        <f t="shared" si="142"/>
        <v>0</v>
      </c>
      <c r="AF675" s="43" t="s">
        <v>3062</v>
      </c>
      <c r="AG675" s="128"/>
      <c r="AI675" s="64">
        <f t="shared" si="138"/>
        <v>5.7259713701431495E-3</v>
      </c>
      <c r="AJ675" s="313">
        <f>RTD("money.excel",,$G675,"PredictVolume")</f>
        <v>280</v>
      </c>
      <c r="AK675" s="348"/>
    </row>
    <row r="676" spans="1:37">
      <c r="A676" s="132" t="s">
        <v>5464</v>
      </c>
      <c r="B676" s="81">
        <v>169</v>
      </c>
      <c r="C676" s="81">
        <v>171</v>
      </c>
      <c r="D676" s="81">
        <v>16</v>
      </c>
      <c r="E676" s="81">
        <v>29</v>
      </c>
      <c r="F676" s="58">
        <v>30.9</v>
      </c>
      <c r="G676" s="81">
        <v>6756</v>
      </c>
      <c r="H676" s="8" t="s">
        <v>3761</v>
      </c>
      <c r="I676" s="22" t="s">
        <v>2597</v>
      </c>
      <c r="J676" s="330">
        <v>59</v>
      </c>
      <c r="K676" s="75">
        <v>6.86</v>
      </c>
      <c r="L676" s="330">
        <v>12.84</v>
      </c>
      <c r="M676" s="330">
        <v>60.91</v>
      </c>
      <c r="N676" s="75">
        <f t="shared" si="139"/>
        <v>139.61000000000001</v>
      </c>
      <c r="O676" s="27" t="s">
        <v>1735</v>
      </c>
      <c r="P676" s="56"/>
      <c r="Q676" s="26"/>
      <c r="R676" s="309" t="s">
        <v>6265</v>
      </c>
      <c r="S676" s="330">
        <v>1.47</v>
      </c>
      <c r="T676" s="67">
        <v>4.5</v>
      </c>
      <c r="U676" s="366">
        <f t="shared" si="137"/>
        <v>1.0752688172043012E-2</v>
      </c>
      <c r="V676" s="58">
        <v>10.91</v>
      </c>
      <c r="W676" s="36">
        <f>RTD("money.excel",,"6756","Price")</f>
        <v>418.5</v>
      </c>
      <c r="X676" s="67"/>
      <c r="Y676" s="15">
        <f t="shared" si="140"/>
        <v>418.5</v>
      </c>
      <c r="Z676" s="3" t="e">
        <f t="shared" si="141"/>
        <v>#DIV/0!</v>
      </c>
      <c r="AA676" s="174" t="s">
        <v>2185</v>
      </c>
      <c r="AB676" s="22" t="s">
        <v>2597</v>
      </c>
      <c r="AE676" s="33">
        <f t="shared" si="142"/>
        <v>0</v>
      </c>
      <c r="AF676" s="43" t="s">
        <v>2598</v>
      </c>
      <c r="AG676" s="128"/>
      <c r="AI676" s="64">
        <f t="shared" si="138"/>
        <v>5.0513950073421436E-3</v>
      </c>
      <c r="AJ676" s="313">
        <f>RTD("money.excel",,$G676,"PredictVolume")</f>
        <v>344</v>
      </c>
      <c r="AK676" s="348">
        <v>19.3</v>
      </c>
    </row>
    <row r="677" spans="1:37">
      <c r="A677" s="132" t="s">
        <v>4427</v>
      </c>
      <c r="B677" s="81">
        <v>263</v>
      </c>
      <c r="C677" s="81">
        <v>210</v>
      </c>
      <c r="D677" s="81">
        <v>9</v>
      </c>
      <c r="E677" s="81">
        <v>70</v>
      </c>
      <c r="F677" s="58">
        <v>27.37</v>
      </c>
      <c r="G677" s="81">
        <v>6770</v>
      </c>
      <c r="H677" s="8" t="s">
        <v>3761</v>
      </c>
      <c r="I677" s="22" t="s">
        <v>4349</v>
      </c>
      <c r="J677" s="330">
        <v>44.91</v>
      </c>
      <c r="K677" s="75">
        <v>6.21</v>
      </c>
      <c r="L677" s="330"/>
      <c r="M677" s="330">
        <v>28.78</v>
      </c>
      <c r="N677" s="325">
        <f>K677+J677+L677+M677</f>
        <v>79.900000000000006</v>
      </c>
      <c r="O677" s="27"/>
      <c r="P677" s="56"/>
      <c r="Q677" s="26"/>
      <c r="R677" s="308" t="s">
        <v>4374</v>
      </c>
      <c r="T677" s="34">
        <v>0.65</v>
      </c>
      <c r="U677" s="366">
        <f t="shared" si="137"/>
        <v>1.2770137524557957E-2</v>
      </c>
      <c r="V677" s="97">
        <v>3.44</v>
      </c>
      <c r="W677" s="36">
        <f>RTD("money.excel",,"6770","Price")</f>
        <v>50.9</v>
      </c>
      <c r="X677" s="67"/>
      <c r="Y677" s="15">
        <f t="shared" si="140"/>
        <v>50.9</v>
      </c>
      <c r="Z677" s="3" t="e">
        <f t="shared" si="141"/>
        <v>#DIV/0!</v>
      </c>
      <c r="AB677" s="22" t="s">
        <v>4349</v>
      </c>
      <c r="AE677" s="33">
        <f t="shared" si="142"/>
        <v>0</v>
      </c>
      <c r="AF677" s="43" t="s">
        <v>2064</v>
      </c>
      <c r="AG677" s="128"/>
      <c r="AI677" s="64">
        <f t="shared" si="138"/>
        <v>1.7555240793201133E-3</v>
      </c>
      <c r="AJ677" s="313">
        <f>RTD("money.excel",,$G677,"PredictVolume")</f>
        <v>6197</v>
      </c>
      <c r="AK677" s="348"/>
    </row>
    <row r="678" spans="1:37">
      <c r="A678" s="132" t="s">
        <v>4292</v>
      </c>
      <c r="B678" s="81">
        <v>21</v>
      </c>
      <c r="C678" s="81">
        <v>26</v>
      </c>
      <c r="D678" s="82">
        <v>-10</v>
      </c>
      <c r="E678" s="81">
        <v>19</v>
      </c>
      <c r="F678" s="58">
        <v>28.15</v>
      </c>
      <c r="G678" s="81">
        <v>6788</v>
      </c>
      <c r="H678" s="206" t="s">
        <v>3761</v>
      </c>
      <c r="I678" s="16" t="s">
        <v>4227</v>
      </c>
      <c r="J678" s="330">
        <v>18.350000000000001</v>
      </c>
      <c r="K678" s="75">
        <v>1.7</v>
      </c>
      <c r="L678" s="330"/>
      <c r="N678" s="325">
        <f t="shared" ref="N678:N693" si="150">J678+K678+L678+M678</f>
        <v>20.05</v>
      </c>
      <c r="O678" s="27"/>
      <c r="P678" s="56"/>
      <c r="Q678" s="26"/>
      <c r="T678" s="67">
        <v>4</v>
      </c>
      <c r="U678" s="366">
        <f t="shared" si="137"/>
        <v>2.2857142857142857E-2</v>
      </c>
      <c r="V678" s="97" t="s">
        <v>4029</v>
      </c>
      <c r="W678" s="36">
        <f>RTD("money.excel",,"6788","Price")</f>
        <v>175</v>
      </c>
      <c r="X678" s="67"/>
      <c r="Y678" s="15">
        <f t="shared" si="140"/>
        <v>175</v>
      </c>
      <c r="Z678" s="3" t="e">
        <f t="shared" si="141"/>
        <v>#DIV/0!</v>
      </c>
      <c r="AA678" s="174" t="s">
        <v>2185</v>
      </c>
      <c r="AB678" s="16" t="s">
        <v>4227</v>
      </c>
      <c r="AE678" s="33">
        <f t="shared" si="142"/>
        <v>0</v>
      </c>
      <c r="AF678" s="43" t="s">
        <v>4228</v>
      </c>
      <c r="AG678" s="128"/>
      <c r="AI678" s="64">
        <f t="shared" si="138"/>
        <v>2.4495677233429395E-3</v>
      </c>
      <c r="AJ678" s="313">
        <f>RTD("money.excel",,$G678,"PredictVolume")</f>
        <v>85</v>
      </c>
      <c r="AK678" s="348"/>
    </row>
    <row r="679" spans="1:37">
      <c r="A679" s="132" t="s">
        <v>1907</v>
      </c>
      <c r="B679" s="81">
        <v>17</v>
      </c>
      <c r="C679" s="82">
        <v>-1</v>
      </c>
      <c r="D679" s="81">
        <v>7</v>
      </c>
      <c r="E679" s="82">
        <v>-1</v>
      </c>
      <c r="F679" s="58">
        <v>24.54</v>
      </c>
      <c r="G679" s="81">
        <v>7556</v>
      </c>
      <c r="H679" s="206" t="s">
        <v>3761</v>
      </c>
      <c r="I679" s="16" t="s">
        <v>2477</v>
      </c>
      <c r="J679" s="330">
        <v>57.11</v>
      </c>
      <c r="K679" s="330">
        <v>3.16</v>
      </c>
      <c r="L679" s="330"/>
      <c r="N679" s="325">
        <f t="shared" si="150"/>
        <v>60.269999999999996</v>
      </c>
      <c r="O679" s="27"/>
      <c r="P679" s="56"/>
      <c r="Q679" s="26"/>
      <c r="T679" s="34">
        <v>2.4</v>
      </c>
      <c r="U679" s="366">
        <f t="shared" si="137"/>
        <v>2.1333333333333333E-2</v>
      </c>
      <c r="V679" s="58">
        <v>4.08</v>
      </c>
      <c r="W679" s="36">
        <f>RTD("money.excel",,"7556","Price")</f>
        <v>112.5</v>
      </c>
      <c r="X679" s="67"/>
      <c r="Y679" s="15">
        <f t="shared" si="140"/>
        <v>112.5</v>
      </c>
      <c r="Z679" s="3" t="e">
        <f t="shared" si="141"/>
        <v>#DIV/0!</v>
      </c>
      <c r="AA679" s="174" t="s">
        <v>1943</v>
      </c>
      <c r="AB679" s="16" t="s">
        <v>2477</v>
      </c>
      <c r="AE679" s="33">
        <f t="shared" si="142"/>
        <v>0</v>
      </c>
      <c r="AF679" s="43" t="s">
        <v>2890</v>
      </c>
      <c r="AG679" s="128"/>
      <c r="AI679" s="64">
        <f t="shared" si="138"/>
        <v>1.4018691588785047E-4</v>
      </c>
      <c r="AJ679" s="313">
        <f>RTD("money.excel",,$G679,"PredictVolume")</f>
        <v>3</v>
      </c>
      <c r="AK679" s="348"/>
    </row>
    <row r="680" spans="1:37">
      <c r="A680" s="132" t="s">
        <v>2282</v>
      </c>
      <c r="B680" s="81">
        <v>243</v>
      </c>
      <c r="C680" s="81">
        <v>273</v>
      </c>
      <c r="D680" s="82">
        <v>-5</v>
      </c>
      <c r="E680" s="81">
        <v>50</v>
      </c>
      <c r="F680" s="58">
        <v>35.99</v>
      </c>
      <c r="G680" s="81">
        <v>8016</v>
      </c>
      <c r="H680" s="210" t="s">
        <v>3761</v>
      </c>
      <c r="I680" s="22" t="s">
        <v>5192</v>
      </c>
      <c r="J680" s="330">
        <v>24.15</v>
      </c>
      <c r="K680" s="330">
        <v>38</v>
      </c>
      <c r="L680" s="75">
        <v>20.76</v>
      </c>
      <c r="M680" s="330">
        <v>6.65</v>
      </c>
      <c r="N680" s="325">
        <f t="shared" si="150"/>
        <v>89.56</v>
      </c>
      <c r="O680" s="27"/>
      <c r="P680" s="56"/>
      <c r="Q680" s="26"/>
      <c r="R680" s="308" t="s">
        <v>4374</v>
      </c>
      <c r="S680" s="330">
        <v>9.4600000000000009</v>
      </c>
      <c r="T680" s="67">
        <v>7.5</v>
      </c>
      <c r="U680" s="366">
        <f t="shared" si="137"/>
        <v>2.4549918166939442E-2</v>
      </c>
      <c r="V680" s="97">
        <v>39.28</v>
      </c>
      <c r="W680" s="36">
        <f>RTD("money.excel",,"8016","Price")</f>
        <v>305.5</v>
      </c>
      <c r="X680" s="67"/>
      <c r="Y680" s="15">
        <f t="shared" si="140"/>
        <v>305.5</v>
      </c>
      <c r="Z680" s="3" t="e">
        <f t="shared" si="141"/>
        <v>#DIV/0!</v>
      </c>
      <c r="AA680" s="174" t="s">
        <v>2185</v>
      </c>
      <c r="AB680" s="22" t="s">
        <v>5192</v>
      </c>
      <c r="AE680" s="33">
        <f t="shared" si="142"/>
        <v>0</v>
      </c>
      <c r="AF680" s="122" t="s">
        <v>3299</v>
      </c>
      <c r="AG680" s="128"/>
      <c r="AI680" s="64">
        <f t="shared" si="138"/>
        <v>1.5383333333333334E-2</v>
      </c>
      <c r="AJ680" s="313">
        <f>RTD("money.excel",,$G680,"PredictVolume")</f>
        <v>1846</v>
      </c>
      <c r="AK680" s="348"/>
    </row>
    <row r="681" spans="1:37">
      <c r="A681" s="148" t="s">
        <v>3508</v>
      </c>
      <c r="B681" s="82">
        <v>-102</v>
      </c>
      <c r="C681" s="82">
        <v>-64</v>
      </c>
      <c r="D681" s="81">
        <v>55</v>
      </c>
      <c r="E681" s="81">
        <v>10</v>
      </c>
      <c r="F681" s="6">
        <v>-6.41</v>
      </c>
      <c r="G681" s="81">
        <v>8024</v>
      </c>
      <c r="H681" s="206" t="s">
        <v>3761</v>
      </c>
      <c r="I681" s="16" t="s">
        <v>412</v>
      </c>
      <c r="J681" s="330">
        <v>21.3</v>
      </c>
      <c r="K681" s="75">
        <v>1.83</v>
      </c>
      <c r="L681" s="75">
        <v>42.38</v>
      </c>
      <c r="N681" s="325">
        <f t="shared" si="150"/>
        <v>65.510000000000005</v>
      </c>
      <c r="O681" s="27"/>
      <c r="P681" s="56"/>
      <c r="Q681" s="26"/>
      <c r="S681" s="330">
        <v>8.8699999999999992</v>
      </c>
      <c r="T681" s="34">
        <v>0</v>
      </c>
      <c r="U681" s="366">
        <f t="shared" si="137"/>
        <v>0</v>
      </c>
      <c r="V681" s="97">
        <v>-0.85</v>
      </c>
      <c r="W681" s="36">
        <f>RTD("money.excel",,"8024","Price")</f>
        <v>23.25</v>
      </c>
      <c r="X681" s="67"/>
      <c r="Y681" s="15">
        <f t="shared" si="140"/>
        <v>23.25</v>
      </c>
      <c r="Z681" s="3" t="e">
        <f t="shared" si="141"/>
        <v>#DIV/0!</v>
      </c>
      <c r="AB681" s="16" t="s">
        <v>412</v>
      </c>
      <c r="AE681" s="33">
        <f t="shared" si="142"/>
        <v>0</v>
      </c>
      <c r="AF681" s="43" t="s">
        <v>2891</v>
      </c>
      <c r="AG681" s="128"/>
      <c r="AI681" s="64">
        <f t="shared" si="138"/>
        <v>1.0619469026548673E-3</v>
      </c>
      <c r="AJ681" s="313">
        <f>RTD("money.excel",,$G681,"PredictVolume")</f>
        <v>48</v>
      </c>
      <c r="AK681" s="348"/>
    </row>
    <row r="682" spans="1:37">
      <c r="A682" s="148" t="s">
        <v>1852</v>
      </c>
      <c r="B682" s="82">
        <v>-70</v>
      </c>
      <c r="C682" s="82">
        <v>-91</v>
      </c>
      <c r="D682" s="81">
        <v>8</v>
      </c>
      <c r="E682" s="82">
        <v>-6</v>
      </c>
      <c r="F682" s="6">
        <v>1.73</v>
      </c>
      <c r="G682" s="81">
        <v>8028</v>
      </c>
      <c r="H682" s="210" t="s">
        <v>3761</v>
      </c>
      <c r="I682" s="22" t="s">
        <v>1124</v>
      </c>
      <c r="J682" s="330">
        <v>28.58</v>
      </c>
      <c r="K682" s="75">
        <v>13.61</v>
      </c>
      <c r="L682" s="75">
        <v>25.05</v>
      </c>
      <c r="N682" s="325">
        <f t="shared" si="150"/>
        <v>67.239999999999995</v>
      </c>
      <c r="O682" s="27"/>
      <c r="P682" s="56"/>
      <c r="Q682" s="26"/>
      <c r="S682" s="330">
        <v>2.1800000000000002</v>
      </c>
      <c r="T682" s="34">
        <v>2</v>
      </c>
      <c r="U682" s="366">
        <f t="shared" si="137"/>
        <v>4.048582995951417E-2</v>
      </c>
      <c r="V682" s="97">
        <v>1.02</v>
      </c>
      <c r="W682" s="36">
        <f>RTD("money.excel",,"8028","Price")</f>
        <v>49.4</v>
      </c>
      <c r="X682" s="67"/>
      <c r="Y682" s="15">
        <f t="shared" si="140"/>
        <v>49.4</v>
      </c>
      <c r="Z682" s="3" t="e">
        <f t="shared" si="141"/>
        <v>#DIV/0!</v>
      </c>
      <c r="AA682" s="174" t="s">
        <v>1943</v>
      </c>
      <c r="AB682" s="22" t="s">
        <v>1124</v>
      </c>
      <c r="AE682" s="33">
        <f t="shared" si="142"/>
        <v>0</v>
      </c>
      <c r="AF682" s="122" t="s">
        <v>2387</v>
      </c>
      <c r="AG682" s="128"/>
      <c r="AI682" s="64">
        <f t="shared" si="138"/>
        <v>2.7499999999999998E-3</v>
      </c>
      <c r="AJ682" s="313">
        <f>RTD("money.excel",,$G682,"PredictVolume")</f>
        <v>363</v>
      </c>
      <c r="AK682" s="348"/>
    </row>
    <row r="683" spans="1:37">
      <c r="A683" s="148" t="s">
        <v>2145</v>
      </c>
      <c r="B683" s="82">
        <v>-163</v>
      </c>
      <c r="C683" s="82">
        <v>-911</v>
      </c>
      <c r="D683" s="82">
        <v>-18</v>
      </c>
      <c r="E683" s="82">
        <v>-32</v>
      </c>
      <c r="F683" s="6">
        <v>-2.83</v>
      </c>
      <c r="G683" s="81">
        <v>8040</v>
      </c>
      <c r="H683" s="206" t="s">
        <v>3761</v>
      </c>
      <c r="I683" s="16" t="s">
        <v>413</v>
      </c>
      <c r="J683" s="75">
        <v>28.78</v>
      </c>
      <c r="K683" s="330">
        <v>2.46</v>
      </c>
      <c r="L683" s="75">
        <v>32.729999999999997</v>
      </c>
      <c r="N683" s="325">
        <f t="shared" si="150"/>
        <v>63.97</v>
      </c>
      <c r="O683" s="27"/>
      <c r="P683" s="56"/>
      <c r="Q683" s="26"/>
      <c r="S683" s="330">
        <v>6.5</v>
      </c>
      <c r="T683" s="34">
        <v>0</v>
      </c>
      <c r="U683" s="366">
        <f t="shared" si="137"/>
        <v>0</v>
      </c>
      <c r="V683" s="97">
        <v>-1.71</v>
      </c>
      <c r="W683" s="36">
        <f>RTD("money.excel",,"8040","Price")</f>
        <v>60</v>
      </c>
      <c r="X683" s="67"/>
      <c r="Y683" s="15">
        <f t="shared" si="140"/>
        <v>60</v>
      </c>
      <c r="Z683" s="3" t="e">
        <f t="shared" si="141"/>
        <v>#DIV/0!</v>
      </c>
      <c r="AA683" s="174" t="s">
        <v>1943</v>
      </c>
      <c r="AB683" s="16" t="s">
        <v>413</v>
      </c>
      <c r="AE683" s="33">
        <f t="shared" si="142"/>
        <v>0</v>
      </c>
      <c r="AF683" s="43" t="s">
        <v>3077</v>
      </c>
      <c r="AG683" s="128"/>
      <c r="AI683" s="64">
        <f t="shared" si="138"/>
        <v>6.8850072780203787E-3</v>
      </c>
      <c r="AJ683" s="313">
        <f>RTD("money.excel",,$G683,"PredictVolume")</f>
        <v>473</v>
      </c>
      <c r="AK683" s="348"/>
    </row>
    <row r="684" spans="1:37">
      <c r="A684" s="148" t="s">
        <v>4108</v>
      </c>
      <c r="B684" s="81">
        <v>323</v>
      </c>
      <c r="C684" s="81">
        <v>370</v>
      </c>
      <c r="D684" s="81">
        <v>6</v>
      </c>
      <c r="E684" s="82">
        <v>-7</v>
      </c>
      <c r="F684" s="6">
        <v>14.33</v>
      </c>
      <c r="G684" s="81">
        <v>8054</v>
      </c>
      <c r="H684" s="206" t="s">
        <v>3761</v>
      </c>
      <c r="I684" s="16" t="s">
        <v>5193</v>
      </c>
      <c r="J684" s="330">
        <v>4.54</v>
      </c>
      <c r="K684" s="75">
        <v>7.28</v>
      </c>
      <c r="L684" s="330">
        <v>51.03</v>
      </c>
      <c r="N684" s="325">
        <f t="shared" si="150"/>
        <v>62.85</v>
      </c>
      <c r="O684" s="27"/>
      <c r="P684" s="56"/>
      <c r="Q684" s="26"/>
      <c r="S684" s="330">
        <v>5.28</v>
      </c>
      <c r="T684" s="34">
        <v>0.5</v>
      </c>
      <c r="U684" s="366">
        <f t="shared" si="137"/>
        <v>8.5324232081911266E-3</v>
      </c>
      <c r="V684" s="97">
        <v>2.19</v>
      </c>
      <c r="W684" s="36">
        <f>RTD("money.excel",,"8054","Price")</f>
        <v>58.6</v>
      </c>
      <c r="X684" s="67"/>
      <c r="Y684" s="15">
        <f t="shared" si="140"/>
        <v>58.6</v>
      </c>
      <c r="Z684" s="3" t="e">
        <f t="shared" si="141"/>
        <v>#DIV/0!</v>
      </c>
      <c r="AA684" s="174" t="s">
        <v>1943</v>
      </c>
      <c r="AB684" s="16" t="s">
        <v>5193</v>
      </c>
      <c r="AE684" s="33">
        <f t="shared" si="142"/>
        <v>0</v>
      </c>
      <c r="AF684" s="43" t="s">
        <v>2730</v>
      </c>
      <c r="AG684" s="128"/>
      <c r="AI684" s="64">
        <f t="shared" si="138"/>
        <v>4.4390934844192632E-2</v>
      </c>
      <c r="AJ684" s="313">
        <f>RTD("money.excel",,$G684,"PredictVolume")</f>
        <v>3134</v>
      </c>
      <c r="AK684" s="348"/>
    </row>
    <row r="685" spans="1:37">
      <c r="A685" s="132" t="s">
        <v>1744</v>
      </c>
      <c r="B685" s="81">
        <v>46</v>
      </c>
      <c r="C685" s="81">
        <v>59</v>
      </c>
      <c r="D685" s="81">
        <v>2</v>
      </c>
      <c r="E685" s="81">
        <v>24</v>
      </c>
      <c r="F685" s="58">
        <v>18.34</v>
      </c>
      <c r="G685" s="81">
        <v>8081</v>
      </c>
      <c r="H685" s="8" t="s">
        <v>3761</v>
      </c>
      <c r="I685" s="22" t="s">
        <v>386</v>
      </c>
      <c r="J685" s="330">
        <v>22.99</v>
      </c>
      <c r="K685" s="330">
        <v>23.67</v>
      </c>
      <c r="L685" s="330">
        <v>11.81</v>
      </c>
      <c r="N685" s="325">
        <f t="shared" si="150"/>
        <v>58.47</v>
      </c>
      <c r="O685" s="27"/>
      <c r="P685" s="56"/>
      <c r="Q685" s="26"/>
      <c r="S685" s="330">
        <v>0.05</v>
      </c>
      <c r="T685" s="67">
        <v>9.5</v>
      </c>
      <c r="U685" s="366">
        <f t="shared" si="137"/>
        <v>3.9419087136929459E-2</v>
      </c>
      <c r="V685" s="97">
        <v>12.24</v>
      </c>
      <c r="W685" s="36">
        <f>RTD("money.excel",,"8081","Price")</f>
        <v>241</v>
      </c>
      <c r="X685" s="67"/>
      <c r="Y685" s="15">
        <f t="shared" si="140"/>
        <v>241</v>
      </c>
      <c r="Z685" s="3" t="e">
        <f t="shared" si="141"/>
        <v>#DIV/0!</v>
      </c>
      <c r="AA685" s="174" t="s">
        <v>2185</v>
      </c>
      <c r="AB685" s="22" t="s">
        <v>386</v>
      </c>
      <c r="AE685" s="33">
        <f t="shared" si="142"/>
        <v>0</v>
      </c>
      <c r="AF685" s="43" t="s">
        <v>1506</v>
      </c>
      <c r="AG685" s="128"/>
      <c r="AI685" s="64">
        <f t="shared" si="138"/>
        <v>3.8863109048723906E-3</v>
      </c>
      <c r="AJ685" s="313">
        <f>RTD("money.excel",,$G685,"PredictVolume")</f>
        <v>335</v>
      </c>
      <c r="AK685" s="348"/>
    </row>
    <row r="686" spans="1:37">
      <c r="A686" s="132" t="s">
        <v>2316</v>
      </c>
      <c r="B686" s="81">
        <v>31</v>
      </c>
      <c r="C686" s="81">
        <v>23</v>
      </c>
      <c r="D686" s="82">
        <v>-5</v>
      </c>
      <c r="E686" s="81">
        <v>24</v>
      </c>
      <c r="F686" s="58">
        <v>20.88</v>
      </c>
      <c r="G686" s="81">
        <v>8086</v>
      </c>
      <c r="H686" s="206" t="s">
        <v>3761</v>
      </c>
      <c r="I686" s="16" t="s">
        <v>278</v>
      </c>
      <c r="J686" s="330">
        <v>43.12</v>
      </c>
      <c r="K686" s="330">
        <v>18.32</v>
      </c>
      <c r="L686" s="330">
        <v>23.99</v>
      </c>
      <c r="M686" s="75">
        <v>27.28</v>
      </c>
      <c r="N686" s="325">
        <f t="shared" si="150"/>
        <v>112.71</v>
      </c>
      <c r="O686" s="27"/>
      <c r="P686" s="56"/>
      <c r="Q686" s="26"/>
      <c r="R686" s="308" t="s">
        <v>4374</v>
      </c>
      <c r="S686" s="330">
        <v>4.05</v>
      </c>
      <c r="T686" s="34">
        <v>2.8</v>
      </c>
      <c r="U686" s="366">
        <f t="shared" si="137"/>
        <v>2.8513238289205701E-2</v>
      </c>
      <c r="V686" s="97">
        <v>4.0999999999999996</v>
      </c>
      <c r="W686" s="36">
        <f>RTD("money.excel",,"8086","Price")</f>
        <v>98.2</v>
      </c>
      <c r="X686" s="67"/>
      <c r="Y686" s="15">
        <f t="shared" si="140"/>
        <v>98.2</v>
      </c>
      <c r="Z686" s="3" t="e">
        <f t="shared" si="141"/>
        <v>#DIV/0!</v>
      </c>
      <c r="AA686" s="174" t="s">
        <v>1943</v>
      </c>
      <c r="AB686" s="16" t="s">
        <v>278</v>
      </c>
      <c r="AE686" s="33">
        <f t="shared" si="142"/>
        <v>0</v>
      </c>
      <c r="AF686" s="122" t="s">
        <v>2843</v>
      </c>
      <c r="AG686" s="128"/>
      <c r="AI686" s="64">
        <f t="shared" si="138"/>
        <v>2.7127551020408164E-2</v>
      </c>
      <c r="AJ686" s="313">
        <f>RTD("money.excel",,$G686,"PredictVolume")</f>
        <v>5317</v>
      </c>
      <c r="AK686" s="348"/>
    </row>
    <row r="687" spans="1:37">
      <c r="A687" s="148" t="s">
        <v>1893</v>
      </c>
      <c r="B687" s="82">
        <v>-66</v>
      </c>
      <c r="C687" s="82">
        <v>-51</v>
      </c>
      <c r="D687" s="81">
        <v>19</v>
      </c>
      <c r="E687" s="81">
        <v>17</v>
      </c>
      <c r="F687" s="6">
        <v>4.0999999999999996</v>
      </c>
      <c r="G687" s="81">
        <v>8088</v>
      </c>
      <c r="H687" s="206" t="s">
        <v>3761</v>
      </c>
      <c r="I687" s="16" t="s">
        <v>414</v>
      </c>
      <c r="J687" s="330">
        <v>18.809999999999999</v>
      </c>
      <c r="K687" s="75">
        <v>9.89</v>
      </c>
      <c r="L687" s="330">
        <v>16.309999999999999</v>
      </c>
      <c r="M687" s="330">
        <v>18.98</v>
      </c>
      <c r="N687" s="325">
        <f t="shared" si="150"/>
        <v>63.989999999999995</v>
      </c>
      <c r="O687" s="27"/>
      <c r="P687" s="56"/>
      <c r="Q687" s="26"/>
      <c r="R687" s="308" t="s">
        <v>4373</v>
      </c>
      <c r="S687" s="330">
        <v>1.88</v>
      </c>
      <c r="T687" s="34">
        <v>1.2</v>
      </c>
      <c r="U687" s="366">
        <f t="shared" si="137"/>
        <v>5.333333333333333E-2</v>
      </c>
      <c r="V687" s="97">
        <v>0.84</v>
      </c>
      <c r="W687" s="36">
        <f>RTD("money.excel",,"8088","Price")</f>
        <v>22.5</v>
      </c>
      <c r="X687" s="67"/>
      <c r="Y687" s="15">
        <f t="shared" si="140"/>
        <v>22.5</v>
      </c>
      <c r="Z687" s="3" t="e">
        <f t="shared" si="141"/>
        <v>#DIV/0!</v>
      </c>
      <c r="AA687" s="174" t="s">
        <v>1943</v>
      </c>
      <c r="AB687" s="16" t="s">
        <v>414</v>
      </c>
      <c r="AE687" s="33">
        <f t="shared" si="142"/>
        <v>0</v>
      </c>
      <c r="AF687" s="43" t="s">
        <v>2842</v>
      </c>
      <c r="AG687" s="128"/>
      <c r="AI687" s="64">
        <f t="shared" si="138"/>
        <v>9.688013136288998E-4</v>
      </c>
      <c r="AJ687" s="313">
        <f>RTD("money.excel",,$G687,"PredictVolume")</f>
        <v>59</v>
      </c>
      <c r="AK687" s="348"/>
    </row>
    <row r="688" spans="1:37">
      <c r="A688" s="148" t="s">
        <v>3610</v>
      </c>
      <c r="B688" s="142">
        <v>2527</v>
      </c>
      <c r="C688" s="93">
        <v>92</v>
      </c>
      <c r="D688" s="93">
        <v>-6</v>
      </c>
      <c r="E688" s="93">
        <v>-10</v>
      </c>
      <c r="F688" s="6">
        <v>-0.69</v>
      </c>
      <c r="G688" s="81">
        <v>8110</v>
      </c>
      <c r="H688" s="8" t="s">
        <v>3761</v>
      </c>
      <c r="I688" s="22" t="s">
        <v>5194</v>
      </c>
      <c r="J688" s="75">
        <v>64.11</v>
      </c>
      <c r="K688" s="75">
        <v>7.57</v>
      </c>
      <c r="L688" s="75">
        <v>11.1</v>
      </c>
      <c r="N688" s="325">
        <f t="shared" si="150"/>
        <v>82.78</v>
      </c>
      <c r="O688" s="27"/>
      <c r="P688" s="56"/>
      <c r="Q688" s="26"/>
      <c r="S688" s="330">
        <v>39.979999999999997</v>
      </c>
      <c r="T688" s="34">
        <v>0</v>
      </c>
      <c r="U688" s="366">
        <f t="shared" ref="U688:U694" si="151">T688/W688</f>
        <v>0</v>
      </c>
      <c r="V688" s="97">
        <v>0.52</v>
      </c>
      <c r="W688" s="13">
        <f>RTD("money.excel",,"8110","Price")</f>
        <v>16.600000000000001</v>
      </c>
      <c r="X688" s="67"/>
      <c r="Y688" s="15">
        <f t="shared" si="140"/>
        <v>16.600000000000001</v>
      </c>
      <c r="Z688" s="3" t="e">
        <f t="shared" si="141"/>
        <v>#DIV/0!</v>
      </c>
      <c r="AB688" s="22" t="s">
        <v>5194</v>
      </c>
      <c r="AE688" s="33">
        <f t="shared" si="142"/>
        <v>0</v>
      </c>
      <c r="AF688" s="122" t="s">
        <v>1119</v>
      </c>
      <c r="AG688" s="128"/>
      <c r="AI688" s="64">
        <f t="shared" ref="AI688:AI694" si="152">AJ688/(A688*10000)</f>
        <v>3.9150197628458495E-3</v>
      </c>
      <c r="AJ688" s="313">
        <f>RTD("money.excel",,$G688,"PredictVolume")</f>
        <v>1981</v>
      </c>
      <c r="AK688" s="348"/>
    </row>
    <row r="689" spans="1:37">
      <c r="A689" s="132" t="s">
        <v>2537</v>
      </c>
      <c r="B689" s="81">
        <v>13</v>
      </c>
      <c r="C689" s="81">
        <v>22</v>
      </c>
      <c r="D689" s="82">
        <v>-1</v>
      </c>
      <c r="E689" s="82">
        <v>-5</v>
      </c>
      <c r="F689" s="58">
        <v>16.93</v>
      </c>
      <c r="G689" s="81">
        <v>8131</v>
      </c>
      <c r="H689" s="8" t="s">
        <v>3761</v>
      </c>
      <c r="I689" s="22" t="s">
        <v>5195</v>
      </c>
      <c r="J689" s="75">
        <v>75.239999999999995</v>
      </c>
      <c r="K689" s="330">
        <v>5.18</v>
      </c>
      <c r="L689" s="330">
        <v>0.66</v>
      </c>
      <c r="N689" s="325">
        <f t="shared" si="150"/>
        <v>81.079999999999984</v>
      </c>
      <c r="O689" s="27"/>
      <c r="P689" s="56"/>
      <c r="Q689" s="26"/>
      <c r="S689" s="330">
        <v>0</v>
      </c>
      <c r="T689" s="34">
        <v>2.2999999999999998</v>
      </c>
      <c r="U689" s="366">
        <f t="shared" si="151"/>
        <v>5.6234718826405863E-2</v>
      </c>
      <c r="V689" s="97">
        <v>3.17</v>
      </c>
      <c r="W689" s="36">
        <f>RTD("money.excel",,"8131","Price")</f>
        <v>40.9</v>
      </c>
      <c r="X689" s="67"/>
      <c r="Y689" s="15">
        <f t="shared" si="140"/>
        <v>40.9</v>
      </c>
      <c r="Z689" s="3" t="e">
        <f t="shared" si="141"/>
        <v>#DIV/0!</v>
      </c>
      <c r="AB689" s="22" t="s">
        <v>5195</v>
      </c>
      <c r="AE689" s="33">
        <f t="shared" si="142"/>
        <v>0</v>
      </c>
      <c r="AF689" s="122" t="s">
        <v>1930</v>
      </c>
      <c r="AG689" s="269"/>
      <c r="AI689" s="64">
        <f t="shared" si="152"/>
        <v>5.8144796380090499E-4</v>
      </c>
      <c r="AJ689" s="313">
        <f>RTD("money.excel",,$G689,"PredictVolume")</f>
        <v>257</v>
      </c>
      <c r="AK689" s="348"/>
    </row>
    <row r="690" spans="1:37">
      <c r="A690" s="132" t="s">
        <v>2324</v>
      </c>
      <c r="B690" s="82">
        <v>-18</v>
      </c>
      <c r="C690" s="81">
        <v>54</v>
      </c>
      <c r="D690" s="82">
        <v>-1</v>
      </c>
      <c r="E690" s="81">
        <v>10</v>
      </c>
      <c r="F690" s="58">
        <v>14.41</v>
      </c>
      <c r="G690" s="81">
        <v>8150</v>
      </c>
      <c r="H690" s="8" t="s">
        <v>3761</v>
      </c>
      <c r="I690" s="22" t="s">
        <v>292</v>
      </c>
      <c r="J690" s="75">
        <v>64.739999999999995</v>
      </c>
      <c r="K690" s="330">
        <v>41.37</v>
      </c>
      <c r="L690" s="330">
        <v>8.44</v>
      </c>
      <c r="N690" s="325">
        <f t="shared" si="150"/>
        <v>114.54999999999998</v>
      </c>
      <c r="O690" s="27"/>
      <c r="P690" s="56"/>
      <c r="Q690" s="26"/>
      <c r="S690" s="330">
        <v>0.24</v>
      </c>
      <c r="T690" s="34">
        <v>2.2000000000000002</v>
      </c>
      <c r="U690" s="366">
        <f t="shared" si="151"/>
        <v>4.2718446601941754E-2</v>
      </c>
      <c r="V690" s="97">
        <v>3.26</v>
      </c>
      <c r="W690" s="13">
        <f>RTD("money.excel",,"8150","Price")</f>
        <v>51.5</v>
      </c>
      <c r="X690" s="67"/>
      <c r="Y690" s="15">
        <f t="shared" si="140"/>
        <v>51.5</v>
      </c>
      <c r="Z690" s="3" t="e">
        <f t="shared" si="141"/>
        <v>#DIV/0!</v>
      </c>
      <c r="AA690" s="174" t="s">
        <v>1943</v>
      </c>
      <c r="AB690" s="22" t="s">
        <v>292</v>
      </c>
      <c r="AE690" s="33">
        <f t="shared" si="142"/>
        <v>0</v>
      </c>
      <c r="AF690" s="122" t="s">
        <v>2816</v>
      </c>
      <c r="AG690" s="128"/>
      <c r="AI690" s="64">
        <f t="shared" si="152"/>
        <v>5.7083906464924349E-3</v>
      </c>
      <c r="AJ690" s="313">
        <f>RTD("money.excel",,$G690,"PredictVolume")</f>
        <v>4150</v>
      </c>
      <c r="AK690" s="348"/>
    </row>
    <row r="691" spans="1:37">
      <c r="A691" s="132" t="s">
        <v>1871</v>
      </c>
      <c r="B691" s="81">
        <v>259</v>
      </c>
      <c r="C691" s="81">
        <v>261</v>
      </c>
      <c r="D691" s="81">
        <v>11</v>
      </c>
      <c r="E691" s="81">
        <v>32</v>
      </c>
      <c r="F691" s="58">
        <v>18.66</v>
      </c>
      <c r="G691" s="81">
        <v>8261</v>
      </c>
      <c r="H691" s="8" t="s">
        <v>3761</v>
      </c>
      <c r="I691" s="22" t="s">
        <v>344</v>
      </c>
      <c r="J691" s="75">
        <v>15.96</v>
      </c>
      <c r="K691" s="75">
        <v>15.75</v>
      </c>
      <c r="L691" s="75">
        <v>52.12</v>
      </c>
      <c r="M691" s="330">
        <v>13.85</v>
      </c>
      <c r="N691" s="325">
        <f t="shared" si="150"/>
        <v>97.679999999999993</v>
      </c>
      <c r="O691" s="27"/>
      <c r="P691" s="56"/>
      <c r="Q691" s="26"/>
      <c r="R691" s="308" t="s">
        <v>6059</v>
      </c>
      <c r="S691" s="330">
        <v>4.3499999999999996</v>
      </c>
      <c r="T691" s="34">
        <v>1</v>
      </c>
      <c r="U691" s="366">
        <f t="shared" si="151"/>
        <v>9.5238095238095247E-3</v>
      </c>
      <c r="V691" s="97">
        <v>6.39</v>
      </c>
      <c r="W691" s="36">
        <f>RTD("money.excel",,"8261","Price")</f>
        <v>105</v>
      </c>
      <c r="X691" s="67"/>
      <c r="Y691" s="15">
        <f t="shared" si="140"/>
        <v>105</v>
      </c>
      <c r="Z691" s="3" t="e">
        <f t="shared" si="141"/>
        <v>#DIV/0!</v>
      </c>
      <c r="AA691" s="174" t="s">
        <v>1943</v>
      </c>
      <c r="AB691" s="22" t="s">
        <v>344</v>
      </c>
      <c r="AE691" s="33">
        <f t="shared" si="142"/>
        <v>0</v>
      </c>
      <c r="AF691" s="43" t="s">
        <v>2655</v>
      </c>
      <c r="AG691" s="128"/>
      <c r="AI691" s="64">
        <f t="shared" si="152"/>
        <v>1.9212792127921277E-2</v>
      </c>
      <c r="AJ691" s="313">
        <f>RTD("money.excel",,$G691,"PredictVolume")</f>
        <v>1562</v>
      </c>
      <c r="AK691" s="348"/>
    </row>
    <row r="692" spans="1:37">
      <c r="A692" s="148" t="s">
        <v>2038</v>
      </c>
      <c r="B692" s="82">
        <v>-14</v>
      </c>
      <c r="C692" s="82">
        <v>-23</v>
      </c>
      <c r="D692" s="81">
        <v>14</v>
      </c>
      <c r="E692" s="82">
        <v>-1</v>
      </c>
      <c r="F692" s="6">
        <v>5.33</v>
      </c>
      <c r="G692" s="81">
        <v>8271</v>
      </c>
      <c r="H692" s="8" t="s">
        <v>3761</v>
      </c>
      <c r="I692" s="22" t="s">
        <v>5196</v>
      </c>
      <c r="J692" s="75">
        <v>20.41</v>
      </c>
      <c r="K692" s="75">
        <v>8.67</v>
      </c>
      <c r="L692" s="75">
        <v>11.77</v>
      </c>
      <c r="N692" s="325">
        <f t="shared" si="150"/>
        <v>40.849999999999994</v>
      </c>
      <c r="O692" s="27"/>
      <c r="P692" s="56"/>
      <c r="Q692" s="26"/>
      <c r="S692" s="330">
        <v>0.08</v>
      </c>
      <c r="T692" s="34">
        <v>1</v>
      </c>
      <c r="U692" s="366">
        <f t="shared" si="151"/>
        <v>2.1344717182497332E-2</v>
      </c>
      <c r="V692" s="97">
        <v>2.57</v>
      </c>
      <c r="W692" s="36">
        <f>RTD("money.excel",,"8271","Price")</f>
        <v>46.85</v>
      </c>
      <c r="X692" s="67"/>
      <c r="Y692" s="15">
        <f t="shared" si="140"/>
        <v>46.85</v>
      </c>
      <c r="Z692" s="3" t="e">
        <f t="shared" si="141"/>
        <v>#DIV/0!</v>
      </c>
      <c r="AA692" s="174" t="s">
        <v>1943</v>
      </c>
      <c r="AB692" s="22" t="s">
        <v>5196</v>
      </c>
      <c r="AE692" s="33">
        <f t="shared" si="142"/>
        <v>0</v>
      </c>
      <c r="AF692" s="43" t="s">
        <v>1482</v>
      </c>
      <c r="AG692" s="128"/>
      <c r="AI692" s="64">
        <f t="shared" si="152"/>
        <v>5.6534653465346533E-3</v>
      </c>
      <c r="AJ692" s="313">
        <f>RTD("money.excel",,$G692,"PredictVolume")</f>
        <v>571</v>
      </c>
      <c r="AK692" s="348"/>
    </row>
    <row r="693" spans="1:37">
      <c r="A693" s="148" t="s">
        <v>3509</v>
      </c>
      <c r="B693" s="93">
        <v>38</v>
      </c>
      <c r="C693" s="93">
        <v>41</v>
      </c>
      <c r="D693" s="93">
        <v>-57</v>
      </c>
      <c r="E693" s="93">
        <v>37</v>
      </c>
      <c r="F693" s="6">
        <v>-13.92</v>
      </c>
      <c r="G693" s="81">
        <v>8277</v>
      </c>
      <c r="H693" s="206" t="s">
        <v>3761</v>
      </c>
      <c r="I693" s="16" t="s">
        <v>5197</v>
      </c>
      <c r="J693" s="75">
        <v>38.42</v>
      </c>
      <c r="K693" s="75">
        <v>4.4800000000000004</v>
      </c>
      <c r="L693" s="75">
        <v>18.18</v>
      </c>
      <c r="N693" s="325">
        <f t="shared" si="150"/>
        <v>61.080000000000005</v>
      </c>
      <c r="O693" s="27"/>
      <c r="P693" s="56"/>
      <c r="Q693" s="26"/>
      <c r="S693" s="330">
        <v>22.68</v>
      </c>
      <c r="T693" s="34">
        <v>0</v>
      </c>
      <c r="U693" s="366">
        <f t="shared" si="151"/>
        <v>0</v>
      </c>
      <c r="V693" s="97">
        <v>-0.69</v>
      </c>
      <c r="W693" s="36">
        <f>RTD("money.excel",,"8277","Price")</f>
        <v>11.65</v>
      </c>
      <c r="X693" s="67"/>
      <c r="Y693" s="15">
        <f t="shared" si="140"/>
        <v>11.65</v>
      </c>
      <c r="Z693" s="3" t="e">
        <f t="shared" si="141"/>
        <v>#DIV/0!</v>
      </c>
      <c r="AB693" s="16" t="s">
        <v>5197</v>
      </c>
      <c r="AE693" s="33">
        <f t="shared" si="142"/>
        <v>0</v>
      </c>
      <c r="AF693" s="43" t="s">
        <v>1482</v>
      </c>
      <c r="AG693" s="125"/>
      <c r="AI693" s="64">
        <f t="shared" si="152"/>
        <v>2.0633187772925764E-3</v>
      </c>
      <c r="AJ693" s="313">
        <f>RTD("money.excel",,$G693,"PredictVolume")</f>
        <v>189</v>
      </c>
      <c r="AK693" s="348"/>
    </row>
    <row r="694" spans="1:37">
      <c r="A694" s="132" t="s">
        <v>1840</v>
      </c>
      <c r="B694" s="81">
        <v>28</v>
      </c>
      <c r="C694" s="81">
        <v>80</v>
      </c>
      <c r="D694" s="81">
        <v>8</v>
      </c>
      <c r="E694" s="81">
        <v>33</v>
      </c>
      <c r="F694" s="58">
        <v>15.8</v>
      </c>
      <c r="G694" s="81">
        <v>8299</v>
      </c>
      <c r="H694" s="206" t="s">
        <v>3761</v>
      </c>
      <c r="I694" s="16" t="s">
        <v>5198</v>
      </c>
      <c r="J694" s="75">
        <v>37.409999999999997</v>
      </c>
      <c r="K694" s="75">
        <v>46.17</v>
      </c>
      <c r="L694" s="330">
        <v>14.11</v>
      </c>
      <c r="M694" s="75">
        <v>18.95</v>
      </c>
      <c r="N694" s="325">
        <f>J694+K694+L694+M694</f>
        <v>116.64</v>
      </c>
      <c r="O694" s="27" t="s">
        <v>1735</v>
      </c>
      <c r="P694" s="56" t="s">
        <v>6259</v>
      </c>
      <c r="Q694" s="26" t="s">
        <v>6259</v>
      </c>
      <c r="R694" s="309" t="s">
        <v>6219</v>
      </c>
      <c r="S694" s="330">
        <v>3.32</v>
      </c>
      <c r="T694" s="67">
        <v>10</v>
      </c>
      <c r="U694" s="366">
        <f t="shared" si="151"/>
        <v>2.0661157024793389E-2</v>
      </c>
      <c r="V694" s="97">
        <v>51.35</v>
      </c>
      <c r="W694" s="13">
        <f>RTD("money.excel",,"8299","Price")</f>
        <v>484</v>
      </c>
      <c r="X694" s="67"/>
      <c r="Y694" s="15">
        <f>W694-X694</f>
        <v>484</v>
      </c>
      <c r="Z694" s="3" t="e">
        <f>Y694/X694</f>
        <v>#DIV/0!</v>
      </c>
      <c r="AA694" s="174" t="s">
        <v>2185</v>
      </c>
      <c r="AB694" s="16" t="s">
        <v>5198</v>
      </c>
      <c r="AE694" s="33">
        <f>AD694-AC694</f>
        <v>0</v>
      </c>
      <c r="AF694" s="122" t="s">
        <v>2592</v>
      </c>
      <c r="AG694" s="128"/>
      <c r="AI694" s="64">
        <f t="shared" si="152"/>
        <v>1.0685279187817259E-2</v>
      </c>
      <c r="AJ694" s="313">
        <f>RTD("money.excel",,$G694,"PredictVolume")</f>
        <v>2105</v>
      </c>
      <c r="AK694" s="348">
        <v>9.6300000000000008</v>
      </c>
    </row>
    <row r="695" spans="1:37">
      <c r="B695" s="81"/>
      <c r="C695" s="81"/>
      <c r="D695" s="82"/>
      <c r="E695" s="81"/>
      <c r="F695" s="58"/>
      <c r="G695" s="81"/>
      <c r="H695" s="206"/>
      <c r="I695" s="16"/>
      <c r="J695" s="75"/>
      <c r="K695" s="75"/>
      <c r="M695" s="75"/>
      <c r="N695" s="325"/>
      <c r="O695" s="27"/>
      <c r="P695" s="56"/>
      <c r="Q695" s="26"/>
      <c r="T695" s="67"/>
      <c r="V695" s="97"/>
      <c r="W695" s="13"/>
      <c r="X695" s="67"/>
      <c r="Y695" s="15"/>
      <c r="Z695" s="3"/>
      <c r="AB695" s="16"/>
      <c r="AE695" s="33"/>
      <c r="AF695" s="122"/>
      <c r="AG695" s="128"/>
      <c r="AK695" s="348"/>
    </row>
    <row r="696" spans="1:37">
      <c r="A696" s="132" t="s">
        <v>1854</v>
      </c>
      <c r="B696" s="93" t="s">
        <v>1657</v>
      </c>
      <c r="C696" s="93" t="s">
        <v>1658</v>
      </c>
      <c r="D696" s="93" t="s">
        <v>1659</v>
      </c>
      <c r="E696" s="93" t="s">
        <v>1660</v>
      </c>
      <c r="F696" s="8" t="s">
        <v>1122</v>
      </c>
      <c r="G696" s="27" t="s">
        <v>5199</v>
      </c>
      <c r="H696" s="55" t="s">
        <v>342</v>
      </c>
      <c r="I696" s="8" t="s">
        <v>1212</v>
      </c>
      <c r="J696" s="324" t="s">
        <v>1529</v>
      </c>
      <c r="K696" s="324" t="s">
        <v>1217</v>
      </c>
      <c r="L696" s="324" t="s">
        <v>298</v>
      </c>
      <c r="M696" s="324" t="s">
        <v>1115</v>
      </c>
      <c r="N696" s="324" t="s">
        <v>6091</v>
      </c>
      <c r="O696" s="27" t="s">
        <v>6253</v>
      </c>
      <c r="P696" s="56" t="s">
        <v>6219</v>
      </c>
      <c r="Q696" s="26" t="s">
        <v>6313</v>
      </c>
      <c r="R696" s="309" t="s">
        <v>4371</v>
      </c>
      <c r="S696" s="335" t="s">
        <v>4398</v>
      </c>
      <c r="T696" s="10" t="s">
        <v>75</v>
      </c>
      <c r="U696" s="364" t="s">
        <v>6152</v>
      </c>
      <c r="V696" s="69" t="s">
        <v>4022</v>
      </c>
      <c r="W696" s="28" t="s">
        <v>2</v>
      </c>
      <c r="X696" s="17" t="s">
        <v>1465</v>
      </c>
      <c r="Y696" s="14" t="s">
        <v>5</v>
      </c>
      <c r="Z696" s="21" t="s">
        <v>3</v>
      </c>
      <c r="AA696" s="322" t="s">
        <v>117</v>
      </c>
      <c r="AB696" s="8" t="s">
        <v>1212</v>
      </c>
      <c r="AC696" s="73" t="s">
        <v>1466</v>
      </c>
      <c r="AD696" s="74" t="s">
        <v>1223</v>
      </c>
      <c r="AE696" s="32" t="s">
        <v>1224</v>
      </c>
      <c r="AF696" s="43"/>
      <c r="AG696" s="128"/>
      <c r="AI696" s="8" t="s">
        <v>4414</v>
      </c>
      <c r="AJ696" s="50" t="s">
        <v>4121</v>
      </c>
      <c r="AK696" s="348" t="s">
        <v>6074</v>
      </c>
    </row>
    <row r="697" spans="1:37">
      <c r="A697" s="132" t="s">
        <v>2282</v>
      </c>
      <c r="B697" s="81">
        <v>252</v>
      </c>
      <c r="C697" s="81">
        <v>128</v>
      </c>
      <c r="D697" s="81">
        <v>51</v>
      </c>
      <c r="E697" s="82">
        <v>-22</v>
      </c>
      <c r="F697" s="58">
        <v>11.98</v>
      </c>
      <c r="G697" s="81">
        <v>1569</v>
      </c>
      <c r="H697" s="206" t="s">
        <v>1212</v>
      </c>
      <c r="I697" s="16" t="s">
        <v>2688</v>
      </c>
      <c r="J697" s="75">
        <v>41.19</v>
      </c>
      <c r="K697" s="75">
        <v>1.59</v>
      </c>
      <c r="L697" s="75">
        <v>17.11</v>
      </c>
      <c r="N697" s="325">
        <f t="shared" ref="N697" si="153">J697+K697+L697+M697</f>
        <v>59.89</v>
      </c>
      <c r="O697" s="27"/>
      <c r="P697" s="56"/>
      <c r="Q697" s="26"/>
      <c r="S697" s="330">
        <v>0</v>
      </c>
      <c r="T697" s="34">
        <v>1.5</v>
      </c>
      <c r="U697" s="366">
        <f t="shared" ref="U697:U728" si="154">T697/W697</f>
        <v>6.4102564102564111E-2</v>
      </c>
      <c r="V697" s="97">
        <v>3.45</v>
      </c>
      <c r="W697" s="36">
        <f>RTD("money.excel",,"1569","Price")</f>
        <v>23.4</v>
      </c>
      <c r="X697" s="67"/>
      <c r="Y697" s="15">
        <f t="shared" ref="Y697:Y762" si="155">W697-X697</f>
        <v>23.4</v>
      </c>
      <c r="Z697" s="3" t="e">
        <f t="shared" ref="Z697:Z762" si="156">Y697/X697</f>
        <v>#DIV/0!</v>
      </c>
      <c r="AB697" s="16" t="s">
        <v>2688</v>
      </c>
      <c r="AE697" s="33">
        <f t="shared" ref="AE697:AE762" si="157">AD697-AC697</f>
        <v>0</v>
      </c>
      <c r="AF697" s="43" t="s">
        <v>2957</v>
      </c>
      <c r="AG697" s="128"/>
      <c r="AI697" s="64">
        <f t="shared" ref="AI697:AI728" si="158">AJ697/(A697*10000)</f>
        <v>1.2916666666666667E-3</v>
      </c>
      <c r="AJ697" s="313">
        <f>RTD("money.excel",,$G697,"PredictVolume")</f>
        <v>155</v>
      </c>
      <c r="AK697" s="348"/>
    </row>
    <row r="698" spans="1:37">
      <c r="A698" s="148" t="s">
        <v>2211</v>
      </c>
      <c r="B698" s="81">
        <v>11</v>
      </c>
      <c r="C698" s="81">
        <v>23</v>
      </c>
      <c r="D698" s="82">
        <v>-1</v>
      </c>
      <c r="E698" s="82">
        <v>-7</v>
      </c>
      <c r="F698" s="6">
        <v>7.25</v>
      </c>
      <c r="G698" s="81">
        <v>2301</v>
      </c>
      <c r="H698" s="206" t="s">
        <v>1212</v>
      </c>
      <c r="I698" s="22" t="s">
        <v>5200</v>
      </c>
      <c r="J698" s="75">
        <v>77.16</v>
      </c>
      <c r="K698" s="330">
        <v>56.3</v>
      </c>
      <c r="L698" s="330">
        <v>0.74</v>
      </c>
      <c r="N698" s="325">
        <f t="shared" ref="N698:N762" si="159">J698+K698+L698+M698</f>
        <v>134.19999999999999</v>
      </c>
      <c r="O698" s="27"/>
      <c r="P698" s="56"/>
      <c r="Q698" s="26"/>
      <c r="S698" s="330">
        <v>0.02</v>
      </c>
      <c r="T698" s="67">
        <v>3.4</v>
      </c>
      <c r="U698" s="366">
        <f t="shared" si="154"/>
        <v>4.8158640226628899E-2</v>
      </c>
      <c r="V698" s="97">
        <v>4.3099999999999996</v>
      </c>
      <c r="W698" s="13">
        <f>RTD("money.excel",,"2301","Price")</f>
        <v>70.599999999999994</v>
      </c>
      <c r="X698" s="67"/>
      <c r="Y698" s="15">
        <f t="shared" si="155"/>
        <v>70.599999999999994</v>
      </c>
      <c r="Z698" s="3" t="e">
        <f t="shared" si="156"/>
        <v>#DIV/0!</v>
      </c>
      <c r="AA698" s="174" t="s">
        <v>2185</v>
      </c>
      <c r="AB698" s="22" t="s">
        <v>5200</v>
      </c>
      <c r="AE698" s="33">
        <f t="shared" si="157"/>
        <v>0</v>
      </c>
      <c r="AF698" s="122" t="s">
        <v>3232</v>
      </c>
      <c r="AG698" s="128"/>
      <c r="AI698" s="64">
        <f t="shared" si="158"/>
        <v>2.241276595744681E-3</v>
      </c>
      <c r="AJ698" s="313">
        <f>RTD("money.excel",,$G698,"PredictVolume")</f>
        <v>5267</v>
      </c>
      <c r="AK698" s="348"/>
    </row>
    <row r="699" spans="1:37">
      <c r="A699" s="148" t="s">
        <v>3656</v>
      </c>
      <c r="B699" s="93">
        <v>768</v>
      </c>
      <c r="C699" s="93">
        <v>45</v>
      </c>
      <c r="D699" s="93">
        <v>-16</v>
      </c>
      <c r="E699" s="93">
        <v>88</v>
      </c>
      <c r="F699" s="6">
        <v>-14.79</v>
      </c>
      <c r="G699" s="81">
        <v>2305</v>
      </c>
      <c r="H699" s="206" t="s">
        <v>1212</v>
      </c>
      <c r="I699" s="22" t="s">
        <v>487</v>
      </c>
      <c r="J699" s="75">
        <v>58.65</v>
      </c>
      <c r="K699" s="75">
        <v>5</v>
      </c>
      <c r="L699" s="330">
        <v>10.7</v>
      </c>
      <c r="N699" s="325">
        <f t="shared" si="159"/>
        <v>74.349999999999994</v>
      </c>
      <c r="O699" s="27"/>
      <c r="P699" s="56"/>
      <c r="Q699" s="26"/>
      <c r="S699" s="330">
        <v>31.42</v>
      </c>
      <c r="T699" s="34">
        <v>0</v>
      </c>
      <c r="U699" s="366">
        <f t="shared" si="154"/>
        <v>0</v>
      </c>
      <c r="V699" s="97">
        <v>0.08</v>
      </c>
      <c r="W699" s="13">
        <f>RTD("money.excel",,"2305","Price")</f>
        <v>9.61</v>
      </c>
      <c r="X699" s="67"/>
      <c r="Y699" s="15">
        <f t="shared" si="155"/>
        <v>9.61</v>
      </c>
      <c r="Z699" s="3" t="e">
        <f t="shared" si="156"/>
        <v>#DIV/0!</v>
      </c>
      <c r="AB699" s="22" t="s">
        <v>487</v>
      </c>
      <c r="AE699" s="33">
        <f t="shared" si="157"/>
        <v>0</v>
      </c>
      <c r="AF699" s="43" t="s">
        <v>3233</v>
      </c>
      <c r="AG699" s="128"/>
      <c r="AI699" s="64">
        <f t="shared" si="158"/>
        <v>3.5073170731707319E-3</v>
      </c>
      <c r="AJ699" s="313">
        <f>RTD("money.excel",,$G699,"PredictVolume")</f>
        <v>719</v>
      </c>
      <c r="AK699" s="348"/>
    </row>
    <row r="700" spans="1:37">
      <c r="A700" s="148" t="s">
        <v>1775</v>
      </c>
      <c r="B700" s="81">
        <v>85</v>
      </c>
      <c r="C700" s="81">
        <v>48</v>
      </c>
      <c r="D700" s="81">
        <v>5</v>
      </c>
      <c r="E700" s="81">
        <v>15</v>
      </c>
      <c r="F700" s="6">
        <v>1.0900000000000001</v>
      </c>
      <c r="G700" s="81">
        <v>2324</v>
      </c>
      <c r="H700" s="206" t="s">
        <v>1212</v>
      </c>
      <c r="I700" s="22" t="s">
        <v>17</v>
      </c>
      <c r="J700" s="330">
        <v>67.069999999999993</v>
      </c>
      <c r="K700" s="75">
        <v>56.27</v>
      </c>
      <c r="L700" s="75">
        <v>0.71</v>
      </c>
      <c r="N700" s="325">
        <f t="shared" si="159"/>
        <v>124.05</v>
      </c>
      <c r="O700" s="27"/>
      <c r="P700" s="56"/>
      <c r="Q700" s="26"/>
      <c r="R700" s="308" t="s">
        <v>4373</v>
      </c>
      <c r="S700" s="330">
        <v>1.43</v>
      </c>
      <c r="T700" s="34">
        <v>1.6</v>
      </c>
      <c r="U700" s="366">
        <f t="shared" si="154"/>
        <v>6.1895551257253385E-2</v>
      </c>
      <c r="V700" s="58">
        <v>3.22</v>
      </c>
      <c r="W700" s="13">
        <f>RTD("money.excel",,"2324","Price")</f>
        <v>25.85</v>
      </c>
      <c r="X700" s="67"/>
      <c r="Y700" s="15">
        <f t="shared" si="155"/>
        <v>25.85</v>
      </c>
      <c r="Z700" s="3" t="e">
        <f t="shared" si="156"/>
        <v>#DIV/0!</v>
      </c>
      <c r="AA700" s="174" t="s">
        <v>1943</v>
      </c>
      <c r="AB700" s="22" t="s">
        <v>17</v>
      </c>
      <c r="AE700" s="33">
        <f t="shared" si="157"/>
        <v>0</v>
      </c>
      <c r="AF700" s="122" t="s">
        <v>3234</v>
      </c>
      <c r="AG700" s="128"/>
      <c r="AI700" s="64">
        <f t="shared" si="158"/>
        <v>1.7620454545454545E-3</v>
      </c>
      <c r="AJ700" s="313">
        <f>RTD("money.excel",,$G700,"PredictVolume")</f>
        <v>7753</v>
      </c>
      <c r="AK700" s="348"/>
    </row>
    <row r="701" spans="1:37">
      <c r="A701" s="148" t="s">
        <v>2159</v>
      </c>
      <c r="B701" s="81">
        <v>104</v>
      </c>
      <c r="C701" s="81">
        <v>112</v>
      </c>
      <c r="D701" s="81">
        <v>21</v>
      </c>
      <c r="E701" s="81">
        <v>6</v>
      </c>
      <c r="F701" s="6">
        <v>0.52</v>
      </c>
      <c r="G701" s="81">
        <v>2331</v>
      </c>
      <c r="H701" s="206" t="s">
        <v>1212</v>
      </c>
      <c r="I701" s="22" t="s">
        <v>105</v>
      </c>
      <c r="J701" s="75">
        <v>73.709999999999994</v>
      </c>
      <c r="K701" s="75">
        <v>14.85</v>
      </c>
      <c r="L701" s="75">
        <v>27.67</v>
      </c>
      <c r="N701" s="325">
        <f t="shared" si="159"/>
        <v>116.22999999999999</v>
      </c>
      <c r="O701" s="27"/>
      <c r="P701" s="56"/>
      <c r="Q701" s="26"/>
      <c r="S701" s="330">
        <v>1.04</v>
      </c>
      <c r="T701" s="34">
        <v>0.1</v>
      </c>
      <c r="U701" s="366">
        <f t="shared" si="154"/>
        <v>5.3050397877984082E-3</v>
      </c>
      <c r="V701" s="97">
        <v>0.11</v>
      </c>
      <c r="W701" s="36">
        <f>RTD("money.excel",,"2331","Price")</f>
        <v>18.850000000000001</v>
      </c>
      <c r="X701" s="67"/>
      <c r="Y701" s="15">
        <f t="shared" si="155"/>
        <v>18.850000000000001</v>
      </c>
      <c r="Z701" s="3" t="e">
        <f t="shared" si="156"/>
        <v>#DIV/0!</v>
      </c>
      <c r="AB701" s="22" t="s">
        <v>105</v>
      </c>
      <c r="AE701" s="33">
        <f t="shared" si="157"/>
        <v>0</v>
      </c>
      <c r="AF701" s="122" t="s">
        <v>3235</v>
      </c>
      <c r="AG701" s="128"/>
      <c r="AI701" s="64">
        <f t="shared" si="158"/>
        <v>1.2800718132854579E-3</v>
      </c>
      <c r="AJ701" s="313">
        <f>RTD("money.excel",,$G701,"PredictVolume")</f>
        <v>713</v>
      </c>
      <c r="AK701" s="348"/>
    </row>
    <row r="702" spans="1:37">
      <c r="A702" s="132" t="s">
        <v>2307</v>
      </c>
      <c r="B702" s="81">
        <v>13</v>
      </c>
      <c r="C702" s="82">
        <v>-7</v>
      </c>
      <c r="D702" s="82">
        <v>-3</v>
      </c>
      <c r="E702" s="81">
        <v>33</v>
      </c>
      <c r="F702" s="58">
        <v>33.659999999999997</v>
      </c>
      <c r="G702" s="81">
        <v>2352</v>
      </c>
      <c r="H702" s="206" t="s">
        <v>1212</v>
      </c>
      <c r="I702" s="22" t="s">
        <v>119</v>
      </c>
      <c r="J702" s="330">
        <v>55.91</v>
      </c>
      <c r="K702" s="75">
        <v>22.73</v>
      </c>
      <c r="L702" s="75">
        <v>4.5</v>
      </c>
      <c r="N702" s="325">
        <f t="shared" si="159"/>
        <v>83.14</v>
      </c>
      <c r="O702" s="27"/>
      <c r="P702" s="56"/>
      <c r="Q702" s="26"/>
      <c r="S702" s="330">
        <v>0.11</v>
      </c>
      <c r="T702" s="34">
        <v>0.75</v>
      </c>
      <c r="U702" s="366">
        <f t="shared" si="154"/>
        <v>2.3510971786833857E-2</v>
      </c>
      <c r="V702" s="97">
        <v>2.54</v>
      </c>
      <c r="W702" s="36">
        <f>RTD("money.excel",,"2352","Price")</f>
        <v>31.9</v>
      </c>
      <c r="X702" s="67"/>
      <c r="Y702" s="15">
        <f t="shared" si="155"/>
        <v>31.9</v>
      </c>
      <c r="Z702" s="3" t="e">
        <f t="shared" si="156"/>
        <v>#DIV/0!</v>
      </c>
      <c r="AA702" s="174" t="s">
        <v>1943</v>
      </c>
      <c r="AB702" s="22" t="s">
        <v>119</v>
      </c>
      <c r="AE702" s="33">
        <f t="shared" si="157"/>
        <v>0</v>
      </c>
      <c r="AF702" s="122" t="s">
        <v>2495</v>
      </c>
      <c r="AG702" s="128"/>
      <c r="AI702" s="64">
        <f t="shared" si="158"/>
        <v>2.9933673469387757E-3</v>
      </c>
      <c r="AJ702" s="313">
        <f>RTD("money.excel",,$G702,"PredictVolume")</f>
        <v>5867</v>
      </c>
      <c r="AK702" s="348"/>
    </row>
    <row r="703" spans="1:37">
      <c r="A703" s="148" t="s">
        <v>4192</v>
      </c>
      <c r="B703" s="81">
        <v>224</v>
      </c>
      <c r="C703" s="81">
        <v>216</v>
      </c>
      <c r="D703" s="81">
        <v>3</v>
      </c>
      <c r="E703" s="82">
        <v>-1</v>
      </c>
      <c r="F703" s="6">
        <v>4.4800000000000004</v>
      </c>
      <c r="G703" s="81">
        <v>2353</v>
      </c>
      <c r="H703" s="206" t="s">
        <v>1212</v>
      </c>
      <c r="I703" s="22" t="s">
        <v>5201</v>
      </c>
      <c r="J703" s="75">
        <v>43.93</v>
      </c>
      <c r="K703" s="75">
        <v>35.28</v>
      </c>
      <c r="L703" s="330">
        <v>7.24</v>
      </c>
      <c r="N703" s="325">
        <f t="shared" si="159"/>
        <v>86.45</v>
      </c>
      <c r="O703" s="27"/>
      <c r="P703" s="56"/>
      <c r="Q703" s="26"/>
      <c r="S703" s="330">
        <v>3.97</v>
      </c>
      <c r="T703" s="34">
        <v>1.5</v>
      </c>
      <c r="U703" s="366">
        <f t="shared" si="154"/>
        <v>5.2083333333333329E-2</v>
      </c>
      <c r="V703" s="97">
        <v>3.3</v>
      </c>
      <c r="W703" s="36">
        <f>RTD("money.excel",,"2353","Price")</f>
        <v>28.8</v>
      </c>
      <c r="X703" s="67"/>
      <c r="Y703" s="15">
        <f t="shared" si="155"/>
        <v>28.8</v>
      </c>
      <c r="Z703" s="3" t="e">
        <f t="shared" si="156"/>
        <v>#DIV/0!</v>
      </c>
      <c r="AA703" s="174" t="s">
        <v>1943</v>
      </c>
      <c r="AB703" s="22" t="s">
        <v>5201</v>
      </c>
      <c r="AE703" s="33">
        <f t="shared" si="157"/>
        <v>0</v>
      </c>
      <c r="AF703" s="122" t="s">
        <v>3236</v>
      </c>
      <c r="AG703" s="128"/>
      <c r="AI703" s="64">
        <f t="shared" si="158"/>
        <v>3.5161184210526315E-3</v>
      </c>
      <c r="AJ703" s="313">
        <f>RTD("money.excel",,$G703,"PredictVolume")</f>
        <v>10689</v>
      </c>
      <c r="AK703" s="348"/>
    </row>
    <row r="704" spans="1:37">
      <c r="A704" s="148" t="s">
        <v>1779</v>
      </c>
      <c r="B704" s="82">
        <v>-22</v>
      </c>
      <c r="C704" s="82">
        <v>-7</v>
      </c>
      <c r="D704" s="82">
        <v>-5</v>
      </c>
      <c r="E704" s="81">
        <v>13</v>
      </c>
      <c r="F704" s="6">
        <v>0.95</v>
      </c>
      <c r="G704" s="81">
        <v>2356</v>
      </c>
      <c r="H704" s="206" t="s">
        <v>1212</v>
      </c>
      <c r="I704" s="22" t="s">
        <v>20</v>
      </c>
      <c r="J704" s="75">
        <v>77.8</v>
      </c>
      <c r="K704" s="75">
        <v>36.42</v>
      </c>
      <c r="L704" s="330">
        <v>0.32</v>
      </c>
      <c r="N704" s="325">
        <f t="shared" si="159"/>
        <v>114.53999999999999</v>
      </c>
      <c r="O704" s="27"/>
      <c r="P704" s="56"/>
      <c r="Q704" s="26"/>
      <c r="S704" s="330">
        <v>13.45</v>
      </c>
      <c r="T704" s="34">
        <v>1.85</v>
      </c>
      <c r="U704" s="366">
        <f t="shared" si="154"/>
        <v>7.3558648111332017E-2</v>
      </c>
      <c r="V704" s="58">
        <v>1.67</v>
      </c>
      <c r="W704" s="36">
        <f>RTD("money.excel",,"2356","Price")</f>
        <v>25.15</v>
      </c>
      <c r="X704" s="67"/>
      <c r="Y704" s="15">
        <f t="shared" si="155"/>
        <v>25.15</v>
      </c>
      <c r="Z704" s="3" t="e">
        <f t="shared" si="156"/>
        <v>#DIV/0!</v>
      </c>
      <c r="AA704" s="174" t="s">
        <v>1943</v>
      </c>
      <c r="AB704" s="22" t="s">
        <v>20</v>
      </c>
      <c r="AE704" s="33">
        <f t="shared" si="157"/>
        <v>0</v>
      </c>
      <c r="AF704" s="122" t="s">
        <v>1113</v>
      </c>
      <c r="AG704" s="128"/>
      <c r="AI704" s="64">
        <f t="shared" si="158"/>
        <v>6.0530726256983244E-4</v>
      </c>
      <c r="AJ704" s="313">
        <f>RTD("money.excel",,$G704,"PredictVolume")</f>
        <v>2167</v>
      </c>
      <c r="AK704" s="348"/>
    </row>
    <row r="705" spans="1:39">
      <c r="A705" s="148" t="s">
        <v>1780</v>
      </c>
      <c r="B705" s="81">
        <v>87</v>
      </c>
      <c r="C705" s="81">
        <v>109</v>
      </c>
      <c r="D705" s="81">
        <v>22</v>
      </c>
      <c r="E705" s="81">
        <v>38</v>
      </c>
      <c r="F705" s="6">
        <v>9.5</v>
      </c>
      <c r="G705" s="81">
        <v>2357</v>
      </c>
      <c r="H705" s="206" t="s">
        <v>1212</v>
      </c>
      <c r="I705" s="22" t="s">
        <v>2096</v>
      </c>
      <c r="J705" s="75">
        <v>59.16</v>
      </c>
      <c r="K705" s="330">
        <v>58.84</v>
      </c>
      <c r="L705" s="330">
        <v>1.55</v>
      </c>
      <c r="N705" s="325">
        <f t="shared" si="159"/>
        <v>119.55</v>
      </c>
      <c r="O705" s="27"/>
      <c r="P705" s="56"/>
      <c r="Q705" s="26"/>
      <c r="R705" s="308" t="s">
        <v>4373</v>
      </c>
      <c r="S705" s="330">
        <v>1.74</v>
      </c>
      <c r="T705" s="67">
        <v>26</v>
      </c>
      <c r="U705" s="366">
        <f t="shared" si="154"/>
        <v>6.9986541049798109E-2</v>
      </c>
      <c r="V705" s="58">
        <v>57</v>
      </c>
      <c r="W705" s="13">
        <f>RTD("money.excel",,"2357","Price")</f>
        <v>371.5</v>
      </c>
      <c r="X705" s="67"/>
      <c r="Y705" s="15">
        <f t="shared" si="155"/>
        <v>371.5</v>
      </c>
      <c r="Z705" s="3" t="e">
        <f t="shared" si="156"/>
        <v>#DIV/0!</v>
      </c>
      <c r="AA705" s="174" t="s">
        <v>2185</v>
      </c>
      <c r="AB705" s="22" t="s">
        <v>2096</v>
      </c>
      <c r="AE705" s="33">
        <f t="shared" si="157"/>
        <v>0</v>
      </c>
      <c r="AF705" s="122" t="s">
        <v>2967</v>
      </c>
      <c r="AG705" s="128"/>
      <c r="AI705" s="64">
        <f t="shared" si="158"/>
        <v>4.7304582210242587E-3</v>
      </c>
      <c r="AJ705" s="313">
        <f>RTD("money.excel",,$G705,"PredictVolume")</f>
        <v>3510</v>
      </c>
      <c r="AK705" s="348"/>
    </row>
    <row r="706" spans="1:39">
      <c r="A706" s="148" t="s">
        <v>2226</v>
      </c>
      <c r="B706" s="82">
        <v>-74</v>
      </c>
      <c r="C706" s="81">
        <v>95</v>
      </c>
      <c r="D706" s="82">
        <v>-1</v>
      </c>
      <c r="E706" s="81">
        <v>1</v>
      </c>
      <c r="F706" s="6">
        <v>8.65</v>
      </c>
      <c r="G706" s="81">
        <v>2362</v>
      </c>
      <c r="H706" s="206" t="s">
        <v>1212</v>
      </c>
      <c r="I706" s="22" t="s">
        <v>62</v>
      </c>
      <c r="J706" s="75">
        <v>79.81</v>
      </c>
      <c r="K706" s="75">
        <v>10.86</v>
      </c>
      <c r="L706" s="75">
        <v>6.36</v>
      </c>
      <c r="N706" s="325">
        <f t="shared" si="159"/>
        <v>97.03</v>
      </c>
      <c r="O706" s="27"/>
      <c r="P706" s="56"/>
      <c r="Q706" s="26"/>
      <c r="S706" s="330">
        <v>0.06</v>
      </c>
      <c r="T706" s="34">
        <v>0.6</v>
      </c>
      <c r="U706" s="366">
        <f t="shared" si="154"/>
        <v>1.9769357495881382E-2</v>
      </c>
      <c r="V706" s="97">
        <v>1.1100000000000001</v>
      </c>
      <c r="W706" s="36">
        <f>RTD("money.excel",,"2362","Price")</f>
        <v>30.35</v>
      </c>
      <c r="X706" s="67"/>
      <c r="Y706" s="15">
        <f t="shared" si="155"/>
        <v>30.35</v>
      </c>
      <c r="Z706" s="3" t="e">
        <f t="shared" si="156"/>
        <v>#DIV/0!</v>
      </c>
      <c r="AA706" s="174" t="s">
        <v>1943</v>
      </c>
      <c r="AB706" s="22" t="s">
        <v>62</v>
      </c>
      <c r="AE706" s="33">
        <f t="shared" si="157"/>
        <v>0</v>
      </c>
      <c r="AF706" s="122" t="s">
        <v>3237</v>
      </c>
      <c r="AG706" s="128"/>
      <c r="AI706" s="64">
        <f t="shared" si="158"/>
        <v>1.6292974588938715E-4</v>
      </c>
      <c r="AJ706" s="313">
        <f>RTD("money.excel",,$G706,"PredictVolume")</f>
        <v>109</v>
      </c>
      <c r="AK706" s="348"/>
    </row>
    <row r="707" spans="1:39">
      <c r="A707" s="148" t="s">
        <v>1928</v>
      </c>
      <c r="B707" s="93">
        <v>106</v>
      </c>
      <c r="C707" s="93">
        <v>100</v>
      </c>
      <c r="D707" s="93">
        <v>-29</v>
      </c>
      <c r="E707" s="93">
        <v>11</v>
      </c>
      <c r="F707" s="6">
        <v>0.08</v>
      </c>
      <c r="G707" s="81">
        <v>2364</v>
      </c>
      <c r="H707" s="206" t="s">
        <v>1212</v>
      </c>
      <c r="I707" s="22" t="s">
        <v>488</v>
      </c>
      <c r="J707" s="75">
        <v>64.209999999999994</v>
      </c>
      <c r="K707" s="75">
        <v>15.1</v>
      </c>
      <c r="N707" s="325">
        <f t="shared" si="159"/>
        <v>79.309999999999988</v>
      </c>
      <c r="O707" s="27"/>
      <c r="P707" s="56"/>
      <c r="Q707" s="26"/>
      <c r="S707" s="330">
        <v>23.06</v>
      </c>
      <c r="T707" s="34">
        <v>0</v>
      </c>
      <c r="U707" s="366">
        <f t="shared" si="154"/>
        <v>0</v>
      </c>
      <c r="V707" s="97">
        <v>0.11</v>
      </c>
      <c r="W707" s="13">
        <f>RTD("money.excel",,"2364","Price")</f>
        <v>20.100000000000001</v>
      </c>
      <c r="X707" s="67"/>
      <c r="Y707" s="15">
        <f t="shared" si="155"/>
        <v>20.100000000000001</v>
      </c>
      <c r="Z707" s="3" t="e">
        <f t="shared" si="156"/>
        <v>#DIV/0!</v>
      </c>
      <c r="AB707" s="22" t="s">
        <v>488</v>
      </c>
      <c r="AE707" s="33">
        <f t="shared" si="157"/>
        <v>0</v>
      </c>
      <c r="AF707" s="43" t="s">
        <v>3238</v>
      </c>
      <c r="AG707" s="128"/>
      <c r="AI707" s="64">
        <f t="shared" si="158"/>
        <v>1.0256410256410256E-5</v>
      </c>
      <c r="AJ707" s="313">
        <f>RTD("money.excel",,$G707,"PredictVolume")</f>
        <v>2</v>
      </c>
      <c r="AK707" s="348"/>
    </row>
    <row r="708" spans="1:39">
      <c r="A708" s="132" t="s">
        <v>3658</v>
      </c>
      <c r="B708" s="93">
        <v>247</v>
      </c>
      <c r="C708" s="93">
        <v>289</v>
      </c>
      <c r="D708" s="93">
        <v>19</v>
      </c>
      <c r="E708" s="93">
        <v>14</v>
      </c>
      <c r="F708" s="58">
        <v>10.69</v>
      </c>
      <c r="G708" s="81">
        <v>2365</v>
      </c>
      <c r="H708" s="206" t="s">
        <v>1212</v>
      </c>
      <c r="I708" s="22" t="s">
        <v>5202</v>
      </c>
      <c r="J708" s="75">
        <v>41.55</v>
      </c>
      <c r="K708" s="75">
        <v>5.84</v>
      </c>
      <c r="L708" s="75">
        <v>15.85</v>
      </c>
      <c r="N708" s="325">
        <f t="shared" si="159"/>
        <v>63.24</v>
      </c>
      <c r="O708" s="27"/>
      <c r="P708" s="56"/>
      <c r="Q708" s="26"/>
      <c r="S708" s="330">
        <v>9.06</v>
      </c>
      <c r="T708" s="34">
        <v>0.3</v>
      </c>
      <c r="U708" s="366">
        <f t="shared" si="154"/>
        <v>2.7522935779816512E-2</v>
      </c>
      <c r="V708" s="97">
        <v>0.64</v>
      </c>
      <c r="W708" s="36">
        <f>RTD("money.excel",,"2365","Price")</f>
        <v>10.9</v>
      </c>
      <c r="X708" s="67"/>
      <c r="Y708" s="15">
        <f t="shared" si="155"/>
        <v>10.9</v>
      </c>
      <c r="Z708" s="3" t="e">
        <f t="shared" si="156"/>
        <v>#DIV/0!</v>
      </c>
      <c r="AB708" s="22" t="s">
        <v>5202</v>
      </c>
      <c r="AE708" s="33">
        <f t="shared" si="157"/>
        <v>0</v>
      </c>
      <c r="AF708" s="43" t="s">
        <v>3239</v>
      </c>
      <c r="AG708" s="128"/>
      <c r="AI708" s="64">
        <f t="shared" si="158"/>
        <v>8.6160714285714291E-4</v>
      </c>
      <c r="AJ708" s="313">
        <f>RTD("money.excel",,$G708,"PredictVolume")</f>
        <v>193</v>
      </c>
      <c r="AK708" s="348"/>
    </row>
    <row r="709" spans="1:39">
      <c r="A709" s="132" t="s">
        <v>1781</v>
      </c>
      <c r="B709" s="81">
        <v>229</v>
      </c>
      <c r="C709" s="81">
        <v>295</v>
      </c>
      <c r="D709" s="81">
        <v>25</v>
      </c>
      <c r="E709" s="81">
        <v>48</v>
      </c>
      <c r="F709" s="58">
        <v>11.68</v>
      </c>
      <c r="G709" s="81">
        <v>2376</v>
      </c>
      <c r="H709" s="206" t="s">
        <v>1212</v>
      </c>
      <c r="I709" s="22" t="s">
        <v>5203</v>
      </c>
      <c r="J709" s="75">
        <v>56.77</v>
      </c>
      <c r="K709" s="75">
        <v>35.31</v>
      </c>
      <c r="L709" s="330">
        <v>8.1300000000000008</v>
      </c>
      <c r="N709" s="325">
        <f t="shared" si="159"/>
        <v>100.21000000000001</v>
      </c>
      <c r="O709" s="27"/>
      <c r="P709" s="56"/>
      <c r="Q709" s="26"/>
      <c r="S709" s="330">
        <v>0.42</v>
      </c>
      <c r="T709" s="67">
        <v>5</v>
      </c>
      <c r="U709" s="366">
        <f t="shared" si="154"/>
        <v>3.7593984962406013E-2</v>
      </c>
      <c r="V709" s="58">
        <v>13.49</v>
      </c>
      <c r="W709" s="36">
        <f>RTD("money.excel",,"2376","Price")</f>
        <v>133</v>
      </c>
      <c r="X709" s="67"/>
      <c r="Y709" s="15">
        <f t="shared" si="155"/>
        <v>133</v>
      </c>
      <c r="Z709" s="3" t="e">
        <f t="shared" si="156"/>
        <v>#DIV/0!</v>
      </c>
      <c r="AA709" s="174" t="s">
        <v>2185</v>
      </c>
      <c r="AB709" s="22" t="s">
        <v>5203</v>
      </c>
      <c r="AE709" s="33">
        <f t="shared" si="157"/>
        <v>0</v>
      </c>
      <c r="AF709" s="43" t="s">
        <v>3242</v>
      </c>
      <c r="AG709" s="128"/>
      <c r="AI709" s="64">
        <f t="shared" si="158"/>
        <v>3.0053543307086615E-2</v>
      </c>
      <c r="AJ709" s="313">
        <f>RTD("money.excel",,$G709,"PredictVolume")</f>
        <v>19084</v>
      </c>
      <c r="AK709" s="348"/>
    </row>
    <row r="710" spans="1:39">
      <c r="A710" s="132" t="s">
        <v>1782</v>
      </c>
      <c r="B710" s="81">
        <v>155</v>
      </c>
      <c r="C710" s="81">
        <v>158</v>
      </c>
      <c r="D710" s="81">
        <v>3</v>
      </c>
      <c r="E710" s="81">
        <v>40</v>
      </c>
      <c r="F710" s="58">
        <v>10.77</v>
      </c>
      <c r="G710" s="81">
        <v>2377</v>
      </c>
      <c r="H710" s="206" t="s">
        <v>1212</v>
      </c>
      <c r="I710" s="22" t="s">
        <v>4145</v>
      </c>
      <c r="J710" s="330">
        <v>71.48</v>
      </c>
      <c r="K710" s="75">
        <v>48.34</v>
      </c>
      <c r="L710" s="75">
        <v>2.66</v>
      </c>
      <c r="N710" s="325">
        <f t="shared" si="159"/>
        <v>122.48</v>
      </c>
      <c r="O710" s="27"/>
      <c r="P710" s="56"/>
      <c r="Q710" s="26"/>
      <c r="S710" s="330">
        <v>2.94</v>
      </c>
      <c r="T710" s="67">
        <v>6.1</v>
      </c>
      <c r="U710" s="366">
        <f t="shared" si="154"/>
        <v>4.2957746478873238E-2</v>
      </c>
      <c r="V710" s="58">
        <v>15.6</v>
      </c>
      <c r="W710" s="13">
        <f>RTD("money.excel",,"2377","Price")</f>
        <v>142</v>
      </c>
      <c r="X710" s="67"/>
      <c r="Y710" s="15">
        <f t="shared" si="155"/>
        <v>142</v>
      </c>
      <c r="Z710" s="3" t="e">
        <f t="shared" si="156"/>
        <v>#DIV/0!</v>
      </c>
      <c r="AA710" s="174" t="s">
        <v>2185</v>
      </c>
      <c r="AB710" s="22" t="s">
        <v>4145</v>
      </c>
      <c r="AE710" s="33">
        <f t="shared" si="157"/>
        <v>0</v>
      </c>
      <c r="AF710" s="43" t="s">
        <v>3242</v>
      </c>
      <c r="AG710" s="128"/>
      <c r="AI710" s="64">
        <f t="shared" si="158"/>
        <v>4.4845971563981044E-3</v>
      </c>
      <c r="AJ710" s="313">
        <f>RTD("money.excel",,$G710,"PredictVolume")</f>
        <v>3785</v>
      </c>
      <c r="AK710" s="348"/>
    </row>
    <row r="711" spans="1:39">
      <c r="A711" s="148" t="s">
        <v>3657</v>
      </c>
      <c r="B711" s="93">
        <v>-22</v>
      </c>
      <c r="C711" s="93">
        <v>-16</v>
      </c>
      <c r="D711" s="93">
        <v>-14</v>
      </c>
      <c r="E711" s="93">
        <v>140</v>
      </c>
      <c r="F711" s="6">
        <v>-34.51</v>
      </c>
      <c r="G711" s="81">
        <v>2380</v>
      </c>
      <c r="H711" s="206" t="s">
        <v>1212</v>
      </c>
      <c r="I711" s="22" t="s">
        <v>5204</v>
      </c>
      <c r="J711" s="75">
        <v>54.63</v>
      </c>
      <c r="K711" s="75">
        <v>8.94</v>
      </c>
      <c r="L711" s="75">
        <v>0</v>
      </c>
      <c r="N711" s="325">
        <f t="shared" si="159"/>
        <v>63.57</v>
      </c>
      <c r="O711" s="27"/>
      <c r="P711" s="56"/>
      <c r="Q711" s="26"/>
      <c r="S711" s="330">
        <v>11.54</v>
      </c>
      <c r="T711" s="34">
        <v>0</v>
      </c>
      <c r="U711" s="366">
        <f t="shared" si="154"/>
        <v>0</v>
      </c>
      <c r="V711" s="97">
        <v>-2.37</v>
      </c>
      <c r="W711" s="36">
        <f>RTD("money.excel",,"2380","Price")</f>
        <v>12.1</v>
      </c>
      <c r="X711" s="67"/>
      <c r="Y711" s="15">
        <f t="shared" si="155"/>
        <v>12.1</v>
      </c>
      <c r="Z711" s="3" t="e">
        <f t="shared" si="156"/>
        <v>#DIV/0!</v>
      </c>
      <c r="AB711" s="22" t="s">
        <v>5204</v>
      </c>
      <c r="AE711" s="33">
        <f t="shared" si="157"/>
        <v>0</v>
      </c>
      <c r="AF711" s="43" t="s">
        <v>3233</v>
      </c>
      <c r="AG711" s="128"/>
      <c r="AI711" s="64">
        <f t="shared" si="158"/>
        <v>3.1899441340782122E-3</v>
      </c>
      <c r="AJ711" s="313">
        <f>RTD("money.excel",,$G711,"PredictVolume")</f>
        <v>571</v>
      </c>
      <c r="AK711" s="348"/>
    </row>
    <row r="712" spans="1:39">
      <c r="A712" s="148" t="s">
        <v>1783</v>
      </c>
      <c r="B712" s="81">
        <v>49</v>
      </c>
      <c r="C712" s="81">
        <v>20</v>
      </c>
      <c r="D712" s="81">
        <v>22</v>
      </c>
      <c r="E712" s="81">
        <v>11</v>
      </c>
      <c r="F712" s="6">
        <v>3.41</v>
      </c>
      <c r="G712" s="81">
        <v>2382</v>
      </c>
      <c r="H712" s="206" t="s">
        <v>1212</v>
      </c>
      <c r="I712" s="22" t="s">
        <v>222</v>
      </c>
      <c r="J712" s="75">
        <v>86.5</v>
      </c>
      <c r="K712" s="75">
        <v>32.229999999999997</v>
      </c>
      <c r="L712" s="75">
        <v>0.31</v>
      </c>
      <c r="N712" s="325">
        <f t="shared" si="159"/>
        <v>119.03999999999999</v>
      </c>
      <c r="O712" s="27"/>
      <c r="P712" s="56"/>
      <c r="Q712" s="26"/>
      <c r="S712" s="330">
        <v>1.73</v>
      </c>
      <c r="T712" s="67">
        <v>5.2</v>
      </c>
      <c r="U712" s="366">
        <f t="shared" si="154"/>
        <v>5.6521739130434782E-2</v>
      </c>
      <c r="V712" s="58">
        <v>8.56</v>
      </c>
      <c r="W712" s="36">
        <f>RTD("money.excel",,"2382","Price")</f>
        <v>92</v>
      </c>
      <c r="X712" s="67"/>
      <c r="Y712" s="15">
        <f t="shared" si="155"/>
        <v>92</v>
      </c>
      <c r="Z712" s="3" t="e">
        <f t="shared" si="156"/>
        <v>#DIV/0!</v>
      </c>
      <c r="AA712" s="174" t="s">
        <v>2185</v>
      </c>
      <c r="AB712" s="22" t="s">
        <v>222</v>
      </c>
      <c r="AE712" s="33">
        <f t="shared" si="157"/>
        <v>0</v>
      </c>
      <c r="AF712" s="122" t="s">
        <v>3240</v>
      </c>
      <c r="AG712" s="128"/>
      <c r="AI712" s="64">
        <f t="shared" si="158"/>
        <v>9.5362694300518138E-4</v>
      </c>
      <c r="AJ712" s="313">
        <f>RTD("money.excel",,$G712,"PredictVolume")</f>
        <v>3681</v>
      </c>
      <c r="AK712" s="348"/>
    </row>
    <row r="713" spans="1:39">
      <c r="A713" s="148" t="s">
        <v>1928</v>
      </c>
      <c r="B713" s="82">
        <v>-3</v>
      </c>
      <c r="C713" s="82">
        <v>-5</v>
      </c>
      <c r="D713" s="81">
        <v>2</v>
      </c>
      <c r="E713" s="81">
        <v>0</v>
      </c>
      <c r="F713" s="6">
        <v>7.05</v>
      </c>
      <c r="G713" s="81">
        <v>2387</v>
      </c>
      <c r="H713" s="206" t="s">
        <v>1212</v>
      </c>
      <c r="I713" s="22" t="s">
        <v>248</v>
      </c>
      <c r="J713" s="330">
        <v>64.739999999999995</v>
      </c>
      <c r="K713" s="75">
        <v>0.7</v>
      </c>
      <c r="L713" s="75">
        <v>18.350000000000001</v>
      </c>
      <c r="M713" s="75">
        <v>33.5</v>
      </c>
      <c r="N713" s="325">
        <f t="shared" si="159"/>
        <v>117.28999999999999</v>
      </c>
      <c r="O713" s="27" t="s">
        <v>6188</v>
      </c>
      <c r="P713" s="56"/>
      <c r="Q713" s="26"/>
      <c r="R713" s="309" t="s">
        <v>6189</v>
      </c>
      <c r="S713" s="330">
        <v>2.64</v>
      </c>
      <c r="T713" s="34">
        <v>2</v>
      </c>
      <c r="U713" s="366">
        <f t="shared" si="154"/>
        <v>4.926108374384236E-2</v>
      </c>
      <c r="V713" s="58">
        <v>6.4</v>
      </c>
      <c r="W713" s="36">
        <f>RTD("money.excel",,"2387","Price")</f>
        <v>40.6</v>
      </c>
      <c r="X713" s="67"/>
      <c r="Y713" s="15">
        <f t="shared" si="155"/>
        <v>40.6</v>
      </c>
      <c r="Z713" s="3" t="e">
        <f t="shared" si="156"/>
        <v>#DIV/0!</v>
      </c>
      <c r="AA713" s="174" t="s">
        <v>1943</v>
      </c>
      <c r="AB713" s="22" t="s">
        <v>248</v>
      </c>
      <c r="AE713" s="33">
        <f t="shared" si="157"/>
        <v>0</v>
      </c>
      <c r="AF713" s="43" t="s">
        <v>2801</v>
      </c>
      <c r="AG713" s="128"/>
      <c r="AI713" s="64">
        <f t="shared" si="158"/>
        <v>1.1487179487179487E-3</v>
      </c>
      <c r="AJ713" s="313">
        <f>RTD("money.excel",,$G713,"PredictVolume")</f>
        <v>224</v>
      </c>
      <c r="AK713" s="348">
        <v>19.59</v>
      </c>
    </row>
    <row r="714" spans="1:39">
      <c r="A714" s="132" t="s">
        <v>2777</v>
      </c>
      <c r="B714" s="82">
        <v>-1</v>
      </c>
      <c r="C714" s="82">
        <v>-1</v>
      </c>
      <c r="D714" s="82">
        <v>-10</v>
      </c>
      <c r="E714" s="81">
        <v>13</v>
      </c>
      <c r="F714" s="58">
        <v>17.63</v>
      </c>
      <c r="G714" s="81">
        <v>2395</v>
      </c>
      <c r="H714" s="206" t="s">
        <v>1212</v>
      </c>
      <c r="I714" s="22" t="s">
        <v>15</v>
      </c>
      <c r="J714" s="75">
        <v>81.099999999999994</v>
      </c>
      <c r="K714" s="330">
        <v>42.25</v>
      </c>
      <c r="L714" s="75">
        <v>0.08</v>
      </c>
      <c r="N714" s="325">
        <f t="shared" si="159"/>
        <v>123.42999999999999</v>
      </c>
      <c r="O714" s="27"/>
      <c r="P714" s="56"/>
      <c r="Q714" s="26"/>
      <c r="S714" s="330">
        <v>0</v>
      </c>
      <c r="T714" s="67">
        <v>7.1</v>
      </c>
      <c r="U714" s="366">
        <f t="shared" si="154"/>
        <v>1.9505494505494506E-2</v>
      </c>
      <c r="V714" s="58">
        <v>9.85</v>
      </c>
      <c r="W714" s="13">
        <f>RTD("money.excel",,"2395","Price")</f>
        <v>364</v>
      </c>
      <c r="X714" s="67"/>
      <c r="Y714" s="15">
        <f t="shared" si="155"/>
        <v>364</v>
      </c>
      <c r="Z714" s="3" t="e">
        <f t="shared" si="156"/>
        <v>#DIV/0!</v>
      </c>
      <c r="AA714" s="174" t="s">
        <v>2185</v>
      </c>
      <c r="AB714" s="22" t="s">
        <v>15</v>
      </c>
      <c r="AE714" s="33">
        <f t="shared" si="157"/>
        <v>0</v>
      </c>
      <c r="AF714" s="122" t="s">
        <v>2255</v>
      </c>
      <c r="AG714" s="128"/>
      <c r="AI714" s="64">
        <f t="shared" si="158"/>
        <v>1.4585492227979274E-3</v>
      </c>
      <c r="AJ714" s="313">
        <f>RTD("money.excel",,$G714,"PredictVolume")</f>
        <v>1126</v>
      </c>
      <c r="AK714" s="348"/>
    </row>
    <row r="715" spans="1:39">
      <c r="A715" s="148" t="s">
        <v>2277</v>
      </c>
      <c r="B715" s="82">
        <v>-6</v>
      </c>
      <c r="C715" s="82">
        <v>-3</v>
      </c>
      <c r="D715" s="81">
        <v>3</v>
      </c>
      <c r="E715" s="81">
        <v>101</v>
      </c>
      <c r="F715" s="6">
        <v>5.3</v>
      </c>
      <c r="G715" s="81">
        <v>2397</v>
      </c>
      <c r="H715" s="206" t="s">
        <v>1212</v>
      </c>
      <c r="I715" s="22" t="s">
        <v>489</v>
      </c>
      <c r="J715" s="330">
        <v>81.510000000000005</v>
      </c>
      <c r="K715" s="330">
        <v>23.88</v>
      </c>
      <c r="L715" s="75">
        <v>2.91</v>
      </c>
      <c r="M715" s="75">
        <v>45.23</v>
      </c>
      <c r="N715" s="75">
        <f t="shared" si="159"/>
        <v>153.53</v>
      </c>
      <c r="O715" s="27"/>
      <c r="P715" s="56"/>
      <c r="Q715" s="26"/>
      <c r="R715" s="308" t="s">
        <v>6076</v>
      </c>
      <c r="S715" s="330">
        <v>0.17</v>
      </c>
      <c r="T715" s="67">
        <v>3</v>
      </c>
      <c r="U715" s="366">
        <f t="shared" si="154"/>
        <v>4.9586776859504134E-2</v>
      </c>
      <c r="V715" s="58">
        <v>2.4300000000000002</v>
      </c>
      <c r="W715" s="36">
        <f>RTD("money.excel",,"2397","Price")</f>
        <v>60.5</v>
      </c>
      <c r="X715" s="67"/>
      <c r="Y715" s="15">
        <f t="shared" si="155"/>
        <v>60.5</v>
      </c>
      <c r="Z715" s="3" t="e">
        <f t="shared" si="156"/>
        <v>#DIV/0!</v>
      </c>
      <c r="AA715" s="174" t="s">
        <v>2185</v>
      </c>
      <c r="AB715" s="22" t="s">
        <v>489</v>
      </c>
      <c r="AE715" s="33">
        <f t="shared" si="157"/>
        <v>0</v>
      </c>
      <c r="AF715" s="43" t="s">
        <v>2726</v>
      </c>
      <c r="AG715" s="269"/>
      <c r="AI715" s="64">
        <f t="shared" si="158"/>
        <v>9.6491228070175438E-5</v>
      </c>
      <c r="AJ715" s="313">
        <f>RTD("money.excel",,$G715,"PredictVolume")</f>
        <v>11</v>
      </c>
      <c r="AK715" s="349"/>
      <c r="AM715" s="262"/>
    </row>
    <row r="716" spans="1:39">
      <c r="A716" s="148" t="s">
        <v>1888</v>
      </c>
      <c r="B716" s="81">
        <v>150</v>
      </c>
      <c r="C716" s="81">
        <v>482</v>
      </c>
      <c r="D716" s="81">
        <v>50</v>
      </c>
      <c r="E716" s="81">
        <v>77</v>
      </c>
      <c r="F716" s="6">
        <v>6.96</v>
      </c>
      <c r="G716" s="81">
        <v>2399</v>
      </c>
      <c r="H716" s="206" t="s">
        <v>1212</v>
      </c>
      <c r="I716" s="22" t="s">
        <v>490</v>
      </c>
      <c r="J716" s="75">
        <v>25.03</v>
      </c>
      <c r="K716" s="330">
        <v>9.91</v>
      </c>
      <c r="L716" s="75">
        <v>30.59</v>
      </c>
      <c r="M716" s="330">
        <v>7.53</v>
      </c>
      <c r="N716" s="325">
        <f t="shared" si="159"/>
        <v>73.06</v>
      </c>
      <c r="O716" s="27"/>
      <c r="P716" s="56"/>
      <c r="Q716" s="26"/>
      <c r="R716" s="308" t="s">
        <v>4372</v>
      </c>
      <c r="S716" s="330">
        <v>4.3</v>
      </c>
      <c r="T716" s="34">
        <v>0.4</v>
      </c>
      <c r="U716" s="366">
        <f t="shared" si="154"/>
        <v>1.8264840182648404E-2</v>
      </c>
      <c r="V716" s="97">
        <v>1.75</v>
      </c>
      <c r="W716" s="36">
        <f>RTD("money.excel",,"2399","Price")</f>
        <v>21.9</v>
      </c>
      <c r="X716" s="67"/>
      <c r="Y716" s="15">
        <f t="shared" si="155"/>
        <v>21.9</v>
      </c>
      <c r="Z716" s="3" t="e">
        <f t="shared" si="156"/>
        <v>#DIV/0!</v>
      </c>
      <c r="AA716" s="174" t="s">
        <v>1943</v>
      </c>
      <c r="AB716" s="22" t="s">
        <v>490</v>
      </c>
      <c r="AE716" s="33">
        <f t="shared" si="157"/>
        <v>0</v>
      </c>
      <c r="AF716" s="43" t="s">
        <v>3242</v>
      </c>
      <c r="AG716" s="128"/>
      <c r="AI716" s="64">
        <f t="shared" si="158"/>
        <v>7.7584269662921345E-3</v>
      </c>
      <c r="AJ716" s="313">
        <f>RTD("money.excel",,$G716,"PredictVolume")</f>
        <v>1381</v>
      </c>
      <c r="AK716" s="348"/>
    </row>
    <row r="717" spans="1:39">
      <c r="A717" s="148" t="s">
        <v>3659</v>
      </c>
      <c r="B717" s="93">
        <v>-98</v>
      </c>
      <c r="C717" s="93">
        <v>31</v>
      </c>
      <c r="D717" s="93">
        <v>-33</v>
      </c>
      <c r="E717" s="93">
        <v>-27</v>
      </c>
      <c r="F717" s="6">
        <v>-1</v>
      </c>
      <c r="G717" s="81">
        <v>2405</v>
      </c>
      <c r="H717" s="210" t="s">
        <v>1212</v>
      </c>
      <c r="I717" s="22" t="s">
        <v>5205</v>
      </c>
      <c r="J717" s="330">
        <v>19.940000000000001</v>
      </c>
      <c r="K717" s="75">
        <v>4.71</v>
      </c>
      <c r="L717" s="75">
        <v>26.86</v>
      </c>
      <c r="N717" s="325">
        <f t="shared" si="159"/>
        <v>51.510000000000005</v>
      </c>
      <c r="O717" s="27"/>
      <c r="P717" s="56"/>
      <c r="Q717" s="26"/>
      <c r="S717" s="330">
        <v>7.8</v>
      </c>
      <c r="T717" s="34">
        <v>0</v>
      </c>
      <c r="U717" s="366">
        <f t="shared" si="154"/>
        <v>0</v>
      </c>
      <c r="V717" s="97">
        <v>0.17</v>
      </c>
      <c r="W717" s="36">
        <f>RTD("money.excel",,"2405","Price")</f>
        <v>15.4</v>
      </c>
      <c r="X717" s="67"/>
      <c r="Y717" s="15">
        <f t="shared" si="155"/>
        <v>15.4</v>
      </c>
      <c r="Z717" s="3" t="e">
        <f t="shared" si="156"/>
        <v>#DIV/0!</v>
      </c>
      <c r="AA717" s="174" t="s">
        <v>1943</v>
      </c>
      <c r="AB717" s="22" t="s">
        <v>5205</v>
      </c>
      <c r="AE717" s="33">
        <f t="shared" si="157"/>
        <v>0</v>
      </c>
      <c r="AF717" s="122" t="s">
        <v>1113</v>
      </c>
      <c r="AG717" s="128"/>
      <c r="AI717" s="64">
        <f t="shared" si="158"/>
        <v>3.7518950437317782E-2</v>
      </c>
      <c r="AJ717" s="313">
        <f>RTD("money.excel",,$G717,"PredictVolume")</f>
        <v>12869</v>
      </c>
      <c r="AK717" s="348"/>
    </row>
    <row r="718" spans="1:39">
      <c r="A718" s="132" t="s">
        <v>2118</v>
      </c>
      <c r="B718" s="82">
        <v>-70</v>
      </c>
      <c r="C718" s="82">
        <v>-66</v>
      </c>
      <c r="D718" s="81">
        <v>3</v>
      </c>
      <c r="E718" s="82">
        <v>-51</v>
      </c>
      <c r="F718" s="58">
        <v>12.06</v>
      </c>
      <c r="G718" s="81">
        <v>2417</v>
      </c>
      <c r="H718" s="206" t="s">
        <v>1212</v>
      </c>
      <c r="I718" s="22" t="s">
        <v>491</v>
      </c>
      <c r="J718" s="330">
        <v>30.32</v>
      </c>
      <c r="K718" s="330">
        <v>2.8</v>
      </c>
      <c r="L718" s="330">
        <v>20.61</v>
      </c>
      <c r="M718" s="330">
        <v>22.72</v>
      </c>
      <c r="N718" s="325">
        <f t="shared" si="159"/>
        <v>76.449999999999989</v>
      </c>
      <c r="O718" s="27"/>
      <c r="P718" s="56"/>
      <c r="Q718" s="26"/>
      <c r="R718" s="308" t="s">
        <v>4374</v>
      </c>
      <c r="S718" s="330">
        <v>2.7</v>
      </c>
      <c r="T718" s="34">
        <v>2</v>
      </c>
      <c r="U718" s="366">
        <f t="shared" si="154"/>
        <v>7.7821011673151752E-2</v>
      </c>
      <c r="V718" s="97">
        <v>2.09</v>
      </c>
      <c r="W718" s="36">
        <f>RTD("money.excel",,"2417","Price")</f>
        <v>25.7</v>
      </c>
      <c r="X718" s="67"/>
      <c r="Y718" s="15">
        <f t="shared" si="155"/>
        <v>25.7</v>
      </c>
      <c r="Z718" s="3" t="e">
        <f t="shared" si="156"/>
        <v>#DIV/0!</v>
      </c>
      <c r="AA718" s="174" t="s">
        <v>1943</v>
      </c>
      <c r="AB718" s="22" t="s">
        <v>491</v>
      </c>
      <c r="AE718" s="33">
        <f t="shared" si="157"/>
        <v>0</v>
      </c>
      <c r="AF718" s="43" t="s">
        <v>2959</v>
      </c>
      <c r="AG718" s="128"/>
      <c r="AI718" s="64">
        <f t="shared" si="158"/>
        <v>2.8571428571428571E-3</v>
      </c>
      <c r="AJ718" s="313">
        <f>RTD("money.excel",,$G718,"PredictVolume")</f>
        <v>440</v>
      </c>
      <c r="AK718" s="348"/>
    </row>
    <row r="719" spans="1:39">
      <c r="A719" s="148" t="s">
        <v>3660</v>
      </c>
      <c r="B719" s="93">
        <v>-59</v>
      </c>
      <c r="C719" s="93">
        <v>-72</v>
      </c>
      <c r="D719" s="93">
        <v>9</v>
      </c>
      <c r="E719" s="93">
        <v>57</v>
      </c>
      <c r="F719" s="47">
        <v>-1063</v>
      </c>
      <c r="G719" s="81">
        <v>2424</v>
      </c>
      <c r="H719" s="206" t="s">
        <v>1212</v>
      </c>
      <c r="I719" s="22" t="s">
        <v>492</v>
      </c>
      <c r="J719" s="75">
        <v>75.349999999999994</v>
      </c>
      <c r="K719" s="75">
        <v>0.23</v>
      </c>
      <c r="L719" s="75">
        <v>11.21</v>
      </c>
      <c r="N719" s="325">
        <f t="shared" si="159"/>
        <v>86.789999999999992</v>
      </c>
      <c r="O719" s="27"/>
      <c r="P719" s="56"/>
      <c r="Q719" s="26"/>
      <c r="S719" s="330">
        <v>43.42</v>
      </c>
      <c r="T719" s="34">
        <v>0</v>
      </c>
      <c r="U719" s="366">
        <f t="shared" si="154"/>
        <v>0</v>
      </c>
      <c r="V719" s="97">
        <v>-5.86</v>
      </c>
      <c r="W719" s="13">
        <f>RTD("money.excel",,"2424","Price")</f>
        <v>18.100000000000001</v>
      </c>
      <c r="X719" s="67"/>
      <c r="Y719" s="15">
        <f t="shared" si="155"/>
        <v>18.100000000000001</v>
      </c>
      <c r="Z719" s="3" t="e">
        <f t="shared" si="156"/>
        <v>#DIV/0!</v>
      </c>
      <c r="AB719" s="22" t="s">
        <v>492</v>
      </c>
      <c r="AE719" s="33">
        <f t="shared" si="157"/>
        <v>0</v>
      </c>
      <c r="AF719" s="43" t="s">
        <v>3244</v>
      </c>
      <c r="AG719" s="128"/>
      <c r="AI719" s="64">
        <f t="shared" si="158"/>
        <v>3.1578947368421053E-4</v>
      </c>
      <c r="AJ719" s="313">
        <f>RTD("money.excel",,$G719,"PredictVolume")</f>
        <v>6</v>
      </c>
      <c r="AK719" s="348"/>
    </row>
    <row r="720" spans="1:39">
      <c r="A720" s="148" t="s">
        <v>2038</v>
      </c>
      <c r="B720" s="82">
        <v>-19</v>
      </c>
      <c r="C720" s="82">
        <v>-24</v>
      </c>
      <c r="D720" s="81">
        <v>36</v>
      </c>
      <c r="E720" s="81">
        <v>68</v>
      </c>
      <c r="F720" s="6">
        <v>3.65</v>
      </c>
      <c r="G720" s="81">
        <v>2425</v>
      </c>
      <c r="H720" s="206" t="s">
        <v>1212</v>
      </c>
      <c r="I720" s="22" t="s">
        <v>493</v>
      </c>
      <c r="J720" s="75">
        <v>74.28</v>
      </c>
      <c r="K720" s="75">
        <v>23.94</v>
      </c>
      <c r="L720" s="75">
        <v>22.01</v>
      </c>
      <c r="N720" s="325">
        <f t="shared" si="159"/>
        <v>120.23</v>
      </c>
      <c r="O720" s="27"/>
      <c r="P720" s="56"/>
      <c r="Q720" s="26"/>
      <c r="S720" s="330">
        <v>0.26</v>
      </c>
      <c r="T720" s="34">
        <v>0.3</v>
      </c>
      <c r="U720" s="366">
        <f t="shared" si="154"/>
        <v>1.1472275334608031E-2</v>
      </c>
      <c r="V720" s="97">
        <v>1.51</v>
      </c>
      <c r="W720" s="36">
        <f>RTD("money.excel",,"2425","Price")</f>
        <v>26.15</v>
      </c>
      <c r="X720" s="67"/>
      <c r="Y720" s="15">
        <f t="shared" si="155"/>
        <v>26.15</v>
      </c>
      <c r="Z720" s="3" t="e">
        <f t="shared" si="156"/>
        <v>#DIV/0!</v>
      </c>
      <c r="AA720" s="174" t="s">
        <v>1943</v>
      </c>
      <c r="AB720" s="22" t="s">
        <v>493</v>
      </c>
      <c r="AE720" s="33">
        <f t="shared" si="157"/>
        <v>0</v>
      </c>
      <c r="AF720" s="43" t="s">
        <v>1585</v>
      </c>
      <c r="AG720" s="128"/>
      <c r="AI720" s="64">
        <f t="shared" si="158"/>
        <v>1.3465346534653464E-3</v>
      </c>
      <c r="AJ720" s="313">
        <f>RTD("money.excel",,$G720,"PredictVolume")</f>
        <v>136</v>
      </c>
      <c r="AK720" s="348"/>
    </row>
    <row r="721" spans="1:37">
      <c r="A721" s="148" t="s">
        <v>3661</v>
      </c>
      <c r="B721" s="142">
        <v>8893</v>
      </c>
      <c r="C721" s="93">
        <v>-42</v>
      </c>
      <c r="D721" s="93">
        <v>32</v>
      </c>
      <c r="E721" s="93">
        <v>59</v>
      </c>
      <c r="F721" s="6">
        <v>-1.22</v>
      </c>
      <c r="G721" s="81">
        <v>2442</v>
      </c>
      <c r="H721" s="206" t="s">
        <v>1212</v>
      </c>
      <c r="I721" s="22" t="s">
        <v>5206</v>
      </c>
      <c r="J721" s="75">
        <v>59.48</v>
      </c>
      <c r="K721" s="75">
        <v>3.97</v>
      </c>
      <c r="L721" s="75">
        <v>18.91</v>
      </c>
      <c r="N721" s="325">
        <f t="shared" si="159"/>
        <v>82.36</v>
      </c>
      <c r="O721" s="27"/>
      <c r="P721" s="56"/>
      <c r="Q721" s="26"/>
      <c r="S721" s="330">
        <v>27.5</v>
      </c>
      <c r="T721" s="34">
        <v>0.3</v>
      </c>
      <c r="U721" s="366">
        <f t="shared" si="154"/>
        <v>2.247191011235955E-2</v>
      </c>
      <c r="V721" s="97">
        <v>0.59</v>
      </c>
      <c r="W721" s="13">
        <f>RTD("money.excel",,"2442","Price")</f>
        <v>13.35</v>
      </c>
      <c r="X721" s="67"/>
      <c r="Y721" s="15">
        <f t="shared" si="155"/>
        <v>13.35</v>
      </c>
      <c r="Z721" s="3" t="e">
        <f t="shared" si="156"/>
        <v>#DIV/0!</v>
      </c>
      <c r="AB721" s="22" t="s">
        <v>5206</v>
      </c>
      <c r="AE721" s="33">
        <f t="shared" si="157"/>
        <v>0</v>
      </c>
      <c r="AF721" s="43" t="s">
        <v>3245</v>
      </c>
      <c r="AG721" s="128"/>
      <c r="AI721" s="64">
        <f t="shared" si="158"/>
        <v>2.575E-3</v>
      </c>
      <c r="AJ721" s="313">
        <f>RTD("money.excel",,$G721,"PredictVolume")</f>
        <v>618</v>
      </c>
      <c r="AK721" s="348"/>
    </row>
    <row r="722" spans="1:37">
      <c r="A722" s="148" t="s">
        <v>1980</v>
      </c>
      <c r="B722" s="95">
        <v>6080</v>
      </c>
      <c r="C722" s="95">
        <v>2341</v>
      </c>
      <c r="D722" s="81">
        <v>9</v>
      </c>
      <c r="E722" s="81">
        <v>69</v>
      </c>
      <c r="F722" s="6">
        <v>6.59</v>
      </c>
      <c r="G722" s="81">
        <v>2465</v>
      </c>
      <c r="H722" s="206" t="s">
        <v>1212</v>
      </c>
      <c r="I722" s="22" t="s">
        <v>5207</v>
      </c>
      <c r="J722" s="330">
        <v>2.56</v>
      </c>
      <c r="K722" s="75">
        <v>1.8</v>
      </c>
      <c r="L722" s="330">
        <v>35.020000000000003</v>
      </c>
      <c r="M722" s="330">
        <v>1.53</v>
      </c>
      <c r="N722" s="325">
        <f t="shared" si="159"/>
        <v>40.910000000000004</v>
      </c>
      <c r="O722" s="27"/>
      <c r="P722" s="56"/>
      <c r="Q722" s="26"/>
      <c r="R722" s="308" t="s">
        <v>4372</v>
      </c>
      <c r="S722" s="330">
        <v>0.44</v>
      </c>
      <c r="T722" s="34">
        <v>0</v>
      </c>
      <c r="U722" s="366">
        <f t="shared" si="154"/>
        <v>0</v>
      </c>
      <c r="V722" s="97">
        <v>5.46</v>
      </c>
      <c r="W722" s="36">
        <f>RTD("money.excel",,"2465","Price")</f>
        <v>67.7</v>
      </c>
      <c r="X722" s="67"/>
      <c r="Y722" s="15">
        <f t="shared" si="155"/>
        <v>67.7</v>
      </c>
      <c r="Z722" s="3" t="e">
        <f t="shared" si="156"/>
        <v>#DIV/0!</v>
      </c>
      <c r="AA722" s="174" t="s">
        <v>1943</v>
      </c>
      <c r="AB722" s="22" t="s">
        <v>5207</v>
      </c>
      <c r="AE722" s="33">
        <f t="shared" si="157"/>
        <v>0</v>
      </c>
      <c r="AF722" s="43" t="s">
        <v>3242</v>
      </c>
      <c r="AG722" s="128"/>
      <c r="AI722" s="64">
        <f t="shared" si="158"/>
        <v>1.4365671641791044E-2</v>
      </c>
      <c r="AJ722" s="313">
        <f>RTD("money.excel",,$G722,"PredictVolume")</f>
        <v>770</v>
      </c>
      <c r="AK722" s="348"/>
    </row>
    <row r="723" spans="1:37">
      <c r="A723" s="148" t="s">
        <v>1959</v>
      </c>
      <c r="B723" s="93">
        <v>-2</v>
      </c>
      <c r="C723" s="93">
        <v>-59</v>
      </c>
      <c r="D723" s="93">
        <v>-8</v>
      </c>
      <c r="E723" s="93">
        <v>-8</v>
      </c>
      <c r="F723" s="6">
        <v>0.98</v>
      </c>
      <c r="G723" s="81">
        <v>3002</v>
      </c>
      <c r="H723" s="206" t="s">
        <v>1212</v>
      </c>
      <c r="I723" s="22" t="s">
        <v>5208</v>
      </c>
      <c r="J723" s="75">
        <v>68.510000000000005</v>
      </c>
      <c r="K723" s="75">
        <v>0.14000000000000001</v>
      </c>
      <c r="L723" s="75">
        <v>18.559999999999999</v>
      </c>
      <c r="N723" s="325">
        <f t="shared" si="159"/>
        <v>87.210000000000008</v>
      </c>
      <c r="O723" s="27"/>
      <c r="P723" s="56"/>
      <c r="Q723" s="26"/>
      <c r="S723" s="330">
        <v>27.91</v>
      </c>
      <c r="T723" s="34">
        <v>0.1</v>
      </c>
      <c r="U723" s="366">
        <f t="shared" si="154"/>
        <v>8.658008658008658E-3</v>
      </c>
      <c r="V723" s="97">
        <v>0.56999999999999995</v>
      </c>
      <c r="W723" s="13">
        <f>RTD("money.excel",,"3002","Price")</f>
        <v>11.55</v>
      </c>
      <c r="X723" s="67"/>
      <c r="Y723" s="15">
        <f t="shared" si="155"/>
        <v>11.55</v>
      </c>
      <c r="Z723" s="3" t="e">
        <f t="shared" si="156"/>
        <v>#DIV/0!</v>
      </c>
      <c r="AB723" s="22" t="s">
        <v>5208</v>
      </c>
      <c r="AE723" s="33">
        <f t="shared" si="157"/>
        <v>0</v>
      </c>
      <c r="AF723" s="43" t="s">
        <v>3246</v>
      </c>
      <c r="AG723" s="128"/>
      <c r="AI723" s="64">
        <f t="shared" si="158"/>
        <v>3.3333333333333332E-4</v>
      </c>
      <c r="AJ723" s="313">
        <f>RTD("money.excel",,$G723,"PredictVolume")</f>
        <v>34</v>
      </c>
      <c r="AK723" s="348"/>
    </row>
    <row r="724" spans="1:37">
      <c r="A724" s="148" t="s">
        <v>4351</v>
      </c>
      <c r="B724" s="81">
        <v>85</v>
      </c>
      <c r="C724" s="82">
        <v>-20</v>
      </c>
      <c r="D724" s="81">
        <v>4</v>
      </c>
      <c r="E724" s="82">
        <v>-1</v>
      </c>
      <c r="F724" s="6">
        <v>8.01</v>
      </c>
      <c r="G724" s="81">
        <v>3005</v>
      </c>
      <c r="H724" s="206" t="s">
        <v>1212</v>
      </c>
      <c r="I724" s="22" t="s">
        <v>57</v>
      </c>
      <c r="J724" s="330">
        <v>75.650000000000006</v>
      </c>
      <c r="K724" s="330">
        <v>37.32</v>
      </c>
      <c r="L724" s="330">
        <v>1.8</v>
      </c>
      <c r="N724" s="325">
        <f t="shared" si="159"/>
        <v>114.77</v>
      </c>
      <c r="O724" s="27"/>
      <c r="P724" s="56"/>
      <c r="Q724" s="26"/>
      <c r="S724" s="330">
        <v>0.67</v>
      </c>
      <c r="T724" s="67">
        <v>3.59</v>
      </c>
      <c r="U724" s="366">
        <f t="shared" si="154"/>
        <v>6.2652705061082031E-2</v>
      </c>
      <c r="V724" s="58">
        <v>7.32</v>
      </c>
      <c r="W724" s="36">
        <f>RTD("money.excel",,"3005","Price")</f>
        <v>57.3</v>
      </c>
      <c r="X724" s="67"/>
      <c r="Y724" s="15">
        <f t="shared" si="155"/>
        <v>57.3</v>
      </c>
      <c r="Z724" s="3" t="e">
        <f t="shared" si="156"/>
        <v>#DIV/0!</v>
      </c>
      <c r="AA724" s="174" t="s">
        <v>2185</v>
      </c>
      <c r="AB724" s="22" t="s">
        <v>57</v>
      </c>
      <c r="AE724" s="33">
        <f t="shared" si="157"/>
        <v>0</v>
      </c>
      <c r="AF724" s="122" t="s">
        <v>3247</v>
      </c>
      <c r="AG724" s="128"/>
      <c r="AI724" s="64">
        <f t="shared" si="158"/>
        <v>2.045302013422819E-3</v>
      </c>
      <c r="AJ724" s="313">
        <f>RTD("money.excel",,$G724,"PredictVolume")</f>
        <v>1219</v>
      </c>
      <c r="AK724" s="348"/>
    </row>
    <row r="725" spans="1:37">
      <c r="A725" s="148" t="s">
        <v>2420</v>
      </c>
      <c r="B725" s="93">
        <v>45</v>
      </c>
      <c r="C725" s="93">
        <v>246</v>
      </c>
      <c r="D725" s="93">
        <v>-19</v>
      </c>
      <c r="E725" s="93">
        <v>1</v>
      </c>
      <c r="F725" s="6">
        <v>0.51</v>
      </c>
      <c r="G725" s="81">
        <v>3013</v>
      </c>
      <c r="H725" s="206" t="s">
        <v>1212</v>
      </c>
      <c r="I725" s="22" t="s">
        <v>5209</v>
      </c>
      <c r="J725" s="75">
        <v>58.19</v>
      </c>
      <c r="K725" s="75">
        <v>2.14</v>
      </c>
      <c r="L725" s="75">
        <v>16.45</v>
      </c>
      <c r="N725" s="325">
        <f t="shared" si="159"/>
        <v>76.78</v>
      </c>
      <c r="O725" s="27"/>
      <c r="P725" s="56"/>
      <c r="Q725" s="26"/>
      <c r="S725" s="330">
        <v>21.87</v>
      </c>
      <c r="T725" s="34">
        <v>0.3</v>
      </c>
      <c r="U725" s="366">
        <f t="shared" si="154"/>
        <v>2.2556390977443608E-2</v>
      </c>
      <c r="V725" s="97">
        <v>0.4</v>
      </c>
      <c r="W725" s="13">
        <f>RTD("money.excel",,"3013","Price")</f>
        <v>13.3</v>
      </c>
      <c r="X725" s="67"/>
      <c r="Y725" s="15">
        <f t="shared" si="155"/>
        <v>13.3</v>
      </c>
      <c r="Z725" s="3" t="e">
        <f t="shared" si="156"/>
        <v>#DIV/0!</v>
      </c>
      <c r="AB725" s="22" t="s">
        <v>5209</v>
      </c>
      <c r="AE725" s="33">
        <f t="shared" si="157"/>
        <v>0</v>
      </c>
      <c r="AF725" s="43" t="s">
        <v>3248</v>
      </c>
      <c r="AG725" s="128"/>
      <c r="AI725" s="64">
        <f t="shared" si="158"/>
        <v>5.3548387096774195E-4</v>
      </c>
      <c r="AJ725" s="313">
        <f>RTD("money.excel",,$G725,"PredictVolume")</f>
        <v>83</v>
      </c>
      <c r="AK725" s="348"/>
    </row>
    <row r="726" spans="1:37">
      <c r="A726" s="148" t="s">
        <v>1858</v>
      </c>
      <c r="B726" s="81">
        <v>121</v>
      </c>
      <c r="C726" s="81">
        <v>196</v>
      </c>
      <c r="D726" s="82">
        <v>-23</v>
      </c>
      <c r="E726" s="81">
        <v>28</v>
      </c>
      <c r="F726" s="6">
        <v>7.48</v>
      </c>
      <c r="G726" s="81">
        <v>3017</v>
      </c>
      <c r="H726" s="206" t="s">
        <v>1212</v>
      </c>
      <c r="I726" s="22" t="s">
        <v>129</v>
      </c>
      <c r="J726" s="330">
        <v>53.84</v>
      </c>
      <c r="K726" s="75">
        <v>37.61</v>
      </c>
      <c r="L726" s="75">
        <v>22.12</v>
      </c>
      <c r="N726" s="325">
        <f t="shared" si="159"/>
        <v>113.57000000000001</v>
      </c>
      <c r="O726" s="27"/>
      <c r="P726" s="56"/>
      <c r="Q726" s="26"/>
      <c r="S726" s="330">
        <v>1.19</v>
      </c>
      <c r="T726" s="34">
        <v>2.8</v>
      </c>
      <c r="U726" s="366">
        <f t="shared" si="154"/>
        <v>2.2857142857142857E-2</v>
      </c>
      <c r="V726" s="58">
        <v>5.42</v>
      </c>
      <c r="W726" s="36">
        <f>RTD("money.excel",,"3017","Price")</f>
        <v>122.5</v>
      </c>
      <c r="X726" s="67"/>
      <c r="Y726" s="15">
        <f t="shared" si="155"/>
        <v>122.5</v>
      </c>
      <c r="Z726" s="3" t="e">
        <f t="shared" si="156"/>
        <v>#DIV/0!</v>
      </c>
      <c r="AA726" s="174" t="s">
        <v>1943</v>
      </c>
      <c r="AB726" s="22" t="s">
        <v>129</v>
      </c>
      <c r="AE726" s="33">
        <f t="shared" si="157"/>
        <v>0</v>
      </c>
      <c r="AF726" s="43" t="s">
        <v>3461</v>
      </c>
      <c r="AG726" s="128"/>
      <c r="AI726" s="64">
        <f t="shared" si="158"/>
        <v>8.8065155807365444E-2</v>
      </c>
      <c r="AJ726" s="313">
        <f>RTD("money.excel",,$G726,"PredictVolume")</f>
        <v>31087</v>
      </c>
      <c r="AK726" s="348"/>
    </row>
    <row r="727" spans="1:37" ht="16.5" customHeight="1">
      <c r="A727" s="132" t="s">
        <v>2048</v>
      </c>
      <c r="B727" s="81">
        <v>8</v>
      </c>
      <c r="C727" s="81">
        <v>9</v>
      </c>
      <c r="D727" s="82">
        <v>-5</v>
      </c>
      <c r="E727" s="81">
        <v>10</v>
      </c>
      <c r="F727" s="58">
        <v>14.26</v>
      </c>
      <c r="G727" s="81">
        <v>3022</v>
      </c>
      <c r="H727" s="206" t="s">
        <v>1212</v>
      </c>
      <c r="I727" s="22" t="s">
        <v>70</v>
      </c>
      <c r="J727" s="75">
        <v>65.78</v>
      </c>
      <c r="K727" s="75">
        <v>21.02</v>
      </c>
      <c r="L727" s="75">
        <v>5.39</v>
      </c>
      <c r="N727" s="325">
        <f t="shared" si="159"/>
        <v>92.19</v>
      </c>
      <c r="O727" s="27"/>
      <c r="P727" s="56"/>
      <c r="Q727" s="26"/>
      <c r="S727" s="330">
        <v>0</v>
      </c>
      <c r="T727" s="34">
        <v>2</v>
      </c>
      <c r="U727" s="366">
        <f t="shared" si="154"/>
        <v>4.3956043956043959E-2</v>
      </c>
      <c r="V727" s="97">
        <v>5.63</v>
      </c>
      <c r="W727" s="36">
        <f>RTD("money.excel",,"3022","Price")</f>
        <v>45.5</v>
      </c>
      <c r="X727" s="67"/>
      <c r="Y727" s="15">
        <f t="shared" si="155"/>
        <v>45.5</v>
      </c>
      <c r="Z727" s="3" t="e">
        <f t="shared" si="156"/>
        <v>#DIV/0!</v>
      </c>
      <c r="AA727" s="174" t="s">
        <v>1943</v>
      </c>
      <c r="AB727" s="22" t="s">
        <v>70</v>
      </c>
      <c r="AE727" s="33">
        <f t="shared" si="157"/>
        <v>0</v>
      </c>
      <c r="AF727" s="122" t="s">
        <v>3249</v>
      </c>
      <c r="AG727" s="128"/>
      <c r="AI727" s="64">
        <f t="shared" si="158"/>
        <v>2.9545454545454547E-4</v>
      </c>
      <c r="AJ727" s="313">
        <f>RTD("money.excel",,$G727,"PredictVolume")</f>
        <v>52</v>
      </c>
      <c r="AK727" s="348"/>
    </row>
    <row r="728" spans="1:37" ht="16.5" customHeight="1">
      <c r="A728" s="148" t="s">
        <v>1527</v>
      </c>
      <c r="B728" s="96">
        <v>-880</v>
      </c>
      <c r="C728" s="96">
        <v>-1728</v>
      </c>
      <c r="D728" s="82">
        <v>-1</v>
      </c>
      <c r="E728" s="81">
        <v>14</v>
      </c>
      <c r="F728" s="6">
        <v>-6.55</v>
      </c>
      <c r="G728" s="81">
        <v>3046</v>
      </c>
      <c r="H728" s="206" t="s">
        <v>1212</v>
      </c>
      <c r="I728" s="22" t="s">
        <v>5210</v>
      </c>
      <c r="J728" s="330">
        <v>65.069999999999993</v>
      </c>
      <c r="K728" s="330">
        <v>1.67</v>
      </c>
      <c r="L728" s="330"/>
      <c r="N728" s="325">
        <f t="shared" si="159"/>
        <v>66.739999999999995</v>
      </c>
      <c r="O728" s="27"/>
      <c r="P728" s="56"/>
      <c r="Q728" s="26"/>
      <c r="T728" s="34">
        <v>0</v>
      </c>
      <c r="U728" s="366">
        <f t="shared" si="154"/>
        <v>0</v>
      </c>
      <c r="V728" s="97">
        <v>-0.93</v>
      </c>
      <c r="W728" s="36">
        <f>RTD("money.excel",,"3046","Price")</f>
        <v>31.95</v>
      </c>
      <c r="X728" s="67"/>
      <c r="Y728" s="15">
        <f t="shared" si="155"/>
        <v>31.95</v>
      </c>
      <c r="Z728" s="3" t="e">
        <f t="shared" si="156"/>
        <v>#DIV/0!</v>
      </c>
      <c r="AA728" s="174" t="s">
        <v>1943</v>
      </c>
      <c r="AB728" s="22" t="s">
        <v>5210</v>
      </c>
      <c r="AE728" s="33">
        <f t="shared" si="157"/>
        <v>0</v>
      </c>
      <c r="AF728" s="43" t="s">
        <v>2560</v>
      </c>
      <c r="AG728" s="128"/>
      <c r="AI728" s="64">
        <f t="shared" si="158"/>
        <v>2.4649859943977593E-3</v>
      </c>
      <c r="AJ728" s="313">
        <f>RTD("money.excel",,$G728,"PredictVolume")</f>
        <v>176</v>
      </c>
      <c r="AK728" s="348"/>
    </row>
    <row r="729" spans="1:37" ht="16.5" customHeight="1">
      <c r="A729" s="148" t="s">
        <v>3662</v>
      </c>
      <c r="B729" s="93">
        <v>92</v>
      </c>
      <c r="C729" s="93">
        <v>39</v>
      </c>
      <c r="D729" s="93">
        <v>-6</v>
      </c>
      <c r="E729" s="93">
        <v>-27</v>
      </c>
      <c r="F729" s="6">
        <v>-17.36</v>
      </c>
      <c r="G729" s="81">
        <v>3057</v>
      </c>
      <c r="H729" s="206" t="s">
        <v>1212</v>
      </c>
      <c r="I729" s="22" t="s">
        <v>494</v>
      </c>
      <c r="J729" s="75">
        <v>26.81</v>
      </c>
      <c r="K729" s="330">
        <v>4.24</v>
      </c>
      <c r="L729" s="330">
        <v>0</v>
      </c>
      <c r="N729" s="325">
        <f t="shared" si="159"/>
        <v>31.049999999999997</v>
      </c>
      <c r="O729" s="27"/>
      <c r="P729" s="56"/>
      <c r="Q729" s="26"/>
      <c r="S729" s="330">
        <v>3.57</v>
      </c>
      <c r="T729" s="34">
        <v>0</v>
      </c>
      <c r="U729" s="366">
        <f t="shared" ref="U729:U762" si="160">T729/W729</f>
        <v>0</v>
      </c>
      <c r="V729" s="97">
        <v>-0.48</v>
      </c>
      <c r="W729" s="36">
        <f>RTD("money.excel",,"3057","Price")</f>
        <v>12.85</v>
      </c>
      <c r="X729" s="67"/>
      <c r="Y729" s="15">
        <f t="shared" si="155"/>
        <v>12.85</v>
      </c>
      <c r="Z729" s="3" t="e">
        <f t="shared" si="156"/>
        <v>#DIV/0!</v>
      </c>
      <c r="AB729" s="22" t="s">
        <v>494</v>
      </c>
      <c r="AE729" s="33">
        <f t="shared" si="157"/>
        <v>0</v>
      </c>
      <c r="AF729" s="43" t="s">
        <v>3250</v>
      </c>
      <c r="AG729" s="128"/>
      <c r="AI729" s="64">
        <f t="shared" ref="AI729:AI762" si="161">AJ729/(A729*10000)</f>
        <v>1.3507377979568671E-3</v>
      </c>
      <c r="AJ729" s="313">
        <f>RTD("money.excel",,$G729,"PredictVolume")</f>
        <v>119</v>
      </c>
      <c r="AK729" s="348"/>
    </row>
    <row r="730" spans="1:37" ht="16.5" customHeight="1">
      <c r="A730" s="148" t="s">
        <v>2506</v>
      </c>
      <c r="B730" s="93">
        <v>47</v>
      </c>
      <c r="C730" s="93">
        <v>45</v>
      </c>
      <c r="D730" s="93">
        <v>5</v>
      </c>
      <c r="E730" s="93">
        <v>-12</v>
      </c>
      <c r="F730" s="6">
        <v>-7.88</v>
      </c>
      <c r="G730" s="81">
        <v>3060</v>
      </c>
      <c r="H730" s="206" t="s">
        <v>1212</v>
      </c>
      <c r="I730" s="22" t="s">
        <v>495</v>
      </c>
      <c r="J730" s="75">
        <v>22.63</v>
      </c>
      <c r="K730" s="75">
        <v>12.12</v>
      </c>
      <c r="L730" s="75">
        <v>14.25</v>
      </c>
      <c r="N730" s="325">
        <f t="shared" si="159"/>
        <v>49</v>
      </c>
      <c r="O730" s="27"/>
      <c r="P730" s="56"/>
      <c r="Q730" s="26"/>
      <c r="S730" s="330">
        <v>7.53</v>
      </c>
      <c r="T730" s="34">
        <v>0</v>
      </c>
      <c r="U730" s="366">
        <f t="shared" si="160"/>
        <v>0</v>
      </c>
      <c r="V730" s="97">
        <v>-1.85</v>
      </c>
      <c r="W730" s="36">
        <f>RTD("money.excel",,"3060","Price")</f>
        <v>22</v>
      </c>
      <c r="X730" s="67"/>
      <c r="Y730" s="15">
        <f t="shared" si="155"/>
        <v>22</v>
      </c>
      <c r="Z730" s="3" t="e">
        <f t="shared" si="156"/>
        <v>#DIV/0!</v>
      </c>
      <c r="AB730" s="22" t="s">
        <v>495</v>
      </c>
      <c r="AE730" s="33">
        <f t="shared" si="157"/>
        <v>0</v>
      </c>
      <c r="AF730" s="43" t="s">
        <v>3251</v>
      </c>
      <c r="AG730" s="128"/>
      <c r="AI730" s="64">
        <f t="shared" si="161"/>
        <v>1.7664233576642336E-3</v>
      </c>
      <c r="AJ730" s="313">
        <f>RTD("money.excel",,$G730,"PredictVolume")</f>
        <v>242</v>
      </c>
      <c r="AK730" s="348"/>
    </row>
    <row r="731" spans="1:37" ht="16.5" customHeight="1">
      <c r="A731" s="148" t="s">
        <v>2455</v>
      </c>
      <c r="B731" s="82">
        <v>-1</v>
      </c>
      <c r="C731" s="81">
        <v>18</v>
      </c>
      <c r="D731" s="82">
        <v>-13</v>
      </c>
      <c r="E731" s="81">
        <v>116</v>
      </c>
      <c r="F731" s="6">
        <v>8.83</v>
      </c>
      <c r="G731" s="81">
        <v>3071</v>
      </c>
      <c r="H731" s="206" t="s">
        <v>1212</v>
      </c>
      <c r="I731" s="16" t="s">
        <v>2689</v>
      </c>
      <c r="J731" s="330">
        <v>56.1</v>
      </c>
      <c r="K731" s="330">
        <v>2.61</v>
      </c>
      <c r="L731" s="330">
        <v>12.5</v>
      </c>
      <c r="N731" s="325">
        <f t="shared" si="159"/>
        <v>71.210000000000008</v>
      </c>
      <c r="O731" s="27"/>
      <c r="P731" s="56"/>
      <c r="Q731" s="26"/>
      <c r="S731" s="330">
        <v>0.4</v>
      </c>
      <c r="T731" s="34">
        <v>1.6</v>
      </c>
      <c r="U731" s="366">
        <f t="shared" si="160"/>
        <v>5.9479553903345729E-2</v>
      </c>
      <c r="V731" s="58">
        <v>1.82</v>
      </c>
      <c r="W731" s="36">
        <f>RTD("money.excel",,"3071","Price")</f>
        <v>26.9</v>
      </c>
      <c r="X731" s="67"/>
      <c r="Y731" s="15">
        <f t="shared" si="155"/>
        <v>26.9</v>
      </c>
      <c r="Z731" s="3" t="e">
        <f t="shared" si="156"/>
        <v>#DIV/0!</v>
      </c>
      <c r="AB731" s="16" t="s">
        <v>2689</v>
      </c>
      <c r="AE731" s="33">
        <f t="shared" si="157"/>
        <v>0</v>
      </c>
      <c r="AF731" s="43" t="s">
        <v>2793</v>
      </c>
      <c r="AG731" s="128"/>
      <c r="AI731" s="64">
        <f t="shared" si="161"/>
        <v>1.5545454545454545E-3</v>
      </c>
      <c r="AJ731" s="313">
        <f>RTD("money.excel",,$G731,"PredictVolume")</f>
        <v>171</v>
      </c>
      <c r="AK731" s="348"/>
    </row>
    <row r="732" spans="1:37" ht="16.5" customHeight="1">
      <c r="A732" s="148" t="s">
        <v>3536</v>
      </c>
      <c r="B732" s="93">
        <v>-38</v>
      </c>
      <c r="C732" s="93">
        <v>-20</v>
      </c>
      <c r="D732" s="93">
        <v>-38</v>
      </c>
      <c r="E732" s="93">
        <v>-36</v>
      </c>
      <c r="F732" s="6">
        <v>8.7200000000000006</v>
      </c>
      <c r="G732" s="81">
        <v>3088</v>
      </c>
      <c r="H732" s="151" t="s">
        <v>1212</v>
      </c>
      <c r="I732" s="16" t="s">
        <v>2690</v>
      </c>
      <c r="J732" s="330">
        <v>43.92</v>
      </c>
      <c r="K732" s="333">
        <v>12.38</v>
      </c>
      <c r="L732" s="330">
        <v>1.94</v>
      </c>
      <c r="N732" s="325">
        <f t="shared" si="159"/>
        <v>58.24</v>
      </c>
      <c r="O732" s="27"/>
      <c r="P732" s="56"/>
      <c r="Q732" s="26"/>
      <c r="S732" s="330">
        <v>30.19</v>
      </c>
      <c r="T732" s="34">
        <v>2.6</v>
      </c>
      <c r="U732" s="366">
        <f t="shared" si="160"/>
        <v>4.4444444444444446E-2</v>
      </c>
      <c r="V732" s="97">
        <v>3.73</v>
      </c>
      <c r="W732" s="36">
        <f>RTD("money.excel",,"3088","Price")</f>
        <v>58.5</v>
      </c>
      <c r="X732" s="67"/>
      <c r="Y732" s="15">
        <f t="shared" si="155"/>
        <v>58.5</v>
      </c>
      <c r="Z732" s="3" t="e">
        <f t="shared" si="156"/>
        <v>#DIV/0!</v>
      </c>
      <c r="AA732" s="174" t="s">
        <v>1943</v>
      </c>
      <c r="AB732" s="16" t="s">
        <v>2690</v>
      </c>
      <c r="AE732" s="33">
        <f t="shared" si="157"/>
        <v>0</v>
      </c>
      <c r="AF732" s="122" t="s">
        <v>1105</v>
      </c>
      <c r="AG732" s="128"/>
      <c r="AI732" s="64">
        <f t="shared" si="161"/>
        <v>4.1877256317689529E-3</v>
      </c>
      <c r="AJ732" s="313">
        <f>RTD("money.excel",,$G732,"PredictVolume")</f>
        <v>348</v>
      </c>
      <c r="AK732" s="348"/>
    </row>
    <row r="733" spans="1:37" ht="16.5" customHeight="1">
      <c r="A733" s="148" t="s">
        <v>1799</v>
      </c>
      <c r="B733" s="82">
        <v>-14</v>
      </c>
      <c r="C733" s="82">
        <v>-22</v>
      </c>
      <c r="D733" s="81">
        <v>58</v>
      </c>
      <c r="E733" s="81">
        <v>26</v>
      </c>
      <c r="F733" s="6">
        <v>4.84</v>
      </c>
      <c r="G733" s="81">
        <v>3211</v>
      </c>
      <c r="H733" s="151" t="s">
        <v>1212</v>
      </c>
      <c r="I733" s="16" t="s">
        <v>5211</v>
      </c>
      <c r="J733" s="330">
        <v>24.85</v>
      </c>
      <c r="K733" s="330">
        <v>11.83</v>
      </c>
      <c r="L733" s="75">
        <v>9.42</v>
      </c>
      <c r="N733" s="325">
        <f t="shared" si="159"/>
        <v>46.1</v>
      </c>
      <c r="O733" s="27"/>
      <c r="P733" s="56"/>
      <c r="Q733" s="26"/>
      <c r="R733" s="308" t="s">
        <v>4374</v>
      </c>
      <c r="S733" s="330">
        <v>0.98</v>
      </c>
      <c r="T733" s="67">
        <v>6.5</v>
      </c>
      <c r="U733" s="366">
        <f t="shared" si="160"/>
        <v>5.4166666666666669E-2</v>
      </c>
      <c r="V733" s="97">
        <v>6.19</v>
      </c>
      <c r="W733" s="36">
        <f>RTD("money.excel",,"3211","Price")</f>
        <v>120</v>
      </c>
      <c r="X733" s="67"/>
      <c r="Y733" s="15">
        <f t="shared" si="155"/>
        <v>120</v>
      </c>
      <c r="Z733" s="3" t="e">
        <f t="shared" si="156"/>
        <v>#DIV/0!</v>
      </c>
      <c r="AA733" s="174" t="s">
        <v>2185</v>
      </c>
      <c r="AB733" s="16" t="s">
        <v>5211</v>
      </c>
      <c r="AE733" s="33">
        <f t="shared" si="157"/>
        <v>0</v>
      </c>
      <c r="AF733" s="43" t="s">
        <v>2704</v>
      </c>
      <c r="AG733" s="128"/>
      <c r="AI733" s="64">
        <f t="shared" si="161"/>
        <v>3.08843537414966E-2</v>
      </c>
      <c r="AJ733" s="313">
        <f>RTD("money.excel",,$G733,"PredictVolume")</f>
        <v>4540</v>
      </c>
      <c r="AK733" s="348"/>
    </row>
    <row r="734" spans="1:37">
      <c r="A734" s="132" t="s">
        <v>2213</v>
      </c>
      <c r="B734" s="81">
        <v>56</v>
      </c>
      <c r="C734" s="81">
        <v>70</v>
      </c>
      <c r="D734" s="82">
        <v>-20</v>
      </c>
      <c r="E734" s="81">
        <v>16</v>
      </c>
      <c r="F734" s="58">
        <v>11.39</v>
      </c>
      <c r="G734" s="81">
        <v>3213</v>
      </c>
      <c r="H734" s="151" t="s">
        <v>1212</v>
      </c>
      <c r="I734" s="16" t="s">
        <v>2691</v>
      </c>
      <c r="J734" s="330">
        <v>25.38</v>
      </c>
      <c r="K734" s="75">
        <v>6.01</v>
      </c>
      <c r="L734" s="75">
        <v>1.87</v>
      </c>
      <c r="N734" s="325">
        <f t="shared" si="159"/>
        <v>33.26</v>
      </c>
      <c r="O734" s="27"/>
      <c r="P734" s="56"/>
      <c r="Q734" s="26"/>
      <c r="S734" s="330">
        <v>11.37</v>
      </c>
      <c r="T734" s="67">
        <v>4.5</v>
      </c>
      <c r="U734" s="366">
        <f t="shared" si="160"/>
        <v>7.2463768115942032E-2</v>
      </c>
      <c r="V734" s="97">
        <v>5.51</v>
      </c>
      <c r="W734" s="36">
        <f>RTD("money.excel",,"3213","Price")</f>
        <v>62.1</v>
      </c>
      <c r="X734" s="67"/>
      <c r="Y734" s="15">
        <f t="shared" si="155"/>
        <v>62.1</v>
      </c>
      <c r="Z734" s="3" t="e">
        <f t="shared" si="156"/>
        <v>#DIV/0!</v>
      </c>
      <c r="AA734" s="174" t="s">
        <v>2185</v>
      </c>
      <c r="AB734" s="16" t="s">
        <v>2691</v>
      </c>
      <c r="AE734" s="33">
        <f t="shared" si="157"/>
        <v>0</v>
      </c>
      <c r="AF734" s="43" t="s">
        <v>2958</v>
      </c>
      <c r="AG734" s="128"/>
      <c r="AI734" s="64">
        <f t="shared" si="161"/>
        <v>2.1976149914821126E-3</v>
      </c>
      <c r="AJ734" s="313">
        <f>RTD("money.excel",,$G734,"PredictVolume")</f>
        <v>129</v>
      </c>
      <c r="AK734" s="348"/>
    </row>
    <row r="735" spans="1:37">
      <c r="A735" s="148" t="s">
        <v>1769</v>
      </c>
      <c r="B735" s="82">
        <v>-13</v>
      </c>
      <c r="C735" s="81">
        <v>6</v>
      </c>
      <c r="D735" s="82">
        <v>-2</v>
      </c>
      <c r="E735" s="81">
        <v>11</v>
      </c>
      <c r="F735" s="6">
        <v>1.82</v>
      </c>
      <c r="G735" s="81">
        <v>3231</v>
      </c>
      <c r="H735" s="206" t="s">
        <v>1212</v>
      </c>
      <c r="I735" s="22" t="s">
        <v>23</v>
      </c>
      <c r="J735" s="75">
        <v>56.7</v>
      </c>
      <c r="K735" s="75">
        <v>42.44</v>
      </c>
      <c r="L735" s="330">
        <v>1.58</v>
      </c>
      <c r="N735" s="325">
        <f t="shared" si="159"/>
        <v>100.72</v>
      </c>
      <c r="O735" s="27"/>
      <c r="P735" s="56"/>
      <c r="Q735" s="26"/>
      <c r="S735" s="330">
        <v>1.38</v>
      </c>
      <c r="T735" s="34">
        <v>2.2000000000000002</v>
      </c>
      <c r="U735" s="366">
        <f t="shared" si="160"/>
        <v>7.4576271186440682E-2</v>
      </c>
      <c r="V735" s="58">
        <v>2.66</v>
      </c>
      <c r="W735" s="13">
        <f>RTD("money.excel",,"3231","Price")</f>
        <v>29.5</v>
      </c>
      <c r="X735" s="67"/>
      <c r="Y735" s="15">
        <f t="shared" si="155"/>
        <v>29.5</v>
      </c>
      <c r="Z735" s="3" t="e">
        <f t="shared" si="156"/>
        <v>#DIV/0!</v>
      </c>
      <c r="AA735" s="174" t="s">
        <v>1943</v>
      </c>
      <c r="AB735" s="22" t="s">
        <v>23</v>
      </c>
      <c r="AE735" s="33">
        <f t="shared" si="157"/>
        <v>0</v>
      </c>
      <c r="AF735" s="122" t="s">
        <v>3252</v>
      </c>
      <c r="AG735" s="128"/>
      <c r="AI735" s="64">
        <f t="shared" si="161"/>
        <v>2.0751724137931036E-3</v>
      </c>
      <c r="AJ735" s="313">
        <f>RTD("money.excel",,$G735,"PredictVolume")</f>
        <v>6018</v>
      </c>
      <c r="AK735" s="348"/>
    </row>
    <row r="736" spans="1:37">
      <c r="A736" s="148" t="s">
        <v>3546</v>
      </c>
      <c r="B736" s="81">
        <v>73</v>
      </c>
      <c r="C736" s="81">
        <v>59</v>
      </c>
      <c r="D736" s="81">
        <v>36</v>
      </c>
      <c r="E736" s="82">
        <v>-12</v>
      </c>
      <c r="F736" s="6">
        <v>4.25</v>
      </c>
      <c r="G736" s="81">
        <v>3272</v>
      </c>
      <c r="H736" s="151" t="s">
        <v>1212</v>
      </c>
      <c r="I736" s="16" t="s">
        <v>2692</v>
      </c>
      <c r="J736" s="330">
        <v>41.37</v>
      </c>
      <c r="K736" s="330">
        <v>1.29</v>
      </c>
      <c r="L736" s="330">
        <v>27.94</v>
      </c>
      <c r="N736" s="325">
        <f t="shared" si="159"/>
        <v>70.599999999999994</v>
      </c>
      <c r="O736" s="27"/>
      <c r="P736" s="56"/>
      <c r="Q736" s="26"/>
      <c r="S736" s="330">
        <v>2.78</v>
      </c>
      <c r="T736" s="34">
        <v>1.8</v>
      </c>
      <c r="U736" s="366">
        <f t="shared" si="160"/>
        <v>5.8064516129032261E-2</v>
      </c>
      <c r="V736" s="97">
        <v>3.51</v>
      </c>
      <c r="W736" s="36">
        <f>RTD("money.excel",,"3272","Price")</f>
        <v>31</v>
      </c>
      <c r="X736" s="67"/>
      <c r="Y736" s="15">
        <f t="shared" si="155"/>
        <v>31</v>
      </c>
      <c r="Z736" s="3" t="e">
        <f t="shared" si="156"/>
        <v>#DIV/0!</v>
      </c>
      <c r="AB736" s="16" t="s">
        <v>2692</v>
      </c>
      <c r="AE736" s="33">
        <f t="shared" si="157"/>
        <v>0</v>
      </c>
      <c r="AF736" s="124" t="s">
        <v>2817</v>
      </c>
      <c r="AG736" s="128"/>
      <c r="AI736" s="64">
        <f t="shared" si="161"/>
        <v>6.1261261261261267E-4</v>
      </c>
      <c r="AJ736" s="313">
        <f>RTD("money.excel",,$G736,"PredictVolume")</f>
        <v>34</v>
      </c>
      <c r="AK736" s="348"/>
    </row>
    <row r="737" spans="1:39">
      <c r="A737" s="132" t="s">
        <v>3547</v>
      </c>
      <c r="B737" s="81">
        <v>172</v>
      </c>
      <c r="C737" s="81">
        <v>316</v>
      </c>
      <c r="D737" s="81">
        <v>13</v>
      </c>
      <c r="E737" s="82">
        <v>-12</v>
      </c>
      <c r="F737" s="58">
        <v>12.97</v>
      </c>
      <c r="G737" s="81">
        <v>3287</v>
      </c>
      <c r="H737" s="151" t="s">
        <v>1212</v>
      </c>
      <c r="I737" s="16" t="s">
        <v>2693</v>
      </c>
      <c r="J737" s="330">
        <v>51.08</v>
      </c>
      <c r="K737" s="330">
        <v>0.68</v>
      </c>
      <c r="L737" s="75">
        <v>14.58</v>
      </c>
      <c r="N737" s="325">
        <f t="shared" si="159"/>
        <v>66.34</v>
      </c>
      <c r="O737" s="27"/>
      <c r="P737" s="56"/>
      <c r="Q737" s="26"/>
      <c r="S737" s="330">
        <v>0.25</v>
      </c>
      <c r="T737" s="34">
        <v>0</v>
      </c>
      <c r="U737" s="366">
        <f t="shared" si="160"/>
        <v>0</v>
      </c>
      <c r="V737" s="58">
        <v>1.88</v>
      </c>
      <c r="W737" s="36">
        <f>RTD("money.excel",,"3287","Price")</f>
        <v>15.5</v>
      </c>
      <c r="X737" s="67"/>
      <c r="Y737" s="15">
        <f t="shared" si="155"/>
        <v>15.5</v>
      </c>
      <c r="Z737" s="3" t="e">
        <f t="shared" si="156"/>
        <v>#DIV/0!</v>
      </c>
      <c r="AB737" s="16" t="s">
        <v>2693</v>
      </c>
      <c r="AE737" s="33">
        <f t="shared" si="157"/>
        <v>0</v>
      </c>
      <c r="AF737" s="43" t="s">
        <v>2959</v>
      </c>
      <c r="AG737" s="128"/>
      <c r="AI737" s="64">
        <f t="shared" si="161"/>
        <v>7.7272727272727269E-4</v>
      </c>
      <c r="AJ737" s="313">
        <f>RTD("money.excel",,$G737,"PredictVolume")</f>
        <v>34</v>
      </c>
      <c r="AK737" s="348"/>
    </row>
    <row r="738" spans="1:39">
      <c r="A738" s="148" t="s">
        <v>2694</v>
      </c>
      <c r="B738" s="82">
        <v>-1</v>
      </c>
      <c r="C738" s="81">
        <v>1</v>
      </c>
      <c r="D738" s="82">
        <v>-15</v>
      </c>
      <c r="E738" s="82">
        <v>-40</v>
      </c>
      <c r="F738" s="6">
        <v>2.39</v>
      </c>
      <c r="G738" s="81">
        <v>3323</v>
      </c>
      <c r="H738" s="151" t="s">
        <v>1212</v>
      </c>
      <c r="I738" s="16" t="s">
        <v>2695</v>
      </c>
      <c r="J738" s="330">
        <v>10.54</v>
      </c>
      <c r="K738" s="75">
        <v>4.41</v>
      </c>
      <c r="L738" s="75">
        <v>22.31</v>
      </c>
      <c r="N738" s="325">
        <f t="shared" si="159"/>
        <v>37.26</v>
      </c>
      <c r="O738" s="27"/>
      <c r="P738" s="56"/>
      <c r="Q738" s="26"/>
      <c r="S738" s="330">
        <v>11.88</v>
      </c>
      <c r="T738" s="34">
        <v>2.5</v>
      </c>
      <c r="U738" s="366">
        <f t="shared" si="160"/>
        <v>6.25E-2</v>
      </c>
      <c r="V738" s="97">
        <v>4.09</v>
      </c>
      <c r="W738" s="36">
        <f>RTD("money.excel",,"3323","Price")</f>
        <v>40</v>
      </c>
      <c r="X738" s="67"/>
      <c r="Y738" s="15">
        <f t="shared" si="155"/>
        <v>40</v>
      </c>
      <c r="Z738" s="3" t="e">
        <f t="shared" si="156"/>
        <v>#DIV/0!</v>
      </c>
      <c r="AA738" s="174" t="s">
        <v>1943</v>
      </c>
      <c r="AB738" s="16" t="s">
        <v>2695</v>
      </c>
      <c r="AE738" s="33">
        <f t="shared" si="157"/>
        <v>0</v>
      </c>
      <c r="AF738" s="43" t="s">
        <v>2704</v>
      </c>
      <c r="AG738" s="128"/>
      <c r="AI738" s="64">
        <f t="shared" si="161"/>
        <v>1.3947696139476962E-3</v>
      </c>
      <c r="AJ738" s="313">
        <f>RTD("money.excel",,$G738,"PredictVolume")</f>
        <v>112</v>
      </c>
      <c r="AK738" s="348"/>
    </row>
    <row r="739" spans="1:39">
      <c r="A739" s="148" t="s">
        <v>2585</v>
      </c>
      <c r="B739" s="82">
        <v>-121</v>
      </c>
      <c r="C739" s="82">
        <v>-113</v>
      </c>
      <c r="D739" s="81">
        <v>9</v>
      </c>
      <c r="E739" s="81">
        <v>13</v>
      </c>
      <c r="F739" s="6">
        <v>-2.85</v>
      </c>
      <c r="G739" s="81">
        <v>3325</v>
      </c>
      <c r="H739" s="151" t="s">
        <v>1212</v>
      </c>
      <c r="I739" s="16" t="s">
        <v>503</v>
      </c>
      <c r="J739" s="75">
        <v>13.93</v>
      </c>
      <c r="K739" s="75">
        <v>0.73</v>
      </c>
      <c r="L739" s="75">
        <v>22.24</v>
      </c>
      <c r="M739" s="330">
        <v>12.2</v>
      </c>
      <c r="N739" s="325">
        <f t="shared" si="159"/>
        <v>49.099999999999994</v>
      </c>
      <c r="O739" s="27"/>
      <c r="P739" s="56"/>
      <c r="Q739" s="26"/>
      <c r="R739" s="308" t="s">
        <v>4373</v>
      </c>
      <c r="S739" s="330">
        <v>1.29</v>
      </c>
      <c r="T739" s="34">
        <v>2.5</v>
      </c>
      <c r="U739" s="366">
        <f t="shared" si="160"/>
        <v>0.1457725947521866</v>
      </c>
      <c r="V739" s="97">
        <v>-0.44</v>
      </c>
      <c r="W739" s="36">
        <f>RTD("money.excel",,"3325","Price")</f>
        <v>17.149999999999999</v>
      </c>
      <c r="X739" s="67"/>
      <c r="Y739" s="15">
        <f t="shared" si="155"/>
        <v>17.149999999999999</v>
      </c>
      <c r="Z739" s="3" t="e">
        <f t="shared" si="156"/>
        <v>#DIV/0!</v>
      </c>
      <c r="AB739" s="16" t="s">
        <v>503</v>
      </c>
      <c r="AE739" s="33">
        <f t="shared" si="157"/>
        <v>0</v>
      </c>
      <c r="AF739" s="43" t="s">
        <v>2960</v>
      </c>
      <c r="AG739" s="128"/>
      <c r="AI739" s="64">
        <f t="shared" si="161"/>
        <v>6.3238770685579183E-3</v>
      </c>
      <c r="AJ739" s="313">
        <f>RTD("money.excel",,$G739,"PredictVolume")</f>
        <v>535</v>
      </c>
      <c r="AK739" s="348"/>
    </row>
    <row r="740" spans="1:39">
      <c r="A740" s="148"/>
      <c r="B740" s="82"/>
      <c r="C740" s="82"/>
      <c r="D740" s="81"/>
      <c r="E740" s="81"/>
      <c r="F740" s="6"/>
      <c r="G740" s="81"/>
      <c r="H740" s="151"/>
      <c r="I740" s="16"/>
      <c r="J740" s="75"/>
      <c r="K740" s="75"/>
      <c r="M740" s="330"/>
      <c r="N740" s="325"/>
      <c r="O740" s="27"/>
      <c r="P740" s="56"/>
      <c r="Q740" s="26"/>
      <c r="T740" s="34"/>
      <c r="U740" s="366"/>
      <c r="V740" s="97"/>
      <c r="W740" s="36"/>
      <c r="X740" s="67"/>
      <c r="Y740" s="15"/>
      <c r="Z740" s="3"/>
      <c r="AB740" s="16"/>
      <c r="AE740" s="33"/>
      <c r="AF740" s="43"/>
      <c r="AG740" s="128"/>
      <c r="AI740" s="64"/>
      <c r="AJ740" s="313"/>
      <c r="AK740" s="348"/>
    </row>
    <row r="741" spans="1:39">
      <c r="A741" s="148" t="s">
        <v>3598</v>
      </c>
      <c r="B741" s="95">
        <v>2613</v>
      </c>
      <c r="C741" s="95">
        <v>1102</v>
      </c>
      <c r="D741" s="81">
        <v>10</v>
      </c>
      <c r="E741" s="82">
        <v>-45</v>
      </c>
      <c r="F741" s="6">
        <v>6.43</v>
      </c>
      <c r="G741" s="81">
        <v>3349</v>
      </c>
      <c r="H741" s="151" t="s">
        <v>1212</v>
      </c>
      <c r="I741" s="16" t="s">
        <v>6504</v>
      </c>
      <c r="J741" s="75">
        <v>42.87</v>
      </c>
      <c r="K741" s="75"/>
      <c r="M741" s="75"/>
      <c r="N741" s="325">
        <f t="shared" ref="N741" si="162">J741+K741+L741+M741</f>
        <v>42.87</v>
      </c>
      <c r="O741" s="27"/>
      <c r="P741" s="56"/>
      <c r="Q741" s="26"/>
      <c r="T741" s="34">
        <v>0.57999999999999996</v>
      </c>
      <c r="U741" s="366">
        <f t="shared" ref="U741" si="163">T741/W741</f>
        <v>2.4217118997912318E-2</v>
      </c>
      <c r="V741" s="97" t="s">
        <v>4029</v>
      </c>
      <c r="W741" s="36">
        <f>RTD("money.excel",,"3349","Price")</f>
        <v>23.95</v>
      </c>
      <c r="X741" s="67"/>
      <c r="Y741" s="15">
        <f t="shared" ref="Y741" si="164">W741-X741</f>
        <v>23.95</v>
      </c>
      <c r="Z741" s="3" t="e">
        <f t="shared" ref="Z741" si="165">Y741/X741</f>
        <v>#DIV/0!</v>
      </c>
      <c r="AA741" s="174" t="s">
        <v>1943</v>
      </c>
      <c r="AB741" s="16" t="s">
        <v>6504</v>
      </c>
      <c r="AE741" s="33">
        <f t="shared" ref="AE741" si="166">AD741-AC741</f>
        <v>0</v>
      </c>
      <c r="AF741" s="43" t="s">
        <v>6505</v>
      </c>
      <c r="AG741" s="128"/>
      <c r="AI741" s="64">
        <f t="shared" ref="AI741" si="167">AJ741/(A741*10000)</f>
        <v>1.5294117647058824E-3</v>
      </c>
      <c r="AJ741" s="313">
        <f>RTD("money.excel",,$G741,"PredictVolume")</f>
        <v>52</v>
      </c>
      <c r="AK741" s="348"/>
    </row>
    <row r="742" spans="1:39">
      <c r="A742" s="132" t="s">
        <v>1754</v>
      </c>
      <c r="B742" s="82">
        <v>-1</v>
      </c>
      <c r="C742" s="82">
        <v>-1</v>
      </c>
      <c r="D742" s="81">
        <v>14</v>
      </c>
      <c r="E742" s="81">
        <v>34</v>
      </c>
      <c r="F742" s="58">
        <v>16.2</v>
      </c>
      <c r="G742" s="81">
        <v>3416</v>
      </c>
      <c r="H742" s="206" t="s">
        <v>1212</v>
      </c>
      <c r="I742" s="22" t="s">
        <v>496</v>
      </c>
      <c r="J742" s="75">
        <v>59.86</v>
      </c>
      <c r="K742" s="75">
        <v>2.74</v>
      </c>
      <c r="L742" s="75">
        <v>6.43</v>
      </c>
      <c r="N742" s="325">
        <f t="shared" si="159"/>
        <v>69.03</v>
      </c>
      <c r="O742" s="27"/>
      <c r="P742" s="56"/>
      <c r="Q742" s="26"/>
      <c r="S742" s="330">
        <v>0.01</v>
      </c>
      <c r="T742" s="67">
        <v>4</v>
      </c>
      <c r="U742" s="366">
        <f t="shared" si="160"/>
        <v>5.1612903225806452E-2</v>
      </c>
      <c r="V742" s="97">
        <v>3.55</v>
      </c>
      <c r="W742" s="36">
        <f>RTD("money.excel",,"3416","Price")</f>
        <v>77.5</v>
      </c>
      <c r="X742" s="67"/>
      <c r="Y742" s="15">
        <f t="shared" si="155"/>
        <v>77.5</v>
      </c>
      <c r="Z742" s="3" t="e">
        <f t="shared" si="156"/>
        <v>#DIV/0!</v>
      </c>
      <c r="AA742" s="174" t="s">
        <v>2185</v>
      </c>
      <c r="AB742" s="22" t="s">
        <v>496</v>
      </c>
      <c r="AE742" s="33">
        <f t="shared" si="157"/>
        <v>0</v>
      </c>
      <c r="AF742" s="43" t="s">
        <v>2726</v>
      </c>
      <c r="AG742" s="128"/>
      <c r="AI742" s="64">
        <f t="shared" si="161"/>
        <v>3.5862068965517241E-4</v>
      </c>
      <c r="AJ742" s="313">
        <f>RTD("money.excel",,$G742,"PredictVolume")</f>
        <v>26</v>
      </c>
      <c r="AK742" s="348"/>
    </row>
    <row r="743" spans="1:39">
      <c r="A743" s="148" t="s">
        <v>2075</v>
      </c>
      <c r="B743" s="82">
        <v>-32</v>
      </c>
      <c r="C743" s="82">
        <v>-28</v>
      </c>
      <c r="D743" s="81">
        <v>17</v>
      </c>
      <c r="E743" s="81">
        <v>35</v>
      </c>
      <c r="F743" s="6">
        <v>4.46</v>
      </c>
      <c r="G743" s="81">
        <v>3479</v>
      </c>
      <c r="H743" s="151" t="s">
        <v>1212</v>
      </c>
      <c r="I743" s="16" t="s">
        <v>2696</v>
      </c>
      <c r="J743" s="75">
        <v>38.17</v>
      </c>
      <c r="K743" s="330">
        <v>2.85</v>
      </c>
      <c r="L743" s="75">
        <v>10.46</v>
      </c>
      <c r="M743" s="330">
        <v>27.27</v>
      </c>
      <c r="N743" s="325">
        <f t="shared" si="159"/>
        <v>78.75</v>
      </c>
      <c r="O743" s="27" t="s">
        <v>6187</v>
      </c>
      <c r="P743" s="56"/>
      <c r="Q743" s="26"/>
      <c r="R743" s="309" t="s">
        <v>6163</v>
      </c>
      <c r="S743" s="330">
        <v>0.48</v>
      </c>
      <c r="T743" s="34">
        <v>2.58</v>
      </c>
      <c r="U743" s="366">
        <f t="shared" si="160"/>
        <v>4.777777777777778E-2</v>
      </c>
      <c r="V743" s="97">
        <v>2.23</v>
      </c>
      <c r="W743" s="36">
        <f>RTD("money.excel",,"3479","Price")</f>
        <v>54</v>
      </c>
      <c r="X743" s="67"/>
      <c r="Y743" s="15">
        <f t="shared" si="155"/>
        <v>54</v>
      </c>
      <c r="Z743" s="3" t="e">
        <f t="shared" si="156"/>
        <v>#DIV/0!</v>
      </c>
      <c r="AA743" s="174" t="s">
        <v>1943</v>
      </c>
      <c r="AB743" s="16" t="s">
        <v>2696</v>
      </c>
      <c r="AE743" s="33">
        <f t="shared" si="157"/>
        <v>0</v>
      </c>
      <c r="AF743" s="122" t="s">
        <v>2805</v>
      </c>
      <c r="AG743" s="128"/>
      <c r="AI743" s="64">
        <f t="shared" si="161"/>
        <v>1.6170212765957447E-3</v>
      </c>
      <c r="AJ743" s="313">
        <f>RTD("money.excel",,$G743,"PredictVolume")</f>
        <v>114</v>
      </c>
      <c r="AK743" s="348">
        <v>11.47</v>
      </c>
    </row>
    <row r="744" spans="1:39">
      <c r="A744" s="148" t="s">
        <v>4438</v>
      </c>
      <c r="B744" s="82">
        <v>-6</v>
      </c>
      <c r="C744" s="82">
        <v>-35</v>
      </c>
      <c r="D744" s="81">
        <v>9</v>
      </c>
      <c r="E744" s="81">
        <v>59</v>
      </c>
      <c r="F744" s="6">
        <v>4.67</v>
      </c>
      <c r="G744" s="81">
        <v>3483</v>
      </c>
      <c r="H744" s="151" t="s">
        <v>1212</v>
      </c>
      <c r="I744" s="16" t="s">
        <v>504</v>
      </c>
      <c r="J744" s="75">
        <v>6.73</v>
      </c>
      <c r="K744" s="330">
        <v>4.2</v>
      </c>
      <c r="L744" s="75">
        <v>63.95</v>
      </c>
      <c r="M744" s="330">
        <v>5.68</v>
      </c>
      <c r="N744" s="325">
        <f t="shared" si="159"/>
        <v>80.56</v>
      </c>
      <c r="O744" s="27"/>
      <c r="P744" s="56"/>
      <c r="Q744" s="26"/>
      <c r="R744" s="308" t="s">
        <v>4374</v>
      </c>
      <c r="S744" s="330">
        <v>4.16</v>
      </c>
      <c r="T744" s="34">
        <v>2.5</v>
      </c>
      <c r="U744" s="366">
        <f t="shared" si="160"/>
        <v>3.3025099075297222E-2</v>
      </c>
      <c r="V744" s="97">
        <v>3.93</v>
      </c>
      <c r="W744" s="36">
        <f>RTD("money.excel",,"3483","Price")</f>
        <v>75.7</v>
      </c>
      <c r="X744" s="67"/>
      <c r="Y744" s="15">
        <f t="shared" si="155"/>
        <v>75.7</v>
      </c>
      <c r="Z744" s="3" t="e">
        <f t="shared" si="156"/>
        <v>#DIV/0!</v>
      </c>
      <c r="AA744" s="174" t="s">
        <v>1943</v>
      </c>
      <c r="AB744" s="16" t="s">
        <v>504</v>
      </c>
      <c r="AE744" s="33">
        <f t="shared" si="157"/>
        <v>0</v>
      </c>
      <c r="AF744" s="43" t="s">
        <v>3460</v>
      </c>
      <c r="AG744" s="128"/>
      <c r="AI744" s="64">
        <f t="shared" si="161"/>
        <v>5.8279845956354303E-3</v>
      </c>
      <c r="AJ744" s="313">
        <f>RTD("money.excel",,$G744,"PredictVolume")</f>
        <v>454</v>
      </c>
      <c r="AK744" s="348"/>
    </row>
    <row r="745" spans="1:39">
      <c r="A745" s="148" t="s">
        <v>3657</v>
      </c>
      <c r="B745" s="93">
        <v>-194</v>
      </c>
      <c r="C745" s="93">
        <v>-38</v>
      </c>
      <c r="D745" s="93">
        <v>-35</v>
      </c>
      <c r="E745" s="93">
        <v>-52</v>
      </c>
      <c r="F745" s="6">
        <v>-99.12</v>
      </c>
      <c r="G745" s="81">
        <v>3494</v>
      </c>
      <c r="H745" s="206" t="s">
        <v>1212</v>
      </c>
      <c r="I745" s="22" t="s">
        <v>497</v>
      </c>
      <c r="J745" s="75">
        <v>48.93</v>
      </c>
      <c r="K745" s="75">
        <v>5.67</v>
      </c>
      <c r="L745" s="75">
        <v>0</v>
      </c>
      <c r="N745" s="325">
        <f t="shared" si="159"/>
        <v>54.6</v>
      </c>
      <c r="O745" s="27"/>
      <c r="P745" s="56"/>
      <c r="Q745" s="26"/>
      <c r="S745" s="330">
        <v>25.78</v>
      </c>
      <c r="T745" s="34">
        <v>0</v>
      </c>
      <c r="U745" s="366">
        <f t="shared" si="160"/>
        <v>0</v>
      </c>
      <c r="V745" s="97">
        <v>-2.44</v>
      </c>
      <c r="W745" s="36">
        <f>RTD("money.excel",,"3494","Price")</f>
        <v>4.8499999999999996</v>
      </c>
      <c r="X745" s="67"/>
      <c r="Y745" s="15">
        <f t="shared" si="155"/>
        <v>4.8499999999999996</v>
      </c>
      <c r="Z745" s="3" t="e">
        <f t="shared" si="156"/>
        <v>#DIV/0!</v>
      </c>
      <c r="AB745" s="22" t="s">
        <v>497</v>
      </c>
      <c r="AE745" s="33">
        <f t="shared" si="157"/>
        <v>0</v>
      </c>
      <c r="AF745" s="43" t="s">
        <v>3253</v>
      </c>
      <c r="AG745" s="128"/>
      <c r="AI745" s="64">
        <f t="shared" si="161"/>
        <v>1.8994413407821229E-4</v>
      </c>
      <c r="AJ745" s="313">
        <f>RTD("money.excel",,$G745,"PredictVolume")</f>
        <v>34</v>
      </c>
      <c r="AK745" s="348"/>
    </row>
    <row r="746" spans="1:39">
      <c r="A746" s="132" t="s">
        <v>5383</v>
      </c>
      <c r="B746" s="81">
        <v>54</v>
      </c>
      <c r="C746" s="81">
        <v>62</v>
      </c>
      <c r="D746" s="81">
        <v>31</v>
      </c>
      <c r="E746" s="81">
        <v>26</v>
      </c>
      <c r="F746" s="58">
        <v>15.55</v>
      </c>
      <c r="G746" s="81">
        <v>3515</v>
      </c>
      <c r="H746" s="206" t="s">
        <v>1212</v>
      </c>
      <c r="I746" s="22" t="s">
        <v>498</v>
      </c>
      <c r="J746" s="75">
        <v>69.400000000000006</v>
      </c>
      <c r="K746" s="75">
        <v>13.97</v>
      </c>
      <c r="L746" s="330">
        <v>9.7899999999999991</v>
      </c>
      <c r="M746" s="330">
        <v>50.7</v>
      </c>
      <c r="N746" s="75">
        <f t="shared" si="159"/>
        <v>143.86000000000001</v>
      </c>
      <c r="O746" s="27"/>
      <c r="P746" s="56"/>
      <c r="Q746" s="26"/>
      <c r="R746" s="308" t="s">
        <v>6075</v>
      </c>
      <c r="S746" s="330">
        <v>2.2200000000000002</v>
      </c>
      <c r="T746" s="67">
        <v>8</v>
      </c>
      <c r="U746" s="366">
        <f t="shared" si="160"/>
        <v>3.9800995024875621E-2</v>
      </c>
      <c r="V746" s="58">
        <v>17.05</v>
      </c>
      <c r="W746" s="36">
        <f>RTD("money.excel",,"3515","Price")</f>
        <v>201</v>
      </c>
      <c r="X746" s="67"/>
      <c r="Y746" s="15">
        <f t="shared" si="155"/>
        <v>201</v>
      </c>
      <c r="Z746" s="3" t="e">
        <f t="shared" si="156"/>
        <v>#DIV/0!</v>
      </c>
      <c r="AA746" s="174" t="s">
        <v>2185</v>
      </c>
      <c r="AB746" s="22" t="s">
        <v>498</v>
      </c>
      <c r="AE746" s="33">
        <f t="shared" si="157"/>
        <v>0</v>
      </c>
      <c r="AF746" s="43" t="s">
        <v>3243</v>
      </c>
      <c r="AG746" s="128"/>
      <c r="AI746" s="64">
        <f t="shared" si="161"/>
        <v>3.2696721311475413E-2</v>
      </c>
      <c r="AJ746" s="313">
        <f>RTD("money.excel",,$G746,"PredictVolume")</f>
        <v>3989</v>
      </c>
      <c r="AK746" s="349"/>
      <c r="AM746" s="262"/>
    </row>
    <row r="747" spans="1:39">
      <c r="A747" s="148" t="s">
        <v>1915</v>
      </c>
      <c r="B747" s="82">
        <v>-134</v>
      </c>
      <c r="C747" s="82">
        <v>-137</v>
      </c>
      <c r="D747" s="82">
        <v>-56</v>
      </c>
      <c r="E747" s="82">
        <v>-34</v>
      </c>
      <c r="F747" s="6">
        <v>-14.6</v>
      </c>
      <c r="G747" s="81">
        <v>3521</v>
      </c>
      <c r="H747" s="151" t="s">
        <v>1212</v>
      </c>
      <c r="I747" s="16" t="s">
        <v>2697</v>
      </c>
      <c r="J747" s="330">
        <v>47.81</v>
      </c>
      <c r="K747" s="75">
        <v>1.0900000000000001</v>
      </c>
      <c r="L747" s="75">
        <v>13.64</v>
      </c>
      <c r="N747" s="325">
        <f t="shared" si="159"/>
        <v>62.540000000000006</v>
      </c>
      <c r="O747" s="27"/>
      <c r="P747" s="56"/>
      <c r="Q747" s="26"/>
      <c r="S747" s="330">
        <v>0.68</v>
      </c>
      <c r="T747" s="34">
        <v>0</v>
      </c>
      <c r="U747" s="366">
        <f t="shared" si="160"/>
        <v>0</v>
      </c>
      <c r="V747" s="97">
        <v>-0.89</v>
      </c>
      <c r="W747" s="36">
        <f>RTD("money.excel",,"3521","Price")</f>
        <v>14.15</v>
      </c>
      <c r="X747" s="67"/>
      <c r="Y747" s="15">
        <f t="shared" si="155"/>
        <v>14.15</v>
      </c>
      <c r="Z747" s="3" t="e">
        <f t="shared" si="156"/>
        <v>#DIV/0!</v>
      </c>
      <c r="AB747" s="16" t="s">
        <v>2697</v>
      </c>
      <c r="AE747" s="33">
        <f t="shared" si="157"/>
        <v>0</v>
      </c>
      <c r="AF747" s="43" t="s">
        <v>2916</v>
      </c>
      <c r="AG747" s="128"/>
      <c r="AI747" s="64">
        <f t="shared" si="161"/>
        <v>1.5631691648822269E-3</v>
      </c>
      <c r="AJ747" s="313">
        <f>RTD("money.excel",,$G747,"PredictVolume")</f>
        <v>73</v>
      </c>
      <c r="AK747" s="348"/>
    </row>
    <row r="748" spans="1:39">
      <c r="A748" s="148" t="s">
        <v>4267</v>
      </c>
      <c r="B748" s="82">
        <v>-43</v>
      </c>
      <c r="C748" s="82">
        <v>-33</v>
      </c>
      <c r="D748" s="82">
        <v>-1</v>
      </c>
      <c r="E748" s="82">
        <v>-30</v>
      </c>
      <c r="F748" s="6">
        <v>9.76</v>
      </c>
      <c r="G748" s="81">
        <v>3540</v>
      </c>
      <c r="H748" s="151" t="s">
        <v>1212</v>
      </c>
      <c r="I748" s="16" t="s">
        <v>5212</v>
      </c>
      <c r="J748" s="330">
        <v>25.89</v>
      </c>
      <c r="K748" s="330">
        <v>1.34</v>
      </c>
      <c r="L748" s="75">
        <v>14.2</v>
      </c>
      <c r="M748" s="75">
        <v>16.309999999999999</v>
      </c>
      <c r="N748" s="325">
        <f t="shared" si="159"/>
        <v>57.739999999999995</v>
      </c>
      <c r="O748" s="27"/>
      <c r="P748" s="56"/>
      <c r="Q748" s="26"/>
      <c r="R748" s="308" t="s">
        <v>4373</v>
      </c>
      <c r="S748" s="330">
        <v>1.6</v>
      </c>
      <c r="T748" s="67">
        <v>4.49</v>
      </c>
      <c r="U748" s="366">
        <f t="shared" si="160"/>
        <v>0.1223433242506812</v>
      </c>
      <c r="V748" s="97">
        <v>4.7300000000000004</v>
      </c>
      <c r="W748" s="36">
        <f>RTD("money.excel",,"3540","Price")</f>
        <v>36.700000000000003</v>
      </c>
      <c r="X748" s="67"/>
      <c r="Y748" s="15">
        <f t="shared" si="155"/>
        <v>36.700000000000003</v>
      </c>
      <c r="Z748" s="3" t="e">
        <f t="shared" si="156"/>
        <v>#DIV/0!</v>
      </c>
      <c r="AA748" s="174" t="s">
        <v>2185</v>
      </c>
      <c r="AB748" s="16" t="s">
        <v>5212</v>
      </c>
      <c r="AE748" s="33">
        <f t="shared" si="157"/>
        <v>0</v>
      </c>
      <c r="AF748" s="122" t="s">
        <v>4340</v>
      </c>
      <c r="AG748" s="128"/>
      <c r="AI748" s="64">
        <f t="shared" si="161"/>
        <v>3.7756497948016414E-3</v>
      </c>
      <c r="AJ748" s="313">
        <f>RTD("money.excel",,$G748,"PredictVolume")</f>
        <v>276</v>
      </c>
      <c r="AK748" s="348"/>
    </row>
    <row r="749" spans="1:39">
      <c r="A749" s="148" t="s">
        <v>1843</v>
      </c>
      <c r="B749" s="93">
        <v>-38</v>
      </c>
      <c r="C749" s="93">
        <v>-29</v>
      </c>
      <c r="D749" s="93">
        <v>30</v>
      </c>
      <c r="E749" s="93">
        <v>54</v>
      </c>
      <c r="F749" s="6">
        <v>4.62</v>
      </c>
      <c r="G749" s="81">
        <v>3577</v>
      </c>
      <c r="H749" s="151" t="s">
        <v>1212</v>
      </c>
      <c r="I749" s="16" t="s">
        <v>2699</v>
      </c>
      <c r="J749" s="75">
        <v>59.27</v>
      </c>
      <c r="K749" s="75">
        <v>0.63</v>
      </c>
      <c r="L749" s="75">
        <v>6.82</v>
      </c>
      <c r="N749" s="325">
        <f t="shared" si="159"/>
        <v>66.72</v>
      </c>
      <c r="O749" s="27"/>
      <c r="P749" s="56"/>
      <c r="Q749" s="26"/>
      <c r="S749" s="330">
        <v>26.59</v>
      </c>
      <c r="T749" s="34">
        <v>0.7</v>
      </c>
      <c r="U749" s="366">
        <f t="shared" si="160"/>
        <v>9.1623036649214652E-3</v>
      </c>
      <c r="V749" s="97">
        <v>0.76</v>
      </c>
      <c r="W749" s="13">
        <f>RTD("money.excel",,"3577","Price")</f>
        <v>76.400000000000006</v>
      </c>
      <c r="X749" s="67"/>
      <c r="Y749" s="15">
        <f t="shared" si="155"/>
        <v>76.400000000000006</v>
      </c>
      <c r="Z749" s="3" t="e">
        <f t="shared" si="156"/>
        <v>#DIV/0!</v>
      </c>
      <c r="AB749" s="16" t="s">
        <v>2699</v>
      </c>
      <c r="AE749" s="33">
        <f t="shared" si="157"/>
        <v>0</v>
      </c>
      <c r="AF749" s="43" t="s">
        <v>2726</v>
      </c>
      <c r="AG749" s="128"/>
      <c r="AI749" s="64">
        <f t="shared" si="161"/>
        <v>8.7901701323251421E-3</v>
      </c>
      <c r="AJ749" s="313">
        <f>RTD("money.excel",,$G749,"PredictVolume")</f>
        <v>465</v>
      </c>
      <c r="AK749" s="348"/>
    </row>
    <row r="750" spans="1:39">
      <c r="A750" s="148" t="s">
        <v>3548</v>
      </c>
      <c r="B750" s="93">
        <v>-83</v>
      </c>
      <c r="C750" s="93">
        <v>-42</v>
      </c>
      <c r="D750" s="93">
        <v>23</v>
      </c>
      <c r="E750" s="93">
        <v>-16</v>
      </c>
      <c r="F750" s="6">
        <v>2.65</v>
      </c>
      <c r="G750" s="81">
        <v>3594</v>
      </c>
      <c r="H750" s="151" t="s">
        <v>1212</v>
      </c>
      <c r="I750" s="16" t="s">
        <v>2700</v>
      </c>
      <c r="J750" s="75">
        <v>48.73</v>
      </c>
      <c r="K750" s="75">
        <v>1.51</v>
      </c>
      <c r="L750" s="75">
        <v>26.54</v>
      </c>
      <c r="N750" s="325">
        <f t="shared" si="159"/>
        <v>76.78</v>
      </c>
      <c r="O750" s="27"/>
      <c r="P750" s="56"/>
      <c r="Q750" s="26"/>
      <c r="S750" s="330">
        <v>18.8</v>
      </c>
      <c r="T750" s="34">
        <v>0.2</v>
      </c>
      <c r="U750" s="366">
        <f t="shared" si="160"/>
        <v>8.0645161290322578E-3</v>
      </c>
      <c r="V750" s="97">
        <v>0.16</v>
      </c>
      <c r="W750" s="36">
        <f>RTD("money.excel",,"3594","Price")</f>
        <v>24.8</v>
      </c>
      <c r="X750" s="67"/>
      <c r="Y750" s="15">
        <f t="shared" si="155"/>
        <v>24.8</v>
      </c>
      <c r="Z750" s="3" t="e">
        <f t="shared" si="156"/>
        <v>#DIV/0!</v>
      </c>
      <c r="AB750" s="16" t="s">
        <v>2700</v>
      </c>
      <c r="AE750" s="33">
        <f t="shared" si="157"/>
        <v>0</v>
      </c>
      <c r="AF750" s="43" t="s">
        <v>2726</v>
      </c>
      <c r="AG750" s="269"/>
      <c r="AI750" s="64">
        <f t="shared" si="161"/>
        <v>5.2106741573033711E-3</v>
      </c>
      <c r="AJ750" s="313">
        <f>RTD("money.excel",,$G750,"PredictVolume")</f>
        <v>371</v>
      </c>
      <c r="AK750" s="348"/>
    </row>
    <row r="751" spans="1:39">
      <c r="A751" s="132" t="s">
        <v>2701</v>
      </c>
      <c r="B751" s="82">
        <v>-21</v>
      </c>
      <c r="C751" s="82">
        <v>-15</v>
      </c>
      <c r="D751" s="81">
        <v>19</v>
      </c>
      <c r="E751" s="82">
        <v>-10</v>
      </c>
      <c r="F751" s="58">
        <v>13.36</v>
      </c>
      <c r="G751" s="81">
        <v>3611</v>
      </c>
      <c r="H751" s="151" t="s">
        <v>1212</v>
      </c>
      <c r="I751" s="16" t="s">
        <v>2702</v>
      </c>
      <c r="J751" s="330">
        <v>58.36</v>
      </c>
      <c r="K751" s="330">
        <v>4.16</v>
      </c>
      <c r="L751" s="75">
        <v>5.3</v>
      </c>
      <c r="N751" s="325">
        <f t="shared" si="159"/>
        <v>67.819999999999993</v>
      </c>
      <c r="O751" s="27"/>
      <c r="P751" s="56"/>
      <c r="Q751" s="26"/>
      <c r="S751" s="330">
        <v>0.02</v>
      </c>
      <c r="T751" s="67">
        <v>10</v>
      </c>
      <c r="U751" s="366">
        <f t="shared" si="160"/>
        <v>5.0505050505050504E-2</v>
      </c>
      <c r="V751" s="97">
        <v>16.84</v>
      </c>
      <c r="W751" s="36">
        <f>RTD("money.excel",,"3611","Price")</f>
        <v>198</v>
      </c>
      <c r="X751" s="67"/>
      <c r="Y751" s="15">
        <f t="shared" si="155"/>
        <v>198</v>
      </c>
      <c r="Z751" s="3" t="e">
        <f t="shared" si="156"/>
        <v>#DIV/0!</v>
      </c>
      <c r="AA751" s="174" t="s">
        <v>1986</v>
      </c>
      <c r="AB751" s="16" t="s">
        <v>2702</v>
      </c>
      <c r="AE751" s="33">
        <f t="shared" si="157"/>
        <v>0</v>
      </c>
      <c r="AF751" s="122" t="s">
        <v>3414</v>
      </c>
      <c r="AG751" s="128"/>
      <c r="AI751" s="64">
        <f t="shared" si="161"/>
        <v>4.7058823529411766E-4</v>
      </c>
      <c r="AJ751" s="313">
        <f>RTD("money.excel",,$G751,"PredictVolume")</f>
        <v>20</v>
      </c>
      <c r="AK751" s="348"/>
    </row>
    <row r="752" spans="1:39">
      <c r="A752" s="148" t="s">
        <v>2589</v>
      </c>
      <c r="B752" s="82">
        <v>-280</v>
      </c>
      <c r="C752" s="82">
        <v>-210</v>
      </c>
      <c r="D752" s="82">
        <v>-23</v>
      </c>
      <c r="E752" s="81">
        <v>157</v>
      </c>
      <c r="F752" s="6">
        <v>-4.13</v>
      </c>
      <c r="G752" s="81">
        <v>3625</v>
      </c>
      <c r="H752" s="151" t="s">
        <v>1212</v>
      </c>
      <c r="I752" s="24" t="s">
        <v>2703</v>
      </c>
      <c r="J752" s="330">
        <v>33.590000000000003</v>
      </c>
      <c r="K752" s="75">
        <v>11.91</v>
      </c>
      <c r="L752" s="330">
        <v>37.299999999999997</v>
      </c>
      <c r="N752" s="325">
        <f t="shared" si="159"/>
        <v>82.8</v>
      </c>
      <c r="O752" s="27"/>
      <c r="P752" s="56"/>
      <c r="Q752" s="26"/>
      <c r="S752" s="330">
        <v>7.21</v>
      </c>
      <c r="T752" s="34">
        <v>0</v>
      </c>
      <c r="U752" s="366">
        <f t="shared" si="160"/>
        <v>0</v>
      </c>
      <c r="V752" s="97">
        <v>-2.11</v>
      </c>
      <c r="W752" s="36">
        <f>RTD("money.excel",,"3625","Price")</f>
        <v>21.75</v>
      </c>
      <c r="X752" s="67"/>
      <c r="Y752" s="15">
        <f t="shared" si="155"/>
        <v>21.75</v>
      </c>
      <c r="Z752" s="3" t="e">
        <f t="shared" si="156"/>
        <v>#DIV/0!</v>
      </c>
      <c r="AA752" s="174" t="s">
        <v>1943</v>
      </c>
      <c r="AB752" s="24" t="s">
        <v>2703</v>
      </c>
      <c r="AE752" s="33">
        <f t="shared" si="157"/>
        <v>0</v>
      </c>
      <c r="AF752" s="124" t="s">
        <v>2704</v>
      </c>
      <c r="AG752" s="128"/>
      <c r="AI752" s="64">
        <f t="shared" si="161"/>
        <v>2.058465286236297E-3</v>
      </c>
      <c r="AJ752" s="313">
        <f>RTD("money.excel",,$G752,"PredictVolume")</f>
        <v>169</v>
      </c>
      <c r="AK752" s="348"/>
    </row>
    <row r="753" spans="1:37">
      <c r="A753" s="148" t="s">
        <v>3677</v>
      </c>
      <c r="B753" s="95">
        <v>1551</v>
      </c>
      <c r="C753" s="95">
        <v>1272</v>
      </c>
      <c r="D753" s="82">
        <v>-11</v>
      </c>
      <c r="E753" s="81">
        <v>14</v>
      </c>
      <c r="F753" s="6">
        <v>4.9800000000000004</v>
      </c>
      <c r="G753" s="81">
        <v>3652</v>
      </c>
      <c r="H753" s="151" t="s">
        <v>1212</v>
      </c>
      <c r="I753" s="16" t="s">
        <v>2705</v>
      </c>
      <c r="J753" s="330">
        <v>64.62</v>
      </c>
      <c r="K753" s="330">
        <v>1.32</v>
      </c>
      <c r="L753" s="330">
        <v>3.68</v>
      </c>
      <c r="N753" s="325">
        <f t="shared" si="159"/>
        <v>69.62</v>
      </c>
      <c r="O753" s="27"/>
      <c r="P753" s="56"/>
      <c r="Q753" s="26"/>
      <c r="S753" s="330">
        <v>0</v>
      </c>
      <c r="T753" s="34">
        <v>0.15</v>
      </c>
      <c r="U753" s="366">
        <f t="shared" si="160"/>
        <v>7.2815533980582518E-3</v>
      </c>
      <c r="V753" s="58">
        <v>1.6</v>
      </c>
      <c r="W753" s="36">
        <f>RTD("money.excel",,"3652","Price")</f>
        <v>20.6</v>
      </c>
      <c r="X753" s="67"/>
      <c r="Y753" s="15">
        <f t="shared" si="155"/>
        <v>20.6</v>
      </c>
      <c r="Z753" s="3" t="e">
        <f t="shared" si="156"/>
        <v>#DIV/0!</v>
      </c>
      <c r="AB753" s="16" t="s">
        <v>2705</v>
      </c>
      <c r="AE753" s="33">
        <f t="shared" si="157"/>
        <v>0</v>
      </c>
      <c r="AF753" s="43" t="s">
        <v>2961</v>
      </c>
      <c r="AG753" s="128"/>
      <c r="AI753" s="64">
        <f t="shared" si="161"/>
        <v>1.5579227696404794E-3</v>
      </c>
      <c r="AJ753" s="313">
        <f>RTD("money.excel",,$G753,"PredictVolume")</f>
        <v>117</v>
      </c>
      <c r="AK753" s="348"/>
    </row>
    <row r="754" spans="1:37">
      <c r="A754" s="148" t="s">
        <v>1901</v>
      </c>
      <c r="B754" s="95">
        <v>2353</v>
      </c>
      <c r="C754" s="95">
        <v>2144</v>
      </c>
      <c r="D754" s="81">
        <v>10</v>
      </c>
      <c r="E754" s="82">
        <v>-6</v>
      </c>
      <c r="F754" s="6">
        <v>5.67</v>
      </c>
      <c r="G754" s="81">
        <v>3693</v>
      </c>
      <c r="H754" s="151" t="s">
        <v>1212</v>
      </c>
      <c r="I754" s="16" t="s">
        <v>2706</v>
      </c>
      <c r="J754" s="330">
        <v>59.89</v>
      </c>
      <c r="K754" s="330">
        <v>2.99</v>
      </c>
      <c r="L754" s="75">
        <v>12.71</v>
      </c>
      <c r="N754" s="325">
        <f t="shared" si="159"/>
        <v>75.59</v>
      </c>
      <c r="O754" s="27"/>
      <c r="P754" s="56"/>
      <c r="Q754" s="26"/>
      <c r="S754" s="330">
        <v>0.2</v>
      </c>
      <c r="T754" s="34">
        <v>0.7</v>
      </c>
      <c r="U754" s="366">
        <f t="shared" si="160"/>
        <v>1.3698630136986301E-2</v>
      </c>
      <c r="V754" s="97">
        <v>2.14</v>
      </c>
      <c r="W754" s="36">
        <f>RTD("money.excel",,"3693","Price")</f>
        <v>51.1</v>
      </c>
      <c r="X754" s="67"/>
      <c r="Y754" s="15">
        <f t="shared" si="155"/>
        <v>51.1</v>
      </c>
      <c r="Z754" s="3" t="e">
        <f t="shared" si="156"/>
        <v>#DIV/0!</v>
      </c>
      <c r="AA754" s="174" t="s">
        <v>1943</v>
      </c>
      <c r="AB754" s="16" t="s">
        <v>2706</v>
      </c>
      <c r="AE754" s="33">
        <f t="shared" si="157"/>
        <v>0</v>
      </c>
      <c r="AF754" s="122" t="s">
        <v>2707</v>
      </c>
      <c r="AG754" s="128"/>
      <c r="AI754" s="64">
        <f t="shared" si="161"/>
        <v>2.0259740259740261E-3</v>
      </c>
      <c r="AJ754" s="313">
        <f>RTD("money.excel",,$G754,"PredictVolume")</f>
        <v>78</v>
      </c>
      <c r="AK754" s="348"/>
    </row>
    <row r="755" spans="1:37">
      <c r="A755" s="148" t="s">
        <v>2414</v>
      </c>
      <c r="B755" s="93">
        <v>-83</v>
      </c>
      <c r="C755" s="93">
        <v>-131</v>
      </c>
      <c r="D755" s="93">
        <v>-12</v>
      </c>
      <c r="E755" s="93">
        <v>76</v>
      </c>
      <c r="F755" s="6">
        <v>-8.83</v>
      </c>
      <c r="G755" s="81">
        <v>3701</v>
      </c>
      <c r="H755" s="206" t="s">
        <v>1212</v>
      </c>
      <c r="I755" s="22" t="s">
        <v>5213</v>
      </c>
      <c r="J755" s="75">
        <v>94.81</v>
      </c>
      <c r="K755" s="75">
        <v>3.3</v>
      </c>
      <c r="N755" s="325">
        <f t="shared" si="159"/>
        <v>98.11</v>
      </c>
      <c r="O755" s="27"/>
      <c r="P755" s="56"/>
      <c r="Q755" s="26"/>
      <c r="S755" s="330">
        <v>22.61</v>
      </c>
      <c r="T755" s="34">
        <v>0</v>
      </c>
      <c r="U755" s="366">
        <f t="shared" si="160"/>
        <v>0</v>
      </c>
      <c r="V755" s="97">
        <v>-0.21</v>
      </c>
      <c r="W755" s="13">
        <f>RTD("money.excel",,"3701","Price")</f>
        <v>61</v>
      </c>
      <c r="X755" s="67"/>
      <c r="Y755" s="15">
        <f t="shared" si="155"/>
        <v>61</v>
      </c>
      <c r="Z755" s="3" t="e">
        <f t="shared" si="156"/>
        <v>#DIV/0!</v>
      </c>
      <c r="AB755" s="22" t="s">
        <v>5213</v>
      </c>
      <c r="AE755" s="33">
        <f t="shared" si="157"/>
        <v>0</v>
      </c>
      <c r="AF755" s="43" t="s">
        <v>1586</v>
      </c>
      <c r="AG755" s="128"/>
      <c r="AI755" s="64">
        <f t="shared" si="161"/>
        <v>4.2526315789473681E-3</v>
      </c>
      <c r="AJ755" s="313">
        <f>RTD("money.excel",,$G755,"PredictVolume")</f>
        <v>808</v>
      </c>
      <c r="AK755" s="348"/>
    </row>
    <row r="756" spans="1:37">
      <c r="A756" s="148" t="s">
        <v>2313</v>
      </c>
      <c r="B756" s="81">
        <v>2</v>
      </c>
      <c r="C756" s="82">
        <v>-85</v>
      </c>
      <c r="D756" s="81">
        <v>6</v>
      </c>
      <c r="E756" s="81">
        <v>50</v>
      </c>
      <c r="F756" s="6">
        <v>0.18</v>
      </c>
      <c r="G756" s="81">
        <v>3706</v>
      </c>
      <c r="H756" s="206" t="s">
        <v>1212</v>
      </c>
      <c r="I756" s="22" t="s">
        <v>56</v>
      </c>
      <c r="J756" s="330">
        <v>44.26</v>
      </c>
      <c r="K756" s="330">
        <v>12.7</v>
      </c>
      <c r="L756" s="330">
        <v>4.33</v>
      </c>
      <c r="N756" s="325">
        <f t="shared" si="159"/>
        <v>61.289999999999992</v>
      </c>
      <c r="O756" s="27"/>
      <c r="P756" s="56"/>
      <c r="Q756" s="26"/>
      <c r="S756" s="330">
        <v>0.01</v>
      </c>
      <c r="T756" s="34">
        <v>1</v>
      </c>
      <c r="U756" s="366">
        <f t="shared" si="160"/>
        <v>3.1496062992125984E-2</v>
      </c>
      <c r="V756" s="97">
        <v>2.58</v>
      </c>
      <c r="W756" s="36">
        <f>RTD("money.excel",,"3706","Price")</f>
        <v>31.75</v>
      </c>
      <c r="X756" s="67"/>
      <c r="Y756" s="15">
        <f t="shared" si="155"/>
        <v>31.75</v>
      </c>
      <c r="Z756" s="3" t="e">
        <f t="shared" si="156"/>
        <v>#DIV/0!</v>
      </c>
      <c r="AA756" s="174" t="s">
        <v>1943</v>
      </c>
      <c r="AB756" s="22" t="s">
        <v>56</v>
      </c>
      <c r="AE756" s="33">
        <f t="shared" si="157"/>
        <v>0</v>
      </c>
      <c r="AF756" s="122" t="s">
        <v>3254</v>
      </c>
      <c r="AG756" s="128"/>
      <c r="AI756" s="64">
        <f t="shared" si="161"/>
        <v>3.0899999999999999E-3</v>
      </c>
      <c r="AJ756" s="313">
        <f>RTD("money.excel",,$G756,"PredictVolume")</f>
        <v>3708</v>
      </c>
      <c r="AK756" s="348"/>
    </row>
    <row r="757" spans="1:37">
      <c r="A757" s="148" t="s">
        <v>2385</v>
      </c>
      <c r="B757" s="81">
        <v>211</v>
      </c>
      <c r="C757" s="81">
        <v>134</v>
      </c>
      <c r="D757" s="81">
        <v>12</v>
      </c>
      <c r="E757" s="82">
        <v>-5</v>
      </c>
      <c r="F757" s="6">
        <v>3.13</v>
      </c>
      <c r="G757" s="81">
        <v>3709</v>
      </c>
      <c r="H757" s="151" t="s">
        <v>1212</v>
      </c>
      <c r="I757" s="16" t="s">
        <v>2708</v>
      </c>
      <c r="J757" s="330">
        <v>77.53</v>
      </c>
      <c r="K757" s="330">
        <v>1.56</v>
      </c>
      <c r="L757" s="330">
        <v>0.78</v>
      </c>
      <c r="N757" s="325">
        <f t="shared" si="159"/>
        <v>79.87</v>
      </c>
      <c r="O757" s="27"/>
      <c r="P757" s="56"/>
      <c r="Q757" s="26"/>
      <c r="S757" s="330">
        <v>0</v>
      </c>
      <c r="T757" s="34">
        <v>1.4</v>
      </c>
      <c r="U757" s="366">
        <f t="shared" si="160"/>
        <v>4.1297935103244837E-2</v>
      </c>
      <c r="V757" s="58">
        <v>4.5999999999999996</v>
      </c>
      <c r="W757" s="36">
        <f>RTD("money.excel",,"3709","Price")</f>
        <v>33.9</v>
      </c>
      <c r="X757" s="67"/>
      <c r="Y757" s="15">
        <f t="shared" si="155"/>
        <v>33.9</v>
      </c>
      <c r="Z757" s="3" t="e">
        <f t="shared" si="156"/>
        <v>#DIV/0!</v>
      </c>
      <c r="AB757" s="16" t="s">
        <v>2708</v>
      </c>
      <c r="AE757" s="33">
        <f t="shared" si="157"/>
        <v>0</v>
      </c>
      <c r="AF757" s="43" t="s">
        <v>2962</v>
      </c>
      <c r="AG757" s="128"/>
      <c r="AI757" s="64">
        <f t="shared" si="161"/>
        <v>3.0000000000000001E-5</v>
      </c>
      <c r="AJ757" s="313">
        <f>RTD("money.excel",,$G757,"PredictVolume")</f>
        <v>3</v>
      </c>
      <c r="AK757" s="348"/>
    </row>
    <row r="758" spans="1:37">
      <c r="A758" s="148" t="s">
        <v>3663</v>
      </c>
      <c r="B758" s="81">
        <v>336</v>
      </c>
      <c r="C758" s="81">
        <v>330</v>
      </c>
      <c r="D758" s="81">
        <v>6</v>
      </c>
      <c r="E758" s="82">
        <v>-2</v>
      </c>
      <c r="F758" s="6">
        <v>12.51</v>
      </c>
      <c r="G758" s="81">
        <v>3712</v>
      </c>
      <c r="H758" s="206" t="s">
        <v>1212</v>
      </c>
      <c r="I758" s="22" t="s">
        <v>1136</v>
      </c>
      <c r="J758" s="75">
        <v>49.34</v>
      </c>
      <c r="K758" s="330">
        <v>2.2999999999999998</v>
      </c>
      <c r="L758" s="75">
        <v>12.12</v>
      </c>
      <c r="N758" s="325">
        <f t="shared" si="159"/>
        <v>63.76</v>
      </c>
      <c r="O758" s="27"/>
      <c r="P758" s="56"/>
      <c r="Q758" s="26"/>
      <c r="S758" s="330">
        <v>0.4</v>
      </c>
      <c r="T758" s="34">
        <v>1</v>
      </c>
      <c r="U758" s="366">
        <f t="shared" si="160"/>
        <v>3.2894736842105261E-2</v>
      </c>
      <c r="V758" s="97">
        <v>1.07</v>
      </c>
      <c r="W758" s="36">
        <f>RTD("money.excel",,"3712","Price")</f>
        <v>30.4</v>
      </c>
      <c r="X758" s="67"/>
      <c r="Y758" s="15">
        <f t="shared" si="155"/>
        <v>30.4</v>
      </c>
      <c r="Z758" s="3" t="e">
        <f t="shared" si="156"/>
        <v>#DIV/0!</v>
      </c>
      <c r="AB758" s="22" t="s">
        <v>1136</v>
      </c>
      <c r="AE758" s="33">
        <f t="shared" si="157"/>
        <v>0</v>
      </c>
      <c r="AF758" s="122" t="s">
        <v>3255</v>
      </c>
      <c r="AG758" s="128"/>
      <c r="AI758" s="64">
        <f t="shared" si="161"/>
        <v>8.3333333333333339E-4</v>
      </c>
      <c r="AJ758" s="313">
        <f>RTD("money.excel",,$G758,"PredictVolume")</f>
        <v>205</v>
      </c>
      <c r="AK758" s="348"/>
    </row>
    <row r="759" spans="1:37">
      <c r="A759" s="148" t="s">
        <v>2463</v>
      </c>
      <c r="B759" s="82">
        <v>-158</v>
      </c>
      <c r="C759" s="96">
        <v>-6453</v>
      </c>
      <c r="D759" s="82">
        <v>-10</v>
      </c>
      <c r="E759" s="82">
        <v>-76</v>
      </c>
      <c r="F759" s="6">
        <v>-1.92</v>
      </c>
      <c r="G759" s="81">
        <v>4916</v>
      </c>
      <c r="H759" s="206" t="s">
        <v>1212</v>
      </c>
      <c r="I759" s="22" t="s">
        <v>499</v>
      </c>
      <c r="J759" s="330">
        <v>33.619999999999997</v>
      </c>
      <c r="K759" s="330">
        <v>1.58</v>
      </c>
      <c r="L759" s="75">
        <v>8.59</v>
      </c>
      <c r="N759" s="325">
        <f t="shared" si="159"/>
        <v>43.789999999999992</v>
      </c>
      <c r="O759" s="27"/>
      <c r="P759" s="56"/>
      <c r="Q759" s="26"/>
      <c r="S759" s="330">
        <v>0.09</v>
      </c>
      <c r="T759" s="34">
        <v>0.5</v>
      </c>
      <c r="U759" s="366">
        <f t="shared" si="160"/>
        <v>1.8867924528301886E-2</v>
      </c>
      <c r="V759" s="97">
        <v>-1.78</v>
      </c>
      <c r="W759" s="36">
        <f>RTD("money.excel",,"4916","Price")</f>
        <v>26.5</v>
      </c>
      <c r="X759" s="67"/>
      <c r="Y759" s="15">
        <f t="shared" si="155"/>
        <v>26.5</v>
      </c>
      <c r="Z759" s="3" t="e">
        <f t="shared" si="156"/>
        <v>#DIV/0!</v>
      </c>
      <c r="AA759" s="174" t="s">
        <v>1943</v>
      </c>
      <c r="AB759" s="22" t="s">
        <v>499</v>
      </c>
      <c r="AE759" s="33">
        <f t="shared" si="157"/>
        <v>0</v>
      </c>
      <c r="AF759" s="43" t="s">
        <v>4413</v>
      </c>
      <c r="AG759" s="128"/>
      <c r="AI759" s="64">
        <f t="shared" si="161"/>
        <v>1.1760479041916167E-2</v>
      </c>
      <c r="AJ759" s="313">
        <f>RTD("money.excel",,$G759,"PredictVolume")</f>
        <v>982</v>
      </c>
      <c r="AK759" s="348"/>
    </row>
    <row r="760" spans="1:37">
      <c r="A760" s="148" t="s">
        <v>3551</v>
      </c>
      <c r="B760" s="142">
        <v>1396</v>
      </c>
      <c r="C760" s="142">
        <v>2742</v>
      </c>
      <c r="D760" s="93">
        <v>96</v>
      </c>
      <c r="E760" s="93">
        <v>4</v>
      </c>
      <c r="F760" s="6">
        <v>5.93</v>
      </c>
      <c r="G760" s="81">
        <v>4924</v>
      </c>
      <c r="H760" s="151" t="s">
        <v>1212</v>
      </c>
      <c r="I760" s="16" t="s">
        <v>2709</v>
      </c>
      <c r="J760" s="75">
        <v>59.46</v>
      </c>
      <c r="K760" s="75">
        <v>27.22</v>
      </c>
      <c r="N760" s="325">
        <f t="shared" si="159"/>
        <v>86.68</v>
      </c>
      <c r="O760" s="27"/>
      <c r="P760" s="56"/>
      <c r="Q760" s="26"/>
      <c r="S760" s="330">
        <v>8.3800000000000008</v>
      </c>
      <c r="T760" s="34">
        <v>0</v>
      </c>
      <c r="U760" s="366">
        <f t="shared" si="160"/>
        <v>0</v>
      </c>
      <c r="V760" s="97">
        <v>0.95</v>
      </c>
      <c r="W760" s="13">
        <f>RTD("money.excel",,"4924","Price")</f>
        <v>14.25</v>
      </c>
      <c r="X760" s="67"/>
      <c r="Y760" s="15">
        <f t="shared" si="155"/>
        <v>14.25</v>
      </c>
      <c r="Z760" s="3" t="e">
        <f t="shared" si="156"/>
        <v>#DIV/0!</v>
      </c>
      <c r="AB760" s="16" t="s">
        <v>2709</v>
      </c>
      <c r="AE760" s="33">
        <f t="shared" si="157"/>
        <v>0</v>
      </c>
      <c r="AF760" s="43" t="s">
        <v>2953</v>
      </c>
      <c r="AG760" s="128"/>
      <c r="AI760" s="64">
        <f t="shared" si="161"/>
        <v>6.7204301075268823E-4</v>
      </c>
      <c r="AJ760" s="313">
        <f>RTD("money.excel",,$G760,"PredictVolume")</f>
        <v>25</v>
      </c>
      <c r="AK760" s="348"/>
    </row>
    <row r="761" spans="1:37">
      <c r="A761" s="148" t="s">
        <v>3552</v>
      </c>
      <c r="B761" s="93">
        <v>-52</v>
      </c>
      <c r="C761" s="93">
        <v>-38</v>
      </c>
      <c r="D761" s="93">
        <v>-4</v>
      </c>
      <c r="E761" s="93">
        <v>-19</v>
      </c>
      <c r="F761" s="6">
        <v>5.0199999999999996</v>
      </c>
      <c r="G761" s="81">
        <v>4931</v>
      </c>
      <c r="H761" s="151" t="s">
        <v>1212</v>
      </c>
      <c r="I761" s="16" t="s">
        <v>3549</v>
      </c>
      <c r="J761" s="75">
        <v>59.46</v>
      </c>
      <c r="K761" s="75">
        <v>27.22</v>
      </c>
      <c r="N761" s="325">
        <f t="shared" si="159"/>
        <v>86.68</v>
      </c>
      <c r="O761" s="27"/>
      <c r="P761" s="56"/>
      <c r="Q761" s="26"/>
      <c r="S761" s="330">
        <v>8.3800000000000008</v>
      </c>
      <c r="T761" s="34">
        <v>1.7</v>
      </c>
      <c r="U761" s="366">
        <f t="shared" si="160"/>
        <v>5.9440559440559433E-2</v>
      </c>
      <c r="V761" s="97">
        <v>1.01</v>
      </c>
      <c r="W761" s="13">
        <f>RTD("money.excel",,"4931","Price")</f>
        <v>28.6</v>
      </c>
      <c r="X761" s="67"/>
      <c r="Y761" s="15">
        <f t="shared" si="155"/>
        <v>28.6</v>
      </c>
      <c r="Z761" s="3" t="e">
        <f t="shared" si="156"/>
        <v>#DIV/0!</v>
      </c>
      <c r="AB761" s="16" t="s">
        <v>3549</v>
      </c>
      <c r="AE761" s="33">
        <f t="shared" si="157"/>
        <v>0</v>
      </c>
      <c r="AF761" s="43" t="s">
        <v>3550</v>
      </c>
      <c r="AG761" s="128"/>
      <c r="AI761" s="64">
        <f t="shared" si="161"/>
        <v>0.10235015772870662</v>
      </c>
      <c r="AJ761" s="313">
        <f>RTD("money.excel",,$G761,"PredictVolume")</f>
        <v>6489</v>
      </c>
      <c r="AK761" s="348"/>
    </row>
    <row r="762" spans="1:37">
      <c r="A762" s="148" t="s">
        <v>1974</v>
      </c>
      <c r="B762" s="82">
        <v>-6</v>
      </c>
      <c r="C762" s="82">
        <v>-26</v>
      </c>
      <c r="D762" s="82">
        <v>-7</v>
      </c>
      <c r="E762" s="82">
        <v>-1</v>
      </c>
      <c r="F762" s="6">
        <v>1.1200000000000001</v>
      </c>
      <c r="G762" s="81">
        <v>4938</v>
      </c>
      <c r="H762" s="206" t="s">
        <v>1212</v>
      </c>
      <c r="I762" s="22" t="s">
        <v>13</v>
      </c>
      <c r="J762" s="330">
        <v>64.900000000000006</v>
      </c>
      <c r="K762" s="75">
        <v>32.79</v>
      </c>
      <c r="L762" s="330">
        <v>2</v>
      </c>
      <c r="N762" s="325">
        <f t="shared" si="159"/>
        <v>99.69</v>
      </c>
      <c r="O762" s="27"/>
      <c r="P762" s="56"/>
      <c r="Q762" s="26"/>
      <c r="R762" s="308" t="s">
        <v>4373</v>
      </c>
      <c r="S762" s="330">
        <v>0.72</v>
      </c>
      <c r="T762" s="67">
        <v>4.49</v>
      </c>
      <c r="U762" s="366">
        <f t="shared" si="160"/>
        <v>6.3778409090909094E-2</v>
      </c>
      <c r="V762" s="58">
        <v>6.58</v>
      </c>
      <c r="W762" s="36">
        <f>RTD("money.excel",,"4938","Price")</f>
        <v>70.400000000000006</v>
      </c>
      <c r="X762" s="67"/>
      <c r="Y762" s="15">
        <f t="shared" si="155"/>
        <v>70.400000000000006</v>
      </c>
      <c r="Z762" s="3" t="e">
        <f t="shared" si="156"/>
        <v>#DIV/0!</v>
      </c>
      <c r="AA762" s="174" t="s">
        <v>4380</v>
      </c>
      <c r="AB762" s="22" t="s">
        <v>13</v>
      </c>
      <c r="AE762" s="33">
        <f t="shared" si="157"/>
        <v>0</v>
      </c>
      <c r="AF762" s="122" t="s">
        <v>3256</v>
      </c>
      <c r="AG762" s="128"/>
      <c r="AI762" s="64">
        <f t="shared" si="161"/>
        <v>6.0409774436090222E-3</v>
      </c>
      <c r="AJ762" s="313">
        <f>RTD("money.excel",,$G762,"PredictVolume")</f>
        <v>16069</v>
      </c>
      <c r="AK762" s="348"/>
    </row>
    <row r="763" spans="1:37">
      <c r="A763" s="132" t="s">
        <v>2710</v>
      </c>
      <c r="B763" s="82">
        <v>-59</v>
      </c>
      <c r="C763" s="82">
        <v>-28</v>
      </c>
      <c r="D763" s="81">
        <v>12</v>
      </c>
      <c r="E763" s="82">
        <v>-19</v>
      </c>
      <c r="F763" s="58">
        <v>13.96</v>
      </c>
      <c r="G763" s="81">
        <v>4987</v>
      </c>
      <c r="H763" s="151" t="s">
        <v>1212</v>
      </c>
      <c r="I763" s="16" t="s">
        <v>2711</v>
      </c>
      <c r="J763" s="75">
        <v>35.04</v>
      </c>
      <c r="K763" s="330">
        <v>2.14</v>
      </c>
      <c r="N763" s="325">
        <f t="shared" ref="N763:N805" si="168">J763+K763+L763+M763</f>
        <v>37.18</v>
      </c>
      <c r="O763" s="27"/>
      <c r="P763" s="56"/>
      <c r="Q763" s="26"/>
      <c r="S763" s="330">
        <v>0</v>
      </c>
      <c r="T763" s="67">
        <v>3.5</v>
      </c>
      <c r="U763" s="366">
        <f t="shared" ref="U763:U794" si="169">T763/W763</f>
        <v>6.3291139240506333E-2</v>
      </c>
      <c r="V763" s="97">
        <v>3.76</v>
      </c>
      <c r="W763" s="36">
        <f>RTD("money.excel",,"4987","Price")</f>
        <v>55.3</v>
      </c>
      <c r="X763" s="67"/>
      <c r="Y763" s="15">
        <f t="shared" ref="Y763:Y805" si="170">W763-X763</f>
        <v>55.3</v>
      </c>
      <c r="Z763" s="3" t="e">
        <f t="shared" ref="Z763:Z805" si="171">Y763/X763</f>
        <v>#DIV/0!</v>
      </c>
      <c r="AA763" s="174" t="s">
        <v>1986</v>
      </c>
      <c r="AB763" s="16" t="s">
        <v>2711</v>
      </c>
      <c r="AE763" s="33">
        <f t="shared" ref="AE763:AE805" si="172">AD763-AC763</f>
        <v>0</v>
      </c>
      <c r="AF763" s="43" t="s">
        <v>2963</v>
      </c>
      <c r="AG763" s="128"/>
      <c r="AI763" s="64">
        <f t="shared" ref="AI763:AI794" si="173">AJ763/(A763*10000)</f>
        <v>1.0317460317460319E-3</v>
      </c>
      <c r="AJ763" s="313">
        <f>RTD("money.excel",,$G763,"PredictVolume")</f>
        <v>26</v>
      </c>
      <c r="AK763" s="348"/>
    </row>
    <row r="764" spans="1:37">
      <c r="A764" s="132" t="s">
        <v>3570</v>
      </c>
      <c r="B764" s="82">
        <v>-6</v>
      </c>
      <c r="C764" s="82">
        <v>-11</v>
      </c>
      <c r="D764" s="82">
        <v>-4</v>
      </c>
      <c r="E764" s="82">
        <v>-31</v>
      </c>
      <c r="F764" s="58">
        <v>22.93</v>
      </c>
      <c r="G764" s="81">
        <v>5215</v>
      </c>
      <c r="H764" s="206" t="s">
        <v>1212</v>
      </c>
      <c r="I764" s="22" t="s">
        <v>5214</v>
      </c>
      <c r="J764" s="330">
        <v>48.16</v>
      </c>
      <c r="K764" s="330">
        <v>24.76</v>
      </c>
      <c r="L764" s="330">
        <v>12.3</v>
      </c>
      <c r="N764" s="325">
        <f t="shared" si="168"/>
        <v>85.22</v>
      </c>
      <c r="O764" s="27"/>
      <c r="P764" s="56"/>
      <c r="Q764" s="26"/>
      <c r="R764" s="308" t="s">
        <v>4374</v>
      </c>
      <c r="S764" s="330">
        <v>7.07</v>
      </c>
      <c r="T764" s="67">
        <v>8</v>
      </c>
      <c r="U764" s="366">
        <f t="shared" si="169"/>
        <v>0.12364760432766615</v>
      </c>
      <c r="V764" s="97">
        <v>11.64</v>
      </c>
      <c r="W764" s="36">
        <f>RTD("money.excel",,"5215","Price")</f>
        <v>64.7</v>
      </c>
      <c r="X764" s="67"/>
      <c r="Y764" s="15">
        <f t="shared" si="170"/>
        <v>64.7</v>
      </c>
      <c r="Z764" s="3" t="e">
        <f t="shared" si="171"/>
        <v>#DIV/0!</v>
      </c>
      <c r="AA764" s="174" t="s">
        <v>4380</v>
      </c>
      <c r="AB764" s="22" t="s">
        <v>5214</v>
      </c>
      <c r="AE764" s="33">
        <f t="shared" si="172"/>
        <v>0</v>
      </c>
      <c r="AF764" s="43" t="s">
        <v>2801</v>
      </c>
      <c r="AG764" s="128"/>
      <c r="AI764" s="64">
        <f t="shared" si="173"/>
        <v>3.0793157076205286E-3</v>
      </c>
      <c r="AJ764" s="313">
        <f>RTD("money.excel",,$G764,"PredictVolume")</f>
        <v>198</v>
      </c>
      <c r="AK764" s="348"/>
    </row>
    <row r="765" spans="1:37">
      <c r="A765" s="132" t="s">
        <v>3566</v>
      </c>
      <c r="B765" s="82">
        <v>-17</v>
      </c>
      <c r="C765" s="82">
        <v>-28</v>
      </c>
      <c r="D765" s="81">
        <v>30</v>
      </c>
      <c r="E765" s="81">
        <v>15</v>
      </c>
      <c r="F765" s="58">
        <v>12.81</v>
      </c>
      <c r="G765" s="81">
        <v>5223</v>
      </c>
      <c r="H765" s="151" t="s">
        <v>1212</v>
      </c>
      <c r="I765" s="16" t="s">
        <v>2713</v>
      </c>
      <c r="J765" s="75">
        <v>53.28</v>
      </c>
      <c r="K765" s="75">
        <v>42.8</v>
      </c>
      <c r="L765" s="75">
        <v>19.329999999999998</v>
      </c>
      <c r="M765" s="75">
        <v>43.28</v>
      </c>
      <c r="N765" s="75">
        <f t="shared" si="168"/>
        <v>158.69</v>
      </c>
      <c r="O765" s="27"/>
      <c r="P765" s="56"/>
      <c r="Q765" s="26"/>
      <c r="R765" s="308" t="s">
        <v>4373</v>
      </c>
      <c r="S765" s="330">
        <v>0.54</v>
      </c>
      <c r="T765" s="67">
        <v>3.41</v>
      </c>
      <c r="U765" s="366">
        <f t="shared" si="169"/>
        <v>6.6342412451361868E-2</v>
      </c>
      <c r="V765" s="58">
        <v>5.67</v>
      </c>
      <c r="W765" s="13">
        <f>RTD("money.excel",,"5223","Price")</f>
        <v>51.4</v>
      </c>
      <c r="X765" s="67"/>
      <c r="Y765" s="15">
        <f t="shared" si="170"/>
        <v>51.4</v>
      </c>
      <c r="Z765" s="3" t="e">
        <f t="shared" si="171"/>
        <v>#DIV/0!</v>
      </c>
      <c r="AA765" s="174" t="s">
        <v>2185</v>
      </c>
      <c r="AB765" s="16" t="s">
        <v>2713</v>
      </c>
      <c r="AE765" s="33">
        <f t="shared" si="172"/>
        <v>0</v>
      </c>
      <c r="AF765" s="43" t="s">
        <v>3412</v>
      </c>
      <c r="AG765" s="128"/>
      <c r="AI765" s="64">
        <f t="shared" si="173"/>
        <v>2.0224719101123595E-4</v>
      </c>
      <c r="AJ765" s="313">
        <f>RTD("money.excel",,$G765,"PredictVolume")</f>
        <v>9</v>
      </c>
      <c r="AK765" s="348"/>
    </row>
    <row r="766" spans="1:37">
      <c r="A766" s="148" t="s">
        <v>2546</v>
      </c>
      <c r="B766" s="82">
        <v>-16</v>
      </c>
      <c r="C766" s="81">
        <v>11</v>
      </c>
      <c r="D766" s="81">
        <v>3</v>
      </c>
      <c r="E766" s="81">
        <v>42</v>
      </c>
      <c r="F766" s="6">
        <v>5.54</v>
      </c>
      <c r="G766" s="81">
        <v>5258</v>
      </c>
      <c r="H766" s="206" t="s">
        <v>1212</v>
      </c>
      <c r="I766" s="22" t="s">
        <v>501</v>
      </c>
      <c r="J766" s="75">
        <v>37.31</v>
      </c>
      <c r="K766" s="75">
        <v>5.36</v>
      </c>
      <c r="L766" s="330">
        <v>30.15</v>
      </c>
      <c r="M766" s="330">
        <v>20.440000000000001</v>
      </c>
      <c r="N766" s="325">
        <f t="shared" si="168"/>
        <v>93.259999999999991</v>
      </c>
      <c r="O766" s="27"/>
      <c r="P766" s="56"/>
      <c r="Q766" s="26"/>
      <c r="R766" s="308" t="s">
        <v>4373</v>
      </c>
      <c r="S766" s="330">
        <v>2.75</v>
      </c>
      <c r="T766" s="34">
        <v>0.6</v>
      </c>
      <c r="U766" s="366">
        <f t="shared" si="169"/>
        <v>1.6085790884718499E-2</v>
      </c>
      <c r="V766" s="97">
        <v>1.94</v>
      </c>
      <c r="W766" s="36">
        <f>RTD("money.excel",,"5258","Price")</f>
        <v>37.299999999999997</v>
      </c>
      <c r="X766" s="67"/>
      <c r="Y766" s="15">
        <f t="shared" si="170"/>
        <v>37.299999999999997</v>
      </c>
      <c r="Z766" s="3" t="e">
        <f t="shared" si="171"/>
        <v>#DIV/0!</v>
      </c>
      <c r="AA766" s="174" t="s">
        <v>1943</v>
      </c>
      <c r="AB766" s="22" t="s">
        <v>501</v>
      </c>
      <c r="AE766" s="33">
        <f t="shared" si="172"/>
        <v>0</v>
      </c>
      <c r="AF766" s="43" t="s">
        <v>4412</v>
      </c>
      <c r="AG766" s="128"/>
      <c r="AI766" s="64">
        <f t="shared" si="173"/>
        <v>9.7765363128491621E-3</v>
      </c>
      <c r="AJ766" s="313">
        <f>RTD("money.excel",,$G766,"PredictVolume")</f>
        <v>875</v>
      </c>
      <c r="AK766" s="348"/>
    </row>
    <row r="767" spans="1:37">
      <c r="A767" s="132" t="s">
        <v>3553</v>
      </c>
      <c r="B767" s="82">
        <v>-4</v>
      </c>
      <c r="C767" s="82">
        <v>-7</v>
      </c>
      <c r="D767" s="82">
        <v>-10</v>
      </c>
      <c r="E767" s="82">
        <v>-1</v>
      </c>
      <c r="F767" s="58">
        <v>17.46</v>
      </c>
      <c r="G767" s="81">
        <v>5289</v>
      </c>
      <c r="H767" s="151" t="s">
        <v>1212</v>
      </c>
      <c r="I767" s="16" t="s">
        <v>5215</v>
      </c>
      <c r="J767" s="330">
        <v>36.520000000000003</v>
      </c>
      <c r="K767" s="75">
        <v>26.24</v>
      </c>
      <c r="L767" s="75">
        <v>7.32</v>
      </c>
      <c r="N767" s="325">
        <f t="shared" si="168"/>
        <v>70.080000000000013</v>
      </c>
      <c r="O767" s="27"/>
      <c r="P767" s="56"/>
      <c r="Q767" s="26"/>
      <c r="S767" s="330">
        <v>0.02</v>
      </c>
      <c r="T767" s="67">
        <v>6.8</v>
      </c>
      <c r="U767" s="366">
        <f t="shared" si="169"/>
        <v>3.2929782082324457E-2</v>
      </c>
      <c r="V767" s="97">
        <v>11.57</v>
      </c>
      <c r="W767" s="36">
        <f>RTD("money.excel",,"5289","Price")</f>
        <v>206.5</v>
      </c>
      <c r="X767" s="67"/>
      <c r="Y767" s="15">
        <f t="shared" si="170"/>
        <v>206.5</v>
      </c>
      <c r="Z767" s="3" t="e">
        <f t="shared" si="171"/>
        <v>#DIV/0!</v>
      </c>
      <c r="AA767" s="174" t="s">
        <v>2185</v>
      </c>
      <c r="AB767" s="16" t="s">
        <v>5215</v>
      </c>
      <c r="AE767" s="33">
        <f t="shared" si="172"/>
        <v>0</v>
      </c>
      <c r="AF767" s="122" t="s">
        <v>1482</v>
      </c>
      <c r="AG767" s="128"/>
      <c r="AI767" s="64">
        <f t="shared" si="173"/>
        <v>2.3902439024390243E-3</v>
      </c>
      <c r="AJ767" s="313">
        <f>RTD("money.excel",,$G767,"PredictVolume")</f>
        <v>196</v>
      </c>
      <c r="AK767" s="348"/>
    </row>
    <row r="768" spans="1:37">
      <c r="A768" s="148" t="s">
        <v>1856</v>
      </c>
      <c r="B768" s="82">
        <v>-103</v>
      </c>
      <c r="C768" s="82">
        <v>-226</v>
      </c>
      <c r="D768" s="81">
        <v>5</v>
      </c>
      <c r="E768" s="81">
        <v>19</v>
      </c>
      <c r="F768" s="6">
        <v>-2.89</v>
      </c>
      <c r="G768" s="81">
        <v>5356</v>
      </c>
      <c r="H768" s="151" t="s">
        <v>1212</v>
      </c>
      <c r="I768" s="16" t="s">
        <v>2714</v>
      </c>
      <c r="J768" s="330">
        <v>28.37</v>
      </c>
      <c r="K768" s="330">
        <v>2.85</v>
      </c>
      <c r="L768" s="330">
        <v>17.59</v>
      </c>
      <c r="M768" s="75">
        <v>8.23</v>
      </c>
      <c r="N768" s="325">
        <f t="shared" si="168"/>
        <v>57.040000000000006</v>
      </c>
      <c r="O768" s="27"/>
      <c r="P768" s="56"/>
      <c r="Q768" s="26"/>
      <c r="R768" s="308" t="s">
        <v>4373</v>
      </c>
      <c r="S768" s="330">
        <v>0.33</v>
      </c>
      <c r="T768" s="34">
        <v>2.2000000000000002</v>
      </c>
      <c r="U768" s="366">
        <f t="shared" si="169"/>
        <v>8.1481481481481488E-2</v>
      </c>
      <c r="V768" s="97">
        <v>0.77</v>
      </c>
      <c r="W768" s="36">
        <f>RTD("money.excel",,"5356","Price")</f>
        <v>27</v>
      </c>
      <c r="X768" s="67"/>
      <c r="Y768" s="15">
        <f t="shared" si="170"/>
        <v>27</v>
      </c>
      <c r="Z768" s="3" t="e">
        <f t="shared" si="171"/>
        <v>#DIV/0!</v>
      </c>
      <c r="AB768" s="16" t="s">
        <v>2714</v>
      </c>
      <c r="AE768" s="33">
        <f t="shared" si="172"/>
        <v>0</v>
      </c>
      <c r="AF768" s="122" t="s">
        <v>2715</v>
      </c>
      <c r="AG768" s="128"/>
      <c r="AI768" s="64">
        <f t="shared" si="173"/>
        <v>4.8543689320388347E-4</v>
      </c>
      <c r="AJ768" s="313">
        <f>RTD("money.excel",,$G768,"PredictVolume")</f>
        <v>50</v>
      </c>
      <c r="AK768" s="348"/>
    </row>
    <row r="769" spans="1:37">
      <c r="A769" s="148" t="s">
        <v>4437</v>
      </c>
      <c r="B769" s="81">
        <v>122</v>
      </c>
      <c r="C769" s="81">
        <v>81</v>
      </c>
      <c r="D769" s="81">
        <v>53</v>
      </c>
      <c r="E769" s="81">
        <v>124</v>
      </c>
      <c r="F769" s="6">
        <v>2.57</v>
      </c>
      <c r="G769" s="81">
        <v>5386</v>
      </c>
      <c r="H769" s="151" t="s">
        <v>1212</v>
      </c>
      <c r="I769" s="16" t="s">
        <v>2716</v>
      </c>
      <c r="J769" s="330">
        <v>27.48</v>
      </c>
      <c r="K769" s="330">
        <v>5.84</v>
      </c>
      <c r="L769" s="330">
        <v>25.51</v>
      </c>
      <c r="M769" s="330">
        <v>31.19</v>
      </c>
      <c r="N769" s="325">
        <f t="shared" si="168"/>
        <v>90.02</v>
      </c>
      <c r="O769" s="27"/>
      <c r="P769" s="56"/>
      <c r="Q769" s="26"/>
      <c r="R769" s="308" t="s">
        <v>4372</v>
      </c>
      <c r="S769" s="330">
        <v>1.34</v>
      </c>
      <c r="T769" s="34">
        <v>0.8</v>
      </c>
      <c r="U769" s="366">
        <f t="shared" si="169"/>
        <v>1.834862385321101E-2</v>
      </c>
      <c r="V769" s="97">
        <v>2.06</v>
      </c>
      <c r="W769" s="36">
        <f>RTD("money.excel",,"5386","Price")</f>
        <v>43.6</v>
      </c>
      <c r="X769" s="67"/>
      <c r="Y769" s="15">
        <f t="shared" si="170"/>
        <v>43.6</v>
      </c>
      <c r="Z769" s="3" t="e">
        <f t="shared" si="171"/>
        <v>#DIV/0!</v>
      </c>
      <c r="AA769" s="174" t="s">
        <v>1943</v>
      </c>
      <c r="AB769" s="16" t="s">
        <v>2716</v>
      </c>
      <c r="AE769" s="33">
        <f t="shared" si="172"/>
        <v>0</v>
      </c>
      <c r="AF769" s="43" t="s">
        <v>3242</v>
      </c>
      <c r="AG769" s="128"/>
      <c r="AI769" s="64">
        <f t="shared" si="173"/>
        <v>2.4193548387096775E-3</v>
      </c>
      <c r="AJ769" s="313">
        <f>RTD("money.excel",,$G769,"PredictVolume")</f>
        <v>60</v>
      </c>
      <c r="AK769" s="348"/>
    </row>
    <row r="770" spans="1:37">
      <c r="A770" s="148" t="s">
        <v>1830</v>
      </c>
      <c r="B770" s="93">
        <v>436</v>
      </c>
      <c r="C770" s="93">
        <v>397</v>
      </c>
      <c r="D770" s="93">
        <v>-6</v>
      </c>
      <c r="E770" s="93">
        <v>13</v>
      </c>
      <c r="F770" s="6">
        <v>6.25</v>
      </c>
      <c r="G770" s="81">
        <v>5426</v>
      </c>
      <c r="H770" s="151" t="s">
        <v>1212</v>
      </c>
      <c r="I770" s="16" t="s">
        <v>2717</v>
      </c>
      <c r="J770" s="75">
        <v>55.79</v>
      </c>
      <c r="K770" s="75">
        <v>0.93</v>
      </c>
      <c r="L770" s="75">
        <v>12.17</v>
      </c>
      <c r="N770" s="325">
        <f t="shared" si="168"/>
        <v>68.89</v>
      </c>
      <c r="O770" s="27"/>
      <c r="P770" s="56"/>
      <c r="Q770" s="26"/>
      <c r="S770" s="330">
        <v>22.32</v>
      </c>
      <c r="T770" s="34">
        <v>0</v>
      </c>
      <c r="U770" s="366">
        <f t="shared" si="169"/>
        <v>0</v>
      </c>
      <c r="V770" s="97">
        <v>-0.26</v>
      </c>
      <c r="W770" s="13">
        <f>RTD("money.excel",,"5426","Price")</f>
        <v>11.25</v>
      </c>
      <c r="X770" s="67"/>
      <c r="Y770" s="15">
        <f t="shared" si="170"/>
        <v>11.25</v>
      </c>
      <c r="Z770" s="3" t="e">
        <f t="shared" si="171"/>
        <v>#DIV/0!</v>
      </c>
      <c r="AB770" s="16" t="s">
        <v>2717</v>
      </c>
      <c r="AE770" s="33">
        <f t="shared" si="172"/>
        <v>0</v>
      </c>
      <c r="AF770" s="43" t="s">
        <v>2964</v>
      </c>
      <c r="AG770" s="128"/>
      <c r="AI770" s="64">
        <f t="shared" si="173"/>
        <v>6.573426573426573E-4</v>
      </c>
      <c r="AJ770" s="313">
        <f>RTD("money.excel",,$G770,"PredictVolume")</f>
        <v>94</v>
      </c>
      <c r="AK770" s="348"/>
    </row>
    <row r="771" spans="1:37">
      <c r="A771" s="148" t="s">
        <v>3554</v>
      </c>
      <c r="B771" s="95">
        <v>8447</v>
      </c>
      <c r="C771" s="81">
        <v>101</v>
      </c>
      <c r="D771" s="81">
        <v>33</v>
      </c>
      <c r="E771" s="81">
        <v>27</v>
      </c>
      <c r="F771" s="6">
        <v>7.0000000000000007E-2</v>
      </c>
      <c r="G771" s="81">
        <v>5438</v>
      </c>
      <c r="H771" s="151" t="s">
        <v>1212</v>
      </c>
      <c r="I771" s="16" t="s">
        <v>2718</v>
      </c>
      <c r="J771" s="75">
        <v>78.709999999999994</v>
      </c>
      <c r="K771" s="330">
        <v>2.06</v>
      </c>
      <c r="L771" s="75">
        <v>3.13</v>
      </c>
      <c r="M771" s="75">
        <v>48.93</v>
      </c>
      <c r="N771" s="75">
        <f t="shared" si="168"/>
        <v>132.82999999999998</v>
      </c>
      <c r="O771" s="27"/>
      <c r="P771" s="56"/>
      <c r="Q771" s="26"/>
      <c r="R771" s="308" t="s">
        <v>4372</v>
      </c>
      <c r="S771" s="330">
        <v>0.16</v>
      </c>
      <c r="T771" s="34">
        <v>0.1</v>
      </c>
      <c r="U771" s="366">
        <f t="shared" si="169"/>
        <v>6.8027210884353748E-3</v>
      </c>
      <c r="V771" s="58">
        <v>0.71</v>
      </c>
      <c r="W771" s="36">
        <f>RTD("money.excel",,"5438","Price")</f>
        <v>14.7</v>
      </c>
      <c r="X771" s="67"/>
      <c r="Y771" s="15">
        <f t="shared" si="170"/>
        <v>14.7</v>
      </c>
      <c r="Z771" s="3" t="e">
        <f t="shared" si="171"/>
        <v>#DIV/0!</v>
      </c>
      <c r="AB771" s="16" t="s">
        <v>2718</v>
      </c>
      <c r="AE771" s="33">
        <f t="shared" si="172"/>
        <v>0</v>
      </c>
      <c r="AF771" s="43" t="s">
        <v>2965</v>
      </c>
      <c r="AG771" s="128"/>
      <c r="AI771" s="64">
        <f t="shared" si="173"/>
        <v>1.875E-4</v>
      </c>
      <c r="AJ771" s="313">
        <f>RTD("money.excel",,$G771,"PredictVolume")</f>
        <v>21</v>
      </c>
      <c r="AK771" s="348"/>
    </row>
    <row r="772" spans="1:37">
      <c r="A772" s="148" t="s">
        <v>2049</v>
      </c>
      <c r="B772" s="81">
        <v>103</v>
      </c>
      <c r="C772" s="81">
        <v>374</v>
      </c>
      <c r="D772" s="82">
        <v>-61</v>
      </c>
      <c r="E772" s="81">
        <v>32</v>
      </c>
      <c r="F772" s="6">
        <v>5.0599999999999996</v>
      </c>
      <c r="G772" s="81">
        <v>5465</v>
      </c>
      <c r="H772" s="151" t="s">
        <v>1212</v>
      </c>
      <c r="I772" s="16" t="s">
        <v>2719</v>
      </c>
      <c r="J772" s="75">
        <v>73.38</v>
      </c>
      <c r="K772" s="75">
        <v>1.32</v>
      </c>
      <c r="L772" s="75">
        <v>19.489999999999998</v>
      </c>
      <c r="N772" s="325">
        <f t="shared" si="168"/>
        <v>94.189999999999984</v>
      </c>
      <c r="O772" s="27"/>
      <c r="P772" s="56"/>
      <c r="Q772" s="26"/>
      <c r="S772" s="330">
        <v>0</v>
      </c>
      <c r="T772" s="34">
        <v>1.1499999999999999</v>
      </c>
      <c r="U772" s="366">
        <f t="shared" si="169"/>
        <v>7.3482428115015971E-2</v>
      </c>
      <c r="V772" s="58">
        <v>1.1499999999999999</v>
      </c>
      <c r="W772" s="36">
        <f>RTD("money.excel",,"5465","Price")</f>
        <v>15.65</v>
      </c>
      <c r="X772" s="67"/>
      <c r="Y772" s="15">
        <f t="shared" si="170"/>
        <v>15.65</v>
      </c>
      <c r="Z772" s="3" t="e">
        <f t="shared" si="171"/>
        <v>#DIV/0!</v>
      </c>
      <c r="AB772" s="16" t="s">
        <v>2719</v>
      </c>
      <c r="AE772" s="33">
        <f t="shared" si="172"/>
        <v>0</v>
      </c>
      <c r="AF772" s="43" t="s">
        <v>2966</v>
      </c>
      <c r="AG772" s="128"/>
      <c r="AI772" s="64">
        <f t="shared" si="173"/>
        <v>2.7439024390243905E-4</v>
      </c>
      <c r="AJ772" s="313">
        <f>RTD("money.excel",,$G772,"PredictVolume")</f>
        <v>45</v>
      </c>
      <c r="AK772" s="348"/>
    </row>
    <row r="773" spans="1:37">
      <c r="A773" s="132" t="s">
        <v>1904</v>
      </c>
      <c r="B773" s="81">
        <v>37</v>
      </c>
      <c r="C773" s="81">
        <v>52</v>
      </c>
      <c r="D773" s="82">
        <v>-11</v>
      </c>
      <c r="E773" s="82">
        <v>-21</v>
      </c>
      <c r="F773" s="58">
        <v>23.33</v>
      </c>
      <c r="G773" s="81">
        <v>5474</v>
      </c>
      <c r="H773" s="151" t="s">
        <v>1212</v>
      </c>
      <c r="I773" s="16" t="s">
        <v>2720</v>
      </c>
      <c r="J773" s="330">
        <v>52.83</v>
      </c>
      <c r="K773" s="75">
        <v>3.57</v>
      </c>
      <c r="L773" s="330">
        <v>18.170000000000002</v>
      </c>
      <c r="N773" s="325">
        <f t="shared" si="168"/>
        <v>74.569999999999993</v>
      </c>
      <c r="O773" s="27"/>
      <c r="P773" s="56"/>
      <c r="Q773" s="26"/>
      <c r="S773" s="330">
        <v>0.72</v>
      </c>
      <c r="T773" s="67">
        <v>10</v>
      </c>
      <c r="U773" s="366">
        <f t="shared" si="169"/>
        <v>0.10319917440660474</v>
      </c>
      <c r="V773" s="58">
        <v>19.190000000000001</v>
      </c>
      <c r="W773" s="36">
        <f>RTD("money.excel",,"5474","Price")</f>
        <v>96.9</v>
      </c>
      <c r="X773" s="67"/>
      <c r="Y773" s="15">
        <f t="shared" si="170"/>
        <v>96.9</v>
      </c>
      <c r="Z773" s="3" t="e">
        <f t="shared" si="171"/>
        <v>#DIV/0!</v>
      </c>
      <c r="AA773" s="174" t="s">
        <v>2185</v>
      </c>
      <c r="AB773" s="16" t="s">
        <v>2720</v>
      </c>
      <c r="AE773" s="33">
        <f t="shared" si="172"/>
        <v>0</v>
      </c>
      <c r="AF773" s="43" t="s">
        <v>2956</v>
      </c>
      <c r="AG773" s="128"/>
      <c r="AI773" s="64">
        <f t="shared" si="173"/>
        <v>1.8991097922848666E-3</v>
      </c>
      <c r="AJ773" s="313">
        <f>RTD("money.excel",,$G773,"PredictVolume")</f>
        <v>64</v>
      </c>
      <c r="AK773" s="348"/>
    </row>
    <row r="774" spans="1:37">
      <c r="A774" s="132" t="s">
        <v>3555</v>
      </c>
      <c r="B774" s="93">
        <v>57</v>
      </c>
      <c r="C774" s="93">
        <v>59</v>
      </c>
      <c r="D774" s="93">
        <v>-83</v>
      </c>
      <c r="E774" s="93">
        <v>-50</v>
      </c>
      <c r="F774" s="58">
        <v>13.62</v>
      </c>
      <c r="G774" s="81">
        <v>5490</v>
      </c>
      <c r="H774" s="151" t="s">
        <v>1212</v>
      </c>
      <c r="I774" s="16" t="s">
        <v>2721</v>
      </c>
      <c r="J774" s="330">
        <v>36.86</v>
      </c>
      <c r="K774" s="330">
        <v>4.7300000000000004</v>
      </c>
      <c r="L774" s="75">
        <v>17.149999999999999</v>
      </c>
      <c r="N774" s="325">
        <f t="shared" si="168"/>
        <v>58.74</v>
      </c>
      <c r="O774" s="27"/>
      <c r="P774" s="56"/>
      <c r="Q774" s="26"/>
      <c r="S774" s="330">
        <v>8.85</v>
      </c>
      <c r="T774" s="34">
        <v>2</v>
      </c>
      <c r="U774" s="366">
        <f t="shared" si="169"/>
        <v>7.5471698113207544E-2</v>
      </c>
      <c r="V774" s="97">
        <v>2.19</v>
      </c>
      <c r="W774" s="36">
        <f>RTD("money.excel",,"5490","Price")</f>
        <v>26.5</v>
      </c>
      <c r="X774" s="67"/>
      <c r="Y774" s="15">
        <f t="shared" si="170"/>
        <v>26.5</v>
      </c>
      <c r="Z774" s="3" t="e">
        <f t="shared" si="171"/>
        <v>#DIV/0!</v>
      </c>
      <c r="AB774" s="16" t="s">
        <v>2721</v>
      </c>
      <c r="AE774" s="33">
        <f t="shared" si="172"/>
        <v>0</v>
      </c>
      <c r="AF774" s="122" t="s">
        <v>3556</v>
      </c>
      <c r="AG774" s="128"/>
      <c r="AI774" s="64">
        <f t="shared" si="173"/>
        <v>2.2845275181723775E-4</v>
      </c>
      <c r="AJ774" s="313">
        <f>RTD("money.excel",,$G774,"PredictVolume")</f>
        <v>22</v>
      </c>
      <c r="AK774" s="348"/>
    </row>
    <row r="775" spans="1:37">
      <c r="A775" s="148" t="s">
        <v>3664</v>
      </c>
      <c r="B775" s="93">
        <v>71</v>
      </c>
      <c r="C775" s="93">
        <v>76</v>
      </c>
      <c r="D775" s="93">
        <v>31</v>
      </c>
      <c r="E775" s="93">
        <v>16</v>
      </c>
      <c r="F775" s="6">
        <v>-1.81</v>
      </c>
      <c r="G775" s="81">
        <v>6117</v>
      </c>
      <c r="H775" s="206" t="s">
        <v>1212</v>
      </c>
      <c r="I775" s="22" t="s">
        <v>5216</v>
      </c>
      <c r="J775" s="75">
        <v>79.430000000000007</v>
      </c>
      <c r="K775" s="75">
        <v>2.84</v>
      </c>
      <c r="L775" s="75">
        <v>3.11</v>
      </c>
      <c r="N775" s="325">
        <f t="shared" si="168"/>
        <v>85.38000000000001</v>
      </c>
      <c r="O775" s="27"/>
      <c r="P775" s="56"/>
      <c r="Q775" s="26"/>
      <c r="S775" s="330">
        <v>39.39</v>
      </c>
      <c r="T775" s="34">
        <v>0</v>
      </c>
      <c r="U775" s="366">
        <f t="shared" si="169"/>
        <v>0</v>
      </c>
      <c r="V775" s="97">
        <v>-0.86</v>
      </c>
      <c r="W775" s="13">
        <f>RTD("money.excel",,"6117","Price")</f>
        <v>15.55</v>
      </c>
      <c r="X775" s="67"/>
      <c r="Y775" s="15">
        <f t="shared" si="170"/>
        <v>15.55</v>
      </c>
      <c r="Z775" s="3" t="e">
        <f t="shared" si="171"/>
        <v>#DIV/0!</v>
      </c>
      <c r="AB775" s="22" t="s">
        <v>5216</v>
      </c>
      <c r="AE775" s="33">
        <f t="shared" si="172"/>
        <v>0</v>
      </c>
      <c r="AF775" s="43" t="s">
        <v>2915</v>
      </c>
      <c r="AG775" s="129"/>
      <c r="AI775" s="64">
        <f t="shared" si="173"/>
        <v>1.3528748590755358E-4</v>
      </c>
      <c r="AJ775" s="313">
        <f>RTD("money.excel",,$G775,"PredictVolume")</f>
        <v>12</v>
      </c>
      <c r="AK775" s="348"/>
    </row>
    <row r="776" spans="1:37">
      <c r="A776" s="148" t="s">
        <v>1806</v>
      </c>
      <c r="B776" s="81"/>
      <c r="C776" s="81"/>
      <c r="D776" s="82">
        <v>-4</v>
      </c>
      <c r="E776" s="82">
        <v>-13</v>
      </c>
      <c r="F776" s="6"/>
      <c r="G776" s="81">
        <v>6121</v>
      </c>
      <c r="H776" s="151" t="s">
        <v>1212</v>
      </c>
      <c r="I776" s="16" t="s">
        <v>5217</v>
      </c>
      <c r="J776" s="330">
        <v>50.91</v>
      </c>
      <c r="K776" s="330">
        <v>53.27</v>
      </c>
      <c r="L776" s="75">
        <v>4.29</v>
      </c>
      <c r="N776" s="325">
        <f t="shared" si="168"/>
        <v>108.47000000000001</v>
      </c>
      <c r="O776" s="27"/>
      <c r="P776" s="56"/>
      <c r="Q776" s="26"/>
      <c r="S776" s="330">
        <v>0.5</v>
      </c>
      <c r="T776" s="67">
        <v>19.100000000000001</v>
      </c>
      <c r="U776" s="366">
        <f t="shared" si="169"/>
        <v>6.0252365930599371E-2</v>
      </c>
      <c r="V776" s="58">
        <v>35.18</v>
      </c>
      <c r="W776" s="13">
        <f>RTD("money.excel",,"6121","Price")</f>
        <v>317</v>
      </c>
      <c r="X776" s="67"/>
      <c r="Y776" s="15">
        <f t="shared" si="170"/>
        <v>317</v>
      </c>
      <c r="Z776" s="3" t="e">
        <f t="shared" si="171"/>
        <v>#DIV/0!</v>
      </c>
      <c r="AA776" s="174" t="s">
        <v>2185</v>
      </c>
      <c r="AB776" s="16" t="s">
        <v>5217</v>
      </c>
      <c r="AE776" s="33">
        <f t="shared" si="172"/>
        <v>0</v>
      </c>
      <c r="AF776" s="122" t="s">
        <v>3078</v>
      </c>
      <c r="AI776" s="64">
        <f t="shared" si="173"/>
        <v>2.2486486486486485E-3</v>
      </c>
      <c r="AJ776" s="313">
        <f>RTD("money.excel",,$G776,"PredictVolume")</f>
        <v>416</v>
      </c>
    </row>
    <row r="777" spans="1:37">
      <c r="A777" s="148" t="s">
        <v>2854</v>
      </c>
      <c r="B777" s="81">
        <v>20</v>
      </c>
      <c r="C777" s="81">
        <v>9</v>
      </c>
      <c r="D777" s="82">
        <v>-29</v>
      </c>
      <c r="E777" s="81">
        <v>15</v>
      </c>
      <c r="F777" s="6">
        <v>6.12</v>
      </c>
      <c r="G777" s="81">
        <v>6123</v>
      </c>
      <c r="H777" s="151" t="s">
        <v>1212</v>
      </c>
      <c r="I777" s="16" t="s">
        <v>2722</v>
      </c>
      <c r="J777" s="330">
        <v>33.520000000000003</v>
      </c>
      <c r="K777" s="75">
        <v>2.99</v>
      </c>
      <c r="L777" s="75">
        <v>5.35</v>
      </c>
      <c r="N777" s="325">
        <f t="shared" si="168"/>
        <v>41.860000000000007</v>
      </c>
      <c r="O777" s="27"/>
      <c r="P777" s="56"/>
      <c r="Q777" s="26"/>
      <c r="S777" s="330">
        <v>0.1</v>
      </c>
      <c r="T777" s="34">
        <v>1</v>
      </c>
      <c r="U777" s="366">
        <f t="shared" si="169"/>
        <v>1.8796992481203006E-2</v>
      </c>
      <c r="V777" s="97">
        <v>4.25</v>
      </c>
      <c r="W777" s="36">
        <f>RTD("money.excel",,"6123","Price")</f>
        <v>53.2</v>
      </c>
      <c r="X777" s="67"/>
      <c r="Y777" s="15">
        <f t="shared" si="170"/>
        <v>53.2</v>
      </c>
      <c r="Z777" s="3" t="e">
        <f t="shared" si="171"/>
        <v>#DIV/0!</v>
      </c>
      <c r="AA777" s="174" t="s">
        <v>1943</v>
      </c>
      <c r="AB777" s="16" t="s">
        <v>2722</v>
      </c>
      <c r="AE777" s="33">
        <f t="shared" si="172"/>
        <v>0</v>
      </c>
      <c r="AF777" s="122" t="s">
        <v>3328</v>
      </c>
      <c r="AG777" s="128"/>
      <c r="AI777" s="64">
        <f t="shared" si="173"/>
        <v>8.1355932203389829E-4</v>
      </c>
      <c r="AJ777" s="313">
        <f>RTD("money.excel",,$G777,"PredictVolume")</f>
        <v>48</v>
      </c>
      <c r="AK777" s="348"/>
    </row>
    <row r="778" spans="1:37">
      <c r="A778" s="148" t="s">
        <v>1636</v>
      </c>
      <c r="B778" s="82">
        <v>-57</v>
      </c>
      <c r="C778" s="82">
        <v>-86</v>
      </c>
      <c r="D778" s="81">
        <v>13</v>
      </c>
      <c r="E778" s="82">
        <v>-5</v>
      </c>
      <c r="F778" s="6">
        <v>1.46</v>
      </c>
      <c r="G778" s="81">
        <v>6128</v>
      </c>
      <c r="H778" s="46" t="s">
        <v>1212</v>
      </c>
      <c r="I778" s="22" t="s">
        <v>268</v>
      </c>
      <c r="J778" s="75">
        <v>53.3</v>
      </c>
      <c r="K778" s="75">
        <v>2.4500000000000002</v>
      </c>
      <c r="L778" s="75">
        <v>1.72</v>
      </c>
      <c r="N778" s="325">
        <f t="shared" si="168"/>
        <v>57.47</v>
      </c>
      <c r="O778" s="27"/>
      <c r="P778" s="56"/>
      <c r="Q778" s="26"/>
      <c r="S778" s="330">
        <v>0</v>
      </c>
      <c r="T778" s="34">
        <v>1</v>
      </c>
      <c r="U778" s="366">
        <f t="shared" si="169"/>
        <v>3.5971223021582732E-2</v>
      </c>
      <c r="V778" s="97">
        <v>1.17</v>
      </c>
      <c r="W778" s="13">
        <f>RTD("money.excel",,"6128","Price")</f>
        <v>27.8</v>
      </c>
      <c r="X778" s="67"/>
      <c r="Y778" s="15">
        <f t="shared" si="170"/>
        <v>27.8</v>
      </c>
      <c r="Z778" s="3" t="e">
        <f t="shared" si="171"/>
        <v>#DIV/0!</v>
      </c>
      <c r="AB778" s="22" t="s">
        <v>268</v>
      </c>
      <c r="AE778" s="33">
        <f t="shared" si="172"/>
        <v>0</v>
      </c>
      <c r="AF778" s="43" t="s">
        <v>2914</v>
      </c>
      <c r="AG778" s="128"/>
      <c r="AI778" s="64">
        <f t="shared" si="173"/>
        <v>4.6456692913385825E-4</v>
      </c>
      <c r="AJ778" s="313">
        <f>RTD("money.excel",,$G778,"PredictVolume")</f>
        <v>59</v>
      </c>
      <c r="AK778" s="348"/>
    </row>
    <row r="779" spans="1:37">
      <c r="A779" s="132" t="s">
        <v>3608</v>
      </c>
      <c r="B779" s="237">
        <v>58790</v>
      </c>
      <c r="C779" s="237">
        <v>95497</v>
      </c>
      <c r="D779" s="81">
        <v>77</v>
      </c>
      <c r="E779" s="81">
        <v>162</v>
      </c>
      <c r="F779" s="58">
        <v>14.94</v>
      </c>
      <c r="G779" s="81">
        <v>6150</v>
      </c>
      <c r="H779" s="8" t="s">
        <v>1212</v>
      </c>
      <c r="I779" s="16" t="s">
        <v>2036</v>
      </c>
      <c r="J779" s="75">
        <v>20.059999999999999</v>
      </c>
      <c r="K779" s="75">
        <v>14.62</v>
      </c>
      <c r="L779" s="330">
        <v>68.67</v>
      </c>
      <c r="M779" s="330">
        <v>8.59</v>
      </c>
      <c r="N779" s="325">
        <f t="shared" si="168"/>
        <v>111.94</v>
      </c>
      <c r="O779" s="27"/>
      <c r="P779" s="56"/>
      <c r="Q779" s="26"/>
      <c r="R779" s="308" t="s">
        <v>6059</v>
      </c>
      <c r="S779" s="330">
        <v>4.51</v>
      </c>
      <c r="T779" s="34">
        <v>0.5</v>
      </c>
      <c r="U779" s="366">
        <f t="shared" si="169"/>
        <v>3.3003300330033004E-3</v>
      </c>
      <c r="V779" s="97">
        <v>15.41</v>
      </c>
      <c r="W779" s="36">
        <f>RTD("money.excel",,"6150","Price")</f>
        <v>151.5</v>
      </c>
      <c r="X779" s="67"/>
      <c r="Y779" s="15">
        <f t="shared" si="170"/>
        <v>151.5</v>
      </c>
      <c r="Z779" s="3" t="e">
        <f t="shared" si="171"/>
        <v>#DIV/0!</v>
      </c>
      <c r="AA779" s="174" t="s">
        <v>1943</v>
      </c>
      <c r="AB779" s="16" t="s">
        <v>2036</v>
      </c>
      <c r="AE779" s="33">
        <f t="shared" si="172"/>
        <v>0</v>
      </c>
      <c r="AF779" s="43" t="s">
        <v>3242</v>
      </c>
      <c r="AG779" s="128"/>
      <c r="AI779" s="64">
        <f t="shared" si="173"/>
        <v>4.2500000000000003E-2</v>
      </c>
      <c r="AJ779" s="313">
        <f>RTD("money.excel",,$G779,"PredictVolume")</f>
        <v>1955</v>
      </c>
      <c r="AK779" s="348"/>
    </row>
    <row r="780" spans="1:37">
      <c r="A780" s="148" t="s">
        <v>2789</v>
      </c>
      <c r="B780" s="96">
        <v>-2709</v>
      </c>
      <c r="C780" s="96">
        <v>-1062</v>
      </c>
      <c r="D780" s="82">
        <v>-14</v>
      </c>
      <c r="E780" s="81">
        <v>48</v>
      </c>
      <c r="F780" s="6">
        <v>-14.43</v>
      </c>
      <c r="G780" s="81">
        <v>6160</v>
      </c>
      <c r="H780" s="151" t="s">
        <v>1212</v>
      </c>
      <c r="I780" s="16" t="s">
        <v>2723</v>
      </c>
      <c r="J780" s="75">
        <v>44.74</v>
      </c>
      <c r="K780" s="330">
        <v>0.67</v>
      </c>
      <c r="L780" s="75">
        <v>10.06</v>
      </c>
      <c r="N780" s="325">
        <f t="shared" si="168"/>
        <v>55.470000000000006</v>
      </c>
      <c r="O780" s="27"/>
      <c r="P780" s="56"/>
      <c r="Q780" s="26"/>
      <c r="S780" s="330">
        <v>0.32</v>
      </c>
      <c r="T780" s="34">
        <v>0</v>
      </c>
      <c r="U780" s="366">
        <f t="shared" si="169"/>
        <v>0</v>
      </c>
      <c r="V780" s="97">
        <v>-0.91</v>
      </c>
      <c r="W780" s="36">
        <f>RTD("money.excel",,"6160","Price")</f>
        <v>15.3</v>
      </c>
      <c r="X780" s="67"/>
      <c r="Y780" s="15">
        <f t="shared" si="170"/>
        <v>15.3</v>
      </c>
      <c r="Z780" s="3" t="e">
        <f t="shared" si="171"/>
        <v>#DIV/0!</v>
      </c>
      <c r="AA780" s="174" t="s">
        <v>1943</v>
      </c>
      <c r="AB780" s="16" t="s">
        <v>2723</v>
      </c>
      <c r="AE780" s="33">
        <f t="shared" si="172"/>
        <v>0</v>
      </c>
      <c r="AF780" s="43" t="s">
        <v>2826</v>
      </c>
      <c r="AG780" s="128"/>
      <c r="AI780" s="64">
        <f t="shared" si="173"/>
        <v>5.6934306569343066E-4</v>
      </c>
      <c r="AJ780" s="313">
        <f>RTD("money.excel",,$G780,"PredictVolume")</f>
        <v>39</v>
      </c>
      <c r="AK780" s="348"/>
    </row>
    <row r="781" spans="1:37">
      <c r="A781" s="148" t="s">
        <v>3557</v>
      </c>
      <c r="B781" s="93">
        <v>-22</v>
      </c>
      <c r="C781" s="93">
        <v>-36</v>
      </c>
      <c r="D781" s="93">
        <v>5</v>
      </c>
      <c r="E781" s="93">
        <v>-6</v>
      </c>
      <c r="F781" s="6">
        <v>8.9499999999999993</v>
      </c>
      <c r="G781" s="81">
        <v>6161</v>
      </c>
      <c r="H781" s="151" t="s">
        <v>1212</v>
      </c>
      <c r="I781" s="16" t="s">
        <v>2724</v>
      </c>
      <c r="J781" s="75">
        <v>45.95</v>
      </c>
      <c r="K781" s="75">
        <v>0.53</v>
      </c>
      <c r="L781" s="75">
        <v>20.38</v>
      </c>
      <c r="N781" s="325">
        <f t="shared" si="168"/>
        <v>66.86</v>
      </c>
      <c r="O781" s="27"/>
      <c r="P781" s="56"/>
      <c r="Q781" s="26"/>
      <c r="S781" s="330">
        <v>23.01</v>
      </c>
      <c r="T781" s="34">
        <v>1.6</v>
      </c>
      <c r="U781" s="366">
        <f t="shared" si="169"/>
        <v>4.7407407407407412E-2</v>
      </c>
      <c r="V781" s="97">
        <v>1.56</v>
      </c>
      <c r="W781" s="36">
        <f>RTD("money.excel",,"6161","Price")</f>
        <v>33.75</v>
      </c>
      <c r="X781" s="67"/>
      <c r="Y781" s="15">
        <f t="shared" si="170"/>
        <v>33.75</v>
      </c>
      <c r="Z781" s="3" t="e">
        <f t="shared" si="171"/>
        <v>#DIV/0!</v>
      </c>
      <c r="AB781" s="16" t="s">
        <v>2724</v>
      </c>
      <c r="AE781" s="33">
        <f t="shared" si="172"/>
        <v>0</v>
      </c>
      <c r="AF781" s="43" t="s">
        <v>2967</v>
      </c>
      <c r="AG781" s="128"/>
      <c r="AI781" s="64">
        <f t="shared" si="173"/>
        <v>6.0379746835443034E-3</v>
      </c>
      <c r="AJ781" s="313">
        <f>RTD("money.excel",,$G781,"PredictVolume")</f>
        <v>477</v>
      </c>
      <c r="AK781" s="348"/>
    </row>
    <row r="782" spans="1:37">
      <c r="A782" s="148" t="s">
        <v>1823</v>
      </c>
      <c r="B782" s="82">
        <v>-47</v>
      </c>
      <c r="C782" s="82">
        <v>-32</v>
      </c>
      <c r="D782" s="81">
        <v>13</v>
      </c>
      <c r="E782" s="81">
        <v>12</v>
      </c>
      <c r="F782" s="6">
        <v>4.5</v>
      </c>
      <c r="G782" s="81">
        <v>6166</v>
      </c>
      <c r="H782" s="46" t="s">
        <v>1212</v>
      </c>
      <c r="I782" s="22" t="s">
        <v>69</v>
      </c>
      <c r="J782" s="75">
        <v>76.459999999999994</v>
      </c>
      <c r="K782" s="330">
        <v>12.81</v>
      </c>
      <c r="L782" s="330">
        <v>8.65</v>
      </c>
      <c r="N782" s="325">
        <f t="shared" si="168"/>
        <v>97.92</v>
      </c>
      <c r="O782" s="27"/>
      <c r="P782" s="56"/>
      <c r="Q782" s="26"/>
      <c r="S782" s="330">
        <v>0.06</v>
      </c>
      <c r="T782" s="34">
        <v>1</v>
      </c>
      <c r="U782" s="366">
        <f t="shared" si="169"/>
        <v>1.7152658662092625E-2</v>
      </c>
      <c r="V782" s="97">
        <v>1.1200000000000001</v>
      </c>
      <c r="W782" s="36">
        <f>RTD("money.excel",,"6166","Price")</f>
        <v>58.3</v>
      </c>
      <c r="X782" s="67"/>
      <c r="Y782" s="15">
        <f t="shared" si="170"/>
        <v>58.3</v>
      </c>
      <c r="Z782" s="3" t="e">
        <f t="shared" si="171"/>
        <v>#DIV/0!</v>
      </c>
      <c r="AA782" s="174" t="s">
        <v>1943</v>
      </c>
      <c r="AB782" s="22" t="s">
        <v>69</v>
      </c>
      <c r="AE782" s="33">
        <f t="shared" si="172"/>
        <v>0</v>
      </c>
      <c r="AF782" s="122" t="s">
        <v>2726</v>
      </c>
      <c r="AG782" s="128"/>
      <c r="AI782" s="64">
        <f t="shared" si="173"/>
        <v>1.4285714285714287E-4</v>
      </c>
      <c r="AJ782" s="313">
        <f>RTD("money.excel",,$G782,"PredictVolume")</f>
        <v>31</v>
      </c>
      <c r="AK782" s="348"/>
    </row>
    <row r="783" spans="1:37">
      <c r="A783" s="132" t="s">
        <v>5218</v>
      </c>
      <c r="B783" s="82">
        <v>-116</v>
      </c>
      <c r="C783" s="81">
        <v>98</v>
      </c>
      <c r="D783" s="82">
        <v>-8</v>
      </c>
      <c r="E783" s="81">
        <v>10</v>
      </c>
      <c r="F783" s="58">
        <v>10.44</v>
      </c>
      <c r="G783" s="81">
        <v>6188</v>
      </c>
      <c r="H783" s="151" t="s">
        <v>1212</v>
      </c>
      <c r="I783" s="16" t="s">
        <v>5219</v>
      </c>
      <c r="J783" s="330">
        <v>39.86</v>
      </c>
      <c r="K783" s="75">
        <v>7.23</v>
      </c>
      <c r="L783" s="330">
        <v>12.46</v>
      </c>
      <c r="N783" s="325">
        <f t="shared" si="168"/>
        <v>59.550000000000004</v>
      </c>
      <c r="O783" s="27"/>
      <c r="P783" s="56"/>
      <c r="Q783" s="26"/>
      <c r="S783" s="330">
        <v>0.21</v>
      </c>
      <c r="T783" s="34">
        <v>1</v>
      </c>
      <c r="U783" s="366">
        <f t="shared" si="169"/>
        <v>2.3696682464454975E-2</v>
      </c>
      <c r="V783" s="97">
        <v>0.41</v>
      </c>
      <c r="W783" s="36">
        <f>RTD("money.excel",,"6188","Price")</f>
        <v>42.2</v>
      </c>
      <c r="X783" s="67"/>
      <c r="Y783" s="15">
        <f t="shared" si="170"/>
        <v>42.2</v>
      </c>
      <c r="Z783" s="3" t="e">
        <f t="shared" si="171"/>
        <v>#DIV/0!</v>
      </c>
      <c r="AA783" s="174" t="s">
        <v>4710</v>
      </c>
      <c r="AB783" s="16" t="s">
        <v>5219</v>
      </c>
      <c r="AE783" s="33">
        <f t="shared" si="172"/>
        <v>0</v>
      </c>
      <c r="AF783" s="122" t="s">
        <v>5220</v>
      </c>
      <c r="AG783" s="128"/>
      <c r="AI783" s="64">
        <f t="shared" si="173"/>
        <v>3.3920863309352517E-3</v>
      </c>
      <c r="AJ783" s="313">
        <f>RTD("money.excel",,$G783,"PredictVolume")</f>
        <v>943</v>
      </c>
      <c r="AK783" s="348"/>
    </row>
    <row r="784" spans="1:37">
      <c r="A784" s="132" t="s">
        <v>5221</v>
      </c>
      <c r="B784" s="82">
        <v>-26</v>
      </c>
      <c r="C784" s="82">
        <v>-22</v>
      </c>
      <c r="D784" s="81">
        <v>8</v>
      </c>
      <c r="E784" s="82">
        <v>-28</v>
      </c>
      <c r="F784" s="58">
        <v>17.260000000000002</v>
      </c>
      <c r="G784" s="81">
        <v>6206</v>
      </c>
      <c r="H784" s="46" t="s">
        <v>1212</v>
      </c>
      <c r="I784" s="22" t="s">
        <v>5222</v>
      </c>
      <c r="J784" s="330">
        <v>58.1</v>
      </c>
      <c r="K784" s="330">
        <v>16.97</v>
      </c>
      <c r="L784" s="75">
        <v>1.56</v>
      </c>
      <c r="N784" s="325">
        <f t="shared" si="168"/>
        <v>76.63</v>
      </c>
      <c r="O784" s="27"/>
      <c r="P784" s="56"/>
      <c r="Q784" s="26"/>
      <c r="S784" s="330">
        <v>0</v>
      </c>
      <c r="T784" s="67">
        <v>4</v>
      </c>
      <c r="U784" s="366">
        <f t="shared" si="169"/>
        <v>5.5172413793103448E-2</v>
      </c>
      <c r="V784" s="97">
        <v>4.12</v>
      </c>
      <c r="W784" s="36">
        <f>RTD("money.excel",,"6206","Price")</f>
        <v>72.5</v>
      </c>
      <c r="X784" s="67"/>
      <c r="Y784" s="15">
        <f t="shared" si="170"/>
        <v>72.5</v>
      </c>
      <c r="Z784" s="3" t="e">
        <f t="shared" si="171"/>
        <v>#DIV/0!</v>
      </c>
      <c r="AA784" s="174" t="s">
        <v>4714</v>
      </c>
      <c r="AB784" s="22" t="s">
        <v>5222</v>
      </c>
      <c r="AE784" s="33">
        <f t="shared" si="172"/>
        <v>0</v>
      </c>
      <c r="AF784" s="43" t="s">
        <v>5223</v>
      </c>
      <c r="AG784" s="128"/>
      <c r="AI784" s="64">
        <f t="shared" si="173"/>
        <v>7.1328671328671326E-4</v>
      </c>
      <c r="AJ784" s="313">
        <f>RTD("money.excel",,$G784,"PredictVolume")</f>
        <v>102</v>
      </c>
      <c r="AK784" s="348"/>
    </row>
    <row r="785" spans="1:37">
      <c r="A785" s="148" t="s">
        <v>5224</v>
      </c>
      <c r="B785" s="93">
        <v>-7</v>
      </c>
      <c r="C785" s="93">
        <v>-4</v>
      </c>
      <c r="D785" s="93">
        <v>-76</v>
      </c>
      <c r="E785" s="93">
        <v>113</v>
      </c>
      <c r="F785" s="6">
        <v>-32.32</v>
      </c>
      <c r="G785" s="81">
        <v>6228</v>
      </c>
      <c r="H785" s="151" t="s">
        <v>1212</v>
      </c>
      <c r="I785" s="16" t="s">
        <v>5225</v>
      </c>
      <c r="J785" s="75">
        <v>60.67</v>
      </c>
      <c r="K785" s="75">
        <v>0</v>
      </c>
      <c r="N785" s="325">
        <f t="shared" si="168"/>
        <v>60.67</v>
      </c>
      <c r="O785" s="27"/>
      <c r="P785" s="56"/>
      <c r="Q785" s="26"/>
      <c r="S785" s="330">
        <v>43.67</v>
      </c>
      <c r="T785" s="34">
        <v>0</v>
      </c>
      <c r="U785" s="366">
        <f t="shared" si="169"/>
        <v>0</v>
      </c>
      <c r="V785" s="97">
        <v>-0.88</v>
      </c>
      <c r="W785" s="13">
        <f>RTD("money.excel",,"6228","Price")</f>
        <v>18.8</v>
      </c>
      <c r="X785" s="67"/>
      <c r="Y785" s="15">
        <f t="shared" si="170"/>
        <v>18.8</v>
      </c>
      <c r="Z785" s="3" t="e">
        <f t="shared" si="171"/>
        <v>#DIV/0!</v>
      </c>
      <c r="AB785" s="16" t="s">
        <v>5225</v>
      </c>
      <c r="AE785" s="33">
        <f t="shared" si="172"/>
        <v>0</v>
      </c>
      <c r="AF785" s="43" t="s">
        <v>5226</v>
      </c>
      <c r="AG785" s="128"/>
      <c r="AI785" s="64">
        <f t="shared" si="173"/>
        <v>9.945945945945946E-3</v>
      </c>
      <c r="AJ785" s="313">
        <f>RTD("money.excel",,$G785,"PredictVolume")</f>
        <v>368</v>
      </c>
      <c r="AK785" s="348"/>
    </row>
    <row r="786" spans="1:37">
      <c r="A786" s="132" t="s">
        <v>5227</v>
      </c>
      <c r="B786" s="81">
        <v>11</v>
      </c>
      <c r="C786" s="81">
        <v>11</v>
      </c>
      <c r="D786" s="81">
        <v>41</v>
      </c>
      <c r="E786" s="81">
        <v>43</v>
      </c>
      <c r="F786" s="58">
        <v>11.87</v>
      </c>
      <c r="G786" s="81">
        <v>6230</v>
      </c>
      <c r="H786" s="46" t="s">
        <v>1212</v>
      </c>
      <c r="I786" s="22" t="s">
        <v>5228</v>
      </c>
      <c r="J786" s="75">
        <v>82.24</v>
      </c>
      <c r="K786" s="75">
        <v>85.71</v>
      </c>
      <c r="L786" s="330">
        <v>4.99</v>
      </c>
      <c r="N786" s="325">
        <f t="shared" si="168"/>
        <v>172.94</v>
      </c>
      <c r="O786" s="27"/>
      <c r="P786" s="56"/>
      <c r="Q786" s="26"/>
      <c r="S786" s="330">
        <v>0.01</v>
      </c>
      <c r="T786" s="34">
        <v>1.36</v>
      </c>
      <c r="U786" s="366">
        <f t="shared" si="169"/>
        <v>9.8909090909090908E-3</v>
      </c>
      <c r="V786" s="58">
        <v>9.06</v>
      </c>
      <c r="W786" s="13">
        <f>RTD("money.excel",,"6230","Price")</f>
        <v>137.5</v>
      </c>
      <c r="X786" s="67"/>
      <c r="Y786" s="15">
        <f t="shared" si="170"/>
        <v>137.5</v>
      </c>
      <c r="Z786" s="3" t="e">
        <f t="shared" si="171"/>
        <v>#DIV/0!</v>
      </c>
      <c r="AA786" s="174" t="s">
        <v>4710</v>
      </c>
      <c r="AB786" s="22" t="s">
        <v>5228</v>
      </c>
      <c r="AE786" s="33">
        <f t="shared" si="172"/>
        <v>0</v>
      </c>
      <c r="AF786" s="124" t="s">
        <v>5229</v>
      </c>
      <c r="AG786" s="128"/>
      <c r="AI786" s="64">
        <f t="shared" si="173"/>
        <v>3.8238702201622243E-4</v>
      </c>
      <c r="AJ786" s="313">
        <f>RTD("money.excel",,$G786,"PredictVolume")</f>
        <v>33</v>
      </c>
      <c r="AK786" s="348"/>
    </row>
    <row r="787" spans="1:37">
      <c r="A787" s="148" t="s">
        <v>5230</v>
      </c>
      <c r="B787" s="82">
        <v>-86</v>
      </c>
      <c r="C787" s="81">
        <v>197</v>
      </c>
      <c r="D787" s="81">
        <v>10</v>
      </c>
      <c r="E787" s="81">
        <v>34</v>
      </c>
      <c r="F787" s="6">
        <v>3.55</v>
      </c>
      <c r="G787" s="81">
        <v>6235</v>
      </c>
      <c r="H787" s="46" t="s">
        <v>1212</v>
      </c>
      <c r="I787" s="22" t="s">
        <v>5231</v>
      </c>
      <c r="J787" s="330">
        <v>40.54</v>
      </c>
      <c r="K787" s="75">
        <v>4.34</v>
      </c>
      <c r="L787" s="75">
        <v>37.909999999999997</v>
      </c>
      <c r="M787" s="75">
        <v>24.47</v>
      </c>
      <c r="N787" s="325">
        <f t="shared" si="168"/>
        <v>107.25999999999999</v>
      </c>
      <c r="O787" s="27"/>
      <c r="P787" s="56"/>
      <c r="Q787" s="26"/>
      <c r="R787" s="308" t="s">
        <v>4829</v>
      </c>
      <c r="S787" s="330">
        <v>2.14</v>
      </c>
      <c r="T787" s="34">
        <v>0.6</v>
      </c>
      <c r="U787" s="366">
        <f t="shared" si="169"/>
        <v>1.8957345971563982E-2</v>
      </c>
      <c r="V787" s="97">
        <v>0.88</v>
      </c>
      <c r="W787" s="36">
        <f>RTD("money.excel",,"6235","Price")</f>
        <v>31.65</v>
      </c>
      <c r="X787" s="67"/>
      <c r="Y787" s="15">
        <f t="shared" si="170"/>
        <v>31.65</v>
      </c>
      <c r="Z787" s="3" t="e">
        <f t="shared" si="171"/>
        <v>#DIV/0!</v>
      </c>
      <c r="AA787" s="174" t="s">
        <v>4710</v>
      </c>
      <c r="AB787" s="22" t="s">
        <v>5231</v>
      </c>
      <c r="AE787" s="33">
        <f t="shared" si="172"/>
        <v>0</v>
      </c>
      <c r="AF787" s="61" t="s">
        <v>5232</v>
      </c>
      <c r="AG787" s="128"/>
      <c r="AI787" s="64">
        <f t="shared" si="173"/>
        <v>8.6825581395348836E-2</v>
      </c>
      <c r="AJ787" s="313">
        <f>RTD("money.excel",,$G787,"PredictVolume")</f>
        <v>14934</v>
      </c>
      <c r="AK787" s="348"/>
    </row>
    <row r="788" spans="1:37">
      <c r="A788" s="148" t="s">
        <v>5233</v>
      </c>
      <c r="B788" s="81">
        <v>30</v>
      </c>
      <c r="C788" s="81">
        <v>13</v>
      </c>
      <c r="D788" s="82">
        <v>-1</v>
      </c>
      <c r="E788" s="82">
        <v>-20</v>
      </c>
      <c r="F788" s="6">
        <v>6.53</v>
      </c>
      <c r="G788" s="81">
        <v>6276</v>
      </c>
      <c r="H788" s="151" t="s">
        <v>1212</v>
      </c>
      <c r="I788" s="16" t="s">
        <v>5234</v>
      </c>
      <c r="J788" s="75">
        <v>47.74</v>
      </c>
      <c r="K788" s="330">
        <v>3.45</v>
      </c>
      <c r="L788" s="75">
        <v>14</v>
      </c>
      <c r="N788" s="325">
        <f t="shared" si="168"/>
        <v>65.19</v>
      </c>
      <c r="O788" s="27"/>
      <c r="P788" s="56"/>
      <c r="Q788" s="26"/>
      <c r="S788" s="330">
        <v>0.16</v>
      </c>
      <c r="T788" s="67">
        <v>3</v>
      </c>
      <c r="U788" s="366">
        <f t="shared" si="169"/>
        <v>0.15748031496062992</v>
      </c>
      <c r="V788" s="97">
        <v>3.88</v>
      </c>
      <c r="W788" s="36">
        <f>RTD("money.excel",,"6276","Price")</f>
        <v>19.05</v>
      </c>
      <c r="X788" s="67"/>
      <c r="Y788" s="15">
        <f t="shared" si="170"/>
        <v>19.05</v>
      </c>
      <c r="Z788" s="3" t="e">
        <f t="shared" si="171"/>
        <v>#DIV/0!</v>
      </c>
      <c r="AA788" s="174" t="s">
        <v>4718</v>
      </c>
      <c r="AB788" s="16" t="s">
        <v>5234</v>
      </c>
      <c r="AE788" s="33">
        <f t="shared" si="172"/>
        <v>0</v>
      </c>
      <c r="AF788" s="43" t="s">
        <v>2893</v>
      </c>
      <c r="AG788" s="128"/>
      <c r="AI788" s="64">
        <f t="shared" si="173"/>
        <v>1.0365853658536586E-3</v>
      </c>
      <c r="AJ788" s="313">
        <f>RTD("money.excel",,$G788,"PredictVolume")</f>
        <v>34</v>
      </c>
      <c r="AK788" s="348"/>
    </row>
    <row r="789" spans="1:37">
      <c r="A789" s="132" t="s">
        <v>5235</v>
      </c>
      <c r="B789" s="81">
        <v>158</v>
      </c>
      <c r="C789" s="82">
        <v>-11</v>
      </c>
      <c r="D789" s="81">
        <v>3</v>
      </c>
      <c r="E789" s="82">
        <v>-13</v>
      </c>
      <c r="F789" s="58">
        <v>11.41</v>
      </c>
      <c r="G789" s="81">
        <v>6277</v>
      </c>
      <c r="H789" s="46" t="s">
        <v>1212</v>
      </c>
      <c r="I789" s="22" t="s">
        <v>5236</v>
      </c>
      <c r="J789" s="75">
        <v>59.53</v>
      </c>
      <c r="K789" s="330">
        <v>18.059999999999999</v>
      </c>
      <c r="L789" s="330">
        <v>2.1800000000000002</v>
      </c>
      <c r="N789" s="325">
        <f t="shared" si="168"/>
        <v>79.77000000000001</v>
      </c>
      <c r="O789" s="27"/>
      <c r="P789" s="56"/>
      <c r="Q789" s="26"/>
      <c r="S789" s="330">
        <v>0</v>
      </c>
      <c r="T789" s="34">
        <v>2.5</v>
      </c>
      <c r="U789" s="366">
        <f t="shared" si="169"/>
        <v>3.0788177339901478E-2</v>
      </c>
      <c r="V789" s="97">
        <v>12.55</v>
      </c>
      <c r="W789" s="36">
        <f>RTD("money.excel",,"6277","Price")</f>
        <v>81.2</v>
      </c>
      <c r="X789" s="67"/>
      <c r="Y789" s="15">
        <f t="shared" si="170"/>
        <v>81.2</v>
      </c>
      <c r="Z789" s="3" t="e">
        <f t="shared" si="171"/>
        <v>#DIV/0!</v>
      </c>
      <c r="AA789" s="174" t="s">
        <v>4710</v>
      </c>
      <c r="AB789" s="22" t="s">
        <v>5236</v>
      </c>
      <c r="AE789" s="33">
        <f t="shared" si="172"/>
        <v>0</v>
      </c>
      <c r="AF789" s="122" t="s">
        <v>5237</v>
      </c>
      <c r="AG789" s="269"/>
      <c r="AI789" s="64">
        <f t="shared" si="173"/>
        <v>4.2016806722689078E-4</v>
      </c>
      <c r="AJ789" s="313">
        <f>RTD("money.excel",,$G789,"PredictVolume")</f>
        <v>50</v>
      </c>
      <c r="AK789" s="348"/>
    </row>
    <row r="790" spans="1:37">
      <c r="A790" s="148" t="s">
        <v>1927</v>
      </c>
      <c r="B790" s="81">
        <v>7</v>
      </c>
      <c r="C790" s="82">
        <v>-2</v>
      </c>
      <c r="D790" s="81">
        <v>15</v>
      </c>
      <c r="E790" s="81">
        <v>13</v>
      </c>
      <c r="F790" s="6">
        <v>3.65</v>
      </c>
      <c r="G790" s="81">
        <v>6414</v>
      </c>
      <c r="H790" s="206" t="s">
        <v>1212</v>
      </c>
      <c r="I790" s="22" t="s">
        <v>227</v>
      </c>
      <c r="J790" s="330">
        <v>40.86</v>
      </c>
      <c r="K790" s="330">
        <v>11.18</v>
      </c>
      <c r="L790" s="330">
        <v>27.73</v>
      </c>
      <c r="M790" s="330">
        <v>33.869999999999997</v>
      </c>
      <c r="N790" s="325">
        <f t="shared" si="168"/>
        <v>113.63999999999999</v>
      </c>
      <c r="O790" s="27" t="s">
        <v>2427</v>
      </c>
      <c r="P790" s="56"/>
      <c r="Q790" s="26"/>
      <c r="R790" s="308" t="s">
        <v>4372</v>
      </c>
      <c r="S790" s="330">
        <v>4.6399999999999997</v>
      </c>
      <c r="T790" s="67">
        <v>5</v>
      </c>
      <c r="U790" s="366">
        <f t="shared" si="169"/>
        <v>2.5974025974025976E-2</v>
      </c>
      <c r="V790" s="97">
        <v>12.77</v>
      </c>
      <c r="W790" s="36">
        <f>RTD("money.excel",,"6414","Price")</f>
        <v>192.5</v>
      </c>
      <c r="X790" s="67"/>
      <c r="Y790" s="15">
        <f t="shared" si="170"/>
        <v>192.5</v>
      </c>
      <c r="Z790" s="3" t="e">
        <f t="shared" si="171"/>
        <v>#DIV/0!</v>
      </c>
      <c r="AA790" s="174" t="s">
        <v>2185</v>
      </c>
      <c r="AB790" s="22" t="s">
        <v>227</v>
      </c>
      <c r="AE790" s="33">
        <f t="shared" si="172"/>
        <v>0</v>
      </c>
      <c r="AF790" s="122" t="s">
        <v>1587</v>
      </c>
      <c r="AG790" s="128"/>
      <c r="AI790" s="64">
        <f t="shared" si="173"/>
        <v>9.8113207547169817E-3</v>
      </c>
      <c r="AJ790" s="313">
        <f>RTD("money.excel",,$G790,"PredictVolume")</f>
        <v>1040</v>
      </c>
      <c r="AK790" s="348">
        <v>16.79</v>
      </c>
    </row>
    <row r="791" spans="1:37">
      <c r="A791" s="148" t="s">
        <v>5238</v>
      </c>
      <c r="B791" s="82">
        <v>-764</v>
      </c>
      <c r="C791" s="82">
        <v>-597</v>
      </c>
      <c r="D791" s="82">
        <v>-53</v>
      </c>
      <c r="E791" s="82">
        <v>-51</v>
      </c>
      <c r="F791" s="6">
        <v>-11.68</v>
      </c>
      <c r="G791" s="81">
        <v>6441</v>
      </c>
      <c r="H791" s="151" t="s">
        <v>1212</v>
      </c>
      <c r="I791" s="16" t="s">
        <v>5239</v>
      </c>
      <c r="J791" s="75">
        <v>38.880000000000003</v>
      </c>
      <c r="K791" s="330">
        <v>1.0900000000000001</v>
      </c>
      <c r="L791" s="75">
        <v>27.88</v>
      </c>
      <c r="M791" s="75">
        <v>40.83</v>
      </c>
      <c r="N791" s="325">
        <f t="shared" si="168"/>
        <v>108.68</v>
      </c>
      <c r="O791" s="27"/>
      <c r="P791" s="56"/>
      <c r="Q791" s="26"/>
      <c r="R791" s="308" t="s">
        <v>4754</v>
      </c>
      <c r="S791" s="330">
        <v>3.31</v>
      </c>
      <c r="T791" s="34">
        <v>1</v>
      </c>
      <c r="U791" s="366">
        <f t="shared" si="169"/>
        <v>2.2197558268590458E-2</v>
      </c>
      <c r="V791" s="97">
        <v>-4.5</v>
      </c>
      <c r="W791" s="36">
        <f>RTD("money.excel",,"6441","Price")</f>
        <v>45.05</v>
      </c>
      <c r="X791" s="67"/>
      <c r="Y791" s="15">
        <f t="shared" si="170"/>
        <v>45.05</v>
      </c>
      <c r="Z791" s="3" t="e">
        <f t="shared" si="171"/>
        <v>#DIV/0!</v>
      </c>
      <c r="AA791" s="174" t="s">
        <v>4710</v>
      </c>
      <c r="AB791" s="16" t="s">
        <v>5239</v>
      </c>
      <c r="AE791" s="33">
        <f t="shared" si="172"/>
        <v>0</v>
      </c>
      <c r="AF791" s="43" t="s">
        <v>5240</v>
      </c>
      <c r="AG791" s="128"/>
      <c r="AI791" s="64">
        <f t="shared" si="173"/>
        <v>7.1428571428571444E-3</v>
      </c>
      <c r="AJ791" s="313">
        <f>RTD("money.excel",,$G791,"PredictVolume")</f>
        <v>305</v>
      </c>
      <c r="AK791" s="348"/>
    </row>
    <row r="792" spans="1:37">
      <c r="A792" s="148" t="s">
        <v>5241</v>
      </c>
      <c r="B792" s="93">
        <v>-45</v>
      </c>
      <c r="C792" s="93">
        <v>-54</v>
      </c>
      <c r="D792" s="93">
        <v>-16</v>
      </c>
      <c r="E792" s="93">
        <v>5</v>
      </c>
      <c r="F792" s="6">
        <v>7.58</v>
      </c>
      <c r="G792" s="81">
        <v>6570</v>
      </c>
      <c r="H792" s="151" t="s">
        <v>1212</v>
      </c>
      <c r="I792" s="16" t="s">
        <v>5242</v>
      </c>
      <c r="J792" s="75">
        <v>56.91</v>
      </c>
      <c r="K792" s="75">
        <v>0</v>
      </c>
      <c r="N792" s="325">
        <f t="shared" si="168"/>
        <v>56.91</v>
      </c>
      <c r="O792" s="27"/>
      <c r="P792" s="56"/>
      <c r="Q792" s="26"/>
      <c r="S792" s="330">
        <v>21.3</v>
      </c>
      <c r="T792" s="34">
        <v>1</v>
      </c>
      <c r="U792" s="366">
        <f t="shared" si="169"/>
        <v>2.3529411764705882E-2</v>
      </c>
      <c r="V792" s="97">
        <v>1.17</v>
      </c>
      <c r="W792" s="13">
        <f>RTD("money.excel",,"6570","Price")</f>
        <v>42.5</v>
      </c>
      <c r="X792" s="67"/>
      <c r="Y792" s="15">
        <f t="shared" si="170"/>
        <v>42.5</v>
      </c>
      <c r="Z792" s="3" t="e">
        <f t="shared" si="171"/>
        <v>#DIV/0!</v>
      </c>
      <c r="AB792" s="16" t="s">
        <v>5242</v>
      </c>
      <c r="AE792" s="33">
        <f t="shared" si="172"/>
        <v>0</v>
      </c>
      <c r="AF792" s="43" t="s">
        <v>2726</v>
      </c>
      <c r="AG792" s="128"/>
      <c r="AI792" s="64">
        <f t="shared" si="173"/>
        <v>6.0132890365448511E-3</v>
      </c>
      <c r="AJ792" s="313">
        <f>RTD("money.excel",,$G792,"PredictVolume")</f>
        <v>181</v>
      </c>
      <c r="AK792" s="348"/>
    </row>
    <row r="793" spans="1:37">
      <c r="A793" s="132" t="s">
        <v>5243</v>
      </c>
      <c r="B793" s="82">
        <v>-30</v>
      </c>
      <c r="C793" s="82">
        <v>-29</v>
      </c>
      <c r="D793" s="81">
        <v>41</v>
      </c>
      <c r="E793" s="81">
        <v>120</v>
      </c>
      <c r="F793" s="58">
        <v>13.31</v>
      </c>
      <c r="G793" s="81">
        <v>6577</v>
      </c>
      <c r="H793" s="151" t="s">
        <v>1212</v>
      </c>
      <c r="I793" s="16" t="s">
        <v>5244</v>
      </c>
      <c r="J793" s="75">
        <v>66.209999999999994</v>
      </c>
      <c r="K793" s="75">
        <v>1.35</v>
      </c>
      <c r="L793" s="75">
        <v>2.13</v>
      </c>
      <c r="M793" s="330">
        <v>69.09</v>
      </c>
      <c r="N793" s="75">
        <f t="shared" si="168"/>
        <v>138.77999999999997</v>
      </c>
      <c r="O793" s="27"/>
      <c r="P793" s="56"/>
      <c r="Q793" s="26"/>
      <c r="R793" s="308" t="s">
        <v>4728</v>
      </c>
      <c r="S793" s="330">
        <v>0.06</v>
      </c>
      <c r="T793" s="67">
        <v>5</v>
      </c>
      <c r="U793" s="366">
        <f t="shared" si="169"/>
        <v>7.7519379844961239E-2</v>
      </c>
      <c r="V793" s="97">
        <v>4</v>
      </c>
      <c r="W793" s="36">
        <f>RTD("money.excel",,"6577","Price")</f>
        <v>64.5</v>
      </c>
      <c r="X793" s="67"/>
      <c r="Y793" s="15">
        <f t="shared" si="170"/>
        <v>64.5</v>
      </c>
      <c r="Z793" s="3" t="e">
        <f t="shared" si="171"/>
        <v>#DIV/0!</v>
      </c>
      <c r="AA793" s="174" t="s">
        <v>4718</v>
      </c>
      <c r="AB793" s="16" t="s">
        <v>5244</v>
      </c>
      <c r="AE793" s="33">
        <f t="shared" si="172"/>
        <v>0</v>
      </c>
      <c r="AF793" s="43" t="s">
        <v>5245</v>
      </c>
      <c r="AG793" s="128"/>
      <c r="AI793" s="64">
        <f t="shared" si="173"/>
        <v>4.6997389033942561E-4</v>
      </c>
      <c r="AJ793" s="313">
        <f>RTD("money.excel",,$G793,"PredictVolume")</f>
        <v>18</v>
      </c>
      <c r="AK793" s="348"/>
    </row>
    <row r="794" spans="1:37">
      <c r="A794" s="148" t="s">
        <v>5246</v>
      </c>
      <c r="B794" s="82">
        <v>-44</v>
      </c>
      <c r="C794" s="82">
        <v>-44</v>
      </c>
      <c r="D794" s="81">
        <v>38</v>
      </c>
      <c r="E794" s="82">
        <v>58</v>
      </c>
      <c r="F794" s="6">
        <v>6.03</v>
      </c>
      <c r="G794" s="81">
        <v>6579</v>
      </c>
      <c r="H794" s="46" t="s">
        <v>1212</v>
      </c>
      <c r="I794" s="22" t="s">
        <v>5247</v>
      </c>
      <c r="J794" s="330">
        <v>89.49</v>
      </c>
      <c r="K794" s="75">
        <v>3.16</v>
      </c>
      <c r="L794" s="75">
        <v>7.0000000000000007E-2</v>
      </c>
      <c r="M794" s="330">
        <v>75.47</v>
      </c>
      <c r="N794" s="75">
        <f t="shared" si="168"/>
        <v>168.19</v>
      </c>
      <c r="O794" s="27"/>
      <c r="P794" s="56"/>
      <c r="Q794" s="26"/>
      <c r="R794" s="308" t="s">
        <v>4829</v>
      </c>
      <c r="S794" s="330">
        <v>0.15</v>
      </c>
      <c r="T794" s="67">
        <v>3</v>
      </c>
      <c r="U794" s="366">
        <f t="shared" si="169"/>
        <v>4.2492917847025496E-2</v>
      </c>
      <c r="V794" s="97">
        <v>2.48</v>
      </c>
      <c r="W794" s="36">
        <f>RTD("money.excel",,"6579","Price")</f>
        <v>70.599999999999994</v>
      </c>
      <c r="X794" s="67"/>
      <c r="Y794" s="15">
        <f t="shared" si="170"/>
        <v>70.599999999999994</v>
      </c>
      <c r="Z794" s="3" t="e">
        <f t="shared" si="171"/>
        <v>#DIV/0!</v>
      </c>
      <c r="AA794" s="174" t="s">
        <v>4714</v>
      </c>
      <c r="AB794" s="22" t="s">
        <v>5247</v>
      </c>
      <c r="AE794" s="33">
        <f t="shared" si="172"/>
        <v>0</v>
      </c>
      <c r="AF794" s="43" t="s">
        <v>2255</v>
      </c>
      <c r="AG794" s="128"/>
      <c r="AI794" s="64">
        <f t="shared" si="173"/>
        <v>1.0135135135135135E-4</v>
      </c>
      <c r="AJ794" s="313">
        <f>RTD("money.excel",,$G794,"PredictVolume")</f>
        <v>15</v>
      </c>
      <c r="AK794" s="348"/>
    </row>
    <row r="795" spans="1:37">
      <c r="A795" s="132" t="s">
        <v>5248</v>
      </c>
      <c r="B795" s="81">
        <v>267</v>
      </c>
      <c r="C795" s="81">
        <v>877</v>
      </c>
      <c r="D795" s="81">
        <v>16</v>
      </c>
      <c r="E795" s="81">
        <v>8</v>
      </c>
      <c r="F795" s="58">
        <v>13.06</v>
      </c>
      <c r="G795" s="81">
        <v>6591</v>
      </c>
      <c r="H795" s="46" t="s">
        <v>1212</v>
      </c>
      <c r="I795" s="22" t="s">
        <v>5249</v>
      </c>
      <c r="J795" s="330">
        <v>23.55</v>
      </c>
      <c r="K795" s="75">
        <v>27.71</v>
      </c>
      <c r="L795" s="75">
        <v>33.619999999999997</v>
      </c>
      <c r="N795" s="325">
        <f t="shared" si="168"/>
        <v>84.88</v>
      </c>
      <c r="O795" s="27"/>
      <c r="P795" s="56"/>
      <c r="Q795" s="26"/>
      <c r="S795" s="330">
        <v>0.78</v>
      </c>
      <c r="T795" s="34">
        <v>2.75</v>
      </c>
      <c r="U795" s="366">
        <f t="shared" ref="U795:U805" si="174">T795/W795</f>
        <v>4.6374367622259702E-2</v>
      </c>
      <c r="V795" s="97">
        <v>5.78</v>
      </c>
      <c r="W795" s="36">
        <f>RTD("money.excel",,"6591","Price")</f>
        <v>59.3</v>
      </c>
      <c r="X795" s="67"/>
      <c r="Y795" s="15">
        <f t="shared" si="170"/>
        <v>59.3</v>
      </c>
      <c r="Z795" s="3" t="e">
        <f t="shared" si="171"/>
        <v>#DIV/0!</v>
      </c>
      <c r="AA795" s="174" t="s">
        <v>4710</v>
      </c>
      <c r="AB795" s="22" t="s">
        <v>5249</v>
      </c>
      <c r="AE795" s="33">
        <f t="shared" si="172"/>
        <v>0</v>
      </c>
      <c r="AF795" s="43" t="s">
        <v>2834</v>
      </c>
      <c r="AG795" s="128"/>
      <c r="AI795" s="64">
        <f t="shared" ref="AI795:AI805" si="175">AJ795/(A795*10000)</f>
        <v>9.7653958944281527E-3</v>
      </c>
      <c r="AJ795" s="313">
        <f>RTD("money.excel",,$G795,"PredictVolume")</f>
        <v>333</v>
      </c>
      <c r="AK795" s="348"/>
    </row>
    <row r="796" spans="1:37">
      <c r="A796" s="148" t="s">
        <v>5250</v>
      </c>
      <c r="B796" s="81">
        <v>10</v>
      </c>
      <c r="C796" s="81">
        <v>11</v>
      </c>
      <c r="D796" s="81">
        <v>16</v>
      </c>
      <c r="E796" s="82">
        <v>-1</v>
      </c>
      <c r="F796" s="6">
        <v>6.01</v>
      </c>
      <c r="G796" s="81">
        <v>6669</v>
      </c>
      <c r="H796" s="46" t="s">
        <v>1212</v>
      </c>
      <c r="I796" s="22" t="s">
        <v>5251</v>
      </c>
      <c r="J796" s="330">
        <v>64.06</v>
      </c>
      <c r="K796" s="330">
        <v>30.72</v>
      </c>
      <c r="L796" s="75">
        <v>1.2</v>
      </c>
      <c r="N796" s="325">
        <f t="shared" si="168"/>
        <v>95.98</v>
      </c>
      <c r="O796" s="27"/>
      <c r="P796" s="56"/>
      <c r="Q796" s="26"/>
      <c r="S796" s="330">
        <v>9.35</v>
      </c>
      <c r="T796" s="67">
        <v>32</v>
      </c>
      <c r="U796" s="366">
        <f t="shared" si="174"/>
        <v>3.3195020746887967E-2</v>
      </c>
      <c r="V796" s="58">
        <v>51.39</v>
      </c>
      <c r="W796" s="36">
        <f>RTD("money.excel",,"6669","Price")</f>
        <v>964</v>
      </c>
      <c r="X796" s="67"/>
      <c r="Y796" s="15">
        <f t="shared" si="170"/>
        <v>964</v>
      </c>
      <c r="Z796" s="3" t="e">
        <f t="shared" si="171"/>
        <v>#DIV/0!</v>
      </c>
      <c r="AA796" s="174" t="s">
        <v>4714</v>
      </c>
      <c r="AB796" s="22" t="s">
        <v>5251</v>
      </c>
      <c r="AE796" s="33">
        <f t="shared" si="172"/>
        <v>0</v>
      </c>
      <c r="AF796" s="43" t="s">
        <v>5252</v>
      </c>
      <c r="AG796" s="128"/>
      <c r="AI796" s="64">
        <f t="shared" si="175"/>
        <v>2.7816091954022989E-3</v>
      </c>
      <c r="AJ796" s="313">
        <f>RTD("money.excel",,$G796,"PredictVolume")</f>
        <v>484</v>
      </c>
      <c r="AK796" s="348"/>
    </row>
    <row r="797" spans="1:37">
      <c r="A797" s="132" t="s">
        <v>5253</v>
      </c>
      <c r="B797" s="82">
        <v>-17</v>
      </c>
      <c r="C797" s="82">
        <v>-31</v>
      </c>
      <c r="D797" s="81">
        <v>103</v>
      </c>
      <c r="E797" s="81">
        <v>97</v>
      </c>
      <c r="F797" s="58">
        <v>14.82</v>
      </c>
      <c r="G797" s="81">
        <v>6680</v>
      </c>
      <c r="H797" s="151" t="s">
        <v>1212</v>
      </c>
      <c r="I797" s="16" t="s">
        <v>5254</v>
      </c>
      <c r="J797" s="75">
        <v>71.38</v>
      </c>
      <c r="K797" s="330">
        <v>0.02</v>
      </c>
      <c r="N797" s="325">
        <f t="shared" si="168"/>
        <v>71.399999999999991</v>
      </c>
      <c r="O797" s="27"/>
      <c r="P797" s="56"/>
      <c r="Q797" s="26"/>
      <c r="T797" s="34">
        <v>2</v>
      </c>
      <c r="U797" s="366">
        <f t="shared" si="174"/>
        <v>4.1237113402061855E-2</v>
      </c>
      <c r="V797" s="97">
        <v>2.2000000000000002</v>
      </c>
      <c r="W797" s="36">
        <f>RTD("money.excel",,"6680","Price")</f>
        <v>48.5</v>
      </c>
      <c r="X797" s="67"/>
      <c r="Y797" s="15">
        <f t="shared" si="170"/>
        <v>48.5</v>
      </c>
      <c r="Z797" s="3" t="e">
        <f t="shared" si="171"/>
        <v>#DIV/0!</v>
      </c>
      <c r="AA797" s="174" t="s">
        <v>4710</v>
      </c>
      <c r="AB797" s="16" t="s">
        <v>5254</v>
      </c>
      <c r="AE797" s="33">
        <f t="shared" si="172"/>
        <v>0</v>
      </c>
      <c r="AF797" s="43" t="s">
        <v>5255</v>
      </c>
      <c r="AG797" s="269"/>
      <c r="AI797" s="64">
        <f t="shared" si="175"/>
        <v>1.6129032258064516E-4</v>
      </c>
      <c r="AJ797" s="313">
        <f>RTD("money.excel",,$G797,"PredictVolume")</f>
        <v>3</v>
      </c>
      <c r="AK797" s="348"/>
    </row>
    <row r="798" spans="1:37">
      <c r="A798" s="148" t="s">
        <v>5256</v>
      </c>
      <c r="B798" s="82">
        <v>-65</v>
      </c>
      <c r="C798" s="82">
        <v>-72</v>
      </c>
      <c r="D798" s="82">
        <v>-2</v>
      </c>
      <c r="E798" s="81">
        <v>33</v>
      </c>
      <c r="F798" s="6">
        <v>1.24</v>
      </c>
      <c r="G798" s="81">
        <v>8050</v>
      </c>
      <c r="H798" s="151" t="s">
        <v>1212</v>
      </c>
      <c r="I798" s="16" t="s">
        <v>5257</v>
      </c>
      <c r="J798" s="75">
        <v>50.65</v>
      </c>
      <c r="K798" s="75">
        <v>3.6</v>
      </c>
      <c r="L798" s="75">
        <v>3.09</v>
      </c>
      <c r="N798" s="325">
        <f t="shared" si="168"/>
        <v>57.34</v>
      </c>
      <c r="O798" s="27"/>
      <c r="P798" s="56"/>
      <c r="Q798" s="26"/>
      <c r="S798" s="330">
        <v>0.02</v>
      </c>
      <c r="T798" s="34">
        <v>1.8</v>
      </c>
      <c r="U798" s="366">
        <f t="shared" si="174"/>
        <v>4.4389642416769425E-2</v>
      </c>
      <c r="V798" s="97">
        <v>0.74</v>
      </c>
      <c r="W798" s="36">
        <f>RTD("money.excel",,"8050","Price")</f>
        <v>40.549999999999997</v>
      </c>
      <c r="X798" s="67"/>
      <c r="Y798" s="15">
        <f t="shared" si="170"/>
        <v>40.549999999999997</v>
      </c>
      <c r="Z798" s="3" t="e">
        <f t="shared" si="171"/>
        <v>#DIV/0!</v>
      </c>
      <c r="AA798" s="174" t="s">
        <v>4710</v>
      </c>
      <c r="AB798" s="16" t="s">
        <v>5257</v>
      </c>
      <c r="AE798" s="33">
        <f t="shared" si="172"/>
        <v>0</v>
      </c>
      <c r="AF798" s="122" t="s">
        <v>2726</v>
      </c>
      <c r="AG798" s="128"/>
      <c r="AI798" s="64">
        <f t="shared" si="175"/>
        <v>7.3446327683615814E-4</v>
      </c>
      <c r="AJ798" s="313">
        <f>RTD("money.excel",,$G798,"PredictVolume")</f>
        <v>130</v>
      </c>
      <c r="AK798" s="348"/>
    </row>
    <row r="799" spans="1:37">
      <c r="A799" s="148" t="s">
        <v>5258</v>
      </c>
      <c r="B799" s="82">
        <v>-125</v>
      </c>
      <c r="C799" s="82">
        <v>-83</v>
      </c>
      <c r="D799" s="81">
        <v>22</v>
      </c>
      <c r="E799" s="82">
        <v>-27</v>
      </c>
      <c r="F799" s="6">
        <v>2.3199999999999998</v>
      </c>
      <c r="G799" s="81">
        <v>8076</v>
      </c>
      <c r="H799" s="151" t="s">
        <v>1212</v>
      </c>
      <c r="I799" s="16" t="s">
        <v>5259</v>
      </c>
      <c r="J799" s="330">
        <v>30.66</v>
      </c>
      <c r="K799" s="330">
        <v>6.09</v>
      </c>
      <c r="L799" s="75">
        <v>6.93</v>
      </c>
      <c r="N799" s="325">
        <f t="shared" si="168"/>
        <v>43.68</v>
      </c>
      <c r="O799" s="27"/>
      <c r="P799" s="56"/>
      <c r="Q799" s="26"/>
      <c r="S799" s="330">
        <v>0.14000000000000001</v>
      </c>
      <c r="T799" s="34">
        <v>0</v>
      </c>
      <c r="U799" s="366">
        <f t="shared" si="174"/>
        <v>0</v>
      </c>
      <c r="V799" s="97">
        <v>-0.26</v>
      </c>
      <c r="W799" s="36">
        <f>RTD("money.excel",,"8076","Price")</f>
        <v>29.75</v>
      </c>
      <c r="X799" s="67"/>
      <c r="Y799" s="15">
        <f t="shared" si="170"/>
        <v>29.75</v>
      </c>
      <c r="Z799" s="3" t="e">
        <f t="shared" si="171"/>
        <v>#DIV/0!</v>
      </c>
      <c r="AB799" s="16" t="s">
        <v>5259</v>
      </c>
      <c r="AE799" s="33">
        <f t="shared" si="172"/>
        <v>0</v>
      </c>
      <c r="AF799" s="122" t="s">
        <v>5260</v>
      </c>
      <c r="AG799" s="128"/>
      <c r="AI799" s="64">
        <f t="shared" si="175"/>
        <v>2.3140794223826715E-3</v>
      </c>
      <c r="AJ799" s="313">
        <f>RTD("money.excel",,$G799,"PredictVolume")</f>
        <v>641</v>
      </c>
      <c r="AK799" s="348"/>
    </row>
    <row r="800" spans="1:37">
      <c r="A800" s="132" t="s">
        <v>5261</v>
      </c>
      <c r="B800" s="81">
        <v>332</v>
      </c>
      <c r="C800" s="81">
        <v>128</v>
      </c>
      <c r="D800" s="81">
        <v>8</v>
      </c>
      <c r="E800" s="81">
        <v>41</v>
      </c>
      <c r="F800" s="58">
        <v>10.86</v>
      </c>
      <c r="G800" s="81">
        <v>8114</v>
      </c>
      <c r="H800" s="46" t="s">
        <v>1212</v>
      </c>
      <c r="I800" s="22" t="s">
        <v>5262</v>
      </c>
      <c r="J800" s="75">
        <v>44.73</v>
      </c>
      <c r="K800" s="75">
        <v>9.93</v>
      </c>
      <c r="L800" s="75">
        <v>6.5</v>
      </c>
      <c r="M800" s="75">
        <v>15.85</v>
      </c>
      <c r="N800" s="325">
        <f t="shared" si="168"/>
        <v>77.009999999999991</v>
      </c>
      <c r="O800" s="27"/>
      <c r="P800" s="56"/>
      <c r="Q800" s="26"/>
      <c r="R800" s="308" t="s">
        <v>4829</v>
      </c>
      <c r="S800" s="330">
        <v>0.44</v>
      </c>
      <c r="T800" s="34">
        <v>1.5</v>
      </c>
      <c r="U800" s="366">
        <f t="shared" si="174"/>
        <v>1.5274949083503055E-2</v>
      </c>
      <c r="V800" s="97">
        <v>4.38</v>
      </c>
      <c r="W800" s="36">
        <f>RTD("money.excel",,"8114","Price")</f>
        <v>98.2</v>
      </c>
      <c r="X800" s="67"/>
      <c r="Y800" s="15">
        <f t="shared" si="170"/>
        <v>98.2</v>
      </c>
      <c r="Z800" s="3" t="e">
        <f t="shared" si="171"/>
        <v>#DIV/0!</v>
      </c>
      <c r="AA800" s="174" t="s">
        <v>4710</v>
      </c>
      <c r="AB800" s="22" t="s">
        <v>5262</v>
      </c>
      <c r="AE800" s="33">
        <f t="shared" si="172"/>
        <v>0</v>
      </c>
      <c r="AF800" s="43" t="s">
        <v>5223</v>
      </c>
      <c r="AG800" s="128"/>
      <c r="AI800" s="64">
        <f t="shared" si="175"/>
        <v>2.2830440587449934E-3</v>
      </c>
      <c r="AJ800" s="313">
        <f>RTD("money.excel",,$G800,"PredictVolume")</f>
        <v>171</v>
      </c>
      <c r="AK800" s="348"/>
    </row>
    <row r="801" spans="1:37">
      <c r="A801" s="148" t="s">
        <v>5026</v>
      </c>
      <c r="B801" s="82">
        <v>-8</v>
      </c>
      <c r="C801" s="82">
        <v>-2</v>
      </c>
      <c r="D801" s="81">
        <v>3</v>
      </c>
      <c r="E801" s="81">
        <v>21</v>
      </c>
      <c r="F801" s="6">
        <v>4.8499999999999996</v>
      </c>
      <c r="G801" s="81">
        <v>8163</v>
      </c>
      <c r="H801" s="46" t="s">
        <v>1212</v>
      </c>
      <c r="I801" s="22" t="s">
        <v>5263</v>
      </c>
      <c r="J801" s="75">
        <v>39.78</v>
      </c>
      <c r="K801" s="75">
        <v>16.46</v>
      </c>
      <c r="L801" s="75">
        <v>7.51</v>
      </c>
      <c r="N801" s="325">
        <f t="shared" si="168"/>
        <v>63.75</v>
      </c>
      <c r="O801" s="27"/>
      <c r="P801" s="56"/>
      <c r="Q801" s="26"/>
      <c r="S801" s="330">
        <v>0.17</v>
      </c>
      <c r="T801" s="34">
        <v>2.5</v>
      </c>
      <c r="U801" s="366">
        <f t="shared" si="174"/>
        <v>5.1652892561983473E-2</v>
      </c>
      <c r="V801" s="97">
        <v>3.23</v>
      </c>
      <c r="W801" s="36">
        <f>RTD("money.excel",,"8163","Price")</f>
        <v>48.4</v>
      </c>
      <c r="X801" s="67"/>
      <c r="Y801" s="15">
        <f t="shared" si="170"/>
        <v>48.4</v>
      </c>
      <c r="Z801" s="3" t="e">
        <f t="shared" si="171"/>
        <v>#DIV/0!</v>
      </c>
      <c r="AA801" s="174" t="s">
        <v>4710</v>
      </c>
      <c r="AB801" s="22" t="s">
        <v>5263</v>
      </c>
      <c r="AE801" s="33">
        <f t="shared" si="172"/>
        <v>0</v>
      </c>
      <c r="AF801" s="122" t="s">
        <v>5264</v>
      </c>
      <c r="AG801" s="128"/>
      <c r="AI801" s="64">
        <f t="shared" si="175"/>
        <v>5.9178571428571431E-3</v>
      </c>
      <c r="AJ801" s="313">
        <f>RTD("money.excel",,$G801,"PredictVolume")</f>
        <v>1657</v>
      </c>
      <c r="AK801" s="348"/>
    </row>
    <row r="802" spans="1:37">
      <c r="A802" s="148" t="s">
        <v>4812</v>
      </c>
      <c r="B802" s="82">
        <v>-6</v>
      </c>
      <c r="C802" s="81">
        <v>31</v>
      </c>
      <c r="D802" s="82">
        <v>-5</v>
      </c>
      <c r="E802" s="82">
        <v>-1</v>
      </c>
      <c r="F802" s="6">
        <v>9.0500000000000007</v>
      </c>
      <c r="G802" s="81">
        <v>8210</v>
      </c>
      <c r="H802" s="206" t="s">
        <v>1212</v>
      </c>
      <c r="I802" s="22" t="s">
        <v>5265</v>
      </c>
      <c r="J802" s="75">
        <v>63.13</v>
      </c>
      <c r="K802" s="330">
        <v>5.2</v>
      </c>
      <c r="L802" s="330">
        <v>5.0999999999999996</v>
      </c>
      <c r="N802" s="325">
        <f t="shared" si="168"/>
        <v>73.429999999999993</v>
      </c>
      <c r="O802" s="27"/>
      <c r="P802" s="56"/>
      <c r="Q802" s="26"/>
      <c r="S802" s="330">
        <v>0.01</v>
      </c>
      <c r="T802" s="67">
        <v>4</v>
      </c>
      <c r="U802" s="366">
        <f t="shared" si="174"/>
        <v>5.2700922266139656E-2</v>
      </c>
      <c r="V802" s="58">
        <v>8.06</v>
      </c>
      <c r="W802" s="36">
        <f>RTD("money.excel",,"8210","Price")</f>
        <v>75.900000000000006</v>
      </c>
      <c r="X802" s="67"/>
      <c r="Y802" s="15">
        <f t="shared" si="170"/>
        <v>75.900000000000006</v>
      </c>
      <c r="Z802" s="3" t="e">
        <f t="shared" si="171"/>
        <v>#DIV/0!</v>
      </c>
      <c r="AA802" s="174" t="s">
        <v>4714</v>
      </c>
      <c r="AB802" s="22" t="s">
        <v>5265</v>
      </c>
      <c r="AE802" s="33">
        <f t="shared" si="172"/>
        <v>0</v>
      </c>
      <c r="AF802" s="43" t="s">
        <v>2707</v>
      </c>
      <c r="AG802" s="128"/>
      <c r="AI802" s="64">
        <f t="shared" si="175"/>
        <v>3.2333333333333333E-3</v>
      </c>
      <c r="AJ802" s="313">
        <f>RTD("money.excel",,$G802,"PredictVolume")</f>
        <v>388</v>
      </c>
      <c r="AK802" s="348"/>
    </row>
    <row r="803" spans="1:37">
      <c r="A803" s="148" t="s">
        <v>5266</v>
      </c>
      <c r="B803" s="93">
        <v>-30</v>
      </c>
      <c r="C803" s="93">
        <v>-26</v>
      </c>
      <c r="D803" s="93">
        <v>-29</v>
      </c>
      <c r="E803" s="93">
        <v>-13</v>
      </c>
      <c r="F803" s="6">
        <v>2.73</v>
      </c>
      <c r="G803" s="81">
        <v>8234</v>
      </c>
      <c r="H803" s="151" t="s">
        <v>1212</v>
      </c>
      <c r="I803" s="16" t="s">
        <v>5267</v>
      </c>
      <c r="J803" s="75">
        <v>57.62</v>
      </c>
      <c r="K803" s="75">
        <v>3.39</v>
      </c>
      <c r="L803" s="75">
        <v>3.74</v>
      </c>
      <c r="N803" s="325">
        <f t="shared" si="168"/>
        <v>64.75</v>
      </c>
      <c r="O803" s="27"/>
      <c r="P803" s="56"/>
      <c r="Q803" s="26"/>
      <c r="S803" s="330">
        <v>8.4700000000000006</v>
      </c>
      <c r="T803" s="34">
        <v>0.8</v>
      </c>
      <c r="U803" s="366">
        <f t="shared" si="174"/>
        <v>3.5398230088495575E-2</v>
      </c>
      <c r="V803" s="97">
        <v>1.06</v>
      </c>
      <c r="W803" s="13">
        <f>RTD("money.excel",,"8234","Price")</f>
        <v>22.6</v>
      </c>
      <c r="X803" s="67"/>
      <c r="Y803" s="15">
        <f t="shared" si="170"/>
        <v>22.6</v>
      </c>
      <c r="Z803" s="3" t="e">
        <f t="shared" si="171"/>
        <v>#DIV/0!</v>
      </c>
      <c r="AA803" s="174" t="s">
        <v>4710</v>
      </c>
      <c r="AB803" s="16" t="s">
        <v>5267</v>
      </c>
      <c r="AE803" s="33">
        <f t="shared" si="172"/>
        <v>0</v>
      </c>
      <c r="AF803" s="122" t="s">
        <v>2726</v>
      </c>
      <c r="AG803" s="128"/>
      <c r="AI803" s="64">
        <f t="shared" si="175"/>
        <v>1.2695035460992907E-3</v>
      </c>
      <c r="AJ803" s="313">
        <f>RTD("money.excel",,$G803,"PredictVolume")</f>
        <v>179</v>
      </c>
      <c r="AK803" s="348"/>
    </row>
    <row r="804" spans="1:37">
      <c r="A804" s="132" t="s">
        <v>5268</v>
      </c>
      <c r="B804" s="81">
        <v>116</v>
      </c>
      <c r="C804" s="81">
        <v>193</v>
      </c>
      <c r="D804" s="82">
        <v>-3</v>
      </c>
      <c r="E804" s="81">
        <v>11</v>
      </c>
      <c r="F804" s="58">
        <v>19.47</v>
      </c>
      <c r="G804" s="81">
        <v>8410</v>
      </c>
      <c r="H804" s="151" t="s">
        <v>1212</v>
      </c>
      <c r="I804" s="16" t="s">
        <v>5269</v>
      </c>
      <c r="J804" s="330">
        <v>45.78</v>
      </c>
      <c r="K804" s="330">
        <v>1.42</v>
      </c>
      <c r="L804" s="330">
        <v>18.420000000000002</v>
      </c>
      <c r="N804" s="325">
        <f t="shared" si="168"/>
        <v>65.62</v>
      </c>
      <c r="O804" s="27"/>
      <c r="P804" s="56"/>
      <c r="Q804" s="26"/>
      <c r="S804" s="330">
        <v>0.02</v>
      </c>
      <c r="T804" s="34">
        <v>1.5</v>
      </c>
      <c r="U804" s="366" t="e">
        <f t="shared" si="174"/>
        <v>#VALUE!</v>
      </c>
      <c r="V804" s="97">
        <v>4.55</v>
      </c>
      <c r="W804" s="36" t="str">
        <f>RTD("money.excel",,"8410","Price")</f>
        <v>無資料</v>
      </c>
      <c r="X804" s="67"/>
      <c r="Y804" s="15" t="e">
        <f t="shared" si="170"/>
        <v>#VALUE!</v>
      </c>
      <c r="Z804" s="3" t="e">
        <f t="shared" si="171"/>
        <v>#VALUE!</v>
      </c>
      <c r="AB804" s="16" t="s">
        <v>5269</v>
      </c>
      <c r="AE804" s="33">
        <f t="shared" si="172"/>
        <v>0</v>
      </c>
      <c r="AF804" s="43" t="s">
        <v>5270</v>
      </c>
      <c r="AG804" s="128"/>
      <c r="AI804" s="64">
        <f t="shared" si="175"/>
        <v>0</v>
      </c>
      <c r="AJ804" s="313">
        <f>RTD("money.excel",,$G804,"PredictVolume")</f>
        <v>0</v>
      </c>
      <c r="AK804" s="348"/>
    </row>
    <row r="805" spans="1:37">
      <c r="A805" s="148" t="s">
        <v>5271</v>
      </c>
      <c r="B805" s="93">
        <v>32</v>
      </c>
      <c r="C805" s="93">
        <v>4</v>
      </c>
      <c r="D805" s="93">
        <v>-26</v>
      </c>
      <c r="E805" s="93">
        <v>18</v>
      </c>
      <c r="F805" s="6">
        <v>-6.06</v>
      </c>
      <c r="G805" s="81">
        <v>9912</v>
      </c>
      <c r="H805" s="206" t="s">
        <v>1212</v>
      </c>
      <c r="I805" s="22" t="s">
        <v>5272</v>
      </c>
      <c r="J805" s="75">
        <v>38.39</v>
      </c>
      <c r="K805" s="75">
        <v>16.91</v>
      </c>
      <c r="L805" s="75">
        <v>19.579999999999998</v>
      </c>
      <c r="N805" s="325">
        <f t="shared" si="168"/>
        <v>74.88</v>
      </c>
      <c r="O805" s="27"/>
      <c r="P805" s="56"/>
      <c r="Q805" s="26"/>
      <c r="S805" s="330">
        <v>9.07</v>
      </c>
      <c r="T805" s="34">
        <v>0</v>
      </c>
      <c r="U805" s="366">
        <f t="shared" si="174"/>
        <v>0</v>
      </c>
      <c r="V805" s="97">
        <v>-0.77</v>
      </c>
      <c r="W805" s="36">
        <f>RTD("money.excel",,"9912","Price")</f>
        <v>9.23</v>
      </c>
      <c r="X805" s="67"/>
      <c r="Y805" s="15">
        <f t="shared" si="170"/>
        <v>9.23</v>
      </c>
      <c r="Z805" s="3" t="e">
        <f t="shared" si="171"/>
        <v>#DIV/0!</v>
      </c>
      <c r="AB805" s="22" t="s">
        <v>5272</v>
      </c>
      <c r="AE805" s="33">
        <f t="shared" si="172"/>
        <v>0</v>
      </c>
      <c r="AF805" s="43" t="s">
        <v>5273</v>
      </c>
      <c r="AG805" s="128"/>
      <c r="AI805" s="64">
        <f t="shared" si="175"/>
        <v>5.2727272727272725E-4</v>
      </c>
      <c r="AJ805" s="313">
        <f>RTD("money.excel",,$G805,"PredictVolume")</f>
        <v>29</v>
      </c>
      <c r="AK805" s="348"/>
    </row>
    <row r="806" spans="1:37">
      <c r="A806" s="148"/>
      <c r="B806" s="93"/>
      <c r="C806" s="93"/>
      <c r="D806" s="93"/>
      <c r="E806" s="93"/>
      <c r="F806" s="6"/>
      <c r="G806" s="81"/>
      <c r="H806" s="206"/>
      <c r="I806" s="22"/>
      <c r="J806" s="75"/>
      <c r="K806" s="75"/>
      <c r="N806" s="325"/>
      <c r="O806" s="27"/>
      <c r="P806" s="56"/>
      <c r="Q806" s="26"/>
      <c r="T806" s="34"/>
      <c r="U806" s="366"/>
      <c r="V806" s="97"/>
      <c r="W806" s="36"/>
      <c r="X806" s="67"/>
      <c r="Y806" s="15"/>
      <c r="Z806" s="3"/>
      <c r="AB806" s="22"/>
      <c r="AE806" s="33"/>
      <c r="AF806" s="43"/>
      <c r="AG806" s="128"/>
      <c r="AI806" s="64"/>
      <c r="AJ806" s="313"/>
      <c r="AK806" s="348"/>
    </row>
    <row r="807" spans="1:37">
      <c r="A807" s="132" t="s">
        <v>4917</v>
      </c>
      <c r="B807" s="93" t="s">
        <v>4918</v>
      </c>
      <c r="C807" s="93" t="s">
        <v>4919</v>
      </c>
      <c r="D807" s="93" t="s">
        <v>4920</v>
      </c>
      <c r="E807" s="93" t="s">
        <v>4921</v>
      </c>
      <c r="F807" s="8" t="s">
        <v>4922</v>
      </c>
      <c r="G807" s="27" t="s">
        <v>459</v>
      </c>
      <c r="H807" s="55" t="s">
        <v>342</v>
      </c>
      <c r="I807" s="8" t="s">
        <v>5274</v>
      </c>
      <c r="J807" s="324" t="s">
        <v>4925</v>
      </c>
      <c r="K807" s="324" t="s">
        <v>4926</v>
      </c>
      <c r="L807" s="324" t="s">
        <v>4927</v>
      </c>
      <c r="M807" s="324" t="s">
        <v>4928</v>
      </c>
      <c r="N807" s="324" t="s">
        <v>6091</v>
      </c>
      <c r="O807" s="27" t="s">
        <v>6253</v>
      </c>
      <c r="P807" s="56" t="s">
        <v>6219</v>
      </c>
      <c r="Q807" s="26" t="s">
        <v>6313</v>
      </c>
      <c r="R807" s="309" t="s">
        <v>4929</v>
      </c>
      <c r="S807" s="335" t="s">
        <v>4930</v>
      </c>
      <c r="T807" s="10" t="s">
        <v>4931</v>
      </c>
      <c r="U807" s="364" t="s">
        <v>6152</v>
      </c>
      <c r="V807" s="69" t="s">
        <v>4932</v>
      </c>
      <c r="W807" s="28" t="s">
        <v>4933</v>
      </c>
      <c r="X807" s="17" t="s">
        <v>4934</v>
      </c>
      <c r="Y807" s="14" t="s">
        <v>4935</v>
      </c>
      <c r="Z807" s="21" t="s">
        <v>4936</v>
      </c>
      <c r="AA807" s="322" t="s">
        <v>4937</v>
      </c>
      <c r="AB807" s="8" t="s">
        <v>5274</v>
      </c>
      <c r="AC807" s="73" t="s">
        <v>4938</v>
      </c>
      <c r="AD807" s="74" t="s">
        <v>4939</v>
      </c>
      <c r="AE807" s="32" t="s">
        <v>4940</v>
      </c>
      <c r="AF807" s="43"/>
      <c r="AG807" s="128"/>
      <c r="AI807" s="8" t="s">
        <v>4941</v>
      </c>
      <c r="AJ807" s="50" t="s">
        <v>4942</v>
      </c>
      <c r="AK807" s="348" t="s">
        <v>6074</v>
      </c>
    </row>
    <row r="808" spans="1:37">
      <c r="A808" s="148" t="s">
        <v>5275</v>
      </c>
      <c r="B808" s="81">
        <v>96</v>
      </c>
      <c r="C808" s="81">
        <v>58</v>
      </c>
      <c r="D808" s="82">
        <v>-4</v>
      </c>
      <c r="E808" s="81">
        <v>10</v>
      </c>
      <c r="F808" s="6">
        <v>-2.2400000000000002</v>
      </c>
      <c r="G808" s="81">
        <v>2323</v>
      </c>
      <c r="H808" s="8" t="s">
        <v>2167</v>
      </c>
      <c r="I808" s="22" t="s">
        <v>5276</v>
      </c>
      <c r="J808" s="75">
        <v>35.119999999999997</v>
      </c>
      <c r="K808" s="330">
        <v>14.17</v>
      </c>
      <c r="L808" s="75">
        <v>11.87</v>
      </c>
      <c r="N808" s="325">
        <f t="shared" ref="N808" si="176">J808+K808+L808+M808</f>
        <v>61.16</v>
      </c>
      <c r="O808" s="27"/>
      <c r="P808" s="56"/>
      <c r="Q808" s="26"/>
      <c r="R808" s="308" t="s">
        <v>4829</v>
      </c>
      <c r="S808" s="330">
        <v>2.37</v>
      </c>
      <c r="T808" s="34">
        <v>0.7</v>
      </c>
      <c r="U808" s="366">
        <f t="shared" ref="U808:U839" si="177">T808/W808</f>
        <v>6.4220183486238522E-2</v>
      </c>
      <c r="V808" s="97">
        <v>0.55000000000000004</v>
      </c>
      <c r="W808" s="36">
        <f>RTD("money.excel",,"2323","Price")</f>
        <v>10.9</v>
      </c>
      <c r="X808" s="67"/>
      <c r="Y808" s="15">
        <f t="shared" ref="Y808:Y871" si="178">W808-X808</f>
        <v>10.9</v>
      </c>
      <c r="Z808" s="3" t="e">
        <f t="shared" ref="Z808:Z871" si="179">Y808/X808</f>
        <v>#DIV/0!</v>
      </c>
      <c r="AA808" s="174" t="s">
        <v>4710</v>
      </c>
      <c r="AB808" s="22" t="s">
        <v>5276</v>
      </c>
      <c r="AE808" s="33">
        <f t="shared" ref="AE808:AE871" si="180">AD808-AC808</f>
        <v>0</v>
      </c>
      <c r="AF808" s="43" t="s">
        <v>5277</v>
      </c>
      <c r="AG808" s="128"/>
      <c r="AI808" s="64">
        <f t="shared" ref="AI808:AI839" si="181">AJ808/(A808*10000)</f>
        <v>1.4415652173913043E-2</v>
      </c>
      <c r="AJ808" s="313">
        <f>RTD("money.excel",,$G808,"PredictVolume")</f>
        <v>16578</v>
      </c>
      <c r="AK808" s="348"/>
    </row>
    <row r="809" spans="1:37">
      <c r="A809" s="132" t="s">
        <v>5278</v>
      </c>
      <c r="B809" s="82">
        <v>-24</v>
      </c>
      <c r="C809" s="82">
        <v>-19</v>
      </c>
      <c r="D809" s="81">
        <v>16</v>
      </c>
      <c r="E809" s="81">
        <v>74</v>
      </c>
      <c r="F809" s="58">
        <v>11.57</v>
      </c>
      <c r="G809" s="81">
        <v>2340</v>
      </c>
      <c r="H809" s="210" t="s">
        <v>2167</v>
      </c>
      <c r="I809" s="22" t="s">
        <v>5279</v>
      </c>
      <c r="J809" s="75">
        <v>26.99</v>
      </c>
      <c r="K809" s="75">
        <v>15.44</v>
      </c>
      <c r="L809" s="75">
        <v>26.67</v>
      </c>
      <c r="N809" s="325">
        <f t="shared" ref="N809:N871" si="182">J809+K809+L809+M809</f>
        <v>69.099999999999994</v>
      </c>
      <c r="O809" s="27"/>
      <c r="P809" s="56"/>
      <c r="Q809" s="26"/>
      <c r="S809" s="330">
        <v>1.1599999999999999</v>
      </c>
      <c r="T809" s="34">
        <v>1.39</v>
      </c>
      <c r="U809" s="366">
        <f t="shared" si="177"/>
        <v>2.8024193548387095E-2</v>
      </c>
      <c r="V809" s="97">
        <v>1.52</v>
      </c>
      <c r="W809" s="36">
        <f>RTD("money.excel",,"2340","Price")</f>
        <v>49.6</v>
      </c>
      <c r="X809" s="67"/>
      <c r="Y809" s="15">
        <f t="shared" si="178"/>
        <v>49.6</v>
      </c>
      <c r="Z809" s="3" t="e">
        <f t="shared" si="179"/>
        <v>#DIV/0!</v>
      </c>
      <c r="AA809" s="174" t="s">
        <v>4710</v>
      </c>
      <c r="AB809" s="22" t="s">
        <v>5279</v>
      </c>
      <c r="AE809" s="33">
        <f t="shared" si="180"/>
        <v>0</v>
      </c>
      <c r="AF809" s="124" t="s">
        <v>5280</v>
      </c>
      <c r="AG809" s="128"/>
      <c r="AI809" s="64">
        <f t="shared" si="181"/>
        <v>1.6518518518518519E-2</v>
      </c>
      <c r="AJ809" s="313">
        <f>RTD("money.excel",,$G809,"PredictVolume")</f>
        <v>6244</v>
      </c>
      <c r="AK809" s="348"/>
    </row>
    <row r="810" spans="1:37">
      <c r="A810" s="148" t="s">
        <v>5281</v>
      </c>
      <c r="B810" s="81">
        <v>7</v>
      </c>
      <c r="C810" s="81">
        <v>45</v>
      </c>
      <c r="D810" s="82">
        <v>-2</v>
      </c>
      <c r="E810" s="82">
        <v>-13</v>
      </c>
      <c r="F810" s="6">
        <v>-6.41</v>
      </c>
      <c r="G810" s="81">
        <v>2349</v>
      </c>
      <c r="H810" s="8" t="s">
        <v>2167</v>
      </c>
      <c r="I810" s="22" t="s">
        <v>5282</v>
      </c>
      <c r="J810" s="75">
        <v>19.11</v>
      </c>
      <c r="K810" s="75">
        <v>11.99</v>
      </c>
      <c r="N810" s="325">
        <f t="shared" si="182"/>
        <v>31.1</v>
      </c>
      <c r="O810" s="27"/>
      <c r="P810" s="56"/>
      <c r="Q810" s="26"/>
      <c r="T810" s="34">
        <v>0</v>
      </c>
      <c r="U810" s="366">
        <f t="shared" si="177"/>
        <v>0</v>
      </c>
      <c r="V810" s="97">
        <v>-1.07</v>
      </c>
      <c r="W810" s="36">
        <f>RTD("money.excel",,"2349","Price")</f>
        <v>9.18</v>
      </c>
      <c r="X810" s="67"/>
      <c r="Y810" s="15">
        <f t="shared" si="178"/>
        <v>9.18</v>
      </c>
      <c r="Z810" s="3" t="e">
        <f t="shared" si="179"/>
        <v>#DIV/0!</v>
      </c>
      <c r="AA810" s="174" t="s">
        <v>4710</v>
      </c>
      <c r="AB810" s="22" t="s">
        <v>5282</v>
      </c>
      <c r="AE810" s="33">
        <f t="shared" si="180"/>
        <v>0</v>
      </c>
      <c r="AF810" s="43" t="s">
        <v>5277</v>
      </c>
      <c r="AG810" s="128"/>
      <c r="AI810" s="64">
        <f t="shared" si="181"/>
        <v>1.937950937950938E-3</v>
      </c>
      <c r="AJ810" s="313">
        <f>RTD("money.excel",,$G810,"PredictVolume")</f>
        <v>1343</v>
      </c>
      <c r="AK810" s="348"/>
    </row>
    <row r="811" spans="1:37">
      <c r="A811" s="148" t="s">
        <v>5283</v>
      </c>
      <c r="B811" s="82">
        <v>-123</v>
      </c>
      <c r="C811" s="82">
        <v>-78</v>
      </c>
      <c r="D811" s="82">
        <v>-16</v>
      </c>
      <c r="E811" s="82">
        <v>-19</v>
      </c>
      <c r="F811" s="6">
        <v>-20.57</v>
      </c>
      <c r="G811" s="81">
        <v>2374</v>
      </c>
      <c r="H811" s="8" t="s">
        <v>2167</v>
      </c>
      <c r="I811" s="22" t="s">
        <v>5284</v>
      </c>
      <c r="J811" s="75">
        <v>38.96</v>
      </c>
      <c r="K811" s="75">
        <v>9.1</v>
      </c>
      <c r="L811" s="75">
        <v>5.36</v>
      </c>
      <c r="N811" s="325">
        <f t="shared" si="182"/>
        <v>53.42</v>
      </c>
      <c r="O811" s="27"/>
      <c r="P811" s="56"/>
      <c r="Q811" s="26"/>
      <c r="S811" s="330">
        <v>0.02</v>
      </c>
      <c r="T811" s="34">
        <v>0.3</v>
      </c>
      <c r="U811" s="366">
        <f t="shared" si="177"/>
        <v>1.1049723756906077E-2</v>
      </c>
      <c r="V811" s="97">
        <v>-1.63</v>
      </c>
      <c r="W811" s="36">
        <f>RTD("money.excel",,"2374","Price")</f>
        <v>27.15</v>
      </c>
      <c r="X811" s="67"/>
      <c r="Y811" s="15">
        <f t="shared" si="178"/>
        <v>27.15</v>
      </c>
      <c r="Z811" s="3" t="e">
        <f t="shared" si="179"/>
        <v>#DIV/0!</v>
      </c>
      <c r="AA811" s="174" t="s">
        <v>4710</v>
      </c>
      <c r="AB811" s="22" t="s">
        <v>5284</v>
      </c>
      <c r="AE811" s="33">
        <f t="shared" si="180"/>
        <v>0</v>
      </c>
      <c r="AF811" s="122" t="s">
        <v>5285</v>
      </c>
      <c r="AG811" s="128"/>
      <c r="AI811" s="64">
        <f t="shared" si="181"/>
        <v>6.8085106382978723E-3</v>
      </c>
      <c r="AJ811" s="313">
        <f>RTD("money.excel",,$G811,"PredictVolume")</f>
        <v>1920</v>
      </c>
      <c r="AK811" s="348"/>
    </row>
    <row r="812" spans="1:37">
      <c r="A812" s="132" t="s">
        <v>5286</v>
      </c>
      <c r="B812" s="81">
        <v>85</v>
      </c>
      <c r="C812" s="81">
        <v>100</v>
      </c>
      <c r="D812" s="82">
        <v>-6</v>
      </c>
      <c r="E812" s="82">
        <v>-6</v>
      </c>
      <c r="F812" s="58">
        <v>10.74</v>
      </c>
      <c r="G812" s="81">
        <v>2393</v>
      </c>
      <c r="H812" s="8" t="s">
        <v>325</v>
      </c>
      <c r="I812" s="22" t="s">
        <v>5287</v>
      </c>
      <c r="J812" s="75">
        <v>50.36</v>
      </c>
      <c r="K812" s="75">
        <v>39.75</v>
      </c>
      <c r="L812" s="330">
        <v>8.8800000000000008</v>
      </c>
      <c r="M812" s="75">
        <v>7.04</v>
      </c>
      <c r="N812" s="325">
        <f t="shared" si="182"/>
        <v>106.03</v>
      </c>
      <c r="O812" s="27" t="s">
        <v>6162</v>
      </c>
      <c r="P812" s="56"/>
      <c r="Q812" s="26"/>
      <c r="R812" s="308" t="s">
        <v>4375</v>
      </c>
      <c r="S812" s="330">
        <v>3.4</v>
      </c>
      <c r="T812" s="34">
        <v>2.25</v>
      </c>
      <c r="U812" s="366">
        <f t="shared" si="177"/>
        <v>4.6875E-2</v>
      </c>
      <c r="V812" s="58">
        <v>4.51</v>
      </c>
      <c r="W812" s="36">
        <f>RTD("money.excel",,"2393","Price")</f>
        <v>48</v>
      </c>
      <c r="X812" s="67"/>
      <c r="Y812" s="15">
        <f t="shared" si="178"/>
        <v>48</v>
      </c>
      <c r="Z812" s="3" t="e">
        <f t="shared" si="179"/>
        <v>#DIV/0!</v>
      </c>
      <c r="AA812" s="174" t="s">
        <v>1943</v>
      </c>
      <c r="AB812" s="22" t="s">
        <v>5287</v>
      </c>
      <c r="AE812" s="33">
        <f t="shared" si="180"/>
        <v>0</v>
      </c>
      <c r="AF812" s="122" t="s">
        <v>6119</v>
      </c>
      <c r="AG812" s="128"/>
      <c r="AI812" s="64">
        <f t="shared" si="181"/>
        <v>2.7832957110609483E-3</v>
      </c>
      <c r="AJ812" s="313">
        <f>RTD("money.excel",,$G812,"PredictVolume")</f>
        <v>1233</v>
      </c>
      <c r="AK812" s="348">
        <v>11</v>
      </c>
    </row>
    <row r="813" spans="1:37">
      <c r="A813" s="148" t="s">
        <v>2500</v>
      </c>
      <c r="B813" s="81">
        <v>97.9</v>
      </c>
      <c r="C813" s="81">
        <v>155</v>
      </c>
      <c r="D813" s="82">
        <v>-20</v>
      </c>
      <c r="E813" s="82">
        <v>-29</v>
      </c>
      <c r="F813" s="6">
        <v>1.86</v>
      </c>
      <c r="G813" s="81">
        <v>2406</v>
      </c>
      <c r="H813" s="8" t="s">
        <v>325</v>
      </c>
      <c r="I813" s="22" t="s">
        <v>475</v>
      </c>
      <c r="J813" s="330">
        <v>17.48</v>
      </c>
      <c r="K813" s="330">
        <v>11.6</v>
      </c>
      <c r="L813" s="330">
        <v>25.76</v>
      </c>
      <c r="M813" s="330">
        <v>4.66</v>
      </c>
      <c r="N813" s="325">
        <f t="shared" si="182"/>
        <v>59.5</v>
      </c>
      <c r="O813" s="27" t="s">
        <v>1735</v>
      </c>
      <c r="P813" s="56" t="s">
        <v>2252</v>
      </c>
      <c r="Q813" s="26" t="s">
        <v>2252</v>
      </c>
      <c r="R813" s="308" t="s">
        <v>4373</v>
      </c>
      <c r="S813" s="330">
        <v>1.32</v>
      </c>
      <c r="T813" s="34">
        <v>0</v>
      </c>
      <c r="U813" s="366">
        <f t="shared" si="177"/>
        <v>0</v>
      </c>
      <c r="V813" s="97">
        <v>0.41</v>
      </c>
      <c r="W813" s="36">
        <f>RTD("money.excel",,"2406","Price")</f>
        <v>26.15</v>
      </c>
      <c r="X813" s="67"/>
      <c r="Y813" s="15">
        <f t="shared" si="178"/>
        <v>26.15</v>
      </c>
      <c r="Z813" s="3" t="e">
        <f t="shared" si="179"/>
        <v>#DIV/0!</v>
      </c>
      <c r="AA813" s="174" t="s">
        <v>1943</v>
      </c>
      <c r="AB813" s="22" t="s">
        <v>475</v>
      </c>
      <c r="AE813" s="33">
        <f t="shared" si="180"/>
        <v>0</v>
      </c>
      <c r="AF813" s="43" t="s">
        <v>5288</v>
      </c>
      <c r="AG813" s="128"/>
      <c r="AI813" s="64">
        <f t="shared" si="181"/>
        <v>3.5182857142857141E-2</v>
      </c>
      <c r="AJ813" s="313">
        <f>RTD("money.excel",,$G813,"PredictVolume")</f>
        <v>12314</v>
      </c>
      <c r="AK813" s="348">
        <v>52.86</v>
      </c>
    </row>
    <row r="814" spans="1:37">
      <c r="A814" s="132" t="s">
        <v>5289</v>
      </c>
      <c r="B814" s="81">
        <v>965</v>
      </c>
      <c r="C814" s="81">
        <v>950</v>
      </c>
      <c r="D814" s="81">
        <v>1</v>
      </c>
      <c r="E814" s="81">
        <v>19</v>
      </c>
      <c r="F814" s="58">
        <v>18.989999999999998</v>
      </c>
      <c r="G814" s="81">
        <v>2409</v>
      </c>
      <c r="H814" s="8" t="s">
        <v>2167</v>
      </c>
      <c r="I814" s="22" t="s">
        <v>224</v>
      </c>
      <c r="J814" s="330">
        <v>56.49</v>
      </c>
      <c r="K814" s="330">
        <v>32.479999999999997</v>
      </c>
      <c r="L814" s="330">
        <v>11.33</v>
      </c>
      <c r="M814" s="75">
        <v>0.36</v>
      </c>
      <c r="N814" s="325">
        <f t="shared" si="182"/>
        <v>100.66</v>
      </c>
      <c r="O814" s="27"/>
      <c r="P814" s="56"/>
      <c r="Q814" s="26"/>
      <c r="R814" s="308" t="s">
        <v>4375</v>
      </c>
      <c r="S814" s="330">
        <v>9.9499999999999993</v>
      </c>
      <c r="T814" s="34">
        <v>0.3</v>
      </c>
      <c r="U814" s="366">
        <f t="shared" si="177"/>
        <v>1.3953488372093023E-2</v>
      </c>
      <c r="V814" s="58">
        <v>6.22</v>
      </c>
      <c r="W814" s="36">
        <f>RTD("money.excel",,"2409","Price")</f>
        <v>21.5</v>
      </c>
      <c r="X814" s="67"/>
      <c r="Y814" s="15">
        <f t="shared" si="178"/>
        <v>21.5</v>
      </c>
      <c r="Z814" s="3" t="e">
        <f t="shared" si="179"/>
        <v>#DIV/0!</v>
      </c>
      <c r="AA814" s="174" t="s">
        <v>1943</v>
      </c>
      <c r="AB814" s="22" t="s">
        <v>224</v>
      </c>
      <c r="AE814" s="33">
        <f t="shared" si="180"/>
        <v>0</v>
      </c>
      <c r="AF814" s="122" t="s">
        <v>3106</v>
      </c>
      <c r="AG814" s="128"/>
      <c r="AI814" s="64">
        <f t="shared" si="181"/>
        <v>9.5326403326403322E-3</v>
      </c>
      <c r="AJ814" s="313">
        <f>RTD("money.excel",,$G814,"PredictVolume")</f>
        <v>91704</v>
      </c>
      <c r="AK814" s="348"/>
    </row>
    <row r="815" spans="1:37">
      <c r="A815" s="148" t="s">
        <v>5290</v>
      </c>
      <c r="B815" s="82">
        <v>-84</v>
      </c>
      <c r="C815" s="82">
        <v>-105</v>
      </c>
      <c r="D815" s="81">
        <v>1</v>
      </c>
      <c r="E815" s="81">
        <v>8</v>
      </c>
      <c r="F815" s="6">
        <v>-0.46</v>
      </c>
      <c r="G815" s="81">
        <v>2426</v>
      </c>
      <c r="H815" s="210" t="s">
        <v>2167</v>
      </c>
      <c r="I815" s="22" t="s">
        <v>5291</v>
      </c>
      <c r="J815" s="75">
        <v>31.79</v>
      </c>
      <c r="K815" s="75">
        <v>7.96</v>
      </c>
      <c r="L815" s="75">
        <v>18.77</v>
      </c>
      <c r="N815" s="325">
        <f t="shared" si="182"/>
        <v>58.519999999999996</v>
      </c>
      <c r="O815" s="27"/>
      <c r="P815" s="56"/>
      <c r="Q815" s="26"/>
      <c r="S815" s="330">
        <v>7.56</v>
      </c>
      <c r="T815" s="34">
        <v>0.75</v>
      </c>
      <c r="U815" s="366">
        <f t="shared" si="177"/>
        <v>2.9821073558648114E-2</v>
      </c>
      <c r="V815" s="97">
        <v>1.02</v>
      </c>
      <c r="W815" s="36">
        <f>RTD("money.excel",,"2426","Price")</f>
        <v>25.15</v>
      </c>
      <c r="X815" s="67"/>
      <c r="Y815" s="15">
        <f t="shared" si="178"/>
        <v>25.15</v>
      </c>
      <c r="Z815" s="3" t="e">
        <f t="shared" si="179"/>
        <v>#DIV/0!</v>
      </c>
      <c r="AA815" s="174" t="s">
        <v>4710</v>
      </c>
      <c r="AB815" s="22" t="s">
        <v>5291</v>
      </c>
      <c r="AE815" s="33">
        <f t="shared" si="180"/>
        <v>0</v>
      </c>
      <c r="AF815" s="124" t="s">
        <v>5292</v>
      </c>
      <c r="AG815" s="128"/>
      <c r="AI815" s="64">
        <f t="shared" si="181"/>
        <v>2.64E-3</v>
      </c>
      <c r="AJ815" s="313">
        <f>RTD("money.excel",,$G815,"PredictVolume")</f>
        <v>792</v>
      </c>
      <c r="AK815" s="348"/>
    </row>
    <row r="816" spans="1:37">
      <c r="A816" s="148" t="s">
        <v>5293</v>
      </c>
      <c r="B816" s="93">
        <v>116</v>
      </c>
      <c r="C816" s="93">
        <v>-78</v>
      </c>
      <c r="D816" s="93">
        <v>27</v>
      </c>
      <c r="E816" s="93">
        <v>47</v>
      </c>
      <c r="F816" s="6">
        <v>1.87</v>
      </c>
      <c r="G816" s="81">
        <v>2438</v>
      </c>
      <c r="H816" s="8" t="s">
        <v>2167</v>
      </c>
      <c r="I816" s="22" t="s">
        <v>5294</v>
      </c>
      <c r="J816" s="75">
        <v>70.260000000000005</v>
      </c>
      <c r="K816" s="75">
        <v>0.06</v>
      </c>
      <c r="N816" s="325">
        <f t="shared" si="182"/>
        <v>70.320000000000007</v>
      </c>
      <c r="O816" s="27"/>
      <c r="P816" s="56"/>
      <c r="Q816" s="26"/>
      <c r="S816" s="330">
        <v>46.05</v>
      </c>
      <c r="T816" s="34">
        <v>0</v>
      </c>
      <c r="U816" s="366">
        <f t="shared" si="177"/>
        <v>0</v>
      </c>
      <c r="V816" s="97">
        <v>0.05</v>
      </c>
      <c r="W816" s="13">
        <f>RTD("money.excel",,"2438","Price")</f>
        <v>13.85</v>
      </c>
      <c r="X816" s="67"/>
      <c r="Y816" s="15">
        <f t="shared" si="178"/>
        <v>13.85</v>
      </c>
      <c r="Z816" s="3" t="e">
        <f t="shared" si="179"/>
        <v>#DIV/0!</v>
      </c>
      <c r="AB816" s="22" t="s">
        <v>5294</v>
      </c>
      <c r="AE816" s="33">
        <f t="shared" si="180"/>
        <v>0</v>
      </c>
      <c r="AF816" s="43" t="s">
        <v>5295</v>
      </c>
      <c r="AG816" s="128"/>
      <c r="AI816" s="64">
        <f t="shared" si="181"/>
        <v>1.1627906976744188E-3</v>
      </c>
      <c r="AJ816" s="313">
        <f>RTD("money.excel",,$G816,"PredictVolume")</f>
        <v>70</v>
      </c>
      <c r="AK816" s="348"/>
    </row>
    <row r="817" spans="1:37">
      <c r="A817" s="148" t="s">
        <v>5296</v>
      </c>
      <c r="B817" s="93">
        <v>912</v>
      </c>
      <c r="C817" s="93">
        <v>-173</v>
      </c>
      <c r="D817" s="93">
        <v>-17</v>
      </c>
      <c r="E817" s="93">
        <v>53</v>
      </c>
      <c r="F817" s="6">
        <v>2.44</v>
      </c>
      <c r="G817" s="81">
        <v>2466</v>
      </c>
      <c r="H817" s="8" t="s">
        <v>2167</v>
      </c>
      <c r="I817" s="22" t="s">
        <v>5297</v>
      </c>
      <c r="J817" s="75">
        <v>96.04</v>
      </c>
      <c r="K817" s="75">
        <v>12.37</v>
      </c>
      <c r="L817" s="75">
        <v>8.59</v>
      </c>
      <c r="N817" s="325">
        <f t="shared" si="182"/>
        <v>117.00000000000001</v>
      </c>
      <c r="O817" s="27"/>
      <c r="P817" s="56"/>
      <c r="Q817" s="26"/>
      <c r="S817" s="330">
        <v>10.44</v>
      </c>
      <c r="T817" s="34">
        <v>0</v>
      </c>
      <c r="U817" s="366">
        <f t="shared" si="177"/>
        <v>0</v>
      </c>
      <c r="V817" s="97">
        <v>0.04</v>
      </c>
      <c r="W817" s="13">
        <f>RTD("money.excel",,"2466","Price")</f>
        <v>34</v>
      </c>
      <c r="X817" s="67"/>
      <c r="Y817" s="15">
        <f t="shared" si="178"/>
        <v>34</v>
      </c>
      <c r="Z817" s="3" t="e">
        <f t="shared" si="179"/>
        <v>#DIV/0!</v>
      </c>
      <c r="AB817" s="22" t="s">
        <v>5297</v>
      </c>
      <c r="AE817" s="33">
        <f t="shared" si="180"/>
        <v>0</v>
      </c>
      <c r="AF817" s="43" t="s">
        <v>5298</v>
      </c>
      <c r="AG817" s="128"/>
      <c r="AI817" s="64">
        <f t="shared" si="181"/>
        <v>3.2692307692307692E-4</v>
      </c>
      <c r="AJ817" s="313">
        <f>RTD("money.excel",,$G817,"PredictVolume")</f>
        <v>51</v>
      </c>
      <c r="AK817" s="348"/>
    </row>
    <row r="818" spans="1:37">
      <c r="A818" s="148" t="s">
        <v>5299</v>
      </c>
      <c r="B818" s="81">
        <v>400</v>
      </c>
      <c r="C818" s="81">
        <v>905</v>
      </c>
      <c r="D818" s="81">
        <v>1</v>
      </c>
      <c r="E818" s="81">
        <v>46</v>
      </c>
      <c r="F818" s="6">
        <v>9.85</v>
      </c>
      <c r="G818" s="81">
        <v>2486</v>
      </c>
      <c r="H818" s="8" t="s">
        <v>2167</v>
      </c>
      <c r="I818" s="22" t="s">
        <v>5300</v>
      </c>
      <c r="J818" s="330">
        <v>33.33</v>
      </c>
      <c r="K818" s="330">
        <v>2.9</v>
      </c>
      <c r="L818" s="330">
        <v>41.72</v>
      </c>
      <c r="N818" s="325">
        <f t="shared" si="182"/>
        <v>77.949999999999989</v>
      </c>
      <c r="O818" s="27"/>
      <c r="P818" s="56"/>
      <c r="Q818" s="26"/>
      <c r="S818" s="330">
        <v>7.82</v>
      </c>
      <c r="T818" s="34">
        <v>0</v>
      </c>
      <c r="U818" s="366">
        <f t="shared" si="177"/>
        <v>0</v>
      </c>
      <c r="V818" s="97">
        <v>0.67</v>
      </c>
      <c r="W818" s="36">
        <f>RTD("money.excel",,"2486","Price")</f>
        <v>40.799999999999997</v>
      </c>
      <c r="X818" s="67"/>
      <c r="Y818" s="15">
        <f t="shared" si="178"/>
        <v>40.799999999999997</v>
      </c>
      <c r="Z818" s="3" t="e">
        <f t="shared" si="179"/>
        <v>#DIV/0!</v>
      </c>
      <c r="AA818" s="174" t="s">
        <v>4710</v>
      </c>
      <c r="AB818" s="22" t="s">
        <v>5300</v>
      </c>
      <c r="AE818" s="33">
        <f t="shared" si="180"/>
        <v>0</v>
      </c>
      <c r="AF818" s="43" t="s">
        <v>3107</v>
      </c>
      <c r="AG818" s="128"/>
      <c r="AI818" s="64">
        <f t="shared" si="181"/>
        <v>8.8910891089108903E-3</v>
      </c>
      <c r="AJ818" s="313">
        <f>RTD("money.excel",,$G818,"PredictVolume")</f>
        <v>1796</v>
      </c>
      <c r="AK818" s="348"/>
    </row>
    <row r="819" spans="1:37">
      <c r="A819" s="148">
        <v>80.900000000000006</v>
      </c>
      <c r="B819" s="82">
        <v>-25</v>
      </c>
      <c r="C819" s="96">
        <v>-1159</v>
      </c>
      <c r="D819" s="82">
        <v>-1</v>
      </c>
      <c r="E819" s="81">
        <v>24</v>
      </c>
      <c r="F819" s="6">
        <v>-3.27</v>
      </c>
      <c r="G819" s="81">
        <v>2489</v>
      </c>
      <c r="H819" s="210" t="s">
        <v>2167</v>
      </c>
      <c r="I819" s="160" t="s">
        <v>5301</v>
      </c>
      <c r="J819" s="75">
        <v>26.79</v>
      </c>
      <c r="K819" s="330">
        <v>13.68</v>
      </c>
      <c r="L819" s="330">
        <v>3.51</v>
      </c>
      <c r="N819" s="325">
        <f t="shared" si="182"/>
        <v>43.98</v>
      </c>
      <c r="O819" s="27"/>
      <c r="P819" s="56"/>
      <c r="Q819" s="26"/>
      <c r="S819" s="330">
        <v>0.24</v>
      </c>
      <c r="T819" s="199">
        <v>0</v>
      </c>
      <c r="U819" s="366">
        <f t="shared" si="177"/>
        <v>0</v>
      </c>
      <c r="V819" s="97">
        <v>0.68</v>
      </c>
      <c r="W819" s="36">
        <f>RTD("money.excel",,"2489","Price")</f>
        <v>15.35</v>
      </c>
      <c r="X819" s="67"/>
      <c r="Y819" s="15">
        <f t="shared" si="178"/>
        <v>15.35</v>
      </c>
      <c r="Z819" s="3" t="e">
        <f t="shared" si="179"/>
        <v>#DIV/0!</v>
      </c>
      <c r="AA819" s="174" t="s">
        <v>4710</v>
      </c>
      <c r="AB819" s="22" t="s">
        <v>5301</v>
      </c>
      <c r="AE819" s="33">
        <f t="shared" si="180"/>
        <v>0</v>
      </c>
      <c r="AF819" s="122" t="s">
        <v>5302</v>
      </c>
      <c r="AG819" s="128"/>
      <c r="AI819" s="64">
        <f t="shared" si="181"/>
        <v>1.5265760197775032E-3</v>
      </c>
      <c r="AJ819" s="313">
        <f>RTD("money.excel",,$G819,"PredictVolume")</f>
        <v>1235</v>
      </c>
      <c r="AK819" s="348"/>
    </row>
    <row r="820" spans="1:37">
      <c r="A820" s="148" t="s">
        <v>5303</v>
      </c>
      <c r="B820" s="93">
        <v>-879</v>
      </c>
      <c r="C820" s="93">
        <v>-183</v>
      </c>
      <c r="D820" s="93">
        <v>-65</v>
      </c>
      <c r="E820" s="93">
        <v>58</v>
      </c>
      <c r="F820" s="6">
        <v>-24.42</v>
      </c>
      <c r="G820" s="81">
        <v>2491</v>
      </c>
      <c r="H820" s="8" t="s">
        <v>2167</v>
      </c>
      <c r="I820" s="22" t="s">
        <v>5304</v>
      </c>
      <c r="J820" s="75">
        <v>74.98</v>
      </c>
      <c r="K820" s="75">
        <v>8.06</v>
      </c>
      <c r="N820" s="325">
        <f t="shared" si="182"/>
        <v>83.04</v>
      </c>
      <c r="O820" s="27"/>
      <c r="P820" s="56"/>
      <c r="Q820" s="26"/>
      <c r="S820" s="330">
        <v>43.24</v>
      </c>
      <c r="T820" s="34">
        <v>0.4</v>
      </c>
      <c r="U820" s="366">
        <f t="shared" si="177"/>
        <v>2.15633423180593E-2</v>
      </c>
      <c r="V820" s="97">
        <v>1.5</v>
      </c>
      <c r="W820" s="13">
        <f>RTD("money.excel",,"2491","Price")</f>
        <v>18.55</v>
      </c>
      <c r="X820" s="67"/>
      <c r="Y820" s="15">
        <f t="shared" si="178"/>
        <v>18.55</v>
      </c>
      <c r="Z820" s="3" t="e">
        <f t="shared" si="179"/>
        <v>#DIV/0!</v>
      </c>
      <c r="AB820" s="22" t="s">
        <v>5304</v>
      </c>
      <c r="AE820" s="33">
        <f t="shared" si="180"/>
        <v>0</v>
      </c>
      <c r="AF820" s="43" t="s">
        <v>5305</v>
      </c>
      <c r="AG820" s="128"/>
      <c r="AI820" s="64">
        <f t="shared" si="181"/>
        <v>3.6463414634146343E-3</v>
      </c>
      <c r="AJ820" s="313">
        <f>RTD("money.excel",,$G820,"PredictVolume")</f>
        <v>299</v>
      </c>
      <c r="AK820" s="348"/>
    </row>
    <row r="821" spans="1:37">
      <c r="A821" s="132" t="s">
        <v>1793</v>
      </c>
      <c r="B821" s="82">
        <v>-22</v>
      </c>
      <c r="C821" s="82">
        <v>-27</v>
      </c>
      <c r="D821" s="81">
        <v>3</v>
      </c>
      <c r="E821" s="82">
        <v>-8</v>
      </c>
      <c r="F821" s="58">
        <v>50.63</v>
      </c>
      <c r="G821" s="81">
        <v>3008</v>
      </c>
      <c r="H821" s="17" t="s">
        <v>2167</v>
      </c>
      <c r="I821" s="22" t="s">
        <v>2111</v>
      </c>
      <c r="J821" s="333">
        <v>44.53</v>
      </c>
      <c r="K821" s="330">
        <v>41.76</v>
      </c>
      <c r="L821" s="75">
        <v>6.41</v>
      </c>
      <c r="M821" s="75">
        <v>28.5</v>
      </c>
      <c r="N821" s="325">
        <f t="shared" si="182"/>
        <v>121.19999999999999</v>
      </c>
      <c r="O821" s="27"/>
      <c r="P821" s="56"/>
      <c r="Q821" s="26"/>
      <c r="R821" s="308" t="s">
        <v>4373</v>
      </c>
      <c r="S821" s="330">
        <v>2.12</v>
      </c>
      <c r="T821" s="223">
        <v>31</v>
      </c>
      <c r="U821" s="366">
        <f t="shared" si="177"/>
        <v>1.5617128463476071E-2</v>
      </c>
      <c r="V821" s="97">
        <v>152.77000000000001</v>
      </c>
      <c r="W821" s="65">
        <f>RTD("money.excel",,"3008","Price")</f>
        <v>1985</v>
      </c>
      <c r="X821" s="66"/>
      <c r="Y821" s="143">
        <f t="shared" si="178"/>
        <v>1985</v>
      </c>
      <c r="Z821" s="3" t="e">
        <f t="shared" si="179"/>
        <v>#DIV/0!</v>
      </c>
      <c r="AA821" s="174" t="s">
        <v>2185</v>
      </c>
      <c r="AB821" s="22" t="s">
        <v>2111</v>
      </c>
      <c r="AE821" s="33">
        <f t="shared" si="180"/>
        <v>0</v>
      </c>
      <c r="AF821" s="43" t="s">
        <v>5306</v>
      </c>
      <c r="AG821" s="128"/>
      <c r="AI821" s="64">
        <f t="shared" si="181"/>
        <v>1.7761194029850746E-3</v>
      </c>
      <c r="AJ821" s="313">
        <f>RTD("money.excel",,$G821,"PredictVolume")</f>
        <v>238</v>
      </c>
      <c r="AK821" s="348">
        <v>12.06</v>
      </c>
    </row>
    <row r="822" spans="1:37">
      <c r="A822" s="148" t="s">
        <v>5016</v>
      </c>
      <c r="B822" s="82">
        <v>-73</v>
      </c>
      <c r="C822" s="82">
        <v>-71</v>
      </c>
      <c r="D822" s="82">
        <v>-1</v>
      </c>
      <c r="E822" s="82">
        <v>-13</v>
      </c>
      <c r="F822" s="6">
        <v>2.8</v>
      </c>
      <c r="G822" s="81">
        <v>3019</v>
      </c>
      <c r="H822" s="206" t="s">
        <v>2167</v>
      </c>
      <c r="I822" s="22" t="s">
        <v>5307</v>
      </c>
      <c r="J822" s="75">
        <v>41.24</v>
      </c>
      <c r="K822" s="75">
        <v>9.09</v>
      </c>
      <c r="L822" s="75">
        <v>19.05</v>
      </c>
      <c r="N822" s="325">
        <f t="shared" si="182"/>
        <v>69.38</v>
      </c>
      <c r="O822" s="27"/>
      <c r="P822" s="56"/>
      <c r="Q822" s="26"/>
      <c r="S822" s="330">
        <v>0.64</v>
      </c>
      <c r="T822" s="34">
        <v>1</v>
      </c>
      <c r="U822" s="366">
        <f t="shared" si="177"/>
        <v>1.3020833333333334E-2</v>
      </c>
      <c r="V822" s="97">
        <v>1.41</v>
      </c>
      <c r="W822" s="36">
        <f>RTD("money.excel",,"3019","Price")</f>
        <v>76.8</v>
      </c>
      <c r="X822" s="67"/>
      <c r="Y822" s="15">
        <f t="shared" si="178"/>
        <v>76.8</v>
      </c>
      <c r="Z822" s="3" t="e">
        <f t="shared" si="179"/>
        <v>#DIV/0!</v>
      </c>
      <c r="AA822" s="174" t="s">
        <v>4710</v>
      </c>
      <c r="AB822" s="22" t="s">
        <v>5307</v>
      </c>
      <c r="AE822" s="33">
        <f t="shared" si="180"/>
        <v>0</v>
      </c>
      <c r="AF822" s="122" t="s">
        <v>2443</v>
      </c>
      <c r="AG822" s="128"/>
      <c r="AI822" s="64">
        <f t="shared" si="181"/>
        <v>4.5053380782918151E-3</v>
      </c>
      <c r="AJ822" s="313">
        <f>RTD("money.excel",,$G822,"PredictVolume")</f>
        <v>1266</v>
      </c>
      <c r="AK822" s="348"/>
    </row>
    <row r="823" spans="1:37">
      <c r="A823" s="148" t="s">
        <v>5258</v>
      </c>
      <c r="B823" s="93">
        <v>14</v>
      </c>
      <c r="C823" s="93">
        <v>31</v>
      </c>
      <c r="D823" s="93">
        <v>78</v>
      </c>
      <c r="E823" s="93">
        <v>59</v>
      </c>
      <c r="F823" s="6">
        <v>3.92</v>
      </c>
      <c r="G823" s="81">
        <v>3024</v>
      </c>
      <c r="H823" s="8" t="s">
        <v>2167</v>
      </c>
      <c r="I823" s="22" t="s">
        <v>5308</v>
      </c>
      <c r="J823" s="330">
        <v>51.78</v>
      </c>
      <c r="K823" s="330">
        <v>1.33</v>
      </c>
      <c r="L823" s="330">
        <v>0</v>
      </c>
      <c r="N823" s="325">
        <f t="shared" si="182"/>
        <v>53.11</v>
      </c>
      <c r="O823" s="27"/>
      <c r="P823" s="56"/>
      <c r="Q823" s="26"/>
      <c r="S823" s="330">
        <v>18.03</v>
      </c>
      <c r="T823" s="34">
        <v>0.1</v>
      </c>
      <c r="U823" s="366">
        <f t="shared" si="177"/>
        <v>8.1967213114754103E-3</v>
      </c>
      <c r="V823" s="97">
        <v>0.17</v>
      </c>
      <c r="W823" s="13">
        <f>RTD("money.excel",,"3024","Price")</f>
        <v>12.2</v>
      </c>
      <c r="X823" s="67"/>
      <c r="Y823" s="15">
        <f t="shared" si="178"/>
        <v>12.2</v>
      </c>
      <c r="Z823" s="3" t="e">
        <f t="shared" si="179"/>
        <v>#DIV/0!</v>
      </c>
      <c r="AB823" s="22" t="s">
        <v>5308</v>
      </c>
      <c r="AE823" s="33">
        <f t="shared" si="180"/>
        <v>0</v>
      </c>
      <c r="AF823" s="43" t="s">
        <v>5309</v>
      </c>
      <c r="AG823" s="128"/>
      <c r="AI823" s="64">
        <f t="shared" si="181"/>
        <v>8.5920577617328519E-4</v>
      </c>
      <c r="AJ823" s="313">
        <f>RTD("money.excel",,$G823,"PredictVolume")</f>
        <v>238</v>
      </c>
      <c r="AK823" s="348"/>
    </row>
    <row r="824" spans="1:37">
      <c r="A824" s="148" t="s">
        <v>5041</v>
      </c>
      <c r="B824" s="81">
        <v>218</v>
      </c>
      <c r="C824" s="81">
        <v>657</v>
      </c>
      <c r="D824" s="82">
        <v>-7</v>
      </c>
      <c r="E824" s="82">
        <v>-8</v>
      </c>
      <c r="F824" s="6">
        <v>8.02</v>
      </c>
      <c r="G824" s="81">
        <v>3031</v>
      </c>
      <c r="H824" s="8" t="s">
        <v>2167</v>
      </c>
      <c r="I824" s="22" t="s">
        <v>5310</v>
      </c>
      <c r="J824" s="75">
        <v>59.66</v>
      </c>
      <c r="K824" s="75">
        <v>3.12</v>
      </c>
      <c r="L824" s="330">
        <v>3.28</v>
      </c>
      <c r="N824" s="325">
        <f t="shared" si="182"/>
        <v>66.059999999999988</v>
      </c>
      <c r="O824" s="27"/>
      <c r="P824" s="56"/>
      <c r="Q824" s="26"/>
      <c r="S824" s="330">
        <v>49.38</v>
      </c>
      <c r="T824" s="34">
        <v>0.8</v>
      </c>
      <c r="U824" s="366">
        <f t="shared" si="177"/>
        <v>3.8095238095238099E-2</v>
      </c>
      <c r="V824" s="58">
        <v>0.74</v>
      </c>
      <c r="W824" s="36">
        <f>RTD("money.excel",,"3031","Price")</f>
        <v>21</v>
      </c>
      <c r="X824" s="67"/>
      <c r="Y824" s="15">
        <f t="shared" si="178"/>
        <v>21</v>
      </c>
      <c r="Z824" s="3" t="e">
        <f t="shared" si="179"/>
        <v>#DIV/0!</v>
      </c>
      <c r="AA824" s="174" t="s">
        <v>4710</v>
      </c>
      <c r="AB824" s="22" t="s">
        <v>5310</v>
      </c>
      <c r="AE824" s="33">
        <f t="shared" si="180"/>
        <v>0</v>
      </c>
      <c r="AF824" s="43" t="s">
        <v>5311</v>
      </c>
      <c r="AG824" s="128"/>
      <c r="AI824" s="64">
        <f t="shared" si="181"/>
        <v>1.1215469613259669E-3</v>
      </c>
      <c r="AJ824" s="313">
        <f>RTD("money.excel",,$G824,"PredictVolume")</f>
        <v>203</v>
      </c>
      <c r="AK824" s="348"/>
    </row>
    <row r="825" spans="1:37">
      <c r="A825" s="148" t="s">
        <v>5312</v>
      </c>
      <c r="B825" s="81">
        <v>-8</v>
      </c>
      <c r="C825" s="81">
        <v>17</v>
      </c>
      <c r="D825" s="81">
        <v>9</v>
      </c>
      <c r="E825" s="82">
        <v>-15</v>
      </c>
      <c r="F825" s="6">
        <v>9.36</v>
      </c>
      <c r="G825" s="81">
        <v>3038</v>
      </c>
      <c r="H825" s="8" t="s">
        <v>2167</v>
      </c>
      <c r="I825" s="22" t="s">
        <v>5313</v>
      </c>
      <c r="J825" s="75">
        <v>26.62</v>
      </c>
      <c r="K825" s="75">
        <v>1.93</v>
      </c>
      <c r="L825" s="75">
        <v>22.17</v>
      </c>
      <c r="N825" s="325">
        <f t="shared" si="182"/>
        <v>50.72</v>
      </c>
      <c r="O825" s="27"/>
      <c r="P825" s="56"/>
      <c r="Q825" s="26"/>
      <c r="S825" s="330">
        <v>0.18</v>
      </c>
      <c r="T825" s="34">
        <v>1.2</v>
      </c>
      <c r="U825" s="366">
        <f t="shared" si="177"/>
        <v>6.2992125984251968E-2</v>
      </c>
      <c r="V825" s="97">
        <v>1.57</v>
      </c>
      <c r="W825" s="36">
        <f>RTD("money.excel",,"3038","Price")</f>
        <v>19.05</v>
      </c>
      <c r="X825" s="67"/>
      <c r="Y825" s="15">
        <f t="shared" si="178"/>
        <v>19.05</v>
      </c>
      <c r="Z825" s="3" t="e">
        <f t="shared" si="179"/>
        <v>#DIV/0!</v>
      </c>
      <c r="AA825" s="174" t="s">
        <v>4710</v>
      </c>
      <c r="AB825" s="22" t="s">
        <v>5313</v>
      </c>
      <c r="AE825" s="33">
        <f t="shared" si="180"/>
        <v>0</v>
      </c>
      <c r="AF825" s="43" t="s">
        <v>5314</v>
      </c>
      <c r="AG825" s="128"/>
      <c r="AI825" s="64">
        <f t="shared" si="181"/>
        <v>2.3209876543209876E-3</v>
      </c>
      <c r="AJ825" s="313">
        <f>RTD("money.excel",,$G825,"PredictVolume")</f>
        <v>376</v>
      </c>
      <c r="AK825" s="348"/>
    </row>
    <row r="826" spans="1:37">
      <c r="A826" s="148" t="s">
        <v>5315</v>
      </c>
      <c r="B826" s="82">
        <v>-82</v>
      </c>
      <c r="C826" s="82">
        <v>-82</v>
      </c>
      <c r="D826" s="81">
        <v>54</v>
      </c>
      <c r="E826" s="81">
        <v>3</v>
      </c>
      <c r="F826" s="6">
        <v>7.97</v>
      </c>
      <c r="G826" s="81">
        <v>3049</v>
      </c>
      <c r="H826" s="8" t="s">
        <v>2167</v>
      </c>
      <c r="I826" s="22" t="s">
        <v>5316</v>
      </c>
      <c r="J826" s="75">
        <v>48.42</v>
      </c>
      <c r="K826" s="75">
        <v>9.7100000000000009</v>
      </c>
      <c r="L826" s="75">
        <v>13.92</v>
      </c>
      <c r="N826" s="325">
        <f t="shared" si="182"/>
        <v>72.05</v>
      </c>
      <c r="O826" s="27"/>
      <c r="P826" s="56"/>
      <c r="Q826" s="26"/>
      <c r="S826" s="330">
        <v>0.24</v>
      </c>
      <c r="T826" s="34">
        <v>0.39</v>
      </c>
      <c r="U826" s="366">
        <f t="shared" si="177"/>
        <v>2.8260869565217391E-2</v>
      </c>
      <c r="V826" s="97">
        <v>0.43</v>
      </c>
      <c r="W826" s="36">
        <f>RTD("money.excel",,"3049","Price")</f>
        <v>13.8</v>
      </c>
      <c r="X826" s="67"/>
      <c r="Y826" s="15">
        <f t="shared" si="178"/>
        <v>13.8</v>
      </c>
      <c r="Z826" s="3" t="e">
        <f t="shared" si="179"/>
        <v>#DIV/0!</v>
      </c>
      <c r="AA826" s="174" t="s">
        <v>4710</v>
      </c>
      <c r="AB826" s="22" t="s">
        <v>5316</v>
      </c>
      <c r="AE826" s="33">
        <f t="shared" si="180"/>
        <v>0</v>
      </c>
      <c r="AF826" s="122" t="s">
        <v>5317</v>
      </c>
      <c r="AG826" s="128"/>
      <c r="AI826" s="64">
        <f t="shared" si="181"/>
        <v>2.5955334987593053E-3</v>
      </c>
      <c r="AJ826" s="313">
        <f>RTD("money.excel",,$G826,"PredictVolume")</f>
        <v>2092</v>
      </c>
      <c r="AK826" s="348"/>
    </row>
    <row r="827" spans="1:37">
      <c r="A827" s="132" t="s">
        <v>4752</v>
      </c>
      <c r="B827" s="81">
        <v>13</v>
      </c>
      <c r="C827" s="82">
        <v>-19</v>
      </c>
      <c r="D827" s="81">
        <v>5</v>
      </c>
      <c r="E827" s="82">
        <v>-8</v>
      </c>
      <c r="F827" s="58">
        <v>14.32</v>
      </c>
      <c r="G827" s="81">
        <v>3050</v>
      </c>
      <c r="H827" s="8" t="s">
        <v>2167</v>
      </c>
      <c r="I827" s="22" t="s">
        <v>5318</v>
      </c>
      <c r="J827" s="75">
        <v>43.74</v>
      </c>
      <c r="K827" s="75">
        <v>7.01</v>
      </c>
      <c r="L827" s="330">
        <v>18.53</v>
      </c>
      <c r="N827" s="325">
        <f t="shared" si="182"/>
        <v>69.28</v>
      </c>
      <c r="O827" s="27"/>
      <c r="P827" s="56"/>
      <c r="Q827" s="26"/>
      <c r="S827" s="330">
        <v>0.06</v>
      </c>
      <c r="T827" s="34">
        <v>0.6</v>
      </c>
      <c r="U827" s="366">
        <f t="shared" si="177"/>
        <v>3.3240997229916892E-2</v>
      </c>
      <c r="V827" s="97">
        <v>0.84</v>
      </c>
      <c r="W827" s="36">
        <f>RTD("money.excel",,"3050","Price")</f>
        <v>18.05</v>
      </c>
      <c r="X827" s="67"/>
      <c r="Y827" s="15">
        <f t="shared" si="178"/>
        <v>18.05</v>
      </c>
      <c r="Z827" s="3" t="e">
        <f t="shared" si="179"/>
        <v>#DIV/0!</v>
      </c>
      <c r="AA827" s="174" t="s">
        <v>4710</v>
      </c>
      <c r="AB827" s="22" t="s">
        <v>5318</v>
      </c>
      <c r="AE827" s="33">
        <f t="shared" si="180"/>
        <v>0</v>
      </c>
      <c r="AF827" s="43" t="s">
        <v>5319</v>
      </c>
      <c r="AG827" s="128"/>
      <c r="AI827" s="64">
        <f t="shared" si="181"/>
        <v>6.3972602739726025E-3</v>
      </c>
      <c r="AJ827" s="313">
        <f>RTD("money.excel",,$G827,"PredictVolume")</f>
        <v>934</v>
      </c>
      <c r="AK827" s="348"/>
    </row>
    <row r="828" spans="1:37">
      <c r="A828" s="132" t="s">
        <v>5021</v>
      </c>
      <c r="B828" s="95">
        <v>2049</v>
      </c>
      <c r="C828" s="81">
        <v>324</v>
      </c>
      <c r="D828" s="81">
        <v>6</v>
      </c>
      <c r="E828" s="81">
        <v>47</v>
      </c>
      <c r="F828" s="58">
        <v>10.54</v>
      </c>
      <c r="G828" s="81">
        <v>3051</v>
      </c>
      <c r="H828" s="8" t="s">
        <v>2167</v>
      </c>
      <c r="I828" s="22" t="s">
        <v>5320</v>
      </c>
      <c r="J828" s="330">
        <v>42.02</v>
      </c>
      <c r="K828" s="75">
        <v>1.34</v>
      </c>
      <c r="L828" s="330"/>
      <c r="N828" s="325">
        <f t="shared" si="182"/>
        <v>43.360000000000007</v>
      </c>
      <c r="O828" s="27"/>
      <c r="P828" s="56"/>
      <c r="Q828" s="26"/>
      <c r="T828" s="34">
        <v>0</v>
      </c>
      <c r="U828" s="366">
        <f t="shared" si="177"/>
        <v>0</v>
      </c>
      <c r="V828" s="97">
        <v>2.3199999999999998</v>
      </c>
      <c r="W828" s="36">
        <f>RTD("money.excel",,"3051","Price")</f>
        <v>22.5</v>
      </c>
      <c r="X828" s="67"/>
      <c r="Y828" s="15">
        <f t="shared" si="178"/>
        <v>22.5</v>
      </c>
      <c r="Z828" s="3" t="e">
        <f t="shared" si="179"/>
        <v>#DIV/0!</v>
      </c>
      <c r="AA828" s="174" t="s">
        <v>4710</v>
      </c>
      <c r="AB828" s="22" t="s">
        <v>5320</v>
      </c>
      <c r="AE828" s="33">
        <f t="shared" si="180"/>
        <v>0</v>
      </c>
      <c r="AF828" s="43" t="s">
        <v>5321</v>
      </c>
      <c r="AG828" s="128"/>
      <c r="AI828" s="64">
        <f t="shared" si="181"/>
        <v>5.2061538461538465E-3</v>
      </c>
      <c r="AJ828" s="313">
        <f>RTD("money.excel",,$G828,"PredictVolume")</f>
        <v>1692</v>
      </c>
      <c r="AK828" s="348"/>
    </row>
    <row r="829" spans="1:37">
      <c r="A829" s="148" t="s">
        <v>5148</v>
      </c>
      <c r="B829" s="82">
        <v>-102</v>
      </c>
      <c r="C829" s="82">
        <v>-271</v>
      </c>
      <c r="D829" s="82">
        <v>-22</v>
      </c>
      <c r="E829" s="82">
        <v>-26</v>
      </c>
      <c r="F829" s="6">
        <v>-2.5299999999999998</v>
      </c>
      <c r="G829" s="81">
        <v>3059</v>
      </c>
      <c r="H829" s="210" t="s">
        <v>2167</v>
      </c>
      <c r="I829" s="22" t="s">
        <v>5322</v>
      </c>
      <c r="J829" s="75">
        <v>35.24</v>
      </c>
      <c r="K829" s="75">
        <v>13.2</v>
      </c>
      <c r="L829" s="75">
        <v>9.24</v>
      </c>
      <c r="N829" s="325">
        <f t="shared" si="182"/>
        <v>57.68</v>
      </c>
      <c r="O829" s="27"/>
      <c r="P829" s="56"/>
      <c r="Q829" s="26"/>
      <c r="S829" s="330">
        <v>5.61</v>
      </c>
      <c r="T829" s="34">
        <v>0.5</v>
      </c>
      <c r="U829" s="366">
        <f t="shared" si="177"/>
        <v>1.1574074074074073E-2</v>
      </c>
      <c r="V829" s="97">
        <v>0.6</v>
      </c>
      <c r="W829" s="36">
        <f>RTD("money.excel",,"3059","Price")</f>
        <v>43.2</v>
      </c>
      <c r="X829" s="67"/>
      <c r="Y829" s="15">
        <f t="shared" si="178"/>
        <v>43.2</v>
      </c>
      <c r="Z829" s="3" t="e">
        <f t="shared" si="179"/>
        <v>#DIV/0!</v>
      </c>
      <c r="AA829" s="174" t="s">
        <v>4710</v>
      </c>
      <c r="AB829" s="22" t="s">
        <v>5322</v>
      </c>
      <c r="AE829" s="33">
        <f t="shared" si="180"/>
        <v>0</v>
      </c>
      <c r="AF829" s="122" t="s">
        <v>5323</v>
      </c>
      <c r="AG829" s="128"/>
      <c r="AI829" s="64">
        <f t="shared" si="181"/>
        <v>3.8612903225806454E-2</v>
      </c>
      <c r="AJ829" s="313">
        <f>RTD("money.excel",,$G829,"PredictVolume")</f>
        <v>10773</v>
      </c>
      <c r="AK829" s="348"/>
    </row>
    <row r="830" spans="1:37">
      <c r="A830" s="148" t="s">
        <v>5324</v>
      </c>
      <c r="B830" s="93">
        <v>-253</v>
      </c>
      <c r="C830" s="93">
        <v>-93</v>
      </c>
      <c r="D830" s="93">
        <v>-2</v>
      </c>
      <c r="E830" s="93">
        <v>53</v>
      </c>
      <c r="F830" s="6">
        <v>-8.3699999999999992</v>
      </c>
      <c r="G830" s="81">
        <v>3066</v>
      </c>
      <c r="H830" s="8" t="s">
        <v>2167</v>
      </c>
      <c r="I830" s="16" t="s">
        <v>5325</v>
      </c>
      <c r="J830" s="75">
        <v>70.61</v>
      </c>
      <c r="K830" s="75">
        <v>0</v>
      </c>
      <c r="N830" s="325">
        <f t="shared" si="182"/>
        <v>70.61</v>
      </c>
      <c r="O830" s="27"/>
      <c r="P830" s="56"/>
      <c r="Q830" s="26"/>
      <c r="S830" s="330">
        <v>0</v>
      </c>
      <c r="T830" s="34">
        <v>0</v>
      </c>
      <c r="U830" s="366">
        <f t="shared" si="177"/>
        <v>0</v>
      </c>
      <c r="V830" s="97">
        <v>0.54</v>
      </c>
      <c r="W830" s="13">
        <f>RTD("money.excel",,"3066","Price")</f>
        <v>37.5</v>
      </c>
      <c r="X830" s="67"/>
      <c r="Y830" s="15">
        <f t="shared" si="178"/>
        <v>37.5</v>
      </c>
      <c r="Z830" s="3" t="e">
        <f t="shared" si="179"/>
        <v>#DIV/0!</v>
      </c>
      <c r="AB830" s="16" t="s">
        <v>5325</v>
      </c>
      <c r="AE830" s="33">
        <f t="shared" si="180"/>
        <v>0</v>
      </c>
      <c r="AF830" s="43" t="s">
        <v>5311</v>
      </c>
      <c r="AG830" s="128"/>
      <c r="AI830" s="64">
        <f t="shared" si="181"/>
        <v>1.3646209386281588E-2</v>
      </c>
      <c r="AJ830" s="313">
        <f>RTD("money.excel",,$G830,"PredictVolume")</f>
        <v>1134</v>
      </c>
      <c r="AK830" s="348"/>
    </row>
    <row r="831" spans="1:37">
      <c r="A831" s="148" t="s">
        <v>5326</v>
      </c>
      <c r="B831" s="81">
        <v>5</v>
      </c>
      <c r="C831" s="81">
        <v>12</v>
      </c>
      <c r="D831" s="81">
        <v>30</v>
      </c>
      <c r="E831" s="81">
        <v>24</v>
      </c>
      <c r="F831" s="6">
        <v>3.84</v>
      </c>
      <c r="G831" s="81">
        <v>3128</v>
      </c>
      <c r="H831" s="8" t="s">
        <v>2167</v>
      </c>
      <c r="I831" s="16" t="s">
        <v>5327</v>
      </c>
      <c r="J831" s="75">
        <v>38.909999999999997</v>
      </c>
      <c r="K831" s="330">
        <v>8.34</v>
      </c>
      <c r="L831" s="330">
        <v>25.28</v>
      </c>
      <c r="M831" s="75">
        <v>20.64</v>
      </c>
      <c r="N831" s="325">
        <f t="shared" si="182"/>
        <v>93.17</v>
      </c>
      <c r="O831" s="27"/>
      <c r="P831" s="56"/>
      <c r="Q831" s="26"/>
      <c r="R831" s="308" t="s">
        <v>4728</v>
      </c>
      <c r="S831" s="330">
        <v>0.66</v>
      </c>
      <c r="T831" s="34">
        <v>0.55000000000000004</v>
      </c>
      <c r="U831" s="366">
        <f t="shared" si="177"/>
        <v>2.9569892473118281E-2</v>
      </c>
      <c r="V831" s="97">
        <v>0.68</v>
      </c>
      <c r="W831" s="36">
        <f>RTD("money.excel",,"3128","Price")</f>
        <v>18.600000000000001</v>
      </c>
      <c r="X831" s="67"/>
      <c r="Y831" s="15">
        <f t="shared" si="178"/>
        <v>18.600000000000001</v>
      </c>
      <c r="Z831" s="3" t="e">
        <f t="shared" si="179"/>
        <v>#DIV/0!</v>
      </c>
      <c r="AA831" s="174" t="s">
        <v>4710</v>
      </c>
      <c r="AB831" s="16" t="s">
        <v>5327</v>
      </c>
      <c r="AE831" s="33">
        <f t="shared" si="180"/>
        <v>0</v>
      </c>
      <c r="AF831" s="43" t="s">
        <v>5328</v>
      </c>
      <c r="AG831" s="128"/>
      <c r="AI831" s="64">
        <f t="shared" si="181"/>
        <v>8.0952380952380957E-4</v>
      </c>
      <c r="AJ831" s="313">
        <f>RTD("money.excel",,$G831,"PredictVolume")</f>
        <v>34</v>
      </c>
      <c r="AK831" s="348"/>
    </row>
    <row r="832" spans="1:37">
      <c r="A832" s="148" t="s">
        <v>5329</v>
      </c>
      <c r="B832" s="96">
        <v>-1113</v>
      </c>
      <c r="C832" s="82">
        <v>-110</v>
      </c>
      <c r="D832" s="82">
        <v>-1</v>
      </c>
      <c r="E832" s="82">
        <v>-5</v>
      </c>
      <c r="F832" s="6">
        <v>-26.62</v>
      </c>
      <c r="G832" s="81">
        <v>3149</v>
      </c>
      <c r="H832" s="8" t="s">
        <v>2167</v>
      </c>
      <c r="I832" s="22" t="s">
        <v>5330</v>
      </c>
      <c r="J832" s="75">
        <v>47.87</v>
      </c>
      <c r="K832" s="75">
        <v>1.34</v>
      </c>
      <c r="N832" s="325">
        <f t="shared" si="182"/>
        <v>49.21</v>
      </c>
      <c r="O832" s="27"/>
      <c r="P832" s="56"/>
      <c r="Q832" s="26"/>
      <c r="T832" s="34">
        <v>0</v>
      </c>
      <c r="U832" s="366">
        <f t="shared" si="177"/>
        <v>0</v>
      </c>
      <c r="V832" s="97">
        <v>-1.42</v>
      </c>
      <c r="W832" s="36">
        <f>RTD("money.excel",,"3149","Price")</f>
        <v>23.6</v>
      </c>
      <c r="X832" s="67"/>
      <c r="Y832" s="15">
        <f t="shared" si="178"/>
        <v>23.6</v>
      </c>
      <c r="Z832" s="3" t="e">
        <f t="shared" si="179"/>
        <v>#DIV/0!</v>
      </c>
      <c r="AA832" s="174" t="s">
        <v>4710</v>
      </c>
      <c r="AB832" s="22" t="s">
        <v>5330</v>
      </c>
      <c r="AE832" s="33">
        <f t="shared" si="180"/>
        <v>0</v>
      </c>
      <c r="AF832" s="122" t="s">
        <v>5331</v>
      </c>
      <c r="AG832" s="128"/>
      <c r="AI832" s="64">
        <f t="shared" si="181"/>
        <v>1.5E-3</v>
      </c>
      <c r="AJ832" s="313">
        <f>RTD("money.excel",,$G832,"PredictVolume")</f>
        <v>309</v>
      </c>
      <c r="AK832" s="348"/>
    </row>
    <row r="833" spans="1:37">
      <c r="A833" s="148" t="s">
        <v>5332</v>
      </c>
      <c r="B833" s="81">
        <v>86</v>
      </c>
      <c r="C833" s="81">
        <v>40</v>
      </c>
      <c r="D833" s="81">
        <v>17</v>
      </c>
      <c r="E833" s="81">
        <v>8</v>
      </c>
      <c r="F833" s="6">
        <v>3.85</v>
      </c>
      <c r="G833" s="81">
        <v>3230</v>
      </c>
      <c r="H833" s="8" t="s">
        <v>2167</v>
      </c>
      <c r="I833" s="16" t="s">
        <v>5333</v>
      </c>
      <c r="J833" s="330">
        <v>42.01</v>
      </c>
      <c r="K833" s="330">
        <v>0.2</v>
      </c>
      <c r="L833" s="75">
        <v>13.49</v>
      </c>
      <c r="N833" s="325">
        <f t="shared" si="182"/>
        <v>55.7</v>
      </c>
      <c r="O833" s="27"/>
      <c r="P833" s="56"/>
      <c r="Q833" s="26"/>
      <c r="S833" s="330">
        <v>2.5099999999999998</v>
      </c>
      <c r="T833" s="34">
        <v>0</v>
      </c>
      <c r="U833" s="366">
        <f t="shared" si="177"/>
        <v>0</v>
      </c>
      <c r="V833" s="97">
        <v>0.25</v>
      </c>
      <c r="W833" s="36">
        <f>RTD("money.excel",,"3230","Price")</f>
        <v>15.3</v>
      </c>
      <c r="X833" s="67"/>
      <c r="Y833" s="15">
        <f t="shared" si="178"/>
        <v>15.3</v>
      </c>
      <c r="Z833" s="3" t="e">
        <f t="shared" si="179"/>
        <v>#DIV/0!</v>
      </c>
      <c r="AB833" s="16" t="s">
        <v>5333</v>
      </c>
      <c r="AE833" s="33">
        <f t="shared" si="180"/>
        <v>0</v>
      </c>
      <c r="AF833" s="43" t="s">
        <v>2953</v>
      </c>
      <c r="AG833" s="128"/>
      <c r="AI833" s="64">
        <f t="shared" si="181"/>
        <v>1.6338028169014085E-3</v>
      </c>
      <c r="AJ833" s="313">
        <f>RTD("money.excel",,$G833,"PredictVolume")</f>
        <v>116</v>
      </c>
      <c r="AK833" s="348"/>
    </row>
    <row r="834" spans="1:37">
      <c r="A834" s="148" t="s">
        <v>5334</v>
      </c>
      <c r="B834" s="82">
        <v>-125</v>
      </c>
      <c r="C834" s="81">
        <v>29</v>
      </c>
      <c r="D834" s="81">
        <v>28</v>
      </c>
      <c r="E834" s="82">
        <v>-20</v>
      </c>
      <c r="F834" s="6">
        <v>-21.2</v>
      </c>
      <c r="G834" s="81">
        <v>3297</v>
      </c>
      <c r="H834" s="8" t="s">
        <v>2167</v>
      </c>
      <c r="I834" s="16" t="s">
        <v>5335</v>
      </c>
      <c r="J834" s="75">
        <v>41.9</v>
      </c>
      <c r="K834" s="75">
        <v>0.57999999999999996</v>
      </c>
      <c r="L834" s="75">
        <v>7.1</v>
      </c>
      <c r="N834" s="325">
        <f t="shared" si="182"/>
        <v>49.58</v>
      </c>
      <c r="O834" s="27"/>
      <c r="P834" s="56"/>
      <c r="Q834" s="26"/>
      <c r="S834" s="330">
        <v>0</v>
      </c>
      <c r="T834" s="34">
        <v>0</v>
      </c>
      <c r="U834" s="366">
        <f t="shared" si="177"/>
        <v>0</v>
      </c>
      <c r="V834" s="97">
        <v>-1.91</v>
      </c>
      <c r="W834" s="36">
        <f>RTD("money.excel",,"3297","Price")</f>
        <v>16</v>
      </c>
      <c r="X834" s="67"/>
      <c r="Y834" s="15">
        <f t="shared" si="178"/>
        <v>16</v>
      </c>
      <c r="Z834" s="3" t="e">
        <f t="shared" si="179"/>
        <v>#DIV/0!</v>
      </c>
      <c r="AB834" s="16" t="s">
        <v>5335</v>
      </c>
      <c r="AE834" s="33">
        <f t="shared" si="180"/>
        <v>0</v>
      </c>
      <c r="AF834" s="43" t="s">
        <v>5336</v>
      </c>
      <c r="AG834" s="128"/>
      <c r="AI834" s="64">
        <f t="shared" si="181"/>
        <v>1.3858695652173912E-3</v>
      </c>
      <c r="AJ834" s="313">
        <f>RTD("money.excel",,$G834,"PredictVolume")</f>
        <v>51</v>
      </c>
      <c r="AK834" s="348"/>
    </row>
    <row r="835" spans="1:37">
      <c r="A835" s="148" t="s">
        <v>5337</v>
      </c>
      <c r="B835" s="81">
        <v>158</v>
      </c>
      <c r="C835" s="81">
        <v>148</v>
      </c>
      <c r="D835" s="81">
        <v>4</v>
      </c>
      <c r="E835" s="82">
        <v>-2</v>
      </c>
      <c r="F835" s="6">
        <v>5.78</v>
      </c>
      <c r="G835" s="81">
        <v>3339</v>
      </c>
      <c r="H835" s="8" t="s">
        <v>2167</v>
      </c>
      <c r="I835" s="16" t="s">
        <v>5338</v>
      </c>
      <c r="J835" s="330">
        <v>38.299999999999997</v>
      </c>
      <c r="K835" s="330">
        <v>2.57</v>
      </c>
      <c r="L835" s="330"/>
      <c r="N835" s="325">
        <f t="shared" si="182"/>
        <v>40.869999999999997</v>
      </c>
      <c r="O835" s="27"/>
      <c r="P835" s="56"/>
      <c r="Q835" s="26"/>
      <c r="T835" s="34">
        <v>0</v>
      </c>
      <c r="U835" s="366">
        <f t="shared" si="177"/>
        <v>0</v>
      </c>
      <c r="V835" s="97">
        <v>0.85</v>
      </c>
      <c r="W835" s="36">
        <f>RTD("money.excel",,"3339","Price")</f>
        <v>19.55</v>
      </c>
      <c r="X835" s="67"/>
      <c r="Y835" s="15">
        <f t="shared" si="178"/>
        <v>19.55</v>
      </c>
      <c r="Z835" s="3" t="e">
        <f t="shared" si="179"/>
        <v>#DIV/0!</v>
      </c>
      <c r="AB835" s="16" t="s">
        <v>5338</v>
      </c>
      <c r="AE835" s="33">
        <f t="shared" si="180"/>
        <v>0</v>
      </c>
      <c r="AF835" s="43" t="s">
        <v>2954</v>
      </c>
      <c r="AG835" s="128"/>
      <c r="AI835" s="64">
        <f t="shared" si="181"/>
        <v>6.2671905697445976E-3</v>
      </c>
      <c r="AJ835" s="313">
        <f>RTD("money.excel",,$G835,"PredictVolume")</f>
        <v>319</v>
      </c>
      <c r="AK835" s="348"/>
    </row>
    <row r="836" spans="1:37">
      <c r="A836" s="148" t="s">
        <v>5339</v>
      </c>
      <c r="B836" s="82">
        <v>-59</v>
      </c>
      <c r="C836" s="81">
        <v>140</v>
      </c>
      <c r="D836" s="82">
        <v>-14</v>
      </c>
      <c r="E836" s="82">
        <v>-15</v>
      </c>
      <c r="F836" s="6">
        <v>3.38</v>
      </c>
      <c r="G836" s="81">
        <v>3356</v>
      </c>
      <c r="H836" s="8" t="s">
        <v>2167</v>
      </c>
      <c r="I836" s="22" t="s">
        <v>5340</v>
      </c>
      <c r="J836" s="75">
        <v>26.03</v>
      </c>
      <c r="K836" s="75">
        <v>2</v>
      </c>
      <c r="L836" s="330">
        <v>6.11</v>
      </c>
      <c r="N836" s="325">
        <f t="shared" si="182"/>
        <v>34.14</v>
      </c>
      <c r="O836" s="27"/>
      <c r="P836" s="56"/>
      <c r="Q836" s="26"/>
      <c r="S836" s="330">
        <v>19.489999999999998</v>
      </c>
      <c r="T836" s="34">
        <v>1</v>
      </c>
      <c r="U836" s="366">
        <f t="shared" si="177"/>
        <v>3.5714285714285712E-2</v>
      </c>
      <c r="V836" s="97">
        <v>1.78</v>
      </c>
      <c r="W836" s="36">
        <f>RTD("money.excel",,"3356","Price")</f>
        <v>28</v>
      </c>
      <c r="X836" s="67"/>
      <c r="Y836" s="15">
        <f t="shared" si="178"/>
        <v>28</v>
      </c>
      <c r="Z836" s="3" t="e">
        <f t="shared" si="179"/>
        <v>#DIV/0!</v>
      </c>
      <c r="AA836" s="174" t="s">
        <v>4710</v>
      </c>
      <c r="AB836" s="22" t="s">
        <v>5340</v>
      </c>
      <c r="AE836" s="33">
        <f t="shared" si="180"/>
        <v>0</v>
      </c>
      <c r="AF836" s="43" t="s">
        <v>5328</v>
      </c>
      <c r="AI836" s="64">
        <f t="shared" si="181"/>
        <v>9.7995545657015583E-4</v>
      </c>
      <c r="AJ836" s="313">
        <f>RTD("money.excel",,$G836,"PredictVolume")</f>
        <v>88</v>
      </c>
    </row>
    <row r="837" spans="1:37">
      <c r="A837" s="148" t="s">
        <v>5157</v>
      </c>
      <c r="B837" s="82">
        <v>-721</v>
      </c>
      <c r="C837" s="81">
        <v>227</v>
      </c>
      <c r="D837" s="82">
        <v>-33</v>
      </c>
      <c r="E837" s="81">
        <v>70</v>
      </c>
      <c r="F837" s="6">
        <v>0.76</v>
      </c>
      <c r="G837" s="81">
        <v>3362</v>
      </c>
      <c r="H837" s="8" t="s">
        <v>2167</v>
      </c>
      <c r="I837" s="16" t="s">
        <v>5341</v>
      </c>
      <c r="J837" s="330">
        <v>49.75</v>
      </c>
      <c r="K837" s="75">
        <v>2.4900000000000002</v>
      </c>
      <c r="L837" s="75">
        <v>18</v>
      </c>
      <c r="N837" s="325">
        <f t="shared" si="182"/>
        <v>70.240000000000009</v>
      </c>
      <c r="O837" s="27"/>
      <c r="P837" s="56"/>
      <c r="Q837" s="26"/>
      <c r="S837" s="330">
        <v>7.41</v>
      </c>
      <c r="T837" s="34">
        <v>0</v>
      </c>
      <c r="U837" s="366">
        <f t="shared" si="177"/>
        <v>0</v>
      </c>
      <c r="V837" s="97">
        <v>-8.9</v>
      </c>
      <c r="W837" s="36">
        <f>RTD("money.excel",,"3362","Price")</f>
        <v>62.1</v>
      </c>
      <c r="X837" s="67"/>
      <c r="Y837" s="15">
        <f t="shared" si="178"/>
        <v>62.1</v>
      </c>
      <c r="Z837" s="3" t="e">
        <f t="shared" si="179"/>
        <v>#DIV/0!</v>
      </c>
      <c r="AA837" s="174" t="s">
        <v>4710</v>
      </c>
      <c r="AB837" s="16" t="s">
        <v>5341</v>
      </c>
      <c r="AE837" s="33">
        <f t="shared" si="180"/>
        <v>0</v>
      </c>
      <c r="AF837" s="124" t="s">
        <v>5342</v>
      </c>
      <c r="AG837" s="128"/>
      <c r="AI837" s="64">
        <f t="shared" si="181"/>
        <v>2.5495495495495494E-3</v>
      </c>
      <c r="AJ837" s="313">
        <f>RTD("money.excel",,$G837,"PredictVolume")</f>
        <v>283</v>
      </c>
      <c r="AK837" s="348"/>
    </row>
    <row r="838" spans="1:37">
      <c r="A838" s="148" t="s">
        <v>4837</v>
      </c>
      <c r="B838" s="93">
        <v>-15</v>
      </c>
      <c r="C838" s="93">
        <v>-3</v>
      </c>
      <c r="D838" s="93">
        <v>7</v>
      </c>
      <c r="E838" s="93">
        <v>-11</v>
      </c>
      <c r="F838" s="6">
        <v>-47.79</v>
      </c>
      <c r="G838" s="81">
        <v>3383</v>
      </c>
      <c r="H838" s="8" t="s">
        <v>2167</v>
      </c>
      <c r="I838" s="22" t="s">
        <v>5343</v>
      </c>
      <c r="J838" s="75">
        <v>53.84</v>
      </c>
      <c r="K838" s="75">
        <v>17.82</v>
      </c>
      <c r="N838" s="325">
        <f t="shared" si="182"/>
        <v>71.66</v>
      </c>
      <c r="O838" s="27"/>
      <c r="P838" s="56"/>
      <c r="Q838" s="26"/>
      <c r="S838" s="330">
        <v>8.6999999999999993</v>
      </c>
      <c r="T838" s="34">
        <v>0</v>
      </c>
      <c r="U838" s="366">
        <f t="shared" si="177"/>
        <v>0</v>
      </c>
      <c r="V838" s="97">
        <v>-4.07</v>
      </c>
      <c r="W838" s="13">
        <f>RTD("money.excel",,"3383","Price")</f>
        <v>6.75</v>
      </c>
      <c r="X838" s="67"/>
      <c r="Y838" s="15">
        <f t="shared" si="178"/>
        <v>6.75</v>
      </c>
      <c r="Z838" s="3" t="e">
        <f t="shared" si="179"/>
        <v>#DIV/0!</v>
      </c>
      <c r="AB838" s="22" t="s">
        <v>5343</v>
      </c>
      <c r="AE838" s="33">
        <f t="shared" si="180"/>
        <v>0</v>
      </c>
      <c r="AF838" s="43" t="s">
        <v>5344</v>
      </c>
      <c r="AG838" s="128"/>
      <c r="AI838" s="64">
        <f t="shared" si="181"/>
        <v>2.8285714285714286E-3</v>
      </c>
      <c r="AJ838" s="313">
        <f>RTD("money.excel",,$G838,"PredictVolume")</f>
        <v>198</v>
      </c>
      <c r="AK838" s="348"/>
    </row>
    <row r="839" spans="1:37">
      <c r="A839" s="132" t="s">
        <v>3554</v>
      </c>
      <c r="B839" s="82">
        <v>-33</v>
      </c>
      <c r="C839" s="82">
        <v>-40</v>
      </c>
      <c r="D839" s="82">
        <v>-2</v>
      </c>
      <c r="E839" s="81">
        <v>6</v>
      </c>
      <c r="F839" s="58">
        <v>16.36</v>
      </c>
      <c r="G839" s="81">
        <v>3406</v>
      </c>
      <c r="H839" s="8" t="s">
        <v>2167</v>
      </c>
      <c r="I839" s="22" t="s">
        <v>5346</v>
      </c>
      <c r="J839" s="75">
        <v>44.8</v>
      </c>
      <c r="K839" s="75">
        <v>43.83</v>
      </c>
      <c r="L839" s="330">
        <v>19.170000000000002</v>
      </c>
      <c r="M839" s="330">
        <v>10.39</v>
      </c>
      <c r="N839" s="325">
        <f t="shared" si="182"/>
        <v>118.19</v>
      </c>
      <c r="O839" s="27"/>
      <c r="P839" s="56"/>
      <c r="Q839" s="26"/>
      <c r="R839" s="308" t="s">
        <v>4374</v>
      </c>
      <c r="S839" s="330">
        <v>8.3800000000000008</v>
      </c>
      <c r="T839" s="67">
        <v>9.99</v>
      </c>
      <c r="U839" s="366">
        <f t="shared" si="177"/>
        <v>2.3505882352941179E-2</v>
      </c>
      <c r="V839" s="97">
        <v>21.22</v>
      </c>
      <c r="W839" s="13">
        <f>RTD("money.excel",,"3406","Price")</f>
        <v>425</v>
      </c>
      <c r="X839" s="67"/>
      <c r="Y839" s="15">
        <f t="shared" si="178"/>
        <v>425</v>
      </c>
      <c r="Z839" s="3" t="e">
        <f t="shared" si="179"/>
        <v>#DIV/0!</v>
      </c>
      <c r="AA839" s="174" t="s">
        <v>2185</v>
      </c>
      <c r="AB839" s="22" t="s">
        <v>5346</v>
      </c>
      <c r="AE839" s="33">
        <f t="shared" si="180"/>
        <v>0</v>
      </c>
      <c r="AF839" s="122" t="s">
        <v>5347</v>
      </c>
      <c r="AG839" s="128"/>
      <c r="AI839" s="64">
        <f t="shared" si="181"/>
        <v>1.0517857142857143E-2</v>
      </c>
      <c r="AJ839" s="313">
        <f>RTD("money.excel",,$G839,"PredictVolume")</f>
        <v>1178</v>
      </c>
      <c r="AK839" s="348">
        <v>12.3</v>
      </c>
    </row>
    <row r="840" spans="1:37">
      <c r="A840" s="148" t="s">
        <v>5348</v>
      </c>
      <c r="B840" s="93">
        <v>-171</v>
      </c>
      <c r="C840" s="93">
        <v>-173</v>
      </c>
      <c r="D840" s="93">
        <v>76</v>
      </c>
      <c r="E840" s="93">
        <v>-6</v>
      </c>
      <c r="F840" s="6">
        <v>-3.81</v>
      </c>
      <c r="G840" s="81">
        <v>3434</v>
      </c>
      <c r="H840" s="8" t="s">
        <v>2167</v>
      </c>
      <c r="I840" s="16" t="s">
        <v>5349</v>
      </c>
      <c r="J840" s="75">
        <v>50.98</v>
      </c>
      <c r="K840" s="75">
        <v>0.02</v>
      </c>
      <c r="L840" s="75">
        <v>17.899999999999999</v>
      </c>
      <c r="N840" s="325">
        <f t="shared" si="182"/>
        <v>68.900000000000006</v>
      </c>
      <c r="O840" s="27"/>
      <c r="P840" s="56"/>
      <c r="Q840" s="26"/>
      <c r="S840" s="330">
        <v>25</v>
      </c>
      <c r="T840" s="34">
        <v>0.3</v>
      </c>
      <c r="U840" s="366">
        <f t="shared" ref="U840:U871" si="183">T840/W840</f>
        <v>1.4251781472684084E-2</v>
      </c>
      <c r="V840" s="97">
        <v>-0.45</v>
      </c>
      <c r="W840" s="13">
        <f>RTD("money.excel",,"3434","Price")</f>
        <v>21.05</v>
      </c>
      <c r="X840" s="67"/>
      <c r="Y840" s="15">
        <f t="shared" si="178"/>
        <v>21.05</v>
      </c>
      <c r="Z840" s="3" t="e">
        <f t="shared" si="179"/>
        <v>#DIV/0!</v>
      </c>
      <c r="AB840" s="16" t="s">
        <v>5349</v>
      </c>
      <c r="AE840" s="33">
        <f t="shared" si="180"/>
        <v>0</v>
      </c>
      <c r="AF840" s="43" t="s">
        <v>5336</v>
      </c>
      <c r="AG840" s="128"/>
      <c r="AI840" s="64">
        <f t="shared" ref="AI840:AI871" si="184">AJ840/(A840*10000)</f>
        <v>7.9427312775330397E-2</v>
      </c>
      <c r="AJ840" s="313">
        <f>RTD("money.excel",,$G840,"PredictVolume")</f>
        <v>1803</v>
      </c>
      <c r="AK840" s="348"/>
    </row>
    <row r="841" spans="1:37">
      <c r="A841" s="148" t="s">
        <v>5350</v>
      </c>
      <c r="B841" s="81">
        <v>36</v>
      </c>
      <c r="C841" s="81">
        <v>41</v>
      </c>
      <c r="D841" s="82">
        <v>-3</v>
      </c>
      <c r="E841" s="81">
        <v>52</v>
      </c>
      <c r="F841" s="6">
        <v>-6.4</v>
      </c>
      <c r="G841" s="81">
        <v>3437</v>
      </c>
      <c r="H841" s="8" t="s">
        <v>2167</v>
      </c>
      <c r="I841" s="22" t="s">
        <v>5351</v>
      </c>
      <c r="J841" s="330">
        <v>35.869999999999997</v>
      </c>
      <c r="K841" s="75">
        <v>11.15</v>
      </c>
      <c r="L841" s="75">
        <v>12.44</v>
      </c>
      <c r="N841" s="325">
        <f t="shared" si="182"/>
        <v>59.459999999999994</v>
      </c>
      <c r="O841" s="27"/>
      <c r="P841" s="56"/>
      <c r="Q841" s="26"/>
      <c r="S841" s="330">
        <v>7.58</v>
      </c>
      <c r="T841" s="34">
        <v>0</v>
      </c>
      <c r="U841" s="366">
        <f t="shared" si="183"/>
        <v>0</v>
      </c>
      <c r="V841" s="97">
        <v>-0.77</v>
      </c>
      <c r="W841" s="36">
        <f>RTD("money.excel",,"3437","Price")</f>
        <v>22.9</v>
      </c>
      <c r="X841" s="67"/>
      <c r="Y841" s="15">
        <f t="shared" si="178"/>
        <v>22.9</v>
      </c>
      <c r="Z841" s="3" t="e">
        <f t="shared" si="179"/>
        <v>#DIV/0!</v>
      </c>
      <c r="AA841" s="174" t="s">
        <v>4710</v>
      </c>
      <c r="AB841" s="22" t="s">
        <v>5351</v>
      </c>
      <c r="AE841" s="33">
        <f t="shared" si="180"/>
        <v>0</v>
      </c>
      <c r="AF841" s="122" t="s">
        <v>5352</v>
      </c>
      <c r="AG841" s="128"/>
      <c r="AI841" s="64">
        <f t="shared" si="184"/>
        <v>2.4236111111111112E-3</v>
      </c>
      <c r="AJ841" s="313">
        <f>RTD("money.excel",,$G841,"PredictVolume")</f>
        <v>349</v>
      </c>
      <c r="AK841" s="348"/>
    </row>
    <row r="842" spans="1:37">
      <c r="A842" s="148" t="s">
        <v>5353</v>
      </c>
      <c r="B842" s="81">
        <v>170</v>
      </c>
      <c r="C842" s="81">
        <v>234</v>
      </c>
      <c r="D842" s="81">
        <v>3</v>
      </c>
      <c r="E842" s="81">
        <v>34</v>
      </c>
      <c r="F842" s="6">
        <v>5.89</v>
      </c>
      <c r="G842" s="81">
        <v>3441</v>
      </c>
      <c r="H842" s="8" t="s">
        <v>2167</v>
      </c>
      <c r="I842" s="16" t="s">
        <v>5354</v>
      </c>
      <c r="J842" s="75">
        <v>17.72</v>
      </c>
      <c r="K842" s="330">
        <v>0.62</v>
      </c>
      <c r="L842" s="75">
        <v>26.47</v>
      </c>
      <c r="M842" s="75">
        <v>16.8</v>
      </c>
      <c r="N842" s="325">
        <f t="shared" si="182"/>
        <v>61.61</v>
      </c>
      <c r="O842" s="27"/>
      <c r="P842" s="56"/>
      <c r="Q842" s="26"/>
      <c r="R842" s="308" t="s">
        <v>6099</v>
      </c>
      <c r="S842" s="330">
        <v>1.47</v>
      </c>
      <c r="T842" s="34">
        <v>0.5</v>
      </c>
      <c r="U842" s="366">
        <f t="shared" si="183"/>
        <v>1.5479876160990714E-2</v>
      </c>
      <c r="V842" s="97">
        <v>0.27</v>
      </c>
      <c r="W842" s="36">
        <f>RTD("money.excel",,"3441","Price")</f>
        <v>32.299999999999997</v>
      </c>
      <c r="X842" s="67"/>
      <c r="Y842" s="15">
        <f t="shared" si="178"/>
        <v>32.299999999999997</v>
      </c>
      <c r="Z842" s="3" t="e">
        <f t="shared" si="179"/>
        <v>#DIV/0!</v>
      </c>
      <c r="AA842" s="174" t="s">
        <v>1943</v>
      </c>
      <c r="AB842" s="16" t="s">
        <v>5354</v>
      </c>
      <c r="AE842" s="33">
        <f t="shared" si="180"/>
        <v>0</v>
      </c>
      <c r="AF842" s="43" t="s">
        <v>5355</v>
      </c>
      <c r="AG842" s="128"/>
      <c r="AI842" s="64">
        <f t="shared" si="184"/>
        <v>9.2500000000000004E-4</v>
      </c>
      <c r="AJ842" s="313">
        <f>RTD("money.excel",,$G842,"PredictVolume")</f>
        <v>37</v>
      </c>
      <c r="AK842" s="348">
        <v>42.11</v>
      </c>
    </row>
    <row r="843" spans="1:37">
      <c r="A843" s="148" t="s">
        <v>5356</v>
      </c>
      <c r="B843" s="82">
        <v>-9</v>
      </c>
      <c r="C843" s="81">
        <v>8</v>
      </c>
      <c r="D843" s="81">
        <v>14</v>
      </c>
      <c r="E843" s="82">
        <v>-23</v>
      </c>
      <c r="F843" s="6">
        <v>4.62</v>
      </c>
      <c r="G843" s="81">
        <v>3454</v>
      </c>
      <c r="H843" s="8" t="s">
        <v>2167</v>
      </c>
      <c r="I843" s="22" t="s">
        <v>5357</v>
      </c>
      <c r="J843" s="75">
        <v>66.36</v>
      </c>
      <c r="K843" s="330">
        <v>8.11</v>
      </c>
      <c r="L843" s="75">
        <v>8.43</v>
      </c>
      <c r="N843" s="325">
        <f t="shared" si="182"/>
        <v>82.9</v>
      </c>
      <c r="O843" s="27"/>
      <c r="P843" s="56"/>
      <c r="Q843" s="26"/>
      <c r="S843" s="330">
        <v>53.81</v>
      </c>
      <c r="T843" s="34">
        <v>2</v>
      </c>
      <c r="U843" s="366">
        <f t="shared" si="183"/>
        <v>2.600780234070221E-2</v>
      </c>
      <c r="V843" s="58">
        <v>2.91</v>
      </c>
      <c r="W843" s="36">
        <f>RTD("money.excel",,"3454","Price")</f>
        <v>76.900000000000006</v>
      </c>
      <c r="X843" s="67"/>
      <c r="Y843" s="15">
        <f t="shared" si="178"/>
        <v>76.900000000000006</v>
      </c>
      <c r="Z843" s="3" t="e">
        <f t="shared" si="179"/>
        <v>#DIV/0!</v>
      </c>
      <c r="AA843" s="174" t="s">
        <v>4710</v>
      </c>
      <c r="AB843" s="22" t="s">
        <v>5357</v>
      </c>
      <c r="AE843" s="33">
        <f t="shared" si="180"/>
        <v>0</v>
      </c>
      <c r="AF843" s="122" t="s">
        <v>5358</v>
      </c>
      <c r="AG843" s="128"/>
      <c r="AI843" s="64">
        <f t="shared" si="184"/>
        <v>3.2528735632183906E-3</v>
      </c>
      <c r="AJ843" s="313">
        <f>RTD("money.excel",,$G843,"PredictVolume")</f>
        <v>283</v>
      </c>
      <c r="AK843" s="348"/>
    </row>
    <row r="844" spans="1:37">
      <c r="A844" s="132" t="s">
        <v>4439</v>
      </c>
      <c r="B844" s="81">
        <v>135</v>
      </c>
      <c r="C844" s="81">
        <v>168</v>
      </c>
      <c r="D844" s="82">
        <v>-52</v>
      </c>
      <c r="E844" s="81">
        <v>14</v>
      </c>
      <c r="F844" s="58">
        <v>14.8</v>
      </c>
      <c r="G844" s="81">
        <v>3455</v>
      </c>
      <c r="H844" s="8" t="s">
        <v>325</v>
      </c>
      <c r="I844" s="16" t="s">
        <v>5359</v>
      </c>
      <c r="J844" s="330">
        <v>13.31</v>
      </c>
      <c r="K844" s="75">
        <v>7.92</v>
      </c>
      <c r="L844" s="330">
        <v>42.84</v>
      </c>
      <c r="M844" s="330">
        <v>9.02</v>
      </c>
      <c r="N844" s="325">
        <f>J844+K844+L844+M844</f>
        <v>73.09</v>
      </c>
      <c r="O844" s="27" t="s">
        <v>1581</v>
      </c>
      <c r="P844" s="56" t="s">
        <v>6257</v>
      </c>
      <c r="Q844" s="26" t="s">
        <v>6273</v>
      </c>
      <c r="R844" s="309" t="s">
        <v>4373</v>
      </c>
      <c r="S844" s="330">
        <v>4.04</v>
      </c>
      <c r="T844" s="67">
        <v>4</v>
      </c>
      <c r="U844" s="366">
        <f t="shared" si="183"/>
        <v>4.2643923240938165E-2</v>
      </c>
      <c r="V844" s="97">
        <v>6.76</v>
      </c>
      <c r="W844" s="36">
        <f>RTD("money.excel",,"3455","Price")</f>
        <v>93.8</v>
      </c>
      <c r="X844" s="67"/>
      <c r="Y844" s="15">
        <f>W844-X844</f>
        <v>93.8</v>
      </c>
      <c r="Z844" s="3" t="e">
        <f>Y844/X844</f>
        <v>#DIV/0!</v>
      </c>
      <c r="AA844" s="174" t="s">
        <v>2185</v>
      </c>
      <c r="AB844" s="16" t="s">
        <v>5359</v>
      </c>
      <c r="AE844" s="33">
        <f>AD844-AC844</f>
        <v>0</v>
      </c>
      <c r="AF844" s="61" t="s">
        <v>2955</v>
      </c>
      <c r="AG844" s="128"/>
      <c r="AI844" s="64">
        <f t="shared" si="184"/>
        <v>3.8096828046744573E-2</v>
      </c>
      <c r="AJ844" s="313">
        <f>RTD("money.excel",,$G844,"PredictVolume")</f>
        <v>2282</v>
      </c>
      <c r="AK844" s="22">
        <v>54.47</v>
      </c>
    </row>
    <row r="845" spans="1:37">
      <c r="A845" s="132" t="s">
        <v>4243</v>
      </c>
      <c r="B845" s="81">
        <v>706</v>
      </c>
      <c r="C845" s="81">
        <v>799</v>
      </c>
      <c r="D845" s="82">
        <v>-1</v>
      </c>
      <c r="E845" s="81">
        <v>1</v>
      </c>
      <c r="F845" s="58">
        <v>21.35</v>
      </c>
      <c r="G845" s="81">
        <v>3481</v>
      </c>
      <c r="H845" s="8" t="s">
        <v>2167</v>
      </c>
      <c r="I845" s="22" t="s">
        <v>226</v>
      </c>
      <c r="J845" s="75">
        <v>48.47</v>
      </c>
      <c r="K845" s="75">
        <v>31.86</v>
      </c>
      <c r="L845" s="75">
        <v>15.95</v>
      </c>
      <c r="M845" s="75">
        <v>1.76</v>
      </c>
      <c r="N845" s="325">
        <f t="shared" si="182"/>
        <v>98.04</v>
      </c>
      <c r="O845" s="27"/>
      <c r="P845" s="56"/>
      <c r="Q845" s="26"/>
      <c r="R845" s="308" t="s">
        <v>4375</v>
      </c>
      <c r="S845" s="330">
        <v>8.17</v>
      </c>
      <c r="T845" s="34">
        <v>0.4</v>
      </c>
      <c r="U845" s="366">
        <f t="shared" si="183"/>
        <v>2.3054755043227664E-2</v>
      </c>
      <c r="V845" s="97">
        <v>6.07</v>
      </c>
      <c r="W845" s="36">
        <f>RTD("money.excel",,"3481","Price")</f>
        <v>17.350000000000001</v>
      </c>
      <c r="X845" s="67"/>
      <c r="Y845" s="15">
        <f t="shared" si="178"/>
        <v>17.350000000000001</v>
      </c>
      <c r="Z845" s="3" t="e">
        <f t="shared" si="179"/>
        <v>#DIV/0!</v>
      </c>
      <c r="AA845" s="174" t="s">
        <v>1943</v>
      </c>
      <c r="AB845" s="22" t="s">
        <v>226</v>
      </c>
      <c r="AE845" s="33">
        <f t="shared" si="180"/>
        <v>0</v>
      </c>
      <c r="AF845" s="122" t="s">
        <v>5360</v>
      </c>
      <c r="AG845" s="128"/>
      <c r="AI845" s="64">
        <f t="shared" si="184"/>
        <v>6.8887203791469197E-3</v>
      </c>
      <c r="AJ845" s="375">
        <f>RTD("money.excel",,$G845,"PredictVolume")</f>
        <v>72676</v>
      </c>
      <c r="AK845" s="348"/>
    </row>
    <row r="846" spans="1:37">
      <c r="A846" s="132" t="s">
        <v>5361</v>
      </c>
      <c r="B846" s="81">
        <v>223</v>
      </c>
      <c r="C846" s="81">
        <v>207</v>
      </c>
      <c r="D846" s="82">
        <v>-11</v>
      </c>
      <c r="E846" s="81">
        <v>20</v>
      </c>
      <c r="F846" s="58">
        <v>10.83</v>
      </c>
      <c r="G846" s="81">
        <v>3490</v>
      </c>
      <c r="H846" s="8" t="s">
        <v>2167</v>
      </c>
      <c r="I846" s="16" t="s">
        <v>5362</v>
      </c>
      <c r="J846" s="330">
        <v>6.02</v>
      </c>
      <c r="K846" s="330">
        <v>5.47</v>
      </c>
      <c r="L846" s="75">
        <v>24.19</v>
      </c>
      <c r="N846" s="325">
        <f t="shared" si="182"/>
        <v>35.68</v>
      </c>
      <c r="O846" s="27"/>
      <c r="P846" s="56"/>
      <c r="Q846" s="26"/>
      <c r="S846" s="330">
        <v>0.52</v>
      </c>
      <c r="T846" s="34">
        <v>0.7</v>
      </c>
      <c r="U846" s="366">
        <f t="shared" si="183"/>
        <v>2.3064250411861612E-2</v>
      </c>
      <c r="V846" s="97">
        <v>1.36</v>
      </c>
      <c r="W846" s="36">
        <f>RTD("money.excel",,"3490","Price")</f>
        <v>30.35</v>
      </c>
      <c r="X846" s="67"/>
      <c r="Y846" s="15">
        <f t="shared" si="178"/>
        <v>30.35</v>
      </c>
      <c r="Z846" s="3" t="e">
        <f t="shared" si="179"/>
        <v>#DIV/0!</v>
      </c>
      <c r="AB846" s="16" t="s">
        <v>5362</v>
      </c>
      <c r="AE846" s="33">
        <f t="shared" si="180"/>
        <v>0</v>
      </c>
      <c r="AF846" s="43" t="s">
        <v>5363</v>
      </c>
      <c r="AG846" s="269"/>
      <c r="AI846" s="64">
        <f t="shared" si="184"/>
        <v>1.7210526315789475E-2</v>
      </c>
      <c r="AJ846" s="313">
        <f>RTD("money.excel",,$G846,"PredictVolume")</f>
        <v>981</v>
      </c>
      <c r="AK846" s="348"/>
    </row>
    <row r="847" spans="1:37">
      <c r="A847" s="148" t="s">
        <v>5364</v>
      </c>
      <c r="B847" s="93">
        <v>-34</v>
      </c>
      <c r="C847" s="93">
        <v>-67</v>
      </c>
      <c r="D847" s="93">
        <v>9</v>
      </c>
      <c r="E847" s="93">
        <v>-41</v>
      </c>
      <c r="F847" s="6">
        <v>0.6</v>
      </c>
      <c r="G847" s="81">
        <v>3504</v>
      </c>
      <c r="H847" s="8" t="s">
        <v>2167</v>
      </c>
      <c r="I847" s="22" t="s">
        <v>5365</v>
      </c>
      <c r="J847" s="330">
        <v>64.83</v>
      </c>
      <c r="K847" s="75">
        <v>2.91</v>
      </c>
      <c r="L847" s="330">
        <v>2.21</v>
      </c>
      <c r="N847" s="325">
        <f t="shared" si="182"/>
        <v>69.949999999999989</v>
      </c>
      <c r="O847" s="27"/>
      <c r="P847" s="56"/>
      <c r="Q847" s="26"/>
      <c r="S847" s="330">
        <v>41.43</v>
      </c>
      <c r="T847" s="34">
        <v>0</v>
      </c>
      <c r="U847" s="366">
        <f t="shared" si="183"/>
        <v>0</v>
      </c>
      <c r="V847" s="97">
        <v>-1.6</v>
      </c>
      <c r="W847" s="13">
        <f>RTD("money.excel",,"3504","Price")</f>
        <v>79.099999999999994</v>
      </c>
      <c r="X847" s="67"/>
      <c r="Y847" s="15">
        <f t="shared" si="178"/>
        <v>79.099999999999994</v>
      </c>
      <c r="Z847" s="3" t="e">
        <f t="shared" si="179"/>
        <v>#DIV/0!</v>
      </c>
      <c r="AA847" s="174" t="s">
        <v>4710</v>
      </c>
      <c r="AB847" s="22" t="s">
        <v>5365</v>
      </c>
      <c r="AE847" s="33">
        <f t="shared" si="180"/>
        <v>0</v>
      </c>
      <c r="AF847" s="43" t="s">
        <v>5366</v>
      </c>
      <c r="AG847" s="128"/>
      <c r="AI847" s="64">
        <f t="shared" si="184"/>
        <v>4.2368421052631578E-3</v>
      </c>
      <c r="AJ847" s="313">
        <f>RTD("money.excel",,$G847,"PredictVolume")</f>
        <v>483</v>
      </c>
      <c r="AK847" s="348"/>
    </row>
    <row r="848" spans="1:37">
      <c r="A848" s="148" t="s">
        <v>5367</v>
      </c>
      <c r="B848" s="81">
        <v>661</v>
      </c>
      <c r="C848" s="81">
        <v>72</v>
      </c>
      <c r="D848" s="81">
        <v>12</v>
      </c>
      <c r="E848" s="82">
        <v>-1</v>
      </c>
      <c r="F848" s="6">
        <v>-1.88</v>
      </c>
      <c r="G848" s="81">
        <v>3516</v>
      </c>
      <c r="H848" s="8" t="s">
        <v>2167</v>
      </c>
      <c r="I848" s="16" t="s">
        <v>5368</v>
      </c>
      <c r="J848" s="330">
        <v>56.94</v>
      </c>
      <c r="K848" s="75">
        <v>2.2599999999999998</v>
      </c>
      <c r="L848" s="75">
        <v>61.18</v>
      </c>
      <c r="N848" s="325">
        <f t="shared" si="182"/>
        <v>120.38</v>
      </c>
      <c r="O848" s="27"/>
      <c r="P848" s="56"/>
      <c r="Q848" s="26"/>
      <c r="S848" s="330">
        <v>0.06</v>
      </c>
      <c r="T848" s="34">
        <v>0.2</v>
      </c>
      <c r="U848" s="366">
        <f t="shared" si="183"/>
        <v>1.2461059190031152E-2</v>
      </c>
      <c r="V848" s="58">
        <v>0.35</v>
      </c>
      <c r="W848" s="36">
        <f>RTD("money.excel",,"3516","Price")</f>
        <v>16.05</v>
      </c>
      <c r="X848" s="67"/>
      <c r="Y848" s="15">
        <f t="shared" si="178"/>
        <v>16.05</v>
      </c>
      <c r="Z848" s="3" t="e">
        <f t="shared" si="179"/>
        <v>#DIV/0!</v>
      </c>
      <c r="AB848" s="16" t="s">
        <v>5368</v>
      </c>
      <c r="AE848" s="33">
        <f t="shared" si="180"/>
        <v>0</v>
      </c>
      <c r="AF848" s="43" t="s">
        <v>5305</v>
      </c>
      <c r="AG848" s="128"/>
      <c r="AI848" s="64">
        <f t="shared" si="184"/>
        <v>1.1857707509881425E-4</v>
      </c>
      <c r="AJ848" s="313">
        <f>RTD("money.excel",,$G848,"PredictVolume")</f>
        <v>6</v>
      </c>
      <c r="AK848" s="348"/>
    </row>
    <row r="849" spans="1:37">
      <c r="A849" s="148" t="s">
        <v>5369</v>
      </c>
      <c r="B849" s="93">
        <v>-79</v>
      </c>
      <c r="C849" s="93">
        <v>-49</v>
      </c>
      <c r="D849" s="93">
        <v>27</v>
      </c>
      <c r="E849" s="93">
        <v>39</v>
      </c>
      <c r="F849" s="6">
        <v>3.12</v>
      </c>
      <c r="G849" s="81">
        <v>3531</v>
      </c>
      <c r="H849" s="8" t="s">
        <v>2167</v>
      </c>
      <c r="I849" s="16" t="s">
        <v>5370</v>
      </c>
      <c r="J849" s="75">
        <v>72.09</v>
      </c>
      <c r="K849" s="75">
        <v>20.010000000000002</v>
      </c>
      <c r="L849" s="75">
        <v>2.85</v>
      </c>
      <c r="N849" s="325">
        <f t="shared" si="182"/>
        <v>94.95</v>
      </c>
      <c r="O849" s="27"/>
      <c r="P849" s="56"/>
      <c r="Q849" s="26"/>
      <c r="S849" s="330">
        <v>12.96</v>
      </c>
      <c r="T849" s="34">
        <v>1</v>
      </c>
      <c r="U849" s="366">
        <f t="shared" si="183"/>
        <v>4.716981132075472E-2</v>
      </c>
      <c r="V849" s="97">
        <v>0.84</v>
      </c>
      <c r="W849" s="13">
        <f>RTD("money.excel",,"3531","Price")</f>
        <v>21.2</v>
      </c>
      <c r="X849" s="67"/>
      <c r="Y849" s="15">
        <f t="shared" si="178"/>
        <v>21.2</v>
      </c>
      <c r="Z849" s="3" t="e">
        <f t="shared" si="179"/>
        <v>#DIV/0!</v>
      </c>
      <c r="AB849" s="16" t="s">
        <v>5370</v>
      </c>
      <c r="AE849" s="33">
        <f t="shared" si="180"/>
        <v>0</v>
      </c>
      <c r="AF849" s="43" t="s">
        <v>5371</v>
      </c>
      <c r="AG849" s="128"/>
      <c r="AI849" s="64">
        <f t="shared" si="184"/>
        <v>1.1437908496732026E-4</v>
      </c>
      <c r="AJ849" s="313">
        <f>RTD("money.excel",,$G849,"PredictVolume")</f>
        <v>7</v>
      </c>
      <c r="AK849" s="348"/>
    </row>
    <row r="850" spans="1:37">
      <c r="A850" s="148" t="s">
        <v>5372</v>
      </c>
      <c r="B850" s="82">
        <v>-83</v>
      </c>
      <c r="C850" s="82">
        <v>-77</v>
      </c>
      <c r="D850" s="81">
        <v>108</v>
      </c>
      <c r="E850" s="81">
        <v>63</v>
      </c>
      <c r="F850" s="6">
        <v>7.11</v>
      </c>
      <c r="G850" s="81">
        <v>3535</v>
      </c>
      <c r="H850" s="8" t="s">
        <v>2167</v>
      </c>
      <c r="I850" s="22" t="s">
        <v>5373</v>
      </c>
      <c r="J850" s="75">
        <v>16.52</v>
      </c>
      <c r="K850" s="75">
        <v>2.39</v>
      </c>
      <c r="L850" s="75">
        <v>18.48</v>
      </c>
      <c r="N850" s="325">
        <f t="shared" si="182"/>
        <v>37.39</v>
      </c>
      <c r="O850" s="27"/>
      <c r="P850" s="56"/>
      <c r="Q850" s="26"/>
      <c r="S850" s="330">
        <v>1.86</v>
      </c>
      <c r="T850" s="34">
        <v>0</v>
      </c>
      <c r="U850" s="366">
        <f t="shared" si="183"/>
        <v>0</v>
      </c>
      <c r="V850" s="97">
        <v>-1.29</v>
      </c>
      <c r="W850" s="36">
        <f>RTD("money.excel",,"3535","Price")</f>
        <v>20.55</v>
      </c>
      <c r="X850" s="67"/>
      <c r="Y850" s="15">
        <f t="shared" si="178"/>
        <v>20.55</v>
      </c>
      <c r="Z850" s="3" t="e">
        <f t="shared" si="179"/>
        <v>#DIV/0!</v>
      </c>
      <c r="AA850" s="174" t="s">
        <v>4710</v>
      </c>
      <c r="AB850" s="22" t="s">
        <v>5373</v>
      </c>
      <c r="AE850" s="33">
        <f t="shared" si="180"/>
        <v>0</v>
      </c>
      <c r="AF850" s="43" t="s">
        <v>5374</v>
      </c>
      <c r="AG850" s="128"/>
      <c r="AI850" s="64">
        <f t="shared" si="184"/>
        <v>4.6649810366624529E-3</v>
      </c>
      <c r="AJ850" s="313">
        <f>RTD("money.excel",,$G850,"PredictVolume")</f>
        <v>369</v>
      </c>
      <c r="AK850" s="348"/>
    </row>
    <row r="851" spans="1:37">
      <c r="A851" s="148" t="s">
        <v>5375</v>
      </c>
      <c r="B851" s="82">
        <v>-166</v>
      </c>
      <c r="C851" s="82">
        <v>-504</v>
      </c>
      <c r="D851" s="82">
        <v>-16</v>
      </c>
      <c r="E851" s="82">
        <v>-19</v>
      </c>
      <c r="F851" s="6">
        <v>-4.79</v>
      </c>
      <c r="G851" s="81">
        <v>3543</v>
      </c>
      <c r="H851" s="8" t="s">
        <v>2167</v>
      </c>
      <c r="I851" s="22" t="s">
        <v>5376</v>
      </c>
      <c r="J851" s="330">
        <v>55.41</v>
      </c>
      <c r="K851" s="330">
        <v>0.23</v>
      </c>
      <c r="L851" s="330"/>
      <c r="N851" s="325">
        <f t="shared" si="182"/>
        <v>55.639999999999993</v>
      </c>
      <c r="O851" s="27"/>
      <c r="P851" s="56"/>
      <c r="Q851" s="26"/>
      <c r="S851" s="330">
        <v>16.02</v>
      </c>
      <c r="T851" s="34">
        <v>1.2</v>
      </c>
      <c r="U851" s="366">
        <f t="shared" si="183"/>
        <v>5.2173913043478258E-2</v>
      </c>
      <c r="V851" s="97">
        <v>-4.54</v>
      </c>
      <c r="W851" s="36">
        <f>RTD("money.excel",,"3543","Price")</f>
        <v>23</v>
      </c>
      <c r="X851" s="67"/>
      <c r="Y851" s="15">
        <f t="shared" si="178"/>
        <v>23</v>
      </c>
      <c r="Z851" s="3" t="e">
        <f t="shared" si="179"/>
        <v>#DIV/0!</v>
      </c>
      <c r="AA851" s="174" t="s">
        <v>4710</v>
      </c>
      <c r="AB851" s="22" t="s">
        <v>5376</v>
      </c>
      <c r="AE851" s="33">
        <f t="shared" si="180"/>
        <v>0</v>
      </c>
      <c r="AF851" s="43" t="s">
        <v>2168</v>
      </c>
      <c r="AG851" s="128"/>
      <c r="AI851" s="64">
        <f t="shared" si="184"/>
        <v>1.4557670772676371E-4</v>
      </c>
      <c r="AJ851" s="313">
        <f>RTD("money.excel",,$G851,"PredictVolume")</f>
        <v>13</v>
      </c>
      <c r="AK851" s="348"/>
    </row>
    <row r="852" spans="1:37">
      <c r="A852" s="132" t="s">
        <v>5377</v>
      </c>
      <c r="B852" s="82">
        <v>-33</v>
      </c>
      <c r="C852" s="82">
        <v>-27</v>
      </c>
      <c r="D852" s="81">
        <v>1</v>
      </c>
      <c r="E852" s="81">
        <v>38</v>
      </c>
      <c r="F852" s="58">
        <v>37.630000000000003</v>
      </c>
      <c r="G852" s="81">
        <v>3563</v>
      </c>
      <c r="H852" s="8" t="s">
        <v>2167</v>
      </c>
      <c r="I852" s="22" t="s">
        <v>5378</v>
      </c>
      <c r="J852" s="330">
        <v>20.83</v>
      </c>
      <c r="K852" s="330">
        <v>11.27</v>
      </c>
      <c r="L852" s="330">
        <v>21.86</v>
      </c>
      <c r="N852" s="325">
        <f t="shared" si="182"/>
        <v>53.959999999999994</v>
      </c>
      <c r="O852" s="27"/>
      <c r="P852" s="56"/>
      <c r="Q852" s="26"/>
      <c r="S852" s="330">
        <v>0.56999999999999995</v>
      </c>
      <c r="T852" s="67">
        <v>3</v>
      </c>
      <c r="U852" s="366">
        <f t="shared" si="183"/>
        <v>1.4084507042253521E-2</v>
      </c>
      <c r="V852" s="97">
        <v>15.09</v>
      </c>
      <c r="W852" s="36">
        <f>RTD("money.excel",,"3563","Price")</f>
        <v>213</v>
      </c>
      <c r="X852" s="67"/>
      <c r="Y852" s="15">
        <f t="shared" si="178"/>
        <v>213</v>
      </c>
      <c r="Z852" s="3" t="e">
        <f t="shared" si="179"/>
        <v>#DIV/0!</v>
      </c>
      <c r="AA852" s="174" t="s">
        <v>4714</v>
      </c>
      <c r="AB852" s="22" t="s">
        <v>5378</v>
      </c>
      <c r="AE852" s="33">
        <f t="shared" si="180"/>
        <v>0</v>
      </c>
      <c r="AF852" s="124" t="s">
        <v>5379</v>
      </c>
      <c r="AG852" s="128"/>
      <c r="AI852" s="64">
        <f t="shared" si="184"/>
        <v>3.7583892617449664E-3</v>
      </c>
      <c r="AJ852" s="313">
        <f>RTD("money.excel",,$G852,"PredictVolume")</f>
        <v>168</v>
      </c>
      <c r="AK852" s="348"/>
    </row>
    <row r="853" spans="1:37">
      <c r="A853" s="148" t="s">
        <v>5380</v>
      </c>
      <c r="B853" s="81">
        <v>42</v>
      </c>
      <c r="C853" s="81">
        <v>55</v>
      </c>
      <c r="D853" s="82">
        <v>-1</v>
      </c>
      <c r="E853" s="81">
        <v>18</v>
      </c>
      <c r="F853" s="6">
        <v>-8.7799999999999994</v>
      </c>
      <c r="G853" s="81">
        <v>3576</v>
      </c>
      <c r="H853" s="8" t="s">
        <v>2167</v>
      </c>
      <c r="I853" s="22" t="s">
        <v>5381</v>
      </c>
      <c r="J853" s="330">
        <v>37.49</v>
      </c>
      <c r="K853" s="330">
        <v>13.93</v>
      </c>
      <c r="N853" s="325">
        <f t="shared" si="182"/>
        <v>51.42</v>
      </c>
      <c r="O853" s="27"/>
      <c r="P853" s="56"/>
      <c r="Q853" s="26"/>
      <c r="T853" s="34">
        <v>0</v>
      </c>
      <c r="U853" s="366">
        <f t="shared" si="183"/>
        <v>0</v>
      </c>
      <c r="V853" s="97">
        <v>-2.34</v>
      </c>
      <c r="W853" s="36">
        <f>RTD("money.excel",,"3576","Price")</f>
        <v>22.9</v>
      </c>
      <c r="X853" s="67"/>
      <c r="Y853" s="15">
        <f t="shared" si="178"/>
        <v>22.9</v>
      </c>
      <c r="Z853" s="3" t="e">
        <f t="shared" si="179"/>
        <v>#DIV/0!</v>
      </c>
      <c r="AA853" s="174" t="s">
        <v>4710</v>
      </c>
      <c r="AB853" s="22" t="s">
        <v>5381</v>
      </c>
      <c r="AE853" s="33">
        <f t="shared" si="180"/>
        <v>0</v>
      </c>
      <c r="AF853" s="122" t="s">
        <v>5382</v>
      </c>
      <c r="AG853" s="128"/>
      <c r="AI853" s="64">
        <f t="shared" si="184"/>
        <v>7.4537037037037037E-3</v>
      </c>
      <c r="AJ853" s="313">
        <f>RTD("money.excel",,$G853,"PredictVolume")</f>
        <v>12075</v>
      </c>
      <c r="AK853" s="348"/>
    </row>
    <row r="854" spans="1:37">
      <c r="A854" s="148" t="s">
        <v>5383</v>
      </c>
      <c r="B854" s="82">
        <v>-726</v>
      </c>
      <c r="C854" s="82">
        <v>-369</v>
      </c>
      <c r="D854" s="81">
        <v>147</v>
      </c>
      <c r="E854" s="81">
        <v>33</v>
      </c>
      <c r="F854" s="6">
        <v>-2.54</v>
      </c>
      <c r="G854" s="81">
        <v>3591</v>
      </c>
      <c r="H854" s="8" t="s">
        <v>2167</v>
      </c>
      <c r="I854" s="22" t="s">
        <v>5384</v>
      </c>
      <c r="J854" s="75">
        <v>56.8</v>
      </c>
      <c r="K854" s="330">
        <v>5.0999999999999996</v>
      </c>
      <c r="L854" s="330">
        <v>11.92</v>
      </c>
      <c r="N854" s="325">
        <f t="shared" si="182"/>
        <v>73.819999999999993</v>
      </c>
      <c r="O854" s="27"/>
      <c r="P854" s="56"/>
      <c r="Q854" s="26"/>
      <c r="S854" s="330">
        <v>8.24</v>
      </c>
      <c r="T854" s="34">
        <v>0.33</v>
      </c>
      <c r="U854" s="366">
        <f t="shared" si="183"/>
        <v>1.7010309278350517E-2</v>
      </c>
      <c r="V854" s="97">
        <v>0.35</v>
      </c>
      <c r="W854" s="36">
        <f>RTD("money.excel",,"3591","Price")</f>
        <v>19.399999999999999</v>
      </c>
      <c r="X854" s="67"/>
      <c r="Y854" s="15">
        <f t="shared" si="178"/>
        <v>19.399999999999999</v>
      </c>
      <c r="Z854" s="3" t="e">
        <f t="shared" si="179"/>
        <v>#DIV/0!</v>
      </c>
      <c r="AA854" s="174" t="s">
        <v>4710</v>
      </c>
      <c r="AB854" s="22" t="s">
        <v>5384</v>
      </c>
      <c r="AE854" s="33">
        <f t="shared" si="180"/>
        <v>0</v>
      </c>
      <c r="AF854" s="43" t="s">
        <v>5385</v>
      </c>
      <c r="AG854" s="128"/>
      <c r="AI854" s="64">
        <f t="shared" si="184"/>
        <v>1.1721311475409836E-3</v>
      </c>
      <c r="AJ854" s="313">
        <f>RTD("money.excel",,$G854,"PredictVolume")</f>
        <v>143</v>
      </c>
      <c r="AK854" s="348"/>
    </row>
    <row r="855" spans="1:37">
      <c r="A855" s="148" t="s">
        <v>2789</v>
      </c>
      <c r="B855" s="81">
        <v>210</v>
      </c>
      <c r="C855" s="81">
        <v>353</v>
      </c>
      <c r="D855" s="82">
        <v>-20</v>
      </c>
      <c r="E855" s="81">
        <v>12</v>
      </c>
      <c r="F855" s="6">
        <v>-4.6500000000000004</v>
      </c>
      <c r="G855" s="81">
        <v>3615</v>
      </c>
      <c r="H855" s="8" t="s">
        <v>325</v>
      </c>
      <c r="I855" s="16" t="s">
        <v>5386</v>
      </c>
      <c r="J855" s="75">
        <v>30.92</v>
      </c>
      <c r="K855" s="330">
        <v>2.4900000000000002</v>
      </c>
      <c r="L855" s="75">
        <v>30</v>
      </c>
      <c r="N855" s="325">
        <f t="shared" si="182"/>
        <v>63.410000000000004</v>
      </c>
      <c r="O855" s="27"/>
      <c r="P855" s="56"/>
      <c r="Q855" s="26"/>
      <c r="S855" s="330">
        <v>0.25</v>
      </c>
      <c r="T855" s="34">
        <v>0</v>
      </c>
      <c r="U855" s="366">
        <f t="shared" si="183"/>
        <v>0</v>
      </c>
      <c r="V855" s="97">
        <v>0.28999999999999998</v>
      </c>
      <c r="W855" s="36">
        <f>RTD("money.excel",,"3615","Price")</f>
        <v>20.45</v>
      </c>
      <c r="X855" s="67"/>
      <c r="Y855" s="15">
        <f t="shared" si="178"/>
        <v>20.45</v>
      </c>
      <c r="Z855" s="3" t="e">
        <f t="shared" si="179"/>
        <v>#DIV/0!</v>
      </c>
      <c r="AB855" s="16" t="s">
        <v>5386</v>
      </c>
      <c r="AE855" s="33">
        <f t="shared" si="180"/>
        <v>0</v>
      </c>
      <c r="AF855" s="43" t="s">
        <v>5387</v>
      </c>
      <c r="AG855" s="128"/>
      <c r="AI855" s="64">
        <f t="shared" si="184"/>
        <v>3.0218978102189782E-3</v>
      </c>
      <c r="AJ855" s="313">
        <f>RTD("money.excel",,$G855,"PredictVolume")</f>
        <v>207</v>
      </c>
      <c r="AK855" s="348"/>
    </row>
    <row r="856" spans="1:37">
      <c r="A856" s="148" t="s">
        <v>4966</v>
      </c>
      <c r="B856" s="81">
        <v>525</v>
      </c>
      <c r="C856" s="81">
        <v>169</v>
      </c>
      <c r="D856" s="82">
        <v>-15</v>
      </c>
      <c r="E856" s="81">
        <v>23</v>
      </c>
      <c r="F856" s="6">
        <v>6.78</v>
      </c>
      <c r="G856" s="81">
        <v>3622</v>
      </c>
      <c r="H856" s="8" t="s">
        <v>2167</v>
      </c>
      <c r="I856" s="22" t="s">
        <v>5388</v>
      </c>
      <c r="J856" s="330">
        <v>51.32</v>
      </c>
      <c r="K856" s="75">
        <v>4.87</v>
      </c>
      <c r="L856" s="330">
        <v>8.1199999999999992</v>
      </c>
      <c r="N856" s="325">
        <f t="shared" si="182"/>
        <v>64.31</v>
      </c>
      <c r="O856" s="27"/>
      <c r="P856" s="56"/>
      <c r="Q856" s="26"/>
      <c r="S856" s="330">
        <v>2.4700000000000002</v>
      </c>
      <c r="T856" s="34">
        <v>1</v>
      </c>
      <c r="U856" s="366">
        <f t="shared" si="183"/>
        <v>3.8314176245210725E-2</v>
      </c>
      <c r="V856" s="58">
        <v>1.48</v>
      </c>
      <c r="W856" s="36">
        <f>RTD("money.excel",,"3622","Price")</f>
        <v>26.1</v>
      </c>
      <c r="X856" s="67"/>
      <c r="Y856" s="15">
        <f t="shared" si="178"/>
        <v>26.1</v>
      </c>
      <c r="Z856" s="3" t="e">
        <f t="shared" si="179"/>
        <v>#DIV/0!</v>
      </c>
      <c r="AA856" s="174" t="s">
        <v>4710</v>
      </c>
      <c r="AB856" s="22" t="s">
        <v>5388</v>
      </c>
      <c r="AE856" s="33">
        <f t="shared" si="180"/>
        <v>0</v>
      </c>
      <c r="AF856" s="43" t="s">
        <v>5389</v>
      </c>
      <c r="AG856" s="128"/>
      <c r="AI856" s="64">
        <f t="shared" si="184"/>
        <v>2.781456953642384E-4</v>
      </c>
      <c r="AJ856" s="313">
        <f>RTD("money.excel",,$G856,"PredictVolume")</f>
        <v>42</v>
      </c>
      <c r="AK856" s="348"/>
    </row>
    <row r="857" spans="1:37">
      <c r="A857" s="148" t="s">
        <v>1906</v>
      </c>
      <c r="B857" s="82">
        <v>-52</v>
      </c>
      <c r="C857" s="82">
        <v>-22</v>
      </c>
      <c r="D857" s="82">
        <v>-6</v>
      </c>
      <c r="E857" s="81">
        <v>70</v>
      </c>
      <c r="F857" s="6">
        <v>-14.45</v>
      </c>
      <c r="G857" s="81">
        <v>3623</v>
      </c>
      <c r="H857" s="8" t="s">
        <v>2167</v>
      </c>
      <c r="I857" s="16" t="s">
        <v>5390</v>
      </c>
      <c r="J857" s="75">
        <v>52.6</v>
      </c>
      <c r="K857" s="330">
        <v>0.56999999999999995</v>
      </c>
      <c r="L857" s="75">
        <v>16.46</v>
      </c>
      <c r="M857" s="75">
        <v>53.84</v>
      </c>
      <c r="N857" s="325">
        <f t="shared" si="182"/>
        <v>123.47</v>
      </c>
      <c r="O857" s="27"/>
      <c r="P857" s="56"/>
      <c r="Q857" s="26"/>
      <c r="R857" s="308" t="s">
        <v>6059</v>
      </c>
      <c r="S857" s="330">
        <v>0.2</v>
      </c>
      <c r="T857" s="34">
        <v>0</v>
      </c>
      <c r="U857" s="366">
        <f t="shared" si="183"/>
        <v>0</v>
      </c>
      <c r="V857" s="58">
        <v>-1.51</v>
      </c>
      <c r="W857" s="36">
        <f>RTD("money.excel",,"3623","Price")</f>
        <v>19.649999999999999</v>
      </c>
      <c r="X857" s="67"/>
      <c r="Y857" s="15">
        <f t="shared" si="178"/>
        <v>19.649999999999999</v>
      </c>
      <c r="Z857" s="3" t="e">
        <f t="shared" si="179"/>
        <v>#DIV/0!</v>
      </c>
      <c r="AA857" s="174" t="s">
        <v>1943</v>
      </c>
      <c r="AB857" s="16" t="s">
        <v>5390</v>
      </c>
      <c r="AE857" s="33">
        <f t="shared" si="180"/>
        <v>0</v>
      </c>
      <c r="AF857" s="43" t="s">
        <v>5391</v>
      </c>
      <c r="AG857" s="128"/>
      <c r="AI857" s="64">
        <f t="shared" si="184"/>
        <v>3.8082191780821915E-2</v>
      </c>
      <c r="AJ857" s="313">
        <f>RTD("money.excel",,$G857,"PredictVolume")</f>
        <v>1112</v>
      </c>
      <c r="AK857" s="348"/>
    </row>
    <row r="858" spans="1:37">
      <c r="A858" s="148" t="s">
        <v>5392</v>
      </c>
      <c r="B858" s="82">
        <v>-154</v>
      </c>
      <c r="C858" s="82">
        <v>-170</v>
      </c>
      <c r="D858" s="81">
        <v>22</v>
      </c>
      <c r="E858" s="81">
        <v>37</v>
      </c>
      <c r="F858" s="58">
        <v>-13.11</v>
      </c>
      <c r="G858" s="81">
        <v>3630</v>
      </c>
      <c r="H858" s="210" t="s">
        <v>2167</v>
      </c>
      <c r="I858" s="24" t="s">
        <v>5393</v>
      </c>
      <c r="J858" s="330">
        <v>50.8</v>
      </c>
      <c r="K858" s="75">
        <v>36.94</v>
      </c>
      <c r="L858" s="330">
        <v>31.14</v>
      </c>
      <c r="N858" s="325">
        <f t="shared" si="182"/>
        <v>118.88</v>
      </c>
      <c r="O858" s="27"/>
      <c r="P858" s="56"/>
      <c r="Q858" s="26"/>
      <c r="S858" s="330">
        <v>1.62</v>
      </c>
      <c r="T858" s="34">
        <v>0</v>
      </c>
      <c r="U858" s="366">
        <f t="shared" si="183"/>
        <v>0</v>
      </c>
      <c r="V858" s="58">
        <v>-1.51</v>
      </c>
      <c r="W858" s="36">
        <f>RTD("money.excel",,"3630","Price")</f>
        <v>32.5</v>
      </c>
      <c r="X858" s="67"/>
      <c r="Y858" s="15">
        <f t="shared" si="178"/>
        <v>32.5</v>
      </c>
      <c r="Z858" s="3" t="e">
        <f t="shared" si="179"/>
        <v>#DIV/0!</v>
      </c>
      <c r="AA858" s="174" t="s">
        <v>4710</v>
      </c>
      <c r="AB858" s="24" t="s">
        <v>5393</v>
      </c>
      <c r="AE858" s="33">
        <f t="shared" si="180"/>
        <v>0</v>
      </c>
      <c r="AF858" s="124" t="s">
        <v>5394</v>
      </c>
      <c r="AG858" s="128"/>
      <c r="AI858" s="64">
        <f t="shared" si="184"/>
        <v>1.407608695652174E-3</v>
      </c>
      <c r="AJ858" s="313">
        <f>RTD("money.excel",,$G858,"PredictVolume")</f>
        <v>259</v>
      </c>
      <c r="AK858" s="348"/>
    </row>
    <row r="859" spans="1:37">
      <c r="A859" s="148" t="s">
        <v>2213</v>
      </c>
      <c r="B859" s="82">
        <v>-97</v>
      </c>
      <c r="C859" s="82">
        <v>-101</v>
      </c>
      <c r="D859" s="81">
        <v>11</v>
      </c>
      <c r="E859" s="82">
        <v>-3</v>
      </c>
      <c r="F859" s="6">
        <v>-0.08</v>
      </c>
      <c r="G859" s="81">
        <v>3666</v>
      </c>
      <c r="H859" s="8" t="s">
        <v>2167</v>
      </c>
      <c r="I859" s="16" t="s">
        <v>486</v>
      </c>
      <c r="J859" s="75">
        <v>51.44</v>
      </c>
      <c r="K859" s="75">
        <v>5.26</v>
      </c>
      <c r="L859" s="75">
        <v>17.98</v>
      </c>
      <c r="M859" s="330">
        <v>41.39</v>
      </c>
      <c r="N859" s="325">
        <f t="shared" si="182"/>
        <v>116.07</v>
      </c>
      <c r="O859" s="27" t="s">
        <v>6131</v>
      </c>
      <c r="P859" s="56"/>
      <c r="Q859" s="26"/>
      <c r="R859" s="308" t="s">
        <v>4373</v>
      </c>
      <c r="S859" s="330">
        <v>2.12</v>
      </c>
      <c r="T859" s="34">
        <v>2</v>
      </c>
      <c r="U859" s="366">
        <f t="shared" si="183"/>
        <v>7.1684587813620082E-2</v>
      </c>
      <c r="V859" s="58">
        <v>1.24</v>
      </c>
      <c r="W859" s="36">
        <f>RTD("money.excel",,"3666","Price")</f>
        <v>27.9</v>
      </c>
      <c r="X859" s="67"/>
      <c r="Y859" s="15">
        <f t="shared" si="178"/>
        <v>27.9</v>
      </c>
      <c r="Z859" s="3" t="e">
        <f t="shared" si="179"/>
        <v>#DIV/0!</v>
      </c>
      <c r="AA859" s="174" t="s">
        <v>1943</v>
      </c>
      <c r="AB859" s="16" t="s">
        <v>486</v>
      </c>
      <c r="AE859" s="33">
        <f t="shared" si="180"/>
        <v>0</v>
      </c>
      <c r="AF859" s="43" t="s">
        <v>5396</v>
      </c>
      <c r="AG859" s="269"/>
      <c r="AI859" s="64">
        <f t="shared" si="184"/>
        <v>1.4650766609880749E-3</v>
      </c>
      <c r="AJ859" s="313">
        <f>RTD("money.excel",,$G859,"PredictVolume")</f>
        <v>86</v>
      </c>
      <c r="AK859" s="348">
        <v>11.88</v>
      </c>
    </row>
    <row r="860" spans="1:37">
      <c r="A860" s="132" t="s">
        <v>5397</v>
      </c>
      <c r="B860" s="81">
        <v>5</v>
      </c>
      <c r="C860" s="82">
        <v>-8</v>
      </c>
      <c r="D860" s="82">
        <v>-5</v>
      </c>
      <c r="E860" s="82">
        <v>-44</v>
      </c>
      <c r="F860" s="58">
        <v>20.440000000000001</v>
      </c>
      <c r="G860" s="81">
        <v>3669</v>
      </c>
      <c r="H860" s="8" t="s">
        <v>2167</v>
      </c>
      <c r="I860" s="22" t="s">
        <v>5398</v>
      </c>
      <c r="J860" s="330">
        <v>54.51</v>
      </c>
      <c r="K860" s="75">
        <v>1.63</v>
      </c>
      <c r="L860" s="330">
        <v>14.45</v>
      </c>
      <c r="M860" s="330">
        <v>36.6</v>
      </c>
      <c r="N860" s="325">
        <f t="shared" si="182"/>
        <v>107.19</v>
      </c>
      <c r="O860" s="27"/>
      <c r="P860" s="56"/>
      <c r="Q860" s="26"/>
      <c r="R860" s="308" t="s">
        <v>4829</v>
      </c>
      <c r="S860" s="330">
        <v>2.4300000000000002</v>
      </c>
      <c r="T860" s="67">
        <v>5</v>
      </c>
      <c r="U860" s="366">
        <f t="shared" si="183"/>
        <v>9.8619329388560148E-2</v>
      </c>
      <c r="V860" s="58">
        <v>8.8000000000000007</v>
      </c>
      <c r="W860" s="36">
        <f>RTD("money.excel",,"3669","Price")</f>
        <v>50.7</v>
      </c>
      <c r="X860" s="67"/>
      <c r="Y860" s="15">
        <f t="shared" si="178"/>
        <v>50.7</v>
      </c>
      <c r="Z860" s="3" t="e">
        <f t="shared" si="179"/>
        <v>#DIV/0!</v>
      </c>
      <c r="AA860" s="174" t="s">
        <v>4714</v>
      </c>
      <c r="AB860" s="22" t="s">
        <v>5398</v>
      </c>
      <c r="AE860" s="33">
        <f t="shared" si="180"/>
        <v>0</v>
      </c>
      <c r="AF860" s="122" t="s">
        <v>5399</v>
      </c>
      <c r="AG860" s="128"/>
      <c r="AI860" s="64">
        <f t="shared" si="184"/>
        <v>2.5618945102260501E-3</v>
      </c>
      <c r="AJ860" s="313">
        <f>RTD("money.excel",,$G860,"PredictVolume")</f>
        <v>238</v>
      </c>
      <c r="AK860" s="348"/>
    </row>
    <row r="861" spans="1:37">
      <c r="A861" s="148" t="s">
        <v>5400</v>
      </c>
      <c r="B861" s="81">
        <v>92</v>
      </c>
      <c r="C861" s="82">
        <v>-53</v>
      </c>
      <c r="D861" s="82">
        <v>-12</v>
      </c>
      <c r="E861" s="82">
        <v>-20</v>
      </c>
      <c r="F861" s="6">
        <v>0.46</v>
      </c>
      <c r="G861" s="81">
        <v>3673</v>
      </c>
      <c r="H861" s="8" t="s">
        <v>2167</v>
      </c>
      <c r="I861" s="22" t="s">
        <v>5401</v>
      </c>
      <c r="J861" s="75">
        <v>35.6</v>
      </c>
      <c r="K861" s="75">
        <v>38.659999999999997</v>
      </c>
      <c r="L861" s="330">
        <v>14.73</v>
      </c>
      <c r="N861" s="325">
        <f t="shared" si="182"/>
        <v>88.99</v>
      </c>
      <c r="O861" s="27"/>
      <c r="P861" s="56"/>
      <c r="Q861" s="26"/>
      <c r="S861" s="330">
        <v>0.89</v>
      </c>
      <c r="T861" s="34">
        <v>1</v>
      </c>
      <c r="U861" s="366">
        <f t="shared" si="183"/>
        <v>2.6737967914438502E-2</v>
      </c>
      <c r="V861" s="97">
        <v>3.33</v>
      </c>
      <c r="W861" s="36">
        <f>RTD("money.excel",,"3673","Price")</f>
        <v>37.4</v>
      </c>
      <c r="X861" s="67"/>
      <c r="Y861" s="15">
        <f t="shared" si="178"/>
        <v>37.4</v>
      </c>
      <c r="Z861" s="3" t="e">
        <f t="shared" si="179"/>
        <v>#DIV/0!</v>
      </c>
      <c r="AA861" s="174" t="s">
        <v>4710</v>
      </c>
      <c r="AB861" s="22" t="s">
        <v>5401</v>
      </c>
      <c r="AE861" s="33">
        <f t="shared" si="180"/>
        <v>0</v>
      </c>
      <c r="AF861" s="122" t="s">
        <v>5402</v>
      </c>
      <c r="AG861" s="128"/>
      <c r="AI861" s="64">
        <f t="shared" si="184"/>
        <v>2.1231527093596059E-3</v>
      </c>
      <c r="AJ861" s="313">
        <f>RTD("money.excel",,$G861,"PredictVolume")</f>
        <v>862</v>
      </c>
      <c r="AK861" s="348"/>
    </row>
    <row r="862" spans="1:37">
      <c r="A862" s="148" t="s">
        <v>5403</v>
      </c>
      <c r="B862" s="82">
        <v>-74</v>
      </c>
      <c r="C862" s="82">
        <v>-153</v>
      </c>
      <c r="D862" s="82">
        <v>-39</v>
      </c>
      <c r="E862" s="81">
        <v>234</v>
      </c>
      <c r="F862" s="6">
        <v>-1.56</v>
      </c>
      <c r="G862" s="81">
        <v>3685</v>
      </c>
      <c r="H862" s="8" t="s">
        <v>2167</v>
      </c>
      <c r="I862" s="16" t="s">
        <v>5404</v>
      </c>
      <c r="J862" s="75">
        <v>64.52</v>
      </c>
      <c r="K862" s="330">
        <v>2.57</v>
      </c>
      <c r="L862" s="330">
        <v>6</v>
      </c>
      <c r="N862" s="325">
        <f t="shared" si="182"/>
        <v>73.089999999999989</v>
      </c>
      <c r="O862" s="27"/>
      <c r="P862" s="56"/>
      <c r="Q862" s="26"/>
      <c r="S862" s="330">
        <v>0.28000000000000003</v>
      </c>
      <c r="T862" s="34">
        <v>0.2</v>
      </c>
      <c r="U862" s="366">
        <f t="shared" si="183"/>
        <v>6.8965517241379318E-3</v>
      </c>
      <c r="V862" s="58">
        <v>0.1</v>
      </c>
      <c r="W862" s="36">
        <f>RTD("money.excel",,"3685","Price")</f>
        <v>29</v>
      </c>
      <c r="X862" s="67"/>
      <c r="Y862" s="15">
        <f t="shared" si="178"/>
        <v>29</v>
      </c>
      <c r="Z862" s="3" t="e">
        <f t="shared" si="179"/>
        <v>#DIV/0!</v>
      </c>
      <c r="AA862" s="174" t="s">
        <v>4710</v>
      </c>
      <c r="AB862" s="16" t="s">
        <v>5404</v>
      </c>
      <c r="AE862" s="33">
        <f t="shared" si="180"/>
        <v>0</v>
      </c>
      <c r="AF862" s="43" t="s">
        <v>5405</v>
      </c>
      <c r="AG862" s="128"/>
      <c r="AI862" s="64">
        <f t="shared" si="184"/>
        <v>8.6249999999999999E-4</v>
      </c>
      <c r="AJ862" s="313">
        <f>RTD("money.excel",,$G862,"PredictVolume")</f>
        <v>69</v>
      </c>
      <c r="AK862" s="348"/>
    </row>
    <row r="863" spans="1:37">
      <c r="A863" s="148" t="s">
        <v>5406</v>
      </c>
      <c r="B863" s="81">
        <v>125</v>
      </c>
      <c r="C863" s="81">
        <v>27</v>
      </c>
      <c r="D863" s="82">
        <v>-9</v>
      </c>
      <c r="E863" s="81">
        <v>10</v>
      </c>
      <c r="F863" s="6">
        <v>3.18</v>
      </c>
      <c r="G863" s="81">
        <v>3691</v>
      </c>
      <c r="H863" s="151" t="s">
        <v>2167</v>
      </c>
      <c r="I863" s="16" t="s">
        <v>5407</v>
      </c>
      <c r="J863" s="330">
        <v>54.18</v>
      </c>
      <c r="K863" s="330">
        <v>16.46</v>
      </c>
      <c r="L863" s="330">
        <v>12</v>
      </c>
      <c r="N863" s="325">
        <f t="shared" si="182"/>
        <v>82.64</v>
      </c>
      <c r="O863" s="27"/>
      <c r="P863" s="56"/>
      <c r="Q863" s="26"/>
      <c r="S863" s="330">
        <v>17.829999999999998</v>
      </c>
      <c r="T863" s="34">
        <v>2</v>
      </c>
      <c r="U863" s="366">
        <f t="shared" si="183"/>
        <v>1.1235955056179775E-2</v>
      </c>
      <c r="V863" s="58">
        <v>4.7300000000000004</v>
      </c>
      <c r="W863" s="36">
        <f>RTD("money.excel",,"3691","Price")</f>
        <v>178</v>
      </c>
      <c r="X863" s="67"/>
      <c r="Y863" s="15">
        <f t="shared" si="178"/>
        <v>178</v>
      </c>
      <c r="Z863" s="3" t="e">
        <f t="shared" si="179"/>
        <v>#DIV/0!</v>
      </c>
      <c r="AA863" s="174" t="s">
        <v>4710</v>
      </c>
      <c r="AB863" s="16" t="s">
        <v>5407</v>
      </c>
      <c r="AE863" s="33">
        <f t="shared" si="180"/>
        <v>0</v>
      </c>
      <c r="AF863" s="122" t="s">
        <v>5408</v>
      </c>
      <c r="AG863" s="128"/>
      <c r="AI863" s="64">
        <f t="shared" si="184"/>
        <v>3.2473444613050077E-3</v>
      </c>
      <c r="AJ863" s="313">
        <f>RTD("money.excel",,$G863,"PredictVolume")</f>
        <v>214</v>
      </c>
      <c r="AK863" s="348"/>
    </row>
    <row r="864" spans="1:37">
      <c r="A864" s="148" t="s">
        <v>5409</v>
      </c>
      <c r="B864" s="95">
        <v>2639</v>
      </c>
      <c r="C864" s="95">
        <v>2126</v>
      </c>
      <c r="D864" s="81">
        <v>42</v>
      </c>
      <c r="E864" s="95">
        <v>1154</v>
      </c>
      <c r="F864" s="6">
        <v>9.25</v>
      </c>
      <c r="G864" s="81">
        <v>3713</v>
      </c>
      <c r="H864" s="8" t="s">
        <v>2167</v>
      </c>
      <c r="I864" s="16" t="s">
        <v>5410</v>
      </c>
      <c r="J864" s="330">
        <v>51.08</v>
      </c>
      <c r="K864" s="75">
        <v>0.34</v>
      </c>
      <c r="N864" s="325">
        <f t="shared" si="182"/>
        <v>51.42</v>
      </c>
      <c r="O864" s="27"/>
      <c r="P864" s="56"/>
      <c r="Q864" s="26"/>
      <c r="T864" s="34">
        <v>0</v>
      </c>
      <c r="U864" s="366">
        <f t="shared" si="183"/>
        <v>0</v>
      </c>
      <c r="V864" s="58">
        <v>0.32</v>
      </c>
      <c r="W864" s="36">
        <f>RTD("money.excel",,"3713","Price")</f>
        <v>34.5</v>
      </c>
      <c r="X864" s="67"/>
      <c r="Y864" s="15">
        <f t="shared" si="178"/>
        <v>34.5</v>
      </c>
      <c r="Z864" s="3" t="e">
        <f t="shared" si="179"/>
        <v>#DIV/0!</v>
      </c>
      <c r="AA864" s="174" t="s">
        <v>4710</v>
      </c>
      <c r="AB864" s="16" t="s">
        <v>5410</v>
      </c>
      <c r="AE864" s="33">
        <f t="shared" si="180"/>
        <v>0</v>
      </c>
      <c r="AF864" s="43" t="s">
        <v>5411</v>
      </c>
      <c r="AG864" s="128"/>
      <c r="AI864" s="64">
        <f t="shared" si="184"/>
        <v>1.1907810499359795E-3</v>
      </c>
      <c r="AJ864" s="313">
        <f>RTD("money.excel",,$G864,"PredictVolume")</f>
        <v>93</v>
      </c>
      <c r="AK864" s="348"/>
    </row>
    <row r="865" spans="1:37">
      <c r="A865" s="148" t="s">
        <v>5412</v>
      </c>
      <c r="B865" s="81">
        <v>76</v>
      </c>
      <c r="C865" s="81">
        <v>86</v>
      </c>
      <c r="D865" s="81">
        <v>13</v>
      </c>
      <c r="E865" s="82"/>
      <c r="F865" s="6">
        <v>-4.79</v>
      </c>
      <c r="G865" s="81">
        <v>3714</v>
      </c>
      <c r="H865" s="8" t="s">
        <v>2167</v>
      </c>
      <c r="I865" s="22" t="s">
        <v>5413</v>
      </c>
      <c r="J865" s="330">
        <v>35.76</v>
      </c>
      <c r="K865" s="330">
        <v>18.11</v>
      </c>
      <c r="L865" s="330">
        <v>17.760000000000002</v>
      </c>
      <c r="N865" s="325">
        <f t="shared" si="182"/>
        <v>71.63</v>
      </c>
      <c r="O865" s="27"/>
      <c r="P865" s="56"/>
      <c r="Q865" s="26"/>
      <c r="S865" s="330">
        <v>0.08</v>
      </c>
      <c r="T865" s="34"/>
      <c r="U865" s="366">
        <f t="shared" si="183"/>
        <v>0</v>
      </c>
      <c r="V865" s="97"/>
      <c r="W865" s="36">
        <f>RTD("money.excel",,"3714","Price")</f>
        <v>71.099999999999994</v>
      </c>
      <c r="X865" s="67"/>
      <c r="Y865" s="15">
        <f t="shared" si="178"/>
        <v>71.099999999999994</v>
      </c>
      <c r="Z865" s="3" t="e">
        <f t="shared" si="179"/>
        <v>#DIV/0!</v>
      </c>
      <c r="AA865" s="174" t="s">
        <v>4710</v>
      </c>
      <c r="AB865" s="22" t="s">
        <v>5413</v>
      </c>
      <c r="AE865" s="33">
        <f t="shared" si="180"/>
        <v>0</v>
      </c>
      <c r="AF865" s="122" t="s">
        <v>6119</v>
      </c>
      <c r="AG865" s="128"/>
      <c r="AI865" s="64">
        <f t="shared" si="184"/>
        <v>1.6230656934306569E-2</v>
      </c>
      <c r="AJ865" s="313">
        <f>RTD("money.excel",,$G865,"PredictVolume")</f>
        <v>11118</v>
      </c>
      <c r="AK865" s="348"/>
    </row>
    <row r="866" spans="1:37">
      <c r="A866" s="148" t="s">
        <v>5414</v>
      </c>
      <c r="B866" s="93">
        <v>56</v>
      </c>
      <c r="C866" s="93">
        <v>-14</v>
      </c>
      <c r="D866" s="93">
        <v>14</v>
      </c>
      <c r="E866" s="93">
        <v>-29</v>
      </c>
      <c r="F866" s="6">
        <v>-9.1</v>
      </c>
      <c r="G866" s="81">
        <v>4729</v>
      </c>
      <c r="H866" s="8" t="s">
        <v>2167</v>
      </c>
      <c r="I866" s="16" t="s">
        <v>5415</v>
      </c>
      <c r="J866" s="75">
        <v>56.73</v>
      </c>
      <c r="K866" s="75">
        <v>0</v>
      </c>
      <c r="N866" s="325">
        <f t="shared" si="182"/>
        <v>56.73</v>
      </c>
      <c r="O866" s="27"/>
      <c r="P866" s="56"/>
      <c r="Q866" s="26"/>
      <c r="S866" s="330">
        <v>22.62</v>
      </c>
      <c r="T866" s="34">
        <v>0</v>
      </c>
      <c r="U866" s="366">
        <f t="shared" si="183"/>
        <v>0</v>
      </c>
      <c r="V866" s="97">
        <v>-1.1000000000000001</v>
      </c>
      <c r="W866" s="13">
        <f>RTD("money.excel",,"4729","Price")</f>
        <v>12.9</v>
      </c>
      <c r="X866" s="67"/>
      <c r="Y866" s="15">
        <f t="shared" si="178"/>
        <v>12.9</v>
      </c>
      <c r="Z866" s="3" t="e">
        <f t="shared" si="179"/>
        <v>#DIV/0!</v>
      </c>
      <c r="AA866" s="174" t="s">
        <v>4710</v>
      </c>
      <c r="AB866" s="16" t="s">
        <v>5415</v>
      </c>
      <c r="AE866" s="33">
        <f t="shared" si="180"/>
        <v>0</v>
      </c>
      <c r="AF866" s="43" t="s">
        <v>5416</v>
      </c>
      <c r="AG866" s="128"/>
      <c r="AI866" s="64">
        <f t="shared" si="184"/>
        <v>7.0588235294117652E-4</v>
      </c>
      <c r="AJ866" s="313">
        <f>RTD("money.excel",,$G866,"PredictVolume")</f>
        <v>72</v>
      </c>
      <c r="AK866" s="348"/>
    </row>
    <row r="867" spans="1:37">
      <c r="A867" s="132" t="s">
        <v>3519</v>
      </c>
      <c r="B867" s="81">
        <v>81</v>
      </c>
      <c r="C867" s="81">
        <v>95</v>
      </c>
      <c r="D867" s="81">
        <v>16</v>
      </c>
      <c r="E867" s="81">
        <v>9</v>
      </c>
      <c r="F867" s="58">
        <v>12.85</v>
      </c>
      <c r="G867" s="81">
        <v>4933</v>
      </c>
      <c r="H867" s="8" t="s">
        <v>325</v>
      </c>
      <c r="I867" s="16" t="s">
        <v>5417</v>
      </c>
      <c r="J867" s="75">
        <v>60.41</v>
      </c>
      <c r="K867" s="75">
        <v>3.68</v>
      </c>
      <c r="L867" s="330">
        <v>7.14</v>
      </c>
      <c r="M867" s="75">
        <v>57.18</v>
      </c>
      <c r="N867" s="325">
        <f t="shared" si="182"/>
        <v>128.41</v>
      </c>
      <c r="O867" s="27" t="s">
        <v>6186</v>
      </c>
      <c r="P867" s="56"/>
      <c r="Q867" s="26"/>
      <c r="R867" s="309" t="s">
        <v>6163</v>
      </c>
      <c r="S867" s="330">
        <v>0.2</v>
      </c>
      <c r="T867" s="34">
        <v>2.19</v>
      </c>
      <c r="U867" s="366">
        <f t="shared" si="183"/>
        <v>5.8090185676392569E-2</v>
      </c>
      <c r="V867" s="58">
        <v>3.76</v>
      </c>
      <c r="W867" s="36">
        <f>RTD("money.excel",,"4933","Price")</f>
        <v>37.700000000000003</v>
      </c>
      <c r="X867" s="67"/>
      <c r="Y867" s="15">
        <f t="shared" si="178"/>
        <v>37.700000000000003</v>
      </c>
      <c r="Z867" s="3" t="e">
        <f t="shared" si="179"/>
        <v>#DIV/0!</v>
      </c>
      <c r="AB867" s="16" t="s">
        <v>5417</v>
      </c>
      <c r="AE867" s="33">
        <f t="shared" si="180"/>
        <v>0</v>
      </c>
      <c r="AF867" s="122" t="s">
        <v>5418</v>
      </c>
      <c r="AG867" s="128"/>
      <c r="AI867" s="64">
        <f t="shared" si="184"/>
        <v>4.0050062578222777E-4</v>
      </c>
      <c r="AJ867" s="313">
        <f>RTD("money.excel",,$G867,"PredictVolume")</f>
        <v>32</v>
      </c>
      <c r="AK867" s="348">
        <v>12.7</v>
      </c>
    </row>
    <row r="868" spans="1:37">
      <c r="A868" s="148" t="s">
        <v>5419</v>
      </c>
      <c r="B868" s="82">
        <v>-675</v>
      </c>
      <c r="C868" s="82">
        <v>-449</v>
      </c>
      <c r="D868" s="82">
        <v>-37</v>
      </c>
      <c r="E868" s="82">
        <v>-59</v>
      </c>
      <c r="F868" s="6">
        <v>-29.73</v>
      </c>
      <c r="G868" s="81">
        <v>4934</v>
      </c>
      <c r="H868" s="8" t="s">
        <v>2167</v>
      </c>
      <c r="I868" s="22" t="s">
        <v>5420</v>
      </c>
      <c r="J868" s="330">
        <v>28.95</v>
      </c>
      <c r="K868" s="75">
        <v>1.2</v>
      </c>
      <c r="N868" s="325">
        <f t="shared" si="182"/>
        <v>30.15</v>
      </c>
      <c r="O868" s="27"/>
      <c r="P868" s="56"/>
      <c r="Q868" s="26"/>
      <c r="T868" s="34">
        <v>0</v>
      </c>
      <c r="U868" s="366">
        <f t="shared" si="183"/>
        <v>0</v>
      </c>
      <c r="V868" s="97">
        <v>-1.59</v>
      </c>
      <c r="W868" s="36">
        <f>RTD("money.excel",,"4934","Price")</f>
        <v>32.299999999999997</v>
      </c>
      <c r="X868" s="67"/>
      <c r="Y868" s="15">
        <f t="shared" si="178"/>
        <v>32.299999999999997</v>
      </c>
      <c r="Z868" s="3" t="e">
        <f t="shared" si="179"/>
        <v>#DIV/0!</v>
      </c>
      <c r="AA868" s="174" t="s">
        <v>4710</v>
      </c>
      <c r="AB868" s="22" t="s">
        <v>5420</v>
      </c>
      <c r="AE868" s="33">
        <f t="shared" si="180"/>
        <v>0</v>
      </c>
      <c r="AF868" s="43" t="s">
        <v>2417</v>
      </c>
      <c r="AG868" s="128"/>
      <c r="AI868" s="64">
        <f t="shared" si="184"/>
        <v>3.0355555555555557E-3</v>
      </c>
      <c r="AJ868" s="313">
        <f>RTD("money.excel",,$G868,"PredictVolume")</f>
        <v>683</v>
      </c>
      <c r="AK868" s="348"/>
    </row>
    <row r="869" spans="1:37">
      <c r="A869" s="132" t="s">
        <v>5030</v>
      </c>
      <c r="B869" s="81">
        <v>4</v>
      </c>
      <c r="C869" s="82">
        <v>-9</v>
      </c>
      <c r="D869" s="82">
        <v>-16</v>
      </c>
      <c r="E869" s="82">
        <v>-22</v>
      </c>
      <c r="F869" s="58">
        <v>11.96</v>
      </c>
      <c r="G869" s="81">
        <v>4935</v>
      </c>
      <c r="H869" s="8" t="s">
        <v>2167</v>
      </c>
      <c r="I869" s="22" t="s">
        <v>5421</v>
      </c>
      <c r="J869" s="75">
        <v>45.98</v>
      </c>
      <c r="K869" s="330">
        <v>26.66</v>
      </c>
      <c r="L869" s="75">
        <v>12.64</v>
      </c>
      <c r="N869" s="325">
        <f t="shared" si="182"/>
        <v>85.28</v>
      </c>
      <c r="O869" s="27"/>
      <c r="P869" s="56"/>
      <c r="Q869" s="26"/>
      <c r="R869" s="308" t="s">
        <v>4754</v>
      </c>
      <c r="S869" s="330">
        <v>0.22</v>
      </c>
      <c r="T869" s="67">
        <v>5.5</v>
      </c>
      <c r="U869" s="366">
        <f t="shared" si="183"/>
        <v>7.9022988505747127E-2</v>
      </c>
      <c r="V869" s="97">
        <v>10.64</v>
      </c>
      <c r="W869" s="36">
        <f>RTD("money.excel",,"4935","Price")</f>
        <v>69.599999999999994</v>
      </c>
      <c r="X869" s="67"/>
      <c r="Y869" s="15">
        <f t="shared" si="178"/>
        <v>69.599999999999994</v>
      </c>
      <c r="Z869" s="3" t="e">
        <f t="shared" si="179"/>
        <v>#DIV/0!</v>
      </c>
      <c r="AA869" s="174" t="s">
        <v>4714</v>
      </c>
      <c r="AB869" s="22" t="s">
        <v>5421</v>
      </c>
      <c r="AE869" s="33">
        <f t="shared" si="180"/>
        <v>0</v>
      </c>
      <c r="AF869" s="43" t="s">
        <v>2801</v>
      </c>
      <c r="AG869" s="269"/>
      <c r="AI869" s="64">
        <f t="shared" si="184"/>
        <v>2.0692307692307694E-3</v>
      </c>
      <c r="AJ869" s="313">
        <f>RTD("money.excel",,$G869,"PredictVolume")</f>
        <v>269</v>
      </c>
      <c r="AK869" s="348"/>
    </row>
    <row r="870" spans="1:37">
      <c r="A870" s="132" t="s">
        <v>5422</v>
      </c>
      <c r="B870" s="82">
        <v>-1</v>
      </c>
      <c r="C870" s="81">
        <v>24</v>
      </c>
      <c r="D870" s="82">
        <v>-35</v>
      </c>
      <c r="E870" s="82">
        <v>-46</v>
      </c>
      <c r="F870" s="58">
        <v>11.91</v>
      </c>
      <c r="G870" s="81">
        <v>4942</v>
      </c>
      <c r="H870" s="8" t="s">
        <v>2167</v>
      </c>
      <c r="I870" s="22" t="s">
        <v>5423</v>
      </c>
      <c r="J870" s="330">
        <v>68.39</v>
      </c>
      <c r="K870" s="330">
        <v>19.07</v>
      </c>
      <c r="L870" s="75">
        <v>5.12</v>
      </c>
      <c r="N870" s="325">
        <f t="shared" si="182"/>
        <v>92.580000000000013</v>
      </c>
      <c r="O870" s="27"/>
      <c r="P870" s="56"/>
      <c r="Q870" s="26"/>
      <c r="S870" s="330">
        <v>19.88</v>
      </c>
      <c r="T870" s="34">
        <v>2.5</v>
      </c>
      <c r="U870" s="366">
        <f t="shared" si="183"/>
        <v>5.0864699898270603E-2</v>
      </c>
      <c r="V870" s="97">
        <v>4.76</v>
      </c>
      <c r="W870" s="36">
        <f>RTD("money.excel",,"4942","Price")</f>
        <v>49.15</v>
      </c>
      <c r="X870" s="67"/>
      <c r="Y870" s="15">
        <f t="shared" si="178"/>
        <v>49.15</v>
      </c>
      <c r="Z870" s="3" t="e">
        <f t="shared" si="179"/>
        <v>#DIV/0!</v>
      </c>
      <c r="AA870" s="174" t="s">
        <v>4710</v>
      </c>
      <c r="AB870" s="22" t="s">
        <v>5423</v>
      </c>
      <c r="AE870" s="33">
        <f t="shared" si="180"/>
        <v>0</v>
      </c>
      <c r="AF870" s="43" t="s">
        <v>3108</v>
      </c>
      <c r="AG870" s="128"/>
      <c r="AI870" s="64">
        <f t="shared" si="184"/>
        <v>4.7323943661971828E-3</v>
      </c>
      <c r="AJ870" s="313">
        <f>RTD("money.excel",,$G870,"PredictVolume")</f>
        <v>672</v>
      </c>
      <c r="AK870" s="348"/>
    </row>
    <row r="871" spans="1:37">
      <c r="A871" s="148" t="s">
        <v>5424</v>
      </c>
      <c r="B871" s="81">
        <v>1</v>
      </c>
      <c r="C871" s="81">
        <v>23</v>
      </c>
      <c r="D871" s="82">
        <v>-7</v>
      </c>
      <c r="E871" s="82">
        <v>-61</v>
      </c>
      <c r="F871" s="6">
        <v>-58.09</v>
      </c>
      <c r="G871" s="81">
        <v>4944</v>
      </c>
      <c r="H871" s="8" t="s">
        <v>2167</v>
      </c>
      <c r="I871" s="16" t="s">
        <v>5425</v>
      </c>
      <c r="J871" s="75">
        <v>61</v>
      </c>
      <c r="K871" s="330">
        <v>0.26</v>
      </c>
      <c r="L871" s="330"/>
      <c r="N871" s="325">
        <f t="shared" si="182"/>
        <v>61.26</v>
      </c>
      <c r="O871" s="27"/>
      <c r="P871" s="56"/>
      <c r="Q871" s="26"/>
      <c r="S871" s="330">
        <v>43.52</v>
      </c>
      <c r="T871" s="34">
        <v>0</v>
      </c>
      <c r="U871" s="366">
        <f t="shared" si="183"/>
        <v>0</v>
      </c>
      <c r="V871" s="58">
        <v>-0.87</v>
      </c>
      <c r="W871" s="36">
        <f>RTD("money.excel",,"4944","Price")</f>
        <v>23.75</v>
      </c>
      <c r="X871" s="67"/>
      <c r="Y871" s="15">
        <f t="shared" si="178"/>
        <v>23.75</v>
      </c>
      <c r="Z871" s="3" t="e">
        <f t="shared" si="179"/>
        <v>#DIV/0!</v>
      </c>
      <c r="AA871" s="174" t="s">
        <v>4710</v>
      </c>
      <c r="AB871" s="16" t="s">
        <v>5425</v>
      </c>
      <c r="AE871" s="33">
        <f t="shared" si="180"/>
        <v>0</v>
      </c>
      <c r="AF871" s="43" t="s">
        <v>5426</v>
      </c>
      <c r="AG871" s="128"/>
      <c r="AI871" s="64">
        <f t="shared" si="184"/>
        <v>1.1481056257175659E-4</v>
      </c>
      <c r="AJ871" s="313">
        <f>RTD("money.excel",,$G871,"PredictVolume")</f>
        <v>10</v>
      </c>
      <c r="AK871" s="348"/>
    </row>
    <row r="872" spans="1:37">
      <c r="A872" s="148" t="s">
        <v>5427</v>
      </c>
      <c r="B872" s="82">
        <v>-656</v>
      </c>
      <c r="C872" s="82">
        <v>-762</v>
      </c>
      <c r="D872" s="81">
        <v>2</v>
      </c>
      <c r="E872" s="81">
        <v>23</v>
      </c>
      <c r="F872" s="6">
        <v>-8.68</v>
      </c>
      <c r="G872" s="81">
        <v>4956</v>
      </c>
      <c r="H872" s="8" t="s">
        <v>2167</v>
      </c>
      <c r="I872" s="22" t="s">
        <v>5428</v>
      </c>
      <c r="J872" s="330">
        <v>36.979999999999997</v>
      </c>
      <c r="K872" s="330">
        <v>8.06</v>
      </c>
      <c r="L872" s="330">
        <v>19.690000000000001</v>
      </c>
      <c r="N872" s="325">
        <f t="shared" ref="N872:N926" si="185">J872+K872+L872+M872</f>
        <v>64.73</v>
      </c>
      <c r="O872" s="27"/>
      <c r="P872" s="56"/>
      <c r="Q872" s="26"/>
      <c r="S872" s="330">
        <v>10.93</v>
      </c>
      <c r="T872" s="34">
        <v>0</v>
      </c>
      <c r="U872" s="366">
        <f t="shared" ref="U872:U903" si="186">T872/W872</f>
        <v>0</v>
      </c>
      <c r="V872" s="97">
        <v>0.16</v>
      </c>
      <c r="W872" s="36">
        <f>RTD("money.excel",,"4956","Price")</f>
        <v>22.35</v>
      </c>
      <c r="X872" s="67"/>
      <c r="Y872" s="15">
        <f t="shared" ref="Y872:Y926" si="187">W872-X872</f>
        <v>22.35</v>
      </c>
      <c r="Z872" s="3" t="e">
        <f t="shared" ref="Z872:Z926" si="188">Y872/X872</f>
        <v>#DIV/0!</v>
      </c>
      <c r="AA872" s="174" t="s">
        <v>4710</v>
      </c>
      <c r="AB872" s="22" t="s">
        <v>5428</v>
      </c>
      <c r="AE872" s="33">
        <f t="shared" ref="AE872:AE926" si="189">AD872-AC872</f>
        <v>0</v>
      </c>
      <c r="AF872" s="43" t="s">
        <v>5429</v>
      </c>
      <c r="AG872" s="128"/>
      <c r="AI872" s="64">
        <f t="shared" ref="AI872:AI903" si="190">AJ872/(A872*10000)</f>
        <v>3.2399999999999998E-3</v>
      </c>
      <c r="AJ872" s="313">
        <f>RTD("money.excel",,$G872,"PredictVolume")</f>
        <v>324</v>
      </c>
      <c r="AK872" s="348"/>
    </row>
    <row r="873" spans="1:37">
      <c r="A873" s="148" t="s">
        <v>5430</v>
      </c>
      <c r="B873" s="81">
        <v>27</v>
      </c>
      <c r="C873" s="81">
        <v>25</v>
      </c>
      <c r="D873" s="81">
        <v>57</v>
      </c>
      <c r="E873" s="82">
        <v>-43</v>
      </c>
      <c r="F873" s="6">
        <v>-3.2</v>
      </c>
      <c r="G873" s="81">
        <v>4960</v>
      </c>
      <c r="H873" s="8" t="s">
        <v>2167</v>
      </c>
      <c r="I873" s="22" t="s">
        <v>5431</v>
      </c>
      <c r="J873" s="330">
        <v>54.44</v>
      </c>
      <c r="K873" s="330">
        <v>12.29</v>
      </c>
      <c r="L873" s="75">
        <v>2.71</v>
      </c>
      <c r="N873" s="325">
        <f t="shared" si="185"/>
        <v>69.439999999999984</v>
      </c>
      <c r="O873" s="27"/>
      <c r="P873" s="56"/>
      <c r="Q873" s="26"/>
      <c r="S873" s="330">
        <v>9.52</v>
      </c>
      <c r="T873" s="34">
        <v>0</v>
      </c>
      <c r="U873" s="366">
        <f t="shared" si="186"/>
        <v>0</v>
      </c>
      <c r="V873" s="97">
        <v>-0.13</v>
      </c>
      <c r="W873" s="36">
        <f>RTD("money.excel",,"4960","Price")</f>
        <v>12.1</v>
      </c>
      <c r="X873" s="67"/>
      <c r="Y873" s="15">
        <f t="shared" si="187"/>
        <v>12.1</v>
      </c>
      <c r="Z873" s="3" t="e">
        <f t="shared" si="188"/>
        <v>#DIV/0!</v>
      </c>
      <c r="AA873" s="174" t="s">
        <v>4710</v>
      </c>
      <c r="AB873" s="22" t="s">
        <v>5431</v>
      </c>
      <c r="AE873" s="33">
        <f t="shared" si="189"/>
        <v>0</v>
      </c>
      <c r="AF873" s="43" t="s">
        <v>5321</v>
      </c>
      <c r="AG873" s="128"/>
      <c r="AI873" s="64">
        <f t="shared" si="190"/>
        <v>5.6932330827067666E-3</v>
      </c>
      <c r="AJ873" s="313">
        <f>RTD("money.excel",,$G873,"PredictVolume")</f>
        <v>3786</v>
      </c>
      <c r="AK873" s="348"/>
    </row>
    <row r="874" spans="1:37">
      <c r="A874" s="132" t="s">
        <v>5353</v>
      </c>
      <c r="B874" s="82">
        <v>-25</v>
      </c>
      <c r="C874" s="82">
        <v>-47</v>
      </c>
      <c r="D874" s="82">
        <v>-45</v>
      </c>
      <c r="E874" s="81">
        <v>941</v>
      </c>
      <c r="F874" s="58">
        <v>10.72</v>
      </c>
      <c r="G874" s="81">
        <v>4972</v>
      </c>
      <c r="H874" s="8" t="s">
        <v>2167</v>
      </c>
      <c r="I874" s="16" t="s">
        <v>5432</v>
      </c>
      <c r="J874" s="75">
        <v>35.840000000000003</v>
      </c>
      <c r="K874" s="75">
        <v>0.44</v>
      </c>
      <c r="L874" s="75">
        <v>2.4</v>
      </c>
      <c r="N874" s="325">
        <f t="shared" si="185"/>
        <v>38.68</v>
      </c>
      <c r="O874" s="27"/>
      <c r="P874" s="56"/>
      <c r="Q874" s="26"/>
      <c r="S874" s="330">
        <v>0</v>
      </c>
      <c r="T874" s="34">
        <v>2.4</v>
      </c>
      <c r="U874" s="366">
        <f t="shared" si="186"/>
        <v>7.3506891271056668E-2</v>
      </c>
      <c r="V874" s="97">
        <v>2.0699999999999998</v>
      </c>
      <c r="W874" s="36">
        <f>RTD("money.excel",,"4972","Price")</f>
        <v>32.65</v>
      </c>
      <c r="X874" s="67"/>
      <c r="Y874" s="15">
        <f t="shared" si="187"/>
        <v>32.65</v>
      </c>
      <c r="Z874" s="3" t="e">
        <f t="shared" si="188"/>
        <v>#DIV/0!</v>
      </c>
      <c r="AA874" s="174" t="s">
        <v>4710</v>
      </c>
      <c r="AB874" s="16" t="s">
        <v>5432</v>
      </c>
      <c r="AE874" s="33">
        <f t="shared" si="189"/>
        <v>0</v>
      </c>
      <c r="AF874" s="122" t="s">
        <v>5433</v>
      </c>
      <c r="AG874" s="269"/>
      <c r="AI874" s="64">
        <f t="shared" si="190"/>
        <v>1.175E-3</v>
      </c>
      <c r="AJ874" s="313">
        <f>RTD("money.excel",,$G874,"PredictVolume")</f>
        <v>47</v>
      </c>
      <c r="AK874" s="348"/>
    </row>
    <row r="875" spans="1:37">
      <c r="A875" s="148" t="s">
        <v>5434</v>
      </c>
      <c r="B875" s="81">
        <v>169</v>
      </c>
      <c r="C875" s="81">
        <v>165</v>
      </c>
      <c r="D875" s="81">
        <v>0</v>
      </c>
      <c r="E875" s="81">
        <v>54</v>
      </c>
      <c r="F875" s="6">
        <v>6.14</v>
      </c>
      <c r="G875" s="81">
        <v>4976</v>
      </c>
      <c r="H875" s="8" t="s">
        <v>2167</v>
      </c>
      <c r="I875" s="22" t="s">
        <v>5435</v>
      </c>
      <c r="J875" s="330">
        <v>30.53</v>
      </c>
      <c r="K875" s="330">
        <v>6.07</v>
      </c>
      <c r="L875" s="75">
        <v>31.94</v>
      </c>
      <c r="N875" s="325">
        <f t="shared" si="185"/>
        <v>68.540000000000006</v>
      </c>
      <c r="O875" s="27"/>
      <c r="P875" s="56"/>
      <c r="Q875" s="26"/>
      <c r="S875" s="330">
        <v>17.329999999999998</v>
      </c>
      <c r="T875" s="34">
        <v>0</v>
      </c>
      <c r="U875" s="366">
        <f t="shared" si="186"/>
        <v>0</v>
      </c>
      <c r="V875" s="97">
        <v>0.1</v>
      </c>
      <c r="W875" s="36">
        <f>RTD("money.excel",,"4976","Price")</f>
        <v>52.5</v>
      </c>
      <c r="X875" s="67"/>
      <c r="Y875" s="15">
        <f t="shared" si="187"/>
        <v>52.5</v>
      </c>
      <c r="Z875" s="3" t="e">
        <f t="shared" si="188"/>
        <v>#DIV/0!</v>
      </c>
      <c r="AA875" s="174" t="s">
        <v>4710</v>
      </c>
      <c r="AB875" s="22" t="s">
        <v>5435</v>
      </c>
      <c r="AE875" s="33">
        <f t="shared" si="189"/>
        <v>0</v>
      </c>
      <c r="AF875" s="43" t="s">
        <v>2584</v>
      </c>
      <c r="AG875" s="128"/>
      <c r="AI875" s="64">
        <f t="shared" si="190"/>
        <v>3.6376811594202897E-3</v>
      </c>
      <c r="AJ875" s="313">
        <f>RTD("money.excel",,$G875,"PredictVolume")</f>
        <v>502</v>
      </c>
      <c r="AK875" s="348"/>
    </row>
    <row r="876" spans="1:37">
      <c r="A876" s="132" t="s">
        <v>5436</v>
      </c>
      <c r="B876" s="82">
        <v>-39</v>
      </c>
      <c r="C876" s="82">
        <v>-38</v>
      </c>
      <c r="D876" s="82">
        <v>-29</v>
      </c>
      <c r="E876" s="82">
        <v>-46</v>
      </c>
      <c r="F876" s="58">
        <v>11.27</v>
      </c>
      <c r="G876" s="81">
        <v>4995</v>
      </c>
      <c r="H876" s="8" t="s">
        <v>2167</v>
      </c>
      <c r="I876" s="16" t="s">
        <v>5437</v>
      </c>
      <c r="J876" s="75">
        <v>68.989999999999995</v>
      </c>
      <c r="K876" s="330">
        <v>5.09</v>
      </c>
      <c r="L876" s="330">
        <v>10.27</v>
      </c>
      <c r="N876" s="325">
        <f t="shared" si="185"/>
        <v>84.35</v>
      </c>
      <c r="O876" s="27"/>
      <c r="P876" s="56"/>
      <c r="Q876" s="26"/>
      <c r="S876" s="330">
        <v>0</v>
      </c>
      <c r="T876" s="34">
        <v>1.8</v>
      </c>
      <c r="U876" s="366">
        <f t="shared" si="186"/>
        <v>4.5685279187817264E-2</v>
      </c>
      <c r="V876" s="97">
        <v>1.66</v>
      </c>
      <c r="W876" s="36">
        <f>RTD("money.excel",,"4995","Price")</f>
        <v>39.4</v>
      </c>
      <c r="X876" s="67"/>
      <c r="Y876" s="15">
        <f t="shared" si="187"/>
        <v>39.4</v>
      </c>
      <c r="Z876" s="3" t="e">
        <f t="shared" si="188"/>
        <v>#DIV/0!</v>
      </c>
      <c r="AA876" s="174" t="s">
        <v>4710</v>
      </c>
      <c r="AB876" s="16" t="s">
        <v>5437</v>
      </c>
      <c r="AE876" s="33">
        <f t="shared" si="189"/>
        <v>0</v>
      </c>
      <c r="AF876" s="43" t="s">
        <v>5438</v>
      </c>
      <c r="AG876" s="128"/>
      <c r="AI876" s="64">
        <f t="shared" si="190"/>
        <v>7.6555023923444978E-4</v>
      </c>
      <c r="AJ876" s="313">
        <f>RTD("money.excel",,$G876,"PredictVolume")</f>
        <v>32</v>
      </c>
      <c r="AK876" s="348"/>
    </row>
    <row r="877" spans="1:37">
      <c r="A877" s="132" t="s">
        <v>5439</v>
      </c>
      <c r="B877" s="81">
        <v>136</v>
      </c>
      <c r="C877" s="81">
        <v>115</v>
      </c>
      <c r="D877" s="82">
        <v>-20</v>
      </c>
      <c r="E877" s="82">
        <v>-14</v>
      </c>
      <c r="F877" s="58">
        <v>21.3</v>
      </c>
      <c r="G877" s="81">
        <v>5220</v>
      </c>
      <c r="H877" s="8" t="s">
        <v>2167</v>
      </c>
      <c r="I877" s="16" t="s">
        <v>5440</v>
      </c>
      <c r="J877" s="330">
        <v>24.24</v>
      </c>
      <c r="K877" s="75">
        <v>2.4700000000000002</v>
      </c>
      <c r="L877" s="75">
        <v>20.13</v>
      </c>
      <c r="N877" s="325">
        <f t="shared" si="185"/>
        <v>46.839999999999996</v>
      </c>
      <c r="O877" s="27"/>
      <c r="P877" s="56"/>
      <c r="Q877" s="26"/>
      <c r="S877" s="330">
        <v>0</v>
      </c>
      <c r="T877" s="67">
        <v>3</v>
      </c>
      <c r="U877" s="366">
        <f t="shared" si="186"/>
        <v>8.3798882681564255E-2</v>
      </c>
      <c r="V877" s="97">
        <v>4.71</v>
      </c>
      <c r="W877" s="36">
        <f>RTD("money.excel",,"5220","Price")</f>
        <v>35.799999999999997</v>
      </c>
      <c r="X877" s="67"/>
      <c r="Y877" s="15">
        <f t="shared" si="187"/>
        <v>35.799999999999997</v>
      </c>
      <c r="Z877" s="3" t="e">
        <f t="shared" si="188"/>
        <v>#DIV/0!</v>
      </c>
      <c r="AA877" s="174" t="s">
        <v>4718</v>
      </c>
      <c r="AB877" s="16" t="s">
        <v>5441</v>
      </c>
      <c r="AE877" s="33">
        <f t="shared" si="189"/>
        <v>0</v>
      </c>
      <c r="AF877" s="43" t="s">
        <v>5442</v>
      </c>
      <c r="AI877" s="64">
        <f t="shared" si="190"/>
        <v>1.1083123425692696E-3</v>
      </c>
      <c r="AJ877" s="313">
        <f>RTD("money.excel",,$G877,"PredictVolume")</f>
        <v>44</v>
      </c>
    </row>
    <row r="878" spans="1:37">
      <c r="A878" s="148" t="s">
        <v>5443</v>
      </c>
      <c r="B878" s="82">
        <v>-59</v>
      </c>
      <c r="C878" s="82">
        <v>-76</v>
      </c>
      <c r="D878" s="82">
        <v>-35</v>
      </c>
      <c r="E878" s="82">
        <v>-7</v>
      </c>
      <c r="F878" s="6">
        <v>3.09</v>
      </c>
      <c r="G878" s="81">
        <v>5230</v>
      </c>
      <c r="H878" s="8" t="s">
        <v>2167</v>
      </c>
      <c r="I878" s="16" t="s">
        <v>5444</v>
      </c>
      <c r="J878" s="330">
        <v>37.39</v>
      </c>
      <c r="K878" s="330">
        <v>3.85</v>
      </c>
      <c r="L878" s="75">
        <v>5.52</v>
      </c>
      <c r="N878" s="325">
        <f t="shared" si="185"/>
        <v>46.760000000000005</v>
      </c>
      <c r="O878" s="27"/>
      <c r="P878" s="56"/>
      <c r="Q878" s="26"/>
      <c r="S878" s="330">
        <v>12.18</v>
      </c>
      <c r="T878" s="34">
        <v>0.6</v>
      </c>
      <c r="U878" s="366">
        <f t="shared" si="186"/>
        <v>2.0979020979020976E-2</v>
      </c>
      <c r="V878" s="97">
        <v>-0.06</v>
      </c>
      <c r="W878" s="36">
        <f>RTD("money.excel",,"5230","Price")</f>
        <v>28.6</v>
      </c>
      <c r="X878" s="67"/>
      <c r="Y878" s="15">
        <f t="shared" si="187"/>
        <v>28.6</v>
      </c>
      <c r="Z878" s="3" t="e">
        <f t="shared" si="188"/>
        <v>#DIV/0!</v>
      </c>
      <c r="AA878" s="174" t="s">
        <v>4710</v>
      </c>
      <c r="AB878" s="16" t="s">
        <v>5444</v>
      </c>
      <c r="AE878" s="33">
        <f t="shared" si="189"/>
        <v>0</v>
      </c>
      <c r="AF878" s="43" t="s">
        <v>5445</v>
      </c>
      <c r="AG878" s="128"/>
      <c r="AI878" s="64">
        <f t="shared" si="190"/>
        <v>4.0425531914893619E-4</v>
      </c>
      <c r="AJ878" s="313">
        <f>RTD("money.excel",,$G878,"PredictVolume")</f>
        <v>19</v>
      </c>
      <c r="AK878" s="348"/>
    </row>
    <row r="879" spans="1:37">
      <c r="A879" s="132" t="s">
        <v>5414</v>
      </c>
      <c r="B879" s="81">
        <v>6</v>
      </c>
      <c r="C879" s="81">
        <v>4</v>
      </c>
      <c r="D879" s="81">
        <v>8</v>
      </c>
      <c r="E879" s="81">
        <v>12</v>
      </c>
      <c r="F879" s="58">
        <v>17.34</v>
      </c>
      <c r="G879" s="81">
        <v>5234</v>
      </c>
      <c r="H879" s="8" t="s">
        <v>2167</v>
      </c>
      <c r="I879" s="22" t="s">
        <v>5446</v>
      </c>
      <c r="J879" s="75">
        <v>64.81</v>
      </c>
      <c r="K879" s="75">
        <v>10.130000000000001</v>
      </c>
      <c r="L879" s="75">
        <v>14.44</v>
      </c>
      <c r="M879" s="75">
        <v>44.1</v>
      </c>
      <c r="N879" s="75">
        <f t="shared" si="185"/>
        <v>133.47999999999999</v>
      </c>
      <c r="O879" s="27"/>
      <c r="P879" s="56"/>
      <c r="Q879" s="26"/>
      <c r="R879" s="308" t="s">
        <v>4728</v>
      </c>
      <c r="S879" s="330">
        <v>1.71</v>
      </c>
      <c r="T879" s="67">
        <v>5</v>
      </c>
      <c r="U879" s="366">
        <f t="shared" si="186"/>
        <v>4.3290043290043288E-2</v>
      </c>
      <c r="V879" s="58">
        <v>6.43</v>
      </c>
      <c r="W879" s="36">
        <f>RTD("money.excel",,"5234","Price")</f>
        <v>115.5</v>
      </c>
      <c r="X879" s="67"/>
      <c r="Y879" s="15">
        <f t="shared" si="187"/>
        <v>115.5</v>
      </c>
      <c r="Z879" s="3" t="e">
        <f t="shared" si="188"/>
        <v>#DIV/0!</v>
      </c>
      <c r="AA879" s="174" t="s">
        <v>4714</v>
      </c>
      <c r="AB879" s="22" t="s">
        <v>5446</v>
      </c>
      <c r="AE879" s="33">
        <f t="shared" si="189"/>
        <v>0</v>
      </c>
      <c r="AF879" s="43" t="s">
        <v>5447</v>
      </c>
      <c r="AG879" s="128"/>
      <c r="AI879" s="64">
        <f t="shared" si="190"/>
        <v>1.7745098039215687E-3</v>
      </c>
      <c r="AJ879" s="313">
        <f>RTD("money.excel",,$G879,"PredictVolume")</f>
        <v>181</v>
      </c>
      <c r="AK879" s="348"/>
    </row>
    <row r="880" spans="1:37">
      <c r="A880" s="148" t="s">
        <v>5448</v>
      </c>
      <c r="B880" s="81">
        <v>30</v>
      </c>
      <c r="C880" s="81">
        <v>67</v>
      </c>
      <c r="D880" s="81">
        <v>2</v>
      </c>
      <c r="E880" s="81">
        <v>10</v>
      </c>
      <c r="F880" s="6">
        <v>6.11</v>
      </c>
      <c r="G880" s="81">
        <v>5243</v>
      </c>
      <c r="H880" s="210" t="s">
        <v>2167</v>
      </c>
      <c r="I880" s="22" t="s">
        <v>5449</v>
      </c>
      <c r="J880" s="330">
        <v>51.29</v>
      </c>
      <c r="K880" s="330">
        <v>52.52</v>
      </c>
      <c r="L880" s="330">
        <v>17.059999999999999</v>
      </c>
      <c r="N880" s="325">
        <f t="shared" si="185"/>
        <v>120.87</v>
      </c>
      <c r="O880" s="27"/>
      <c r="P880" s="56"/>
      <c r="Q880" s="26"/>
      <c r="S880" s="330">
        <v>1.32</v>
      </c>
      <c r="T880" s="34">
        <v>1.7</v>
      </c>
      <c r="U880" s="366">
        <f t="shared" si="186"/>
        <v>2.9929577464788734E-2</v>
      </c>
      <c r="V880" s="58">
        <v>3.07</v>
      </c>
      <c r="W880" s="13">
        <f>RTD("money.excel",,"5243","Price")</f>
        <v>56.8</v>
      </c>
      <c r="X880" s="67"/>
      <c r="Y880" s="15">
        <f t="shared" si="187"/>
        <v>56.8</v>
      </c>
      <c r="Z880" s="3" t="e">
        <f t="shared" si="188"/>
        <v>#DIV/0!</v>
      </c>
      <c r="AA880" s="174" t="s">
        <v>4710</v>
      </c>
      <c r="AB880" s="22" t="s">
        <v>5449</v>
      </c>
      <c r="AE880" s="33">
        <f t="shared" si="189"/>
        <v>0</v>
      </c>
      <c r="AF880" s="122" t="s">
        <v>5450</v>
      </c>
      <c r="AG880" s="128"/>
      <c r="AI880" s="64">
        <f t="shared" si="190"/>
        <v>1.8095238095238095E-3</v>
      </c>
      <c r="AJ880" s="313">
        <f>RTD("money.excel",,$G880,"PredictVolume")</f>
        <v>304</v>
      </c>
      <c r="AK880" s="348"/>
    </row>
    <row r="881" spans="1:37">
      <c r="A881" s="132" t="s">
        <v>6128</v>
      </c>
      <c r="B881" s="81">
        <v>69</v>
      </c>
      <c r="C881" s="81">
        <v>74</v>
      </c>
      <c r="D881" s="81">
        <v>13</v>
      </c>
      <c r="E881" s="82">
        <v>-4</v>
      </c>
      <c r="F881" s="58">
        <v>27.49</v>
      </c>
      <c r="G881" s="81">
        <v>5244</v>
      </c>
      <c r="H881" s="8" t="s">
        <v>325</v>
      </c>
      <c r="I881" s="22" t="s">
        <v>6093</v>
      </c>
      <c r="J881" s="75">
        <v>36.9</v>
      </c>
      <c r="K881" s="75">
        <v>1.01</v>
      </c>
      <c r="L881" s="330"/>
      <c r="M881" s="75">
        <v>18.7</v>
      </c>
      <c r="N881" s="325">
        <f t="shared" si="185"/>
        <v>56.61</v>
      </c>
      <c r="O881" s="27"/>
      <c r="P881" s="56"/>
      <c r="Q881" s="26"/>
      <c r="T881" s="34">
        <v>2</v>
      </c>
      <c r="U881" s="366">
        <f t="shared" si="186"/>
        <v>4.5766590389016017E-2</v>
      </c>
      <c r="V881" s="97" t="s">
        <v>4029</v>
      </c>
      <c r="W881" s="36">
        <f>RTD("money.excel",,"5244","Price")</f>
        <v>43.7</v>
      </c>
      <c r="X881" s="67"/>
      <c r="Y881" s="15">
        <f t="shared" ref="Y881:Y882" si="191">W881-X881</f>
        <v>43.7</v>
      </c>
      <c r="Z881" s="3" t="e">
        <f t="shared" ref="Z881:Z882" si="192">Y881/X881</f>
        <v>#DIV/0!</v>
      </c>
      <c r="AB881" s="22" t="s">
        <v>6093</v>
      </c>
      <c r="AE881" s="33">
        <f t="shared" ref="AE881:AE882" si="193">AD881-AC881</f>
        <v>0</v>
      </c>
      <c r="AF881" s="43" t="s">
        <v>3031</v>
      </c>
      <c r="AG881" s="128"/>
      <c r="AI881" s="64">
        <f t="shared" si="190"/>
        <v>5.6848306332842411E-3</v>
      </c>
      <c r="AJ881" s="313">
        <f>RTD("money.excel",,$G881,"PredictVolume")</f>
        <v>386</v>
      </c>
      <c r="AK881" s="348"/>
    </row>
    <row r="882" spans="1:37">
      <c r="A882" s="132" t="s">
        <v>2593</v>
      </c>
      <c r="B882" s="81">
        <v>149</v>
      </c>
      <c r="C882" s="81">
        <v>168</v>
      </c>
      <c r="D882" s="82">
        <v>-12</v>
      </c>
      <c r="E882" s="81">
        <v>1</v>
      </c>
      <c r="F882" s="58">
        <v>14.99</v>
      </c>
      <c r="G882" s="81">
        <v>5245</v>
      </c>
      <c r="H882" s="8" t="s">
        <v>325</v>
      </c>
      <c r="I882" s="16" t="s">
        <v>5451</v>
      </c>
      <c r="J882" s="75">
        <v>46.4</v>
      </c>
      <c r="K882" s="75">
        <v>15.71</v>
      </c>
      <c r="L882" s="330">
        <v>29.23</v>
      </c>
      <c r="M882" s="330">
        <v>14.09</v>
      </c>
      <c r="N882" s="325">
        <f t="shared" ref="N882" si="194">J882+K882+L882+M882</f>
        <v>105.43</v>
      </c>
      <c r="O882" s="27" t="s">
        <v>6216</v>
      </c>
      <c r="P882" s="56"/>
      <c r="Q882" s="26"/>
      <c r="R882" s="309" t="s">
        <v>4373</v>
      </c>
      <c r="S882" s="330">
        <v>1.7</v>
      </c>
      <c r="T882" s="34">
        <v>1</v>
      </c>
      <c r="U882" s="366">
        <f t="shared" si="186"/>
        <v>1.4204545454545454E-2</v>
      </c>
      <c r="V882" s="97">
        <v>3.83</v>
      </c>
      <c r="W882" s="36">
        <f>RTD("money.excel",,"5245","Price")</f>
        <v>70.400000000000006</v>
      </c>
      <c r="X882" s="67"/>
      <c r="Y882" s="15">
        <f t="shared" si="191"/>
        <v>70.400000000000006</v>
      </c>
      <c r="Z882" s="3" t="e">
        <f t="shared" si="192"/>
        <v>#DIV/0!</v>
      </c>
      <c r="AA882" s="174" t="s">
        <v>1943</v>
      </c>
      <c r="AB882" s="16" t="s">
        <v>5451</v>
      </c>
      <c r="AE882" s="33">
        <f t="shared" si="193"/>
        <v>0</v>
      </c>
      <c r="AF882" s="167" t="s">
        <v>5452</v>
      </c>
      <c r="AG882" s="128"/>
      <c r="AI882" s="64">
        <f t="shared" si="190"/>
        <v>5.1555555555555556E-3</v>
      </c>
      <c r="AJ882" s="313">
        <f>RTD("money.excel",,$G882,"PredictVolume")</f>
        <v>232</v>
      </c>
      <c r="AK882" s="348">
        <v>26.52</v>
      </c>
    </row>
    <row r="883" spans="1:37">
      <c r="A883" s="148" t="s">
        <v>5453</v>
      </c>
      <c r="B883" s="93">
        <v>5</v>
      </c>
      <c r="C883" s="93">
        <v>6</v>
      </c>
      <c r="D883" s="93">
        <v>98</v>
      </c>
      <c r="E883" s="93">
        <v>-23</v>
      </c>
      <c r="F883" s="6">
        <v>-43.42</v>
      </c>
      <c r="G883" s="81">
        <v>5251</v>
      </c>
      <c r="H883" s="8" t="s">
        <v>2167</v>
      </c>
      <c r="I883" s="16" t="s">
        <v>5454</v>
      </c>
      <c r="J883" s="75">
        <v>49.47</v>
      </c>
      <c r="K883" s="75">
        <v>21.48</v>
      </c>
      <c r="L883" s="75">
        <v>23.29</v>
      </c>
      <c r="N883" s="325">
        <f t="shared" si="185"/>
        <v>94.240000000000009</v>
      </c>
      <c r="O883" s="27"/>
      <c r="P883" s="56"/>
      <c r="Q883" s="26"/>
      <c r="S883" s="330">
        <v>36.6</v>
      </c>
      <c r="T883" s="34">
        <v>0</v>
      </c>
      <c r="U883" s="366">
        <f t="shared" si="186"/>
        <v>0</v>
      </c>
      <c r="V883" s="97">
        <v>-1.59</v>
      </c>
      <c r="W883" s="36">
        <f>RTD("money.excel",,"5251","Price")</f>
        <v>17.55</v>
      </c>
      <c r="X883" s="67"/>
      <c r="Y883" s="15">
        <f t="shared" si="187"/>
        <v>17.55</v>
      </c>
      <c r="Z883" s="3" t="e">
        <f t="shared" si="188"/>
        <v>#DIV/0!</v>
      </c>
      <c r="AB883" s="16" t="s">
        <v>5454</v>
      </c>
      <c r="AE883" s="33">
        <f t="shared" si="189"/>
        <v>0</v>
      </c>
      <c r="AF883" s="43" t="s">
        <v>5328</v>
      </c>
      <c r="AG883" s="128"/>
      <c r="AI883" s="64">
        <f t="shared" si="190"/>
        <v>1.9915254237288134E-2</v>
      </c>
      <c r="AJ883" s="313">
        <f>RTD("money.excel",,$G883,"PredictVolume")</f>
        <v>705</v>
      </c>
      <c r="AK883" s="348"/>
    </row>
    <row r="884" spans="1:37">
      <c r="A884" s="148" t="s">
        <v>5224</v>
      </c>
      <c r="B884" s="93">
        <v>267</v>
      </c>
      <c r="C884" s="93">
        <v>171</v>
      </c>
      <c r="D884" s="93">
        <v>21</v>
      </c>
      <c r="E884" s="93">
        <v>68</v>
      </c>
      <c r="F884" s="6">
        <v>4.25</v>
      </c>
      <c r="G884" s="81">
        <v>5281</v>
      </c>
      <c r="H884" s="8" t="s">
        <v>2167</v>
      </c>
      <c r="I884" s="16" t="s">
        <v>5455</v>
      </c>
      <c r="J884" s="75">
        <v>67.22</v>
      </c>
      <c r="K884" s="75">
        <v>47.39</v>
      </c>
      <c r="L884" s="75">
        <v>19.91</v>
      </c>
      <c r="N884" s="325">
        <f t="shared" si="185"/>
        <v>134.52000000000001</v>
      </c>
      <c r="O884" s="27"/>
      <c r="P884" s="56"/>
      <c r="Q884" s="26"/>
      <c r="S884" s="330">
        <v>39.770000000000003</v>
      </c>
      <c r="T884" s="34">
        <v>0.8</v>
      </c>
      <c r="U884" s="366">
        <f t="shared" si="186"/>
        <v>3.921568627450981E-2</v>
      </c>
      <c r="V884" s="97">
        <v>1.41</v>
      </c>
      <c r="W884" s="13">
        <f>RTD("money.excel",,"5281","Price")</f>
        <v>20.399999999999999</v>
      </c>
      <c r="X884" s="67"/>
      <c r="Y884" s="15">
        <f t="shared" si="187"/>
        <v>20.399999999999999</v>
      </c>
      <c r="Z884" s="3" t="e">
        <f t="shared" si="188"/>
        <v>#DIV/0!</v>
      </c>
      <c r="AB884" s="16" t="s">
        <v>5455</v>
      </c>
      <c r="AE884" s="33">
        <f t="shared" si="189"/>
        <v>0</v>
      </c>
      <c r="AF884" s="43" t="s">
        <v>5305</v>
      </c>
      <c r="AG884" s="128"/>
      <c r="AI884" s="64">
        <f t="shared" si="190"/>
        <v>1.6216216216216215E-4</v>
      </c>
      <c r="AJ884" s="313">
        <f>RTD("money.excel",,$G884,"PredictVolume")</f>
        <v>6</v>
      </c>
      <c r="AK884" s="348"/>
    </row>
    <row r="885" spans="1:37">
      <c r="A885" s="148" t="s">
        <v>4785</v>
      </c>
      <c r="B885" s="82">
        <v>-21</v>
      </c>
      <c r="C885" s="82">
        <v>-10</v>
      </c>
      <c r="D885" s="81">
        <v>1</v>
      </c>
      <c r="E885" s="81">
        <v>22</v>
      </c>
      <c r="F885" s="6">
        <v>4.1900000000000004</v>
      </c>
      <c r="G885" s="81">
        <v>5315</v>
      </c>
      <c r="H885" s="8" t="s">
        <v>2167</v>
      </c>
      <c r="I885" s="16" t="s">
        <v>5456</v>
      </c>
      <c r="J885" s="330">
        <v>20.97</v>
      </c>
      <c r="K885" s="330">
        <v>5.64</v>
      </c>
      <c r="L885" s="330">
        <v>8.99</v>
      </c>
      <c r="N885" s="325">
        <f t="shared" si="185"/>
        <v>35.6</v>
      </c>
      <c r="O885" s="27"/>
      <c r="P885" s="56"/>
      <c r="Q885" s="26"/>
      <c r="S885" s="330">
        <v>0</v>
      </c>
      <c r="T885" s="34">
        <v>0.85</v>
      </c>
      <c r="U885" s="366">
        <f t="shared" si="186"/>
        <v>4.6961325966850827E-2</v>
      </c>
      <c r="V885" s="97">
        <v>0.89</v>
      </c>
      <c r="W885" s="36">
        <f>RTD("money.excel",,"5315","Price")</f>
        <v>18.100000000000001</v>
      </c>
      <c r="X885" s="67"/>
      <c r="Y885" s="15">
        <f t="shared" si="187"/>
        <v>18.100000000000001</v>
      </c>
      <c r="Z885" s="3" t="e">
        <f t="shared" si="188"/>
        <v>#DIV/0!</v>
      </c>
      <c r="AA885" s="174" t="s">
        <v>4710</v>
      </c>
      <c r="AB885" s="16" t="s">
        <v>5456</v>
      </c>
      <c r="AE885" s="33">
        <f t="shared" si="189"/>
        <v>0</v>
      </c>
      <c r="AF885" s="122" t="s">
        <v>2795</v>
      </c>
      <c r="AG885" s="128"/>
      <c r="AI885" s="64">
        <f t="shared" si="190"/>
        <v>1.1226415094339622E-3</v>
      </c>
      <c r="AJ885" s="313">
        <f>RTD("money.excel",,$G885,"PredictVolume")</f>
        <v>119</v>
      </c>
      <c r="AK885" s="348"/>
    </row>
    <row r="886" spans="1:37">
      <c r="A886" s="148" t="s">
        <v>5457</v>
      </c>
      <c r="B886" s="81">
        <v>20</v>
      </c>
      <c r="C886" s="82">
        <v>-42</v>
      </c>
      <c r="D886" s="82">
        <v>-12</v>
      </c>
      <c r="E886" s="81">
        <v>56</v>
      </c>
      <c r="F886" s="6">
        <v>1.63</v>
      </c>
      <c r="G886" s="81">
        <v>5371</v>
      </c>
      <c r="H886" s="8" t="s">
        <v>2167</v>
      </c>
      <c r="I886" s="16" t="s">
        <v>5458</v>
      </c>
      <c r="J886" s="330">
        <v>55.89</v>
      </c>
      <c r="K886" s="75">
        <v>32.36</v>
      </c>
      <c r="L886" s="75">
        <v>4.63</v>
      </c>
      <c r="N886" s="325">
        <f t="shared" si="185"/>
        <v>92.88</v>
      </c>
      <c r="O886" s="27"/>
      <c r="P886" s="56"/>
      <c r="Q886" s="26"/>
      <c r="S886" s="330">
        <v>0.26</v>
      </c>
      <c r="T886" s="67">
        <v>4</v>
      </c>
      <c r="U886" s="366">
        <f t="shared" si="186"/>
        <v>5.6338028169014086E-2</v>
      </c>
      <c r="V886" s="58">
        <v>3.59</v>
      </c>
      <c r="W886" s="36">
        <f>RTD("money.excel",,"5371","Price")</f>
        <v>71</v>
      </c>
      <c r="X886" s="67"/>
      <c r="Y886" s="15">
        <f t="shared" si="187"/>
        <v>71</v>
      </c>
      <c r="Z886" s="3" t="e">
        <f t="shared" si="188"/>
        <v>#DIV/0!</v>
      </c>
      <c r="AA886" s="174" t="s">
        <v>4714</v>
      </c>
      <c r="AB886" s="16" t="s">
        <v>5458</v>
      </c>
      <c r="AE886" s="33">
        <f t="shared" si="189"/>
        <v>0</v>
      </c>
      <c r="AF886" s="122" t="s">
        <v>5371</v>
      </c>
      <c r="AG886" s="27"/>
      <c r="AI886" s="64">
        <f t="shared" si="190"/>
        <v>1.7161125319693094E-3</v>
      </c>
      <c r="AJ886" s="313">
        <f>RTD("money.excel",,$G886,"PredictVolume")</f>
        <v>671</v>
      </c>
      <c r="AK886" s="108"/>
    </row>
    <row r="887" spans="1:37">
      <c r="A887" s="148" t="s">
        <v>5459</v>
      </c>
      <c r="B887" s="82">
        <v>-128</v>
      </c>
      <c r="C887" s="82">
        <v>-74</v>
      </c>
      <c r="D887" s="82">
        <v>-9</v>
      </c>
      <c r="E887" s="81">
        <v>21</v>
      </c>
      <c r="F887" s="6">
        <v>0.57999999999999996</v>
      </c>
      <c r="G887" s="81">
        <v>5392</v>
      </c>
      <c r="H887" s="8" t="s">
        <v>2167</v>
      </c>
      <c r="I887" s="16" t="s">
        <v>5460</v>
      </c>
      <c r="J887" s="75">
        <v>34.33</v>
      </c>
      <c r="K887" s="330">
        <v>4.32</v>
      </c>
      <c r="L887" s="330">
        <v>10.55</v>
      </c>
      <c r="N887" s="325">
        <f t="shared" si="185"/>
        <v>49.2</v>
      </c>
      <c r="O887" s="27"/>
      <c r="P887" s="56"/>
      <c r="Q887" s="26"/>
      <c r="S887" s="330">
        <v>0.02</v>
      </c>
      <c r="T887" s="34">
        <v>0.3</v>
      </c>
      <c r="U887" s="366">
        <f t="shared" si="186"/>
        <v>1.2474012474012473E-2</v>
      </c>
      <c r="V887" s="97">
        <v>-0.74</v>
      </c>
      <c r="W887" s="36">
        <f>RTD("money.excel",,"5392","Price")</f>
        <v>24.05</v>
      </c>
      <c r="X887" s="67"/>
      <c r="Y887" s="15">
        <f t="shared" si="187"/>
        <v>24.05</v>
      </c>
      <c r="Z887" s="3" t="e">
        <f t="shared" si="188"/>
        <v>#DIV/0!</v>
      </c>
      <c r="AB887" s="16" t="s">
        <v>5460</v>
      </c>
      <c r="AE887" s="33">
        <f t="shared" si="189"/>
        <v>0</v>
      </c>
      <c r="AF887" s="124" t="s">
        <v>5461</v>
      </c>
      <c r="AG887" s="128"/>
      <c r="AI887" s="64">
        <f t="shared" si="190"/>
        <v>2.5294117647058821E-4</v>
      </c>
      <c r="AJ887" s="313">
        <f>RTD("money.excel",,$G887,"PredictVolume")</f>
        <v>43</v>
      </c>
      <c r="AK887" s="348"/>
    </row>
    <row r="888" spans="1:37">
      <c r="A888" s="148" t="s">
        <v>4896</v>
      </c>
      <c r="B888" s="93">
        <v>-164</v>
      </c>
      <c r="C888" s="93">
        <v>-122</v>
      </c>
      <c r="D888" s="93">
        <v>6</v>
      </c>
      <c r="E888" s="93">
        <v>-12</v>
      </c>
      <c r="F888" s="6">
        <v>-1.36</v>
      </c>
      <c r="G888" s="81">
        <v>5432</v>
      </c>
      <c r="H888" s="8" t="s">
        <v>2167</v>
      </c>
      <c r="I888" s="16" t="s">
        <v>5462</v>
      </c>
      <c r="J888" s="75">
        <v>73.53</v>
      </c>
      <c r="K888" s="75">
        <v>0</v>
      </c>
      <c r="L888" s="75">
        <v>44.54</v>
      </c>
      <c r="N888" s="325">
        <f t="shared" si="185"/>
        <v>118.07</v>
      </c>
      <c r="O888" s="27"/>
      <c r="P888" s="56"/>
      <c r="Q888" s="26"/>
      <c r="S888" s="330">
        <v>24.55</v>
      </c>
      <c r="T888" s="34">
        <v>0</v>
      </c>
      <c r="U888" s="366">
        <f t="shared" si="186"/>
        <v>0</v>
      </c>
      <c r="V888" s="97">
        <v>-0.28000000000000003</v>
      </c>
      <c r="W888" s="13">
        <f>RTD("money.excel",,"5432","Price")</f>
        <v>38.6</v>
      </c>
      <c r="X888" s="67"/>
      <c r="Y888" s="15">
        <f t="shared" si="187"/>
        <v>38.6</v>
      </c>
      <c r="Z888" s="3" t="e">
        <f t="shared" si="188"/>
        <v>#DIV/0!</v>
      </c>
      <c r="AB888" s="16" t="s">
        <v>5462</v>
      </c>
      <c r="AE888" s="33">
        <f t="shared" si="189"/>
        <v>0</v>
      </c>
      <c r="AF888" s="43" t="s">
        <v>2795</v>
      </c>
      <c r="AG888" s="128"/>
      <c r="AI888" s="64">
        <f t="shared" si="190"/>
        <v>1.0628019323671498E-3</v>
      </c>
      <c r="AJ888" s="313">
        <f>RTD("money.excel",,$G888,"PredictVolume")</f>
        <v>22</v>
      </c>
      <c r="AK888" s="348"/>
    </row>
    <row r="889" spans="1:37">
      <c r="A889" s="148" t="s">
        <v>5068</v>
      </c>
      <c r="B889" s="82">
        <v>-44</v>
      </c>
      <c r="C889" s="82">
        <v>-78</v>
      </c>
      <c r="D889" s="81">
        <v>3</v>
      </c>
      <c r="E889" s="81">
        <v>51</v>
      </c>
      <c r="F889" s="6">
        <v>2.2400000000000002</v>
      </c>
      <c r="G889" s="81">
        <v>5443</v>
      </c>
      <c r="H889" s="8" t="s">
        <v>2167</v>
      </c>
      <c r="I889" s="16" t="s">
        <v>5463</v>
      </c>
      <c r="J889" s="330">
        <v>38.64</v>
      </c>
      <c r="K889" s="330">
        <v>5.39</v>
      </c>
      <c r="L889" s="75">
        <v>31.86</v>
      </c>
      <c r="N889" s="325">
        <f t="shared" si="185"/>
        <v>75.89</v>
      </c>
      <c r="O889" s="27"/>
      <c r="P889" s="56"/>
      <c r="Q889" s="26"/>
      <c r="S889" s="330">
        <v>3.51</v>
      </c>
      <c r="T889" s="34">
        <v>1</v>
      </c>
      <c r="U889" s="366">
        <f t="shared" si="186"/>
        <v>3.3783783783783779E-2</v>
      </c>
      <c r="V889" s="97">
        <v>0.93</v>
      </c>
      <c r="W889" s="36">
        <f>RTD("money.excel",,"5443","Price")</f>
        <v>29.6</v>
      </c>
      <c r="X889" s="67"/>
      <c r="Y889" s="15">
        <f t="shared" si="187"/>
        <v>29.6</v>
      </c>
      <c r="Z889" s="3" t="e">
        <f t="shared" si="188"/>
        <v>#DIV/0!</v>
      </c>
      <c r="AA889" s="174" t="s">
        <v>4710</v>
      </c>
      <c r="AB889" s="16" t="s">
        <v>5463</v>
      </c>
      <c r="AE889" s="33">
        <f t="shared" si="189"/>
        <v>0</v>
      </c>
      <c r="AF889" s="43" t="s">
        <v>2827</v>
      </c>
      <c r="AG889" s="128"/>
      <c r="AI889" s="64">
        <f t="shared" si="190"/>
        <v>1.3272727272727273E-3</v>
      </c>
      <c r="AJ889" s="313">
        <f>RTD("money.excel",,$G889,"PredictVolume")</f>
        <v>219</v>
      </c>
      <c r="AK889" s="348"/>
    </row>
    <row r="890" spans="1:37">
      <c r="A890" s="148" t="s">
        <v>5464</v>
      </c>
      <c r="B890" s="93">
        <v>75</v>
      </c>
      <c r="C890" s="93">
        <v>19</v>
      </c>
      <c r="D890" s="93">
        <v>-2</v>
      </c>
      <c r="E890" s="93">
        <v>35</v>
      </c>
      <c r="F890" s="6">
        <v>-32.56</v>
      </c>
      <c r="G890" s="81">
        <v>5484</v>
      </c>
      <c r="H890" s="8" t="s">
        <v>2167</v>
      </c>
      <c r="I890" s="22" t="s">
        <v>5465</v>
      </c>
      <c r="J890" s="75">
        <v>49.3</v>
      </c>
      <c r="K890" s="75">
        <v>0.51</v>
      </c>
      <c r="N890" s="325">
        <f t="shared" si="185"/>
        <v>49.809999999999995</v>
      </c>
      <c r="O890" s="27"/>
      <c r="P890" s="56"/>
      <c r="Q890" s="26"/>
      <c r="S890" s="330">
        <v>21.97</v>
      </c>
      <c r="T890" s="34">
        <v>0</v>
      </c>
      <c r="U890" s="366">
        <f t="shared" si="186"/>
        <v>0</v>
      </c>
      <c r="V890" s="97">
        <v>-0.71</v>
      </c>
      <c r="W890" s="36">
        <f>RTD("money.excel",,"5484","Price")</f>
        <v>14.7</v>
      </c>
      <c r="X890" s="67"/>
      <c r="Y890" s="15">
        <f t="shared" si="187"/>
        <v>14.7</v>
      </c>
      <c r="Z890" s="3" t="e">
        <f t="shared" si="188"/>
        <v>#DIV/0!</v>
      </c>
      <c r="AB890" s="22" t="s">
        <v>5465</v>
      </c>
      <c r="AE890" s="33">
        <f t="shared" si="189"/>
        <v>0</v>
      </c>
      <c r="AF890" s="43" t="s">
        <v>5466</v>
      </c>
      <c r="AG890" s="128"/>
      <c r="AI890" s="64">
        <f t="shared" si="190"/>
        <v>1.0279001468428781E-4</v>
      </c>
      <c r="AJ890" s="313">
        <f>RTD("money.excel",,$G890,"PredictVolume")</f>
        <v>7</v>
      </c>
      <c r="AK890" s="348"/>
    </row>
    <row r="891" spans="1:37">
      <c r="A891" s="132" t="s">
        <v>5467</v>
      </c>
      <c r="B891" s="81">
        <v>573</v>
      </c>
      <c r="C891" s="81">
        <v>774</v>
      </c>
      <c r="D891" s="82">
        <v>30</v>
      </c>
      <c r="E891" s="81">
        <v>-20</v>
      </c>
      <c r="F891" s="58">
        <v>33.81</v>
      </c>
      <c r="G891" s="81">
        <v>6116</v>
      </c>
      <c r="H891" s="206" t="s">
        <v>2167</v>
      </c>
      <c r="I891" s="22" t="s">
        <v>5468</v>
      </c>
      <c r="J891" s="75">
        <v>44.17</v>
      </c>
      <c r="K891" s="330">
        <v>11.07</v>
      </c>
      <c r="L891" s="75">
        <v>13.2</v>
      </c>
      <c r="M891" s="75">
        <v>11.63</v>
      </c>
      <c r="N891" s="325">
        <f t="shared" si="185"/>
        <v>80.069999999999993</v>
      </c>
      <c r="O891" s="27"/>
      <c r="P891" s="56"/>
      <c r="Q891" s="26"/>
      <c r="R891" s="308" t="s">
        <v>4754</v>
      </c>
      <c r="S891" s="330">
        <v>7.31</v>
      </c>
      <c r="T891" s="34">
        <v>0.5</v>
      </c>
      <c r="U891" s="366">
        <f t="shared" si="186"/>
        <v>3.1545741324921134E-2</v>
      </c>
      <c r="V891" s="97">
        <v>3.34</v>
      </c>
      <c r="W891" s="36">
        <f>RTD("money.excel",,"6116","Price")</f>
        <v>15.85</v>
      </c>
      <c r="X891" s="67"/>
      <c r="Y891" s="15">
        <f t="shared" si="187"/>
        <v>15.85</v>
      </c>
      <c r="Z891" s="3" t="e">
        <f t="shared" si="188"/>
        <v>#DIV/0!</v>
      </c>
      <c r="AA891" s="174" t="s">
        <v>4710</v>
      </c>
      <c r="AB891" s="22" t="s">
        <v>5468</v>
      </c>
      <c r="AE891" s="33">
        <f t="shared" si="189"/>
        <v>0</v>
      </c>
      <c r="AF891" s="122" t="s">
        <v>5469</v>
      </c>
      <c r="AG891" s="128"/>
      <c r="AI891" s="64">
        <f t="shared" si="190"/>
        <v>2.2839116719242901E-3</v>
      </c>
      <c r="AJ891" s="313">
        <f>RTD("money.excel",,$G891,"PredictVolume")</f>
        <v>7240</v>
      </c>
      <c r="AK891" s="348"/>
    </row>
    <row r="892" spans="1:37">
      <c r="A892" s="148" t="s">
        <v>5430</v>
      </c>
      <c r="B892" s="96">
        <v>-5079</v>
      </c>
      <c r="C892" s="82">
        <v>-370</v>
      </c>
      <c r="D892" s="81">
        <v>5</v>
      </c>
      <c r="E892" s="81">
        <v>33</v>
      </c>
      <c r="F892" s="6">
        <v>-13.02</v>
      </c>
      <c r="G892" s="81">
        <v>6120</v>
      </c>
      <c r="H892" s="8" t="s">
        <v>2167</v>
      </c>
      <c r="I892" s="22" t="s">
        <v>5470</v>
      </c>
      <c r="J892" s="75">
        <v>63.09</v>
      </c>
      <c r="K892" s="75">
        <v>9.17</v>
      </c>
      <c r="L892" s="75">
        <v>6.65</v>
      </c>
      <c r="N892" s="325">
        <f t="shared" si="185"/>
        <v>78.910000000000011</v>
      </c>
      <c r="O892" s="27"/>
      <c r="P892" s="56"/>
      <c r="Q892" s="26"/>
      <c r="S892" s="330">
        <v>0.05</v>
      </c>
      <c r="T892" s="34">
        <v>0</v>
      </c>
      <c r="U892" s="366">
        <f t="shared" si="186"/>
        <v>0</v>
      </c>
      <c r="V892" s="97">
        <v>-1.86</v>
      </c>
      <c r="W892" s="36">
        <f>RTD("money.excel",,"6120","Price")</f>
        <v>13.2</v>
      </c>
      <c r="X892" s="67"/>
      <c r="Y892" s="15">
        <f t="shared" si="187"/>
        <v>13.2</v>
      </c>
      <c r="Z892" s="3" t="e">
        <f t="shared" si="188"/>
        <v>#DIV/0!</v>
      </c>
      <c r="AA892" s="174" t="s">
        <v>4710</v>
      </c>
      <c r="AB892" s="22" t="s">
        <v>5470</v>
      </c>
      <c r="AE892" s="33">
        <f t="shared" si="189"/>
        <v>0</v>
      </c>
      <c r="AF892" s="43" t="s">
        <v>5471</v>
      </c>
      <c r="AG892" s="269"/>
      <c r="AI892" s="64">
        <f t="shared" si="190"/>
        <v>2.1578947368421052E-3</v>
      </c>
      <c r="AJ892" s="313">
        <f>RTD("money.excel",,$G892,"PredictVolume")</f>
        <v>1435</v>
      </c>
      <c r="AK892" s="348"/>
    </row>
    <row r="893" spans="1:37">
      <c r="A893" s="148" t="s">
        <v>5472</v>
      </c>
      <c r="B893" s="82">
        <v>-107</v>
      </c>
      <c r="C893" s="81">
        <v>73</v>
      </c>
      <c r="D893" s="82">
        <v>-10</v>
      </c>
      <c r="E893" s="81">
        <v>9</v>
      </c>
      <c r="F893" s="6">
        <v>-3.63</v>
      </c>
      <c r="G893" s="81">
        <v>6125</v>
      </c>
      <c r="H893" s="8" t="s">
        <v>2167</v>
      </c>
      <c r="I893" s="16" t="s">
        <v>5473</v>
      </c>
      <c r="J893" s="75">
        <v>46.91</v>
      </c>
      <c r="K893" s="330">
        <v>3.64</v>
      </c>
      <c r="L893" s="75">
        <v>38.22</v>
      </c>
      <c r="N893" s="325">
        <f t="shared" si="185"/>
        <v>88.77</v>
      </c>
      <c r="O893" s="27"/>
      <c r="P893" s="56"/>
      <c r="Q893" s="26"/>
      <c r="S893" s="330">
        <v>0.97</v>
      </c>
      <c r="T893" s="34">
        <v>1.5</v>
      </c>
      <c r="U893" s="366">
        <f t="shared" si="186"/>
        <v>5.8365758754863814E-2</v>
      </c>
      <c r="V893" s="97">
        <v>-0.39</v>
      </c>
      <c r="W893" s="36">
        <f>RTD("money.excel",,"6125","Price")</f>
        <v>25.7</v>
      </c>
      <c r="X893" s="67"/>
      <c r="Y893" s="15">
        <f t="shared" si="187"/>
        <v>25.7</v>
      </c>
      <c r="Z893" s="3" t="e">
        <f t="shared" si="188"/>
        <v>#DIV/0!</v>
      </c>
      <c r="AA893" s="174" t="s">
        <v>4710</v>
      </c>
      <c r="AB893" s="16" t="s">
        <v>5473</v>
      </c>
      <c r="AE893" s="33">
        <f t="shared" si="189"/>
        <v>0</v>
      </c>
      <c r="AF893" s="43" t="s">
        <v>1505</v>
      </c>
      <c r="AG893" s="269"/>
      <c r="AI893" s="64">
        <f t="shared" si="190"/>
        <v>5.6345381526104413E-3</v>
      </c>
      <c r="AJ893" s="313">
        <f>RTD("money.excel",,$G893,"PredictVolume")</f>
        <v>1403</v>
      </c>
      <c r="AK893" s="348"/>
    </row>
    <row r="894" spans="1:37">
      <c r="A894" s="148" t="s">
        <v>5427</v>
      </c>
      <c r="B894" s="81">
        <v>151</v>
      </c>
      <c r="C894" s="81">
        <v>111</v>
      </c>
      <c r="D894" s="81">
        <v>37</v>
      </c>
      <c r="E894" s="81">
        <v>41</v>
      </c>
      <c r="F894" s="6">
        <v>0.68</v>
      </c>
      <c r="G894" s="81">
        <v>6164</v>
      </c>
      <c r="H894" s="8" t="s">
        <v>2167</v>
      </c>
      <c r="I894" s="22" t="s">
        <v>5474</v>
      </c>
      <c r="J894" s="330">
        <v>18.5</v>
      </c>
      <c r="K894" s="330">
        <v>1.1100000000000001</v>
      </c>
      <c r="L894" s="330">
        <v>27.86</v>
      </c>
      <c r="M894" s="330">
        <v>11.67</v>
      </c>
      <c r="N894" s="325">
        <f t="shared" si="185"/>
        <v>59.14</v>
      </c>
      <c r="O894" s="27"/>
      <c r="P894" s="56"/>
      <c r="Q894" s="26"/>
      <c r="R894" s="308" t="s">
        <v>4728</v>
      </c>
      <c r="S894" s="330">
        <v>1.57</v>
      </c>
      <c r="T894" s="34">
        <v>0</v>
      </c>
      <c r="U894" s="366">
        <f t="shared" si="186"/>
        <v>0</v>
      </c>
      <c r="V894" s="97">
        <v>0.32</v>
      </c>
      <c r="W894" s="36">
        <f>RTD("money.excel",,"6164","Price")</f>
        <v>12.75</v>
      </c>
      <c r="X894" s="67"/>
      <c r="Y894" s="15">
        <f t="shared" si="187"/>
        <v>12.75</v>
      </c>
      <c r="Z894" s="3" t="e">
        <f t="shared" si="188"/>
        <v>#DIV/0!</v>
      </c>
      <c r="AA894" s="174" t="s">
        <v>4710</v>
      </c>
      <c r="AB894" s="22" t="s">
        <v>5474</v>
      </c>
      <c r="AE894" s="33">
        <f t="shared" si="189"/>
        <v>0</v>
      </c>
      <c r="AF894" s="43" t="s">
        <v>5475</v>
      </c>
      <c r="AG894" s="128"/>
      <c r="AI894" s="64">
        <f t="shared" si="190"/>
        <v>2.7899999999999999E-3</v>
      </c>
      <c r="AJ894" s="313">
        <f>RTD("money.excel",,$G894,"PredictVolume")</f>
        <v>279</v>
      </c>
      <c r="AK894" s="348"/>
    </row>
    <row r="895" spans="1:37">
      <c r="A895" s="148" t="s">
        <v>5312</v>
      </c>
      <c r="B895" s="81">
        <v>18</v>
      </c>
      <c r="C895" s="82">
        <v>-24</v>
      </c>
      <c r="D895" s="81">
        <v>5</v>
      </c>
      <c r="E895" s="81">
        <v>62</v>
      </c>
      <c r="F895" s="6">
        <v>1.59</v>
      </c>
      <c r="G895" s="81">
        <v>6167</v>
      </c>
      <c r="H895" s="8" t="s">
        <v>2167</v>
      </c>
      <c r="I895" s="16" t="s">
        <v>5476</v>
      </c>
      <c r="J895" s="75">
        <v>36.57</v>
      </c>
      <c r="K895" s="330">
        <v>6.53</v>
      </c>
      <c r="M895" s="75">
        <v>20.14</v>
      </c>
      <c r="N895" s="325">
        <f t="shared" si="185"/>
        <v>63.24</v>
      </c>
      <c r="O895" s="27"/>
      <c r="P895" s="56"/>
      <c r="Q895" s="26"/>
      <c r="S895" s="330">
        <v>18.38</v>
      </c>
      <c r="T895" s="34">
        <v>0</v>
      </c>
      <c r="U895" s="366">
        <f t="shared" si="186"/>
        <v>0</v>
      </c>
      <c r="V895" s="97">
        <v>0.25</v>
      </c>
      <c r="W895" s="36">
        <f>RTD("money.excel",,"6167","Price")</f>
        <v>12.55</v>
      </c>
      <c r="X895" s="67"/>
      <c r="Y895" s="15">
        <f t="shared" si="187"/>
        <v>12.55</v>
      </c>
      <c r="Z895" s="3" t="e">
        <f t="shared" si="188"/>
        <v>#DIV/0!</v>
      </c>
      <c r="AB895" s="16" t="s">
        <v>5476</v>
      </c>
      <c r="AE895" s="33">
        <f t="shared" si="189"/>
        <v>0</v>
      </c>
      <c r="AF895" s="43" t="s">
        <v>5314</v>
      </c>
      <c r="AG895" s="128"/>
      <c r="AI895" s="64">
        <f t="shared" si="190"/>
        <v>2.3950617283950617E-3</v>
      </c>
      <c r="AJ895" s="313">
        <f>RTD("money.excel",,$G895,"PredictVolume")</f>
        <v>388</v>
      </c>
      <c r="AK895" s="348"/>
    </row>
    <row r="896" spans="1:37">
      <c r="A896" s="148" t="s">
        <v>5329</v>
      </c>
      <c r="B896" s="82">
        <v>-76</v>
      </c>
      <c r="C896" s="82">
        <v>-92</v>
      </c>
      <c r="D896" s="81">
        <v>0</v>
      </c>
      <c r="E896" s="81">
        <v>1</v>
      </c>
      <c r="F896" s="6">
        <v>0.57999999999999996</v>
      </c>
      <c r="G896" s="81">
        <v>6168</v>
      </c>
      <c r="H896" s="8" t="s">
        <v>2167</v>
      </c>
      <c r="I896" s="22" t="s">
        <v>5477</v>
      </c>
      <c r="J896" s="75">
        <v>49.21</v>
      </c>
      <c r="K896" s="330">
        <v>4.2300000000000004</v>
      </c>
      <c r="L896" s="330">
        <v>7.1</v>
      </c>
      <c r="N896" s="325">
        <f t="shared" si="185"/>
        <v>60.54</v>
      </c>
      <c r="O896" s="27"/>
      <c r="P896" s="56"/>
      <c r="Q896" s="26"/>
      <c r="S896" s="330">
        <v>22.51</v>
      </c>
      <c r="T896" s="34">
        <v>0.7</v>
      </c>
      <c r="U896" s="366">
        <f t="shared" si="186"/>
        <v>3.0042918454935619E-2</v>
      </c>
      <c r="V896" s="97">
        <v>0.7</v>
      </c>
      <c r="W896" s="36">
        <f>RTD("money.excel",,"6168","Price")</f>
        <v>23.3</v>
      </c>
      <c r="X896" s="67"/>
      <c r="Y896" s="15">
        <f t="shared" si="187"/>
        <v>23.3</v>
      </c>
      <c r="Z896" s="3" t="e">
        <f t="shared" si="188"/>
        <v>#DIV/0!</v>
      </c>
      <c r="AA896" s="174" t="s">
        <v>4710</v>
      </c>
      <c r="AB896" s="22" t="s">
        <v>5477</v>
      </c>
      <c r="AE896" s="33">
        <f t="shared" si="189"/>
        <v>0</v>
      </c>
      <c r="AF896" s="122" t="s">
        <v>5311</v>
      </c>
      <c r="AG896" s="128"/>
      <c r="AI896" s="64">
        <f t="shared" si="190"/>
        <v>1.6941747572815533E-3</v>
      </c>
      <c r="AJ896" s="313">
        <f>RTD("money.excel",,$G896,"PredictVolume")</f>
        <v>349</v>
      </c>
      <c r="AK896" s="348"/>
    </row>
    <row r="897" spans="1:37">
      <c r="A897" s="132" t="s">
        <v>5478</v>
      </c>
      <c r="B897" s="81">
        <v>6</v>
      </c>
      <c r="C897" s="82">
        <v>-2</v>
      </c>
      <c r="D897" s="81">
        <v>10</v>
      </c>
      <c r="E897" s="82">
        <v>-6</v>
      </c>
      <c r="F897" s="58">
        <v>13.03</v>
      </c>
      <c r="G897" s="81">
        <v>6176</v>
      </c>
      <c r="H897" s="206" t="s">
        <v>2167</v>
      </c>
      <c r="I897" s="22" t="s">
        <v>5479</v>
      </c>
      <c r="J897" s="330">
        <v>48.09</v>
      </c>
      <c r="K897" s="330">
        <v>45.32</v>
      </c>
      <c r="L897" s="75">
        <v>3.66</v>
      </c>
      <c r="N897" s="325">
        <f t="shared" si="185"/>
        <v>97.07</v>
      </c>
      <c r="O897" s="27"/>
      <c r="P897" s="56"/>
      <c r="Q897" s="26"/>
      <c r="R897" s="308" t="s">
        <v>4829</v>
      </c>
      <c r="S897" s="330">
        <v>0.61</v>
      </c>
      <c r="T897" s="67">
        <v>8</v>
      </c>
      <c r="U897" s="366">
        <f t="shared" si="186"/>
        <v>7.8817733990147784E-2</v>
      </c>
      <c r="V897" s="97">
        <v>11.79</v>
      </c>
      <c r="W897" s="13">
        <f>RTD("money.excel",,"6176","Price")</f>
        <v>101.5</v>
      </c>
      <c r="X897" s="67"/>
      <c r="Y897" s="15">
        <f t="shared" si="187"/>
        <v>101.5</v>
      </c>
      <c r="Z897" s="3" t="e">
        <f t="shared" si="188"/>
        <v>#DIV/0!</v>
      </c>
      <c r="AA897" s="174" t="s">
        <v>4714</v>
      </c>
      <c r="AB897" s="22" t="s">
        <v>5479</v>
      </c>
      <c r="AE897" s="33">
        <f t="shared" si="189"/>
        <v>0</v>
      </c>
      <c r="AF897" s="122" t="s">
        <v>5371</v>
      </c>
      <c r="AG897" s="128"/>
      <c r="AI897" s="64">
        <f t="shared" si="190"/>
        <v>2.653763440860215E-3</v>
      </c>
      <c r="AJ897" s="313">
        <f>RTD("money.excel",,$G897,"PredictVolume")</f>
        <v>1234</v>
      </c>
      <c r="AK897" s="348"/>
    </row>
    <row r="898" spans="1:37">
      <c r="A898" s="148" t="s">
        <v>5250</v>
      </c>
      <c r="B898" s="82">
        <v>-20</v>
      </c>
      <c r="C898" s="82">
        <v>-24</v>
      </c>
      <c r="D898" s="81">
        <v>10</v>
      </c>
      <c r="E898" s="81">
        <v>3</v>
      </c>
      <c r="F898" s="6">
        <v>-9.25</v>
      </c>
      <c r="G898" s="81">
        <v>6209</v>
      </c>
      <c r="H898" s="210" t="s">
        <v>2167</v>
      </c>
      <c r="I898" s="22" t="s">
        <v>5480</v>
      </c>
      <c r="J898" s="75">
        <v>30.67</v>
      </c>
      <c r="K898" s="75">
        <v>1.1399999999999999</v>
      </c>
      <c r="L898" s="330">
        <v>15.5</v>
      </c>
      <c r="N898" s="325">
        <f t="shared" si="185"/>
        <v>47.31</v>
      </c>
      <c r="O898" s="27"/>
      <c r="P898" s="56"/>
      <c r="Q898" s="26"/>
      <c r="S898" s="330">
        <v>2.16</v>
      </c>
      <c r="T898" s="34">
        <v>0</v>
      </c>
      <c r="U898" s="366">
        <f t="shared" si="186"/>
        <v>0</v>
      </c>
      <c r="V898" s="97">
        <v>-1.44</v>
      </c>
      <c r="W898" s="36">
        <f>RTD("money.excel",,"6209","Price")</f>
        <v>29.25</v>
      </c>
      <c r="X898" s="67"/>
      <c r="Y898" s="15">
        <f t="shared" si="187"/>
        <v>29.25</v>
      </c>
      <c r="Z898" s="3" t="e">
        <f t="shared" si="188"/>
        <v>#DIV/0!</v>
      </c>
      <c r="AA898" s="174" t="s">
        <v>4710</v>
      </c>
      <c r="AB898" s="22" t="s">
        <v>5480</v>
      </c>
      <c r="AE898" s="33">
        <f t="shared" si="189"/>
        <v>0</v>
      </c>
      <c r="AF898" s="124" t="s">
        <v>2443</v>
      </c>
      <c r="AG898" s="128"/>
      <c r="AI898" s="64">
        <f t="shared" si="190"/>
        <v>1.9080459770114942E-3</v>
      </c>
      <c r="AJ898" s="313">
        <f>RTD("money.excel",,$G898,"PredictVolume")</f>
        <v>332</v>
      </c>
      <c r="AK898" s="348"/>
    </row>
    <row r="899" spans="1:37">
      <c r="A899" s="148" t="s">
        <v>5481</v>
      </c>
      <c r="B899" s="93">
        <v>-49</v>
      </c>
      <c r="C899" s="93">
        <v>-18</v>
      </c>
      <c r="D899" s="93">
        <v>-19</v>
      </c>
      <c r="E899" s="93">
        <v>8</v>
      </c>
      <c r="F899" s="6">
        <v>2.2799999999999998</v>
      </c>
      <c r="G899" s="81">
        <v>6222</v>
      </c>
      <c r="H899" s="8" t="s">
        <v>2167</v>
      </c>
      <c r="I899" s="16" t="s">
        <v>5482</v>
      </c>
      <c r="J899" s="75">
        <v>51.39</v>
      </c>
      <c r="K899" s="75">
        <v>0.02</v>
      </c>
      <c r="L899" s="75">
        <v>14.18</v>
      </c>
      <c r="N899" s="325">
        <f t="shared" si="185"/>
        <v>65.59</v>
      </c>
      <c r="O899" s="27"/>
      <c r="P899" s="56"/>
      <c r="Q899" s="26"/>
      <c r="S899" s="330">
        <v>13.13</v>
      </c>
      <c r="T899" s="34">
        <v>0</v>
      </c>
      <c r="U899" s="366">
        <f t="shared" si="186"/>
        <v>0</v>
      </c>
      <c r="V899" s="97">
        <v>0.19</v>
      </c>
      <c r="W899" s="13">
        <f>RTD("money.excel",,"6246","Price")</f>
        <v>16.25</v>
      </c>
      <c r="X899" s="67"/>
      <c r="Y899" s="15">
        <f t="shared" si="187"/>
        <v>16.25</v>
      </c>
      <c r="Z899" s="3" t="e">
        <f t="shared" si="188"/>
        <v>#DIV/0!</v>
      </c>
      <c r="AB899" s="16" t="s">
        <v>5482</v>
      </c>
      <c r="AE899" s="33">
        <f t="shared" si="189"/>
        <v>0</v>
      </c>
      <c r="AF899" s="43" t="s">
        <v>5305</v>
      </c>
      <c r="AG899" s="128"/>
      <c r="AI899" s="64">
        <f t="shared" si="190"/>
        <v>9.6059113300492631E-4</v>
      </c>
      <c r="AJ899" s="313">
        <f>RTD("money.excel",,$G899,"PredictVolume")</f>
        <v>39</v>
      </c>
      <c r="AK899" s="348"/>
    </row>
    <row r="900" spans="1:37">
      <c r="A900" s="148" t="s">
        <v>5483</v>
      </c>
      <c r="B900" s="93">
        <v>-17</v>
      </c>
      <c r="C900" s="93">
        <v>45</v>
      </c>
      <c r="D900" s="93">
        <v>-78</v>
      </c>
      <c r="E900" s="93">
        <v>24</v>
      </c>
      <c r="F900" s="6">
        <v>-34.64</v>
      </c>
      <c r="G900" s="81">
        <v>6225</v>
      </c>
      <c r="H900" s="8" t="s">
        <v>2167</v>
      </c>
      <c r="I900" s="22" t="s">
        <v>5484</v>
      </c>
      <c r="J900" s="75">
        <v>73.84</v>
      </c>
      <c r="K900" s="75">
        <v>5.83</v>
      </c>
      <c r="N900" s="325">
        <f t="shared" si="185"/>
        <v>79.67</v>
      </c>
      <c r="O900" s="27"/>
      <c r="P900" s="56"/>
      <c r="Q900" s="26"/>
      <c r="S900" s="330">
        <v>33.22</v>
      </c>
      <c r="T900" s="34">
        <v>0</v>
      </c>
      <c r="U900" s="366">
        <f t="shared" si="186"/>
        <v>0</v>
      </c>
      <c r="V900" s="97">
        <v>-0.06</v>
      </c>
      <c r="W900" s="13">
        <f>RTD("money.excel",,"6225","Price")</f>
        <v>11.1</v>
      </c>
      <c r="X900" s="67"/>
      <c r="Y900" s="15">
        <f t="shared" si="187"/>
        <v>11.1</v>
      </c>
      <c r="Z900" s="3" t="e">
        <f t="shared" si="188"/>
        <v>#DIV/0!</v>
      </c>
      <c r="AB900" s="22" t="s">
        <v>5484</v>
      </c>
      <c r="AE900" s="33">
        <f t="shared" si="189"/>
        <v>0</v>
      </c>
      <c r="AF900" s="43" t="s">
        <v>5485</v>
      </c>
      <c r="AG900" s="128"/>
      <c r="AI900" s="64">
        <f t="shared" si="190"/>
        <v>3.3070866141732285E-4</v>
      </c>
      <c r="AJ900" s="313">
        <f>RTD("money.excel",,$G900,"PredictVolume")</f>
        <v>42</v>
      </c>
      <c r="AK900" s="348"/>
    </row>
    <row r="901" spans="1:37">
      <c r="A901" s="148" t="s">
        <v>5486</v>
      </c>
      <c r="B901" s="93">
        <v>-253</v>
      </c>
      <c r="C901" s="93">
        <v>-151</v>
      </c>
      <c r="D901" s="93">
        <v>-24</v>
      </c>
      <c r="E901" s="93">
        <v>35</v>
      </c>
      <c r="F901" s="6">
        <v>-2.4300000000000002</v>
      </c>
      <c r="G901" s="81">
        <v>6226</v>
      </c>
      <c r="H901" s="8" t="s">
        <v>2167</v>
      </c>
      <c r="I901" s="22" t="s">
        <v>5487</v>
      </c>
      <c r="J901" s="75">
        <v>41.5</v>
      </c>
      <c r="K901" s="75">
        <v>4.66</v>
      </c>
      <c r="L901" s="75">
        <v>39.57</v>
      </c>
      <c r="N901" s="325">
        <f t="shared" si="185"/>
        <v>85.72999999999999</v>
      </c>
      <c r="O901" s="27"/>
      <c r="P901" s="56"/>
      <c r="Q901" s="26"/>
      <c r="S901" s="330">
        <v>11.97</v>
      </c>
      <c r="T901" s="34">
        <v>0</v>
      </c>
      <c r="U901" s="366">
        <f t="shared" si="186"/>
        <v>0</v>
      </c>
      <c r="V901" s="97">
        <v>-0.39</v>
      </c>
      <c r="W901" s="36">
        <f>RTD("money.excel",,"6226","Price")</f>
        <v>12.8</v>
      </c>
      <c r="X901" s="67"/>
      <c r="Y901" s="15">
        <f t="shared" si="187"/>
        <v>12.8</v>
      </c>
      <c r="Z901" s="3" t="e">
        <f t="shared" si="188"/>
        <v>#DIV/0!</v>
      </c>
      <c r="AB901" s="22" t="s">
        <v>5487</v>
      </c>
      <c r="AE901" s="33">
        <f t="shared" si="189"/>
        <v>0</v>
      </c>
      <c r="AF901" s="43" t="s">
        <v>5311</v>
      </c>
      <c r="AG901" s="128"/>
      <c r="AI901" s="64">
        <f t="shared" si="190"/>
        <v>3.7130434782608693E-3</v>
      </c>
      <c r="AJ901" s="313">
        <f>RTD("money.excel",,$G901,"PredictVolume")</f>
        <v>427</v>
      </c>
      <c r="AK901" s="348"/>
    </row>
    <row r="902" spans="1:37">
      <c r="A902" s="132" t="s">
        <v>5427</v>
      </c>
      <c r="B902" s="93">
        <v>-36</v>
      </c>
      <c r="C902" s="93">
        <v>-27</v>
      </c>
      <c r="D902" s="93">
        <v>1</v>
      </c>
      <c r="E902" s="93">
        <v>-17</v>
      </c>
      <c r="F902" s="58">
        <v>12.19</v>
      </c>
      <c r="G902" s="81">
        <v>6234</v>
      </c>
      <c r="H902" s="8" t="s">
        <v>2167</v>
      </c>
      <c r="I902" s="16" t="s">
        <v>5488</v>
      </c>
      <c r="J902" s="75">
        <v>55.4</v>
      </c>
      <c r="K902" s="75">
        <v>11.3</v>
      </c>
      <c r="L902" s="75">
        <v>30.55</v>
      </c>
      <c r="N902" s="325">
        <f t="shared" si="185"/>
        <v>97.25</v>
      </c>
      <c r="O902" s="27"/>
      <c r="P902" s="56"/>
      <c r="Q902" s="26"/>
      <c r="S902" s="330">
        <v>18.87</v>
      </c>
      <c r="T902" s="34">
        <v>0.6</v>
      </c>
      <c r="U902" s="366">
        <f t="shared" si="186"/>
        <v>3.0379746835443037E-2</v>
      </c>
      <c r="V902" s="97">
        <v>1.1499999999999999</v>
      </c>
      <c r="W902" s="36">
        <f>RTD("money.excel",,"6234","Price")</f>
        <v>19.75</v>
      </c>
      <c r="X902" s="67"/>
      <c r="Y902" s="15">
        <f t="shared" si="187"/>
        <v>19.75</v>
      </c>
      <c r="Z902" s="3" t="e">
        <f t="shared" si="188"/>
        <v>#DIV/0!</v>
      </c>
      <c r="AA902" s="174" t="s">
        <v>4710</v>
      </c>
      <c r="AB902" s="16" t="s">
        <v>5488</v>
      </c>
      <c r="AE902" s="33">
        <f t="shared" si="189"/>
        <v>0</v>
      </c>
      <c r="AF902" s="43" t="s">
        <v>454</v>
      </c>
      <c r="AG902" s="128"/>
      <c r="AI902" s="64">
        <f t="shared" si="190"/>
        <v>2.1000000000000001E-4</v>
      </c>
      <c r="AJ902" s="313">
        <f>RTD("money.excel",,$G902,"PredictVolume")</f>
        <v>21</v>
      </c>
      <c r="AK902" s="348"/>
    </row>
    <row r="903" spans="1:37">
      <c r="A903" s="148" t="s">
        <v>5489</v>
      </c>
      <c r="B903" s="81">
        <v>132</v>
      </c>
      <c r="C903" s="81">
        <v>107</v>
      </c>
      <c r="D903" s="81">
        <v>12</v>
      </c>
      <c r="E903" s="81">
        <v>30</v>
      </c>
      <c r="F903" s="6">
        <v>2.0499999999999998</v>
      </c>
      <c r="G903" s="81">
        <v>6244</v>
      </c>
      <c r="H903" s="8" t="s">
        <v>2167</v>
      </c>
      <c r="I903" s="16" t="s">
        <v>5490</v>
      </c>
      <c r="J903" s="75">
        <v>20.69</v>
      </c>
      <c r="K903" s="75">
        <v>9.64</v>
      </c>
      <c r="N903" s="325">
        <f t="shared" si="185"/>
        <v>30.330000000000002</v>
      </c>
      <c r="O903" s="27"/>
      <c r="P903" s="56"/>
      <c r="Q903" s="26"/>
      <c r="T903" s="34">
        <v>0.2</v>
      </c>
      <c r="U903" s="366">
        <f t="shared" si="186"/>
        <v>5.9701492537313433E-3</v>
      </c>
      <c r="V903" s="97">
        <v>0.27</v>
      </c>
      <c r="W903" s="36">
        <f>RTD("money.excel",,"6244","Price")</f>
        <v>33.5</v>
      </c>
      <c r="X903" s="67"/>
      <c r="Y903" s="15">
        <f t="shared" si="187"/>
        <v>33.5</v>
      </c>
      <c r="Z903" s="3" t="e">
        <f t="shared" si="188"/>
        <v>#DIV/0!</v>
      </c>
      <c r="AA903" s="174" t="s">
        <v>4710</v>
      </c>
      <c r="AB903" s="16" t="s">
        <v>5490</v>
      </c>
      <c r="AE903" s="33">
        <f t="shared" si="189"/>
        <v>0</v>
      </c>
      <c r="AF903" s="43" t="s">
        <v>4323</v>
      </c>
      <c r="AG903" s="128"/>
      <c r="AI903" s="64">
        <f t="shared" si="190"/>
        <v>9.9859154929577473E-3</v>
      </c>
      <c r="AJ903" s="313">
        <f>RTD("money.excel",,$G903,"PredictVolume")</f>
        <v>3545</v>
      </c>
      <c r="AK903" s="348"/>
    </row>
    <row r="904" spans="1:37">
      <c r="A904" s="148" t="s">
        <v>5491</v>
      </c>
      <c r="B904" s="93">
        <v>103</v>
      </c>
      <c r="C904" s="93">
        <v>134</v>
      </c>
      <c r="D904" s="93">
        <v>-11</v>
      </c>
      <c r="E904" s="93">
        <v>163</v>
      </c>
      <c r="F904" s="6">
        <v>1.43</v>
      </c>
      <c r="G904" s="81">
        <v>6246</v>
      </c>
      <c r="H904" s="8" t="s">
        <v>2167</v>
      </c>
      <c r="I904" s="16" t="s">
        <v>5492</v>
      </c>
      <c r="J904" s="75">
        <v>51.39</v>
      </c>
      <c r="K904" s="75">
        <v>0.02</v>
      </c>
      <c r="L904" s="75">
        <v>14.18</v>
      </c>
      <c r="N904" s="325">
        <f t="shared" si="185"/>
        <v>65.59</v>
      </c>
      <c r="O904" s="27"/>
      <c r="P904" s="56"/>
      <c r="Q904" s="26"/>
      <c r="S904" s="330">
        <v>13.13</v>
      </c>
      <c r="T904" s="34">
        <v>0</v>
      </c>
      <c r="U904" s="366">
        <f t="shared" ref="U904:U926" si="195">T904/W904</f>
        <v>0</v>
      </c>
      <c r="V904" s="97">
        <v>0.43</v>
      </c>
      <c r="W904" s="13">
        <f>RTD("money.excel",,"6246","Price")</f>
        <v>16.25</v>
      </c>
      <c r="X904" s="67"/>
      <c r="Y904" s="15">
        <f t="shared" si="187"/>
        <v>16.25</v>
      </c>
      <c r="Z904" s="3" t="e">
        <f t="shared" si="188"/>
        <v>#DIV/0!</v>
      </c>
      <c r="AB904" s="16" t="s">
        <v>5492</v>
      </c>
      <c r="AE904" s="33">
        <f t="shared" si="189"/>
        <v>0</v>
      </c>
      <c r="AF904" s="43" t="s">
        <v>5402</v>
      </c>
      <c r="AG904" s="128"/>
      <c r="AI904" s="64">
        <f t="shared" ref="AI904:AI926" si="196">AJ904/(A904*10000)</f>
        <v>9.7402597402597403E-5</v>
      </c>
      <c r="AJ904" s="313">
        <f>RTD("money.excel",,$G904,"PredictVolume")</f>
        <v>3</v>
      </c>
      <c r="AK904" s="348"/>
    </row>
    <row r="905" spans="1:37">
      <c r="A905" s="148" t="s">
        <v>5493</v>
      </c>
      <c r="B905" s="81">
        <v>64</v>
      </c>
      <c r="C905" s="81">
        <v>64</v>
      </c>
      <c r="D905" s="82">
        <v>-6</v>
      </c>
      <c r="E905" s="81">
        <v>68</v>
      </c>
      <c r="F905" s="6">
        <v>6.45</v>
      </c>
      <c r="G905" s="81">
        <v>6278</v>
      </c>
      <c r="H905" s="8" t="s">
        <v>325</v>
      </c>
      <c r="I905" s="22" t="s">
        <v>5494</v>
      </c>
      <c r="J905" s="330">
        <v>58.95</v>
      </c>
      <c r="K905" s="75">
        <v>22.13</v>
      </c>
      <c r="L905" s="75">
        <v>14.91</v>
      </c>
      <c r="M905" s="75">
        <v>8.68</v>
      </c>
      <c r="N905" s="325">
        <f t="shared" si="185"/>
        <v>104.66999999999999</v>
      </c>
      <c r="O905" s="27" t="s">
        <v>1735</v>
      </c>
      <c r="P905" s="56" t="s">
        <v>6273</v>
      </c>
      <c r="Q905" s="26" t="s">
        <v>6273</v>
      </c>
      <c r="R905" s="309" t="s">
        <v>6219</v>
      </c>
      <c r="S905" s="330">
        <v>4.1100000000000003</v>
      </c>
      <c r="T905" s="67">
        <v>3.3</v>
      </c>
      <c r="U905" s="366">
        <f t="shared" si="195"/>
        <v>2.9333333333333333E-2</v>
      </c>
      <c r="V905" s="58">
        <v>10.73</v>
      </c>
      <c r="W905" s="36">
        <f>RTD("money.excel",,"6278","Price")</f>
        <v>112.5</v>
      </c>
      <c r="X905" s="67"/>
      <c r="Y905" s="15">
        <f t="shared" si="187"/>
        <v>112.5</v>
      </c>
      <c r="Z905" s="3" t="e">
        <f t="shared" si="188"/>
        <v>#DIV/0!</v>
      </c>
      <c r="AA905" s="174" t="s">
        <v>2185</v>
      </c>
      <c r="AB905" s="22" t="s">
        <v>5494</v>
      </c>
      <c r="AE905" s="33">
        <f t="shared" si="189"/>
        <v>0</v>
      </c>
      <c r="AF905" s="43" t="s">
        <v>5495</v>
      </c>
      <c r="AG905" s="128"/>
      <c r="AI905" s="64">
        <f t="shared" si="196"/>
        <v>5.2123287671232881E-3</v>
      </c>
      <c r="AJ905" s="313">
        <f>RTD("money.excel",,$G905,"PredictVolume")</f>
        <v>1522</v>
      </c>
      <c r="AK905" s="348">
        <v>11.08</v>
      </c>
    </row>
    <row r="906" spans="1:37">
      <c r="A906" s="148" t="s">
        <v>5496</v>
      </c>
      <c r="B906" s="93">
        <v>26</v>
      </c>
      <c r="C906" s="93">
        <v>22</v>
      </c>
      <c r="D906" s="93">
        <v>-13</v>
      </c>
      <c r="E906" s="93">
        <v>95</v>
      </c>
      <c r="F906" s="75">
        <v>-188.35</v>
      </c>
      <c r="G906" s="81">
        <v>6289</v>
      </c>
      <c r="H906" s="8" t="s">
        <v>2167</v>
      </c>
      <c r="I906" s="22" t="s">
        <v>5497</v>
      </c>
      <c r="J906" s="75">
        <v>42.75</v>
      </c>
      <c r="K906" s="75">
        <v>0.06</v>
      </c>
      <c r="N906" s="325">
        <f t="shared" si="185"/>
        <v>42.81</v>
      </c>
      <c r="O906" s="27"/>
      <c r="P906" s="56"/>
      <c r="Q906" s="26"/>
      <c r="S906" s="330">
        <v>11.92</v>
      </c>
      <c r="T906" s="34">
        <v>0</v>
      </c>
      <c r="U906" s="366">
        <f t="shared" si="195"/>
        <v>0</v>
      </c>
      <c r="V906" s="97">
        <v>-0.81</v>
      </c>
      <c r="W906" s="36">
        <f>RTD("money.excel",,"6289","Price")</f>
        <v>3.3</v>
      </c>
      <c r="X906" s="67"/>
      <c r="Y906" s="15">
        <f t="shared" si="187"/>
        <v>3.3</v>
      </c>
      <c r="Z906" s="3" t="e">
        <f t="shared" si="188"/>
        <v>#DIV/0!</v>
      </c>
      <c r="AB906" s="22" t="s">
        <v>5497</v>
      </c>
      <c r="AE906" s="33">
        <f t="shared" si="189"/>
        <v>0</v>
      </c>
      <c r="AF906" s="43" t="s">
        <v>5498</v>
      </c>
      <c r="AG906" s="269"/>
      <c r="AI906" s="64">
        <f t="shared" si="196"/>
        <v>2.3076923076923076E-4</v>
      </c>
      <c r="AJ906" s="313">
        <f>RTD("money.excel",,$G906,"PredictVolume")</f>
        <v>24</v>
      </c>
      <c r="AK906" s="348"/>
    </row>
    <row r="907" spans="1:37">
      <c r="A907" s="148" t="s">
        <v>5499</v>
      </c>
      <c r="B907" s="81">
        <v>344</v>
      </c>
      <c r="C907" s="81">
        <v>36</v>
      </c>
      <c r="D907" s="81">
        <v>4</v>
      </c>
      <c r="E907" s="81">
        <v>4</v>
      </c>
      <c r="F907" s="6">
        <v>-19.78</v>
      </c>
      <c r="G907" s="81">
        <v>6405</v>
      </c>
      <c r="H907" s="8" t="s">
        <v>2167</v>
      </c>
      <c r="I907" s="22" t="s">
        <v>5500</v>
      </c>
      <c r="J907" s="75">
        <v>35.92</v>
      </c>
      <c r="K907" s="330">
        <v>3.56</v>
      </c>
      <c r="L907" s="75">
        <v>17.72</v>
      </c>
      <c r="N907" s="325">
        <f t="shared" si="185"/>
        <v>57.2</v>
      </c>
      <c r="O907" s="27"/>
      <c r="P907" s="56"/>
      <c r="Q907" s="26"/>
      <c r="S907" s="330">
        <v>0.1</v>
      </c>
      <c r="T907" s="34">
        <v>0.6</v>
      </c>
      <c r="U907" s="366">
        <f t="shared" si="195"/>
        <v>2.2304832713754646E-2</v>
      </c>
      <c r="V907" s="97">
        <v>2.56</v>
      </c>
      <c r="W907" s="36">
        <f>RTD("money.excel",,"6405","Price")</f>
        <v>26.9</v>
      </c>
      <c r="X907" s="67"/>
      <c r="Y907" s="15">
        <f t="shared" si="187"/>
        <v>26.9</v>
      </c>
      <c r="Z907" s="3" t="e">
        <f t="shared" si="188"/>
        <v>#DIV/0!</v>
      </c>
      <c r="AB907" s="22" t="s">
        <v>5500</v>
      </c>
      <c r="AE907" s="33">
        <f t="shared" si="189"/>
        <v>0</v>
      </c>
      <c r="AF907" s="43" t="s">
        <v>2443</v>
      </c>
      <c r="AG907" s="128"/>
      <c r="AI907" s="64">
        <f t="shared" si="196"/>
        <v>3.3434650455927052E-4</v>
      </c>
      <c r="AJ907" s="313">
        <f>RTD("money.excel",,$G907,"PredictVolume")</f>
        <v>22</v>
      </c>
      <c r="AK907" s="348"/>
    </row>
    <row r="908" spans="1:37">
      <c r="A908" s="148" t="s">
        <v>5501</v>
      </c>
      <c r="B908" s="93">
        <v>-45</v>
      </c>
      <c r="C908" s="93">
        <v>16</v>
      </c>
      <c r="D908" s="93">
        <v>-16</v>
      </c>
      <c r="E908" s="93">
        <v>-12</v>
      </c>
      <c r="F908" s="6">
        <v>-20.399999999999999</v>
      </c>
      <c r="G908" s="81">
        <v>6419</v>
      </c>
      <c r="H908" s="8" t="s">
        <v>2167</v>
      </c>
      <c r="I908" s="16" t="s">
        <v>5502</v>
      </c>
      <c r="J908" s="75">
        <v>46.29</v>
      </c>
      <c r="K908" s="75">
        <v>11.79</v>
      </c>
      <c r="N908" s="325">
        <f t="shared" si="185"/>
        <v>58.08</v>
      </c>
      <c r="O908" s="27"/>
      <c r="P908" s="56"/>
      <c r="Q908" s="26"/>
      <c r="S908" s="330">
        <v>31.18</v>
      </c>
      <c r="T908" s="34">
        <v>0</v>
      </c>
      <c r="U908" s="366">
        <f t="shared" si="195"/>
        <v>0</v>
      </c>
      <c r="V908" s="97">
        <v>-5.64</v>
      </c>
      <c r="W908" s="36">
        <f>RTD("money.excel",,"6419","Price")</f>
        <v>31.35</v>
      </c>
      <c r="X908" s="67"/>
      <c r="Y908" s="15">
        <f t="shared" si="187"/>
        <v>31.35</v>
      </c>
      <c r="Z908" s="3" t="e">
        <f t="shared" si="188"/>
        <v>#DIV/0!</v>
      </c>
      <c r="AB908" s="16" t="s">
        <v>5502</v>
      </c>
      <c r="AE908" s="33">
        <f t="shared" si="189"/>
        <v>0</v>
      </c>
      <c r="AF908" s="43" t="s">
        <v>2956</v>
      </c>
      <c r="AG908" s="128"/>
      <c r="AI908" s="64">
        <f t="shared" si="196"/>
        <v>2.0454545454545456E-3</v>
      </c>
      <c r="AJ908" s="313">
        <f>RTD("money.excel",,$G908,"PredictVolume")</f>
        <v>27</v>
      </c>
      <c r="AK908" s="348"/>
    </row>
    <row r="909" spans="1:37">
      <c r="A909" s="148" t="s">
        <v>5503</v>
      </c>
      <c r="B909" s="82">
        <v>-594</v>
      </c>
      <c r="C909" s="82">
        <v>-94</v>
      </c>
      <c r="D909" s="81">
        <v>28</v>
      </c>
      <c r="E909" s="82">
        <v>-56</v>
      </c>
      <c r="F909" s="6">
        <v>-48.15</v>
      </c>
      <c r="G909" s="81">
        <v>6431</v>
      </c>
      <c r="H909" s="8" t="s">
        <v>2167</v>
      </c>
      <c r="I909" s="22" t="s">
        <v>5504</v>
      </c>
      <c r="J909" s="75">
        <v>46.03</v>
      </c>
      <c r="K909" s="330">
        <v>17.649999999999999</v>
      </c>
      <c r="N909" s="325">
        <f t="shared" si="185"/>
        <v>63.68</v>
      </c>
      <c r="O909" s="27"/>
      <c r="P909" s="56"/>
      <c r="Q909" s="26"/>
      <c r="T909" s="34">
        <v>0</v>
      </c>
      <c r="U909" s="366">
        <f t="shared" si="195"/>
        <v>0</v>
      </c>
      <c r="V909" s="97">
        <v>-1.38</v>
      </c>
      <c r="W909" s="36">
        <f>RTD("money.excel",,"6431","Price")</f>
        <v>27.5</v>
      </c>
      <c r="X909" s="67"/>
      <c r="Y909" s="15">
        <f t="shared" si="187"/>
        <v>27.5</v>
      </c>
      <c r="Z909" s="3" t="e">
        <f t="shared" si="188"/>
        <v>#DIV/0!</v>
      </c>
      <c r="AB909" s="22" t="s">
        <v>5504</v>
      </c>
      <c r="AE909" s="33">
        <f t="shared" si="189"/>
        <v>0</v>
      </c>
      <c r="AF909" s="43" t="s">
        <v>2674</v>
      </c>
      <c r="AG909" s="269"/>
      <c r="AI909" s="64">
        <f t="shared" si="196"/>
        <v>5.9523809523809524E-5</v>
      </c>
      <c r="AJ909" s="313">
        <f>RTD("money.excel",,$G909,"PredictVolume")</f>
        <v>3</v>
      </c>
      <c r="AK909" s="348"/>
    </row>
    <row r="910" spans="1:37">
      <c r="A910" s="148" t="s">
        <v>5505</v>
      </c>
      <c r="B910" s="96">
        <v>-236</v>
      </c>
      <c r="C910" s="96">
        <v>-2493</v>
      </c>
      <c r="D910" s="81">
        <v>3</v>
      </c>
      <c r="E910" s="81">
        <v>23</v>
      </c>
      <c r="F910" s="6">
        <v>-6.71</v>
      </c>
      <c r="G910" s="81">
        <v>6443</v>
      </c>
      <c r="H910" s="8" t="s">
        <v>2167</v>
      </c>
      <c r="I910" s="22" t="s">
        <v>5506</v>
      </c>
      <c r="J910" s="330">
        <v>23.24</v>
      </c>
      <c r="K910" s="75">
        <v>10.52</v>
      </c>
      <c r="N910" s="325">
        <f t="shared" si="185"/>
        <v>33.76</v>
      </c>
      <c r="O910" s="27"/>
      <c r="P910" s="56"/>
      <c r="Q910" s="26"/>
      <c r="T910" s="34">
        <v>0</v>
      </c>
      <c r="U910" s="366">
        <f t="shared" si="195"/>
        <v>0</v>
      </c>
      <c r="V910" s="97">
        <v>-0.75</v>
      </c>
      <c r="W910" s="36">
        <f>RTD("money.excel",,"6443","Price")</f>
        <v>40.700000000000003</v>
      </c>
      <c r="X910" s="67"/>
      <c r="Y910" s="15">
        <f t="shared" si="187"/>
        <v>40.700000000000003</v>
      </c>
      <c r="Z910" s="3" t="e">
        <f t="shared" si="188"/>
        <v>#DIV/0!</v>
      </c>
      <c r="AA910" s="174" t="s">
        <v>4710</v>
      </c>
      <c r="AB910" s="22" t="s">
        <v>5506</v>
      </c>
      <c r="AE910" s="33">
        <f t="shared" si="189"/>
        <v>0</v>
      </c>
      <c r="AF910" s="43" t="s">
        <v>5507</v>
      </c>
      <c r="AG910" s="128"/>
      <c r="AI910" s="64">
        <f t="shared" si="196"/>
        <v>4.0087640449438203E-2</v>
      </c>
      <c r="AJ910" s="313">
        <f>RTD("money.excel",,$G910,"PredictVolume")</f>
        <v>17839</v>
      </c>
      <c r="AK910" s="348"/>
    </row>
    <row r="911" spans="1:37">
      <c r="A911" s="148" t="s">
        <v>5508</v>
      </c>
      <c r="B911" s="82">
        <v>-20</v>
      </c>
      <c r="C911" s="82">
        <v>-11</v>
      </c>
      <c r="D911" s="82">
        <v>-1</v>
      </c>
      <c r="E911" s="82">
        <v>-3</v>
      </c>
      <c r="F911" s="6">
        <v>1.77</v>
      </c>
      <c r="G911" s="81">
        <v>6456</v>
      </c>
      <c r="H911" s="206" t="s">
        <v>2167</v>
      </c>
      <c r="I911" s="22" t="s">
        <v>5509</v>
      </c>
      <c r="J911" s="330">
        <v>53</v>
      </c>
      <c r="K911" s="75">
        <v>55.73</v>
      </c>
      <c r="L911" s="75">
        <v>10.15</v>
      </c>
      <c r="N911" s="325">
        <f t="shared" si="185"/>
        <v>118.88</v>
      </c>
      <c r="O911" s="27"/>
      <c r="P911" s="56"/>
      <c r="Q911" s="26"/>
      <c r="S911" s="330">
        <v>0.41</v>
      </c>
      <c r="T911" s="67">
        <v>4</v>
      </c>
      <c r="U911" s="366">
        <f t="shared" si="195"/>
        <v>4.2964554242749732E-2</v>
      </c>
      <c r="V911" s="58">
        <v>9.85</v>
      </c>
      <c r="W911" s="13">
        <f>RTD("money.excel",,"6456","Price")</f>
        <v>93.1</v>
      </c>
      <c r="X911" s="67"/>
      <c r="Y911" s="15">
        <f t="shared" si="187"/>
        <v>93.1</v>
      </c>
      <c r="Z911" s="3" t="e">
        <f t="shared" si="188"/>
        <v>#DIV/0!</v>
      </c>
      <c r="AA911" s="174" t="s">
        <v>4714</v>
      </c>
      <c r="AB911" s="22" t="s">
        <v>5509</v>
      </c>
      <c r="AE911" s="33">
        <f t="shared" si="189"/>
        <v>0</v>
      </c>
      <c r="AF911" s="122" t="s">
        <v>5510</v>
      </c>
      <c r="AG911" s="269"/>
      <c r="AI911" s="64">
        <f t="shared" si="196"/>
        <v>2.2818991097922851E-3</v>
      </c>
      <c r="AJ911" s="313">
        <f>RTD("money.excel",,$G911,"PredictVolume")</f>
        <v>769</v>
      </c>
      <c r="AK911" s="348"/>
    </row>
    <row r="912" spans="1:37">
      <c r="A912" s="132" t="s">
        <v>2277</v>
      </c>
      <c r="B912" s="82">
        <v>-56</v>
      </c>
      <c r="C912" s="82">
        <v>-46</v>
      </c>
      <c r="D912" s="82">
        <v>-3</v>
      </c>
      <c r="E912" s="81">
        <v>376</v>
      </c>
      <c r="F912" s="58">
        <v>17.64</v>
      </c>
      <c r="G912" s="81">
        <v>6477</v>
      </c>
      <c r="H912" s="8" t="s">
        <v>2167</v>
      </c>
      <c r="I912" s="22" t="s">
        <v>483</v>
      </c>
      <c r="J912" s="75">
        <v>40.35</v>
      </c>
      <c r="K912" s="330">
        <v>6.08</v>
      </c>
      <c r="L912" s="75">
        <v>37.14</v>
      </c>
      <c r="M912" s="75">
        <v>19.07</v>
      </c>
      <c r="N912" s="325">
        <f t="shared" si="185"/>
        <v>102.63999999999999</v>
      </c>
      <c r="O912" s="27" t="s">
        <v>6123</v>
      </c>
      <c r="P912" s="56"/>
      <c r="Q912" s="26"/>
      <c r="R912" s="308" t="s">
        <v>6122</v>
      </c>
      <c r="S912" s="330">
        <v>5.86</v>
      </c>
      <c r="T912" s="34">
        <v>1.1399999999999999</v>
      </c>
      <c r="U912" s="366">
        <f t="shared" si="195"/>
        <v>1.9031719532554257E-2</v>
      </c>
      <c r="V912" s="97">
        <v>1.23</v>
      </c>
      <c r="W912" s="36">
        <f>RTD("money.excel",,"6477","Price")</f>
        <v>59.9</v>
      </c>
      <c r="X912" s="67"/>
      <c r="Y912" s="15">
        <f t="shared" si="187"/>
        <v>59.9</v>
      </c>
      <c r="Z912" s="3" t="e">
        <f t="shared" si="188"/>
        <v>#DIV/0!</v>
      </c>
      <c r="AA912" s="174" t="s">
        <v>1943</v>
      </c>
      <c r="AB912" s="22" t="s">
        <v>483</v>
      </c>
      <c r="AE912" s="33">
        <f t="shared" si="189"/>
        <v>0</v>
      </c>
      <c r="AF912" s="43" t="s">
        <v>4323</v>
      </c>
      <c r="AG912" s="269"/>
      <c r="AI912" s="64">
        <f t="shared" si="196"/>
        <v>0.32498245614035087</v>
      </c>
      <c r="AJ912" s="313">
        <f>RTD("money.excel",,$G912,"PredictVolume")</f>
        <v>37048</v>
      </c>
      <c r="AK912" s="348">
        <v>96.9</v>
      </c>
    </row>
    <row r="913" spans="1:37">
      <c r="A913" s="148" t="s">
        <v>5511</v>
      </c>
      <c r="B913" s="81">
        <v>5</v>
      </c>
      <c r="C913" s="81">
        <v>30</v>
      </c>
      <c r="D913" s="82">
        <v>-3</v>
      </c>
      <c r="E913" s="81">
        <v>10</v>
      </c>
      <c r="F913" s="6">
        <v>6.25</v>
      </c>
      <c r="G913" s="81">
        <v>6556</v>
      </c>
      <c r="H913" s="8" t="s">
        <v>2167</v>
      </c>
      <c r="I913" s="16" t="s">
        <v>5512</v>
      </c>
      <c r="J913" s="75">
        <v>72.25</v>
      </c>
      <c r="K913" s="330">
        <v>0.05</v>
      </c>
      <c r="L913" s="330"/>
      <c r="N913" s="325">
        <f t="shared" si="185"/>
        <v>72.3</v>
      </c>
      <c r="O913" s="27"/>
      <c r="P913" s="56"/>
      <c r="Q913" s="26"/>
      <c r="T913" s="34">
        <v>2</v>
      </c>
      <c r="U913" s="366">
        <f t="shared" si="195"/>
        <v>3.3613445378151259E-2</v>
      </c>
      <c r="V913" s="97">
        <v>2.2400000000000002</v>
      </c>
      <c r="W913" s="36">
        <f>RTD("money.excel",,"6556","Price")</f>
        <v>59.5</v>
      </c>
      <c r="X913" s="67"/>
      <c r="Y913" s="15">
        <f t="shared" si="187"/>
        <v>59.5</v>
      </c>
      <c r="Z913" s="3" t="e">
        <f t="shared" si="188"/>
        <v>#DIV/0!</v>
      </c>
      <c r="AA913" s="174" t="s">
        <v>4710</v>
      </c>
      <c r="AB913" s="16" t="s">
        <v>5512</v>
      </c>
      <c r="AE913" s="33">
        <f t="shared" si="189"/>
        <v>0</v>
      </c>
      <c r="AF913" s="43" t="s">
        <v>5513</v>
      </c>
      <c r="AG913" s="128"/>
      <c r="AI913" s="64">
        <f t="shared" si="196"/>
        <v>3.4722222222222222E-5</v>
      </c>
      <c r="AJ913" s="313">
        <f>RTD("money.excel",,$G913,"PredictVolume")</f>
        <v>1</v>
      </c>
      <c r="AK913" s="348"/>
    </row>
    <row r="914" spans="1:37">
      <c r="A914" s="132" t="s">
        <v>5514</v>
      </c>
      <c r="B914" s="82">
        <v>-40</v>
      </c>
      <c r="C914" s="82">
        <v>-18</v>
      </c>
      <c r="D914" s="81">
        <v>28</v>
      </c>
      <c r="E914" s="81">
        <v>402</v>
      </c>
      <c r="F914" s="58">
        <v>16.89</v>
      </c>
      <c r="G914" s="81">
        <v>6560</v>
      </c>
      <c r="H914" s="8" t="s">
        <v>2167</v>
      </c>
      <c r="I914" s="16" t="s">
        <v>5515</v>
      </c>
      <c r="J914" s="75">
        <v>22.2</v>
      </c>
      <c r="K914" s="75">
        <v>6.05</v>
      </c>
      <c r="N914" s="325">
        <f t="shared" si="185"/>
        <v>28.25</v>
      </c>
      <c r="O914" s="27"/>
      <c r="P914" s="56"/>
      <c r="Q914" s="26"/>
      <c r="T914" s="67">
        <v>4.5</v>
      </c>
      <c r="U914" s="366">
        <f t="shared" si="195"/>
        <v>5.7692307692307696E-2</v>
      </c>
      <c r="V914" s="97">
        <v>6.22</v>
      </c>
      <c r="W914" s="36">
        <f>RTD("money.excel",,"6560","Price")</f>
        <v>78</v>
      </c>
      <c r="X914" s="67"/>
      <c r="Y914" s="15">
        <f t="shared" si="187"/>
        <v>78</v>
      </c>
      <c r="Z914" s="3" t="e">
        <f t="shared" si="188"/>
        <v>#DIV/0!</v>
      </c>
      <c r="AA914" s="174" t="s">
        <v>4714</v>
      </c>
      <c r="AB914" s="16" t="s">
        <v>5515</v>
      </c>
      <c r="AE914" s="33">
        <f t="shared" si="189"/>
        <v>0</v>
      </c>
      <c r="AF914" s="43" t="s">
        <v>2471</v>
      </c>
      <c r="AG914" s="269"/>
      <c r="AI914" s="64">
        <f t="shared" si="196"/>
        <v>2.457142857142857E-2</v>
      </c>
      <c r="AJ914" s="313">
        <f>RTD("money.excel",,$G914,"PredictVolume")</f>
        <v>430</v>
      </c>
      <c r="AK914" s="348"/>
    </row>
    <row r="915" spans="1:37">
      <c r="A915" s="148" t="s">
        <v>5516</v>
      </c>
      <c r="B915" s="82">
        <v>-253</v>
      </c>
      <c r="C915" s="82">
        <v>-141</v>
      </c>
      <c r="D915" s="81">
        <v>8</v>
      </c>
      <c r="E915" s="82">
        <v>-15</v>
      </c>
      <c r="F915" s="6">
        <v>-3.42</v>
      </c>
      <c r="G915" s="81">
        <v>6668</v>
      </c>
      <c r="H915" s="206" t="s">
        <v>2167</v>
      </c>
      <c r="I915" s="22" t="s">
        <v>5517</v>
      </c>
      <c r="J915" s="330">
        <v>55.9</v>
      </c>
      <c r="K915" s="75">
        <v>23.32</v>
      </c>
      <c r="L915" s="330">
        <v>14.11</v>
      </c>
      <c r="N915" s="325">
        <f t="shared" si="185"/>
        <v>93.33</v>
      </c>
      <c r="O915" s="27"/>
      <c r="P915" s="56"/>
      <c r="Q915" s="26"/>
      <c r="S915" s="330">
        <v>2.61</v>
      </c>
      <c r="T915" s="34">
        <v>1.1499999999999999</v>
      </c>
      <c r="U915" s="366">
        <f t="shared" si="195"/>
        <v>2.4625267665952886E-2</v>
      </c>
      <c r="V915" s="58">
        <v>0.59</v>
      </c>
      <c r="W915" s="36">
        <f>RTD("money.excel",,"6668","Price")</f>
        <v>46.7</v>
      </c>
      <c r="X915" s="67"/>
      <c r="Y915" s="15">
        <f t="shared" si="187"/>
        <v>46.7</v>
      </c>
      <c r="Z915" s="3" t="e">
        <f t="shared" si="188"/>
        <v>#DIV/0!</v>
      </c>
      <c r="AA915" s="174" t="s">
        <v>4710</v>
      </c>
      <c r="AB915" s="22" t="s">
        <v>5517</v>
      </c>
      <c r="AE915" s="33">
        <f t="shared" si="189"/>
        <v>0</v>
      </c>
      <c r="AF915" s="122" t="s">
        <v>3231</v>
      </c>
      <c r="AG915" s="128"/>
      <c r="AI915" s="64">
        <f t="shared" si="196"/>
        <v>1.0600255427841636E-3</v>
      </c>
      <c r="AJ915" s="313">
        <f>RTD("money.excel",,$G915,"PredictVolume")</f>
        <v>83</v>
      </c>
      <c r="AK915" s="348"/>
    </row>
    <row r="916" spans="1:37">
      <c r="A916" s="132" t="s">
        <v>4267</v>
      </c>
      <c r="B916" s="81">
        <v>254</v>
      </c>
      <c r="C916" s="81">
        <v>240</v>
      </c>
      <c r="D916" s="81">
        <v>4</v>
      </c>
      <c r="E916" s="81">
        <v>69</v>
      </c>
      <c r="F916" s="58">
        <v>20.85</v>
      </c>
      <c r="G916" s="81">
        <v>6706</v>
      </c>
      <c r="H916" s="8" t="s">
        <v>325</v>
      </c>
      <c r="I916" s="22" t="s">
        <v>1981</v>
      </c>
      <c r="J916" s="330">
        <v>23.99</v>
      </c>
      <c r="K916" s="75">
        <v>26.14</v>
      </c>
      <c r="L916" s="75">
        <v>31.46</v>
      </c>
      <c r="M916" s="330">
        <v>11.36</v>
      </c>
      <c r="N916" s="325">
        <f t="shared" si="185"/>
        <v>92.95</v>
      </c>
      <c r="O916" s="27" t="s">
        <v>6258</v>
      </c>
      <c r="P916" s="56" t="s">
        <v>6274</v>
      </c>
      <c r="Q916" s="26" t="s">
        <v>6274</v>
      </c>
      <c r="R916" s="309" t="s">
        <v>6253</v>
      </c>
      <c r="S916" s="330">
        <v>5.05</v>
      </c>
      <c r="T916" s="67">
        <v>4</v>
      </c>
      <c r="U916" s="366">
        <f t="shared" si="195"/>
        <v>2.1798365122615803E-2</v>
      </c>
      <c r="V916" s="97">
        <v>11.85</v>
      </c>
      <c r="W916" s="36">
        <f>RTD("money.excel",,"6706","Price")</f>
        <v>183.5</v>
      </c>
      <c r="X916" s="67"/>
      <c r="Y916" s="15">
        <f t="shared" si="187"/>
        <v>183.5</v>
      </c>
      <c r="Z916" s="35" t="e">
        <f t="shared" si="188"/>
        <v>#DIV/0!</v>
      </c>
      <c r="AA916" s="174" t="s">
        <v>2185</v>
      </c>
      <c r="AB916" s="22" t="s">
        <v>1981</v>
      </c>
      <c r="AE916" s="33">
        <f t="shared" si="189"/>
        <v>0</v>
      </c>
      <c r="AF916" s="124" t="s">
        <v>2146</v>
      </c>
      <c r="AG916" s="128"/>
      <c r="AI916" s="64">
        <f t="shared" si="196"/>
        <v>4.9165526675786594E-2</v>
      </c>
      <c r="AJ916" s="313">
        <f>RTD("money.excel",,$G916,"PredictVolume")</f>
        <v>3594</v>
      </c>
      <c r="AK916" s="348">
        <v>35.24</v>
      </c>
    </row>
    <row r="917" spans="1:37">
      <c r="A917" s="148" t="s">
        <v>5518</v>
      </c>
      <c r="B917" s="82">
        <v>-45</v>
      </c>
      <c r="C917" s="82">
        <v>-54</v>
      </c>
      <c r="D917" s="81">
        <v>19</v>
      </c>
      <c r="E917" s="81">
        <v>43</v>
      </c>
      <c r="F917" s="6">
        <v>5.33</v>
      </c>
      <c r="G917" s="81">
        <v>7402</v>
      </c>
      <c r="H917" s="8" t="s">
        <v>2167</v>
      </c>
      <c r="I917" s="16" t="s">
        <v>5519</v>
      </c>
      <c r="J917" s="75">
        <v>33.729999999999997</v>
      </c>
      <c r="K917" s="330">
        <v>14.21</v>
      </c>
      <c r="N917" s="325">
        <f t="shared" si="185"/>
        <v>47.94</v>
      </c>
      <c r="O917" s="27"/>
      <c r="P917" s="56"/>
      <c r="Q917" s="26"/>
      <c r="T917" s="34">
        <v>1.2</v>
      </c>
      <c r="U917" s="366">
        <f t="shared" si="195"/>
        <v>2.4793388429752067E-2</v>
      </c>
      <c r="V917" s="97">
        <v>1.08</v>
      </c>
      <c r="W917" s="36">
        <f>RTD("money.excel",,"7402","Price")</f>
        <v>48.4</v>
      </c>
      <c r="X917" s="67"/>
      <c r="Y917" s="15">
        <f t="shared" si="187"/>
        <v>48.4</v>
      </c>
      <c r="Z917" s="3" t="e">
        <f t="shared" si="188"/>
        <v>#DIV/0!</v>
      </c>
      <c r="AA917" s="174" t="s">
        <v>4710</v>
      </c>
      <c r="AB917" s="16" t="s">
        <v>5519</v>
      </c>
      <c r="AE917" s="33">
        <f t="shared" si="189"/>
        <v>0</v>
      </c>
      <c r="AF917" s="43" t="s">
        <v>5520</v>
      </c>
      <c r="AG917" s="128"/>
      <c r="AI917" s="64">
        <f t="shared" si="196"/>
        <v>8.4388185654008435E-5</v>
      </c>
      <c r="AJ917" s="313">
        <f>RTD("money.excel",,$G917,"PredictVolume")</f>
        <v>2</v>
      </c>
      <c r="AK917" s="348"/>
    </row>
    <row r="918" spans="1:37">
      <c r="A918" s="132" t="s">
        <v>4914</v>
      </c>
      <c r="B918" s="82">
        <v>-9</v>
      </c>
      <c r="C918" s="82">
        <v>-3</v>
      </c>
      <c r="D918" s="81">
        <v>13</v>
      </c>
      <c r="E918" s="81">
        <v>8</v>
      </c>
      <c r="F918" s="58">
        <v>17.579999999999998</v>
      </c>
      <c r="G918" s="81">
        <v>8049</v>
      </c>
      <c r="H918" s="8" t="s">
        <v>2167</v>
      </c>
      <c r="I918" s="16" t="s">
        <v>5521</v>
      </c>
      <c r="J918" s="75">
        <v>22.93</v>
      </c>
      <c r="K918" s="330">
        <v>1.84</v>
      </c>
      <c r="L918" s="75">
        <v>5.13</v>
      </c>
      <c r="N918" s="325">
        <f t="shared" si="185"/>
        <v>29.9</v>
      </c>
      <c r="O918" s="27"/>
      <c r="P918" s="56"/>
      <c r="Q918" s="26"/>
      <c r="S918" s="330">
        <v>0.37</v>
      </c>
      <c r="T918" s="34">
        <v>1.65</v>
      </c>
      <c r="U918" s="366">
        <f t="shared" si="195"/>
        <v>6.3218390804597693E-2</v>
      </c>
      <c r="V918" s="97">
        <v>2.06</v>
      </c>
      <c r="W918" s="36">
        <f>RTD("money.excel",,"8049","Price")</f>
        <v>26.1</v>
      </c>
      <c r="X918" s="67"/>
      <c r="Y918" s="15">
        <f t="shared" si="187"/>
        <v>26.1</v>
      </c>
      <c r="Z918" s="3" t="e">
        <f t="shared" si="188"/>
        <v>#DIV/0!</v>
      </c>
      <c r="AB918" s="16" t="s">
        <v>5521</v>
      </c>
      <c r="AE918" s="33">
        <f t="shared" si="189"/>
        <v>0</v>
      </c>
      <c r="AF918" s="43" t="s">
        <v>5522</v>
      </c>
      <c r="AG918" s="128"/>
      <c r="AI918" s="64">
        <f t="shared" si="196"/>
        <v>3.3389830508474575E-3</v>
      </c>
      <c r="AJ918" s="313">
        <f>RTD("money.excel",,$G918,"PredictVolume")</f>
        <v>394</v>
      </c>
      <c r="AK918" s="348"/>
    </row>
    <row r="919" spans="1:37">
      <c r="A919" s="148" t="s">
        <v>5523</v>
      </c>
      <c r="B919" s="82">
        <v>-120</v>
      </c>
      <c r="C919" s="82">
        <v>-120</v>
      </c>
      <c r="D919" s="81">
        <v>13</v>
      </c>
      <c r="E919" s="81">
        <v>13</v>
      </c>
      <c r="F919" s="6">
        <v>-2.34</v>
      </c>
      <c r="G919" s="81">
        <v>8064</v>
      </c>
      <c r="H919" s="8" t="s">
        <v>2167</v>
      </c>
      <c r="I919" s="16" t="s">
        <v>5524</v>
      </c>
      <c r="J919" s="75">
        <v>28.62</v>
      </c>
      <c r="K919" s="75">
        <v>2.42</v>
      </c>
      <c r="L919" s="330">
        <v>7</v>
      </c>
      <c r="N919" s="325">
        <f t="shared" si="185"/>
        <v>38.04</v>
      </c>
      <c r="O919" s="27"/>
      <c r="P919" s="56"/>
      <c r="Q919" s="26"/>
      <c r="S919" s="330">
        <v>0.02</v>
      </c>
      <c r="T919" s="34">
        <v>0.2</v>
      </c>
      <c r="U919" s="366">
        <f t="shared" si="195"/>
        <v>1.0638297872340425E-2</v>
      </c>
      <c r="V919" s="97">
        <v>0.22</v>
      </c>
      <c r="W919" s="36">
        <f>RTD("money.excel",,"8064","Price")</f>
        <v>18.8</v>
      </c>
      <c r="X919" s="67"/>
      <c r="Y919" s="15">
        <f t="shared" si="187"/>
        <v>18.8</v>
      </c>
      <c r="Z919" s="3" t="e">
        <f t="shared" si="188"/>
        <v>#DIV/0!</v>
      </c>
      <c r="AA919" s="174" t="s">
        <v>4710</v>
      </c>
      <c r="AB919" s="16" t="s">
        <v>5524</v>
      </c>
      <c r="AE919" s="33">
        <f t="shared" si="189"/>
        <v>0</v>
      </c>
      <c r="AF919" s="122" t="s">
        <v>5525</v>
      </c>
      <c r="AG919" s="128"/>
      <c r="AI919" s="64">
        <f t="shared" si="196"/>
        <v>2.0487804878048781E-3</v>
      </c>
      <c r="AJ919" s="313">
        <f>RTD("money.excel",,$G919,"PredictVolume")</f>
        <v>336</v>
      </c>
      <c r="AK919" s="348"/>
    </row>
    <row r="920" spans="1:37">
      <c r="A920" s="132" t="s">
        <v>5526</v>
      </c>
      <c r="B920" s="81">
        <v>15</v>
      </c>
      <c r="C920" s="81">
        <v>229</v>
      </c>
      <c r="D920" s="82">
        <v>-13</v>
      </c>
      <c r="E920" s="81">
        <v>102</v>
      </c>
      <c r="F920" s="58">
        <v>12.02</v>
      </c>
      <c r="G920" s="81">
        <v>8069</v>
      </c>
      <c r="H920" s="151" t="s">
        <v>2167</v>
      </c>
      <c r="I920" s="16" t="s">
        <v>5527</v>
      </c>
      <c r="J920" s="330">
        <v>69.95</v>
      </c>
      <c r="K920" s="330">
        <v>27.48</v>
      </c>
      <c r="L920" s="75">
        <v>11.12</v>
      </c>
      <c r="N920" s="325">
        <f t="shared" si="185"/>
        <v>108.55000000000001</v>
      </c>
      <c r="O920" s="27"/>
      <c r="P920" s="56"/>
      <c r="Q920" s="26"/>
      <c r="S920" s="330">
        <v>0.28999999999999998</v>
      </c>
      <c r="T920" s="34">
        <v>2.7</v>
      </c>
      <c r="U920" s="366">
        <f t="shared" si="195"/>
        <v>2.0454545454545454E-2</v>
      </c>
      <c r="V920" s="58">
        <v>3.18</v>
      </c>
      <c r="W920" s="36">
        <f>RTD("money.excel",,"8069","Price")</f>
        <v>132</v>
      </c>
      <c r="X920" s="67"/>
      <c r="Y920" s="15">
        <f t="shared" si="187"/>
        <v>132</v>
      </c>
      <c r="Z920" s="3" t="e">
        <f t="shared" si="188"/>
        <v>#DIV/0!</v>
      </c>
      <c r="AA920" s="174" t="s">
        <v>4710</v>
      </c>
      <c r="AB920" s="16" t="s">
        <v>5527</v>
      </c>
      <c r="AE920" s="33">
        <f t="shared" si="189"/>
        <v>0</v>
      </c>
      <c r="AF920" s="122" t="s">
        <v>5528</v>
      </c>
      <c r="AG920" s="128"/>
      <c r="AI920" s="64">
        <f t="shared" si="196"/>
        <v>1.8276315789473686E-2</v>
      </c>
      <c r="AJ920" s="313">
        <f>RTD("money.excel",,$G920,"PredictVolume")</f>
        <v>20835</v>
      </c>
      <c r="AK920" s="348"/>
    </row>
    <row r="921" spans="1:37">
      <c r="A921" s="148" t="s">
        <v>4898</v>
      </c>
      <c r="B921" s="93">
        <v>-419</v>
      </c>
      <c r="C921" s="93">
        <v>-19</v>
      </c>
      <c r="D921" s="93">
        <v>24</v>
      </c>
      <c r="E921" s="93">
        <v>-4</v>
      </c>
      <c r="F921" s="6">
        <v>-20</v>
      </c>
      <c r="G921" s="81">
        <v>8087</v>
      </c>
      <c r="H921" s="8" t="s">
        <v>2167</v>
      </c>
      <c r="I921" s="16" t="s">
        <v>5529</v>
      </c>
      <c r="J921" s="75">
        <v>61.27</v>
      </c>
      <c r="K921" s="75">
        <v>0</v>
      </c>
      <c r="N921" s="325">
        <f t="shared" si="185"/>
        <v>61.27</v>
      </c>
      <c r="O921" s="27"/>
      <c r="P921" s="56"/>
      <c r="Q921" s="26"/>
      <c r="S921" s="330">
        <v>33.29</v>
      </c>
      <c r="T921" s="34">
        <v>0</v>
      </c>
      <c r="U921" s="366">
        <f t="shared" si="195"/>
        <v>0</v>
      </c>
      <c r="V921" s="97">
        <v>-0.2</v>
      </c>
      <c r="W921" s="13">
        <f>RTD("money.excel",,"8087","Price")</f>
        <v>33.799999999999997</v>
      </c>
      <c r="X921" s="67"/>
      <c r="Y921" s="15">
        <f t="shared" si="187"/>
        <v>33.799999999999997</v>
      </c>
      <c r="Z921" s="3" t="e">
        <f t="shared" si="188"/>
        <v>#DIV/0!</v>
      </c>
      <c r="AB921" s="16" t="s">
        <v>5529</v>
      </c>
      <c r="AE921" s="33">
        <f t="shared" si="189"/>
        <v>0</v>
      </c>
      <c r="AF921" s="43" t="s">
        <v>5530</v>
      </c>
      <c r="AG921" s="128"/>
      <c r="AI921" s="64">
        <f t="shared" si="196"/>
        <v>7.5945017182130585E-3</v>
      </c>
      <c r="AJ921" s="313">
        <f>RTD("money.excel",,$G921,"PredictVolume")</f>
        <v>221</v>
      </c>
      <c r="AK921" s="348"/>
    </row>
    <row r="922" spans="1:37">
      <c r="A922" s="148" t="s">
        <v>5531</v>
      </c>
      <c r="B922" s="81">
        <v>13</v>
      </c>
      <c r="C922" s="81">
        <v>13</v>
      </c>
      <c r="D922" s="82">
        <v>-3</v>
      </c>
      <c r="E922" s="81">
        <v>10</v>
      </c>
      <c r="F922" s="6">
        <v>8.7200000000000006</v>
      </c>
      <c r="G922" s="81">
        <v>8104</v>
      </c>
      <c r="H922" s="8" t="s">
        <v>2167</v>
      </c>
      <c r="I922" s="22" t="s">
        <v>5532</v>
      </c>
      <c r="J922" s="330">
        <v>52.93</v>
      </c>
      <c r="K922" s="330">
        <v>1.22</v>
      </c>
      <c r="L922" s="75">
        <v>12.87</v>
      </c>
      <c r="N922" s="325">
        <f t="shared" si="185"/>
        <v>67.02</v>
      </c>
      <c r="O922" s="27"/>
      <c r="P922" s="56"/>
      <c r="Q922" s="26"/>
      <c r="R922" s="308" t="s">
        <v>4829</v>
      </c>
      <c r="S922" s="330">
        <v>31.63</v>
      </c>
      <c r="T922" s="67">
        <v>2.99</v>
      </c>
      <c r="U922" s="366">
        <f t="shared" si="195"/>
        <v>4.5648854961832061E-2</v>
      </c>
      <c r="V922" s="58">
        <v>3.26</v>
      </c>
      <c r="W922" s="36">
        <f>RTD("money.excel",,"8104","Price")</f>
        <v>65.5</v>
      </c>
      <c r="X922" s="67"/>
      <c r="Y922" s="15">
        <f t="shared" si="187"/>
        <v>65.5</v>
      </c>
      <c r="Z922" s="3" t="e">
        <f t="shared" si="188"/>
        <v>#DIV/0!</v>
      </c>
      <c r="AA922" s="174" t="s">
        <v>4714</v>
      </c>
      <c r="AB922" s="22" t="s">
        <v>5532</v>
      </c>
      <c r="AE922" s="33">
        <f t="shared" si="189"/>
        <v>0</v>
      </c>
      <c r="AF922" s="123" t="s">
        <v>5533</v>
      </c>
      <c r="AG922" s="128"/>
      <c r="AI922" s="64">
        <f t="shared" si="196"/>
        <v>3.0558823529411763E-2</v>
      </c>
      <c r="AJ922" s="313">
        <f>RTD("money.excel",,$G922,"PredictVolume")</f>
        <v>2078</v>
      </c>
      <c r="AK922" s="348"/>
    </row>
    <row r="923" spans="1:37">
      <c r="A923" s="148" t="s">
        <v>5534</v>
      </c>
      <c r="B923" s="82">
        <v>-189</v>
      </c>
      <c r="C923" s="82">
        <v>-337</v>
      </c>
      <c r="D923" s="81">
        <v>0</v>
      </c>
      <c r="E923" s="82">
        <v>-11</v>
      </c>
      <c r="F923" s="6">
        <v>-11.72</v>
      </c>
      <c r="G923" s="81">
        <v>8105</v>
      </c>
      <c r="H923" s="8" t="s">
        <v>2167</v>
      </c>
      <c r="I923" s="22" t="s">
        <v>5535</v>
      </c>
      <c r="J923" s="75">
        <v>58.85</v>
      </c>
      <c r="K923" s="75">
        <v>58.56</v>
      </c>
      <c r="L923" s="75">
        <v>10.82</v>
      </c>
      <c r="N923" s="325">
        <f t="shared" si="185"/>
        <v>128.22999999999999</v>
      </c>
      <c r="O923" s="27"/>
      <c r="P923" s="56"/>
      <c r="Q923" s="26"/>
      <c r="S923" s="330">
        <v>0.01</v>
      </c>
      <c r="T923" s="34">
        <v>0</v>
      </c>
      <c r="U923" s="366">
        <f t="shared" si="195"/>
        <v>0</v>
      </c>
      <c r="V923" s="97">
        <v>-2.4700000000000002</v>
      </c>
      <c r="W923" s="13">
        <f>RTD("money.excel",,"8105","Price")</f>
        <v>11.95</v>
      </c>
      <c r="X923" s="67"/>
      <c r="Y923" s="15">
        <f t="shared" si="187"/>
        <v>11.95</v>
      </c>
      <c r="Z923" s="3" t="e">
        <f t="shared" si="188"/>
        <v>#DIV/0!</v>
      </c>
      <c r="AA923" s="174" t="s">
        <v>4710</v>
      </c>
      <c r="AB923" s="22" t="s">
        <v>5535</v>
      </c>
      <c r="AE923" s="33">
        <f t="shared" si="189"/>
        <v>0</v>
      </c>
      <c r="AF923" s="122" t="s">
        <v>5536</v>
      </c>
      <c r="AG923" s="128"/>
      <c r="AI923" s="64">
        <f t="shared" si="196"/>
        <v>6.938775510204082E-4</v>
      </c>
      <c r="AJ923" s="313">
        <f>RTD("money.excel",,$G923,"PredictVolume")</f>
        <v>306</v>
      </c>
      <c r="AK923" s="348"/>
    </row>
    <row r="924" spans="1:37">
      <c r="A924" s="132" t="s">
        <v>3545</v>
      </c>
      <c r="B924" s="81">
        <v>31</v>
      </c>
      <c r="C924" s="81">
        <v>46</v>
      </c>
      <c r="D924" s="81">
        <v>3</v>
      </c>
      <c r="E924" s="81">
        <v>4</v>
      </c>
      <c r="F924" s="58">
        <v>17.760000000000002</v>
      </c>
      <c r="G924" s="81">
        <v>8111</v>
      </c>
      <c r="H924" s="8" t="s">
        <v>2167</v>
      </c>
      <c r="I924" s="16" t="s">
        <v>5538</v>
      </c>
      <c r="J924" s="75">
        <v>28.72</v>
      </c>
      <c r="K924" s="75">
        <v>3.39</v>
      </c>
      <c r="L924" s="75">
        <v>26.92</v>
      </c>
      <c r="M924" s="75">
        <v>16.41</v>
      </c>
      <c r="N924" s="325">
        <f t="shared" si="185"/>
        <v>75.44</v>
      </c>
      <c r="O924" s="27"/>
      <c r="P924" s="56"/>
      <c r="Q924" s="26"/>
      <c r="R924" s="308" t="s">
        <v>6059</v>
      </c>
      <c r="S924" s="330">
        <v>1.45</v>
      </c>
      <c r="T924" s="34">
        <v>0.9</v>
      </c>
      <c r="U924" s="366">
        <f t="shared" si="195"/>
        <v>3.8135593220338979E-2</v>
      </c>
      <c r="V924" s="97">
        <v>1.55</v>
      </c>
      <c r="W924" s="36">
        <f>RTD("money.excel",,"8111","Price")</f>
        <v>23.6</v>
      </c>
      <c r="X924" s="67"/>
      <c r="Y924" s="15">
        <f t="shared" si="187"/>
        <v>23.6</v>
      </c>
      <c r="Z924" s="3" t="e">
        <f t="shared" si="188"/>
        <v>#DIV/0!</v>
      </c>
      <c r="AA924" s="174" t="s">
        <v>1943</v>
      </c>
      <c r="AB924" s="16" t="s">
        <v>5538</v>
      </c>
      <c r="AE924" s="33">
        <f t="shared" si="189"/>
        <v>0</v>
      </c>
      <c r="AF924" s="43" t="s">
        <v>5539</v>
      </c>
      <c r="AG924" s="128"/>
      <c r="AI924" s="64">
        <f t="shared" si="196"/>
        <v>5.2018348623853209E-3</v>
      </c>
      <c r="AJ924" s="313">
        <f>RTD("money.excel",,$G924,"PredictVolume")</f>
        <v>567</v>
      </c>
      <c r="AK924" s="348"/>
    </row>
    <row r="925" spans="1:37">
      <c r="A925" s="148" t="s">
        <v>5540</v>
      </c>
      <c r="B925" s="81">
        <v>0</v>
      </c>
      <c r="C925" s="82">
        <v>-15</v>
      </c>
      <c r="D925" s="81">
        <v>4</v>
      </c>
      <c r="E925" s="81">
        <v>17</v>
      </c>
      <c r="F925" s="6">
        <v>3.04</v>
      </c>
      <c r="G925" s="81">
        <v>8215</v>
      </c>
      <c r="H925" s="8" t="s">
        <v>2167</v>
      </c>
      <c r="I925" s="22" t="s">
        <v>5541</v>
      </c>
      <c r="J925" s="75">
        <v>55.75</v>
      </c>
      <c r="K925" s="75">
        <v>11.31</v>
      </c>
      <c r="L925" s="75">
        <v>6.89</v>
      </c>
      <c r="N925" s="325">
        <f t="shared" si="185"/>
        <v>73.95</v>
      </c>
      <c r="O925" s="27"/>
      <c r="P925" s="56"/>
      <c r="Q925" s="26"/>
      <c r="S925" s="330">
        <v>0.25</v>
      </c>
      <c r="T925" s="34">
        <v>0.5</v>
      </c>
      <c r="U925" s="366">
        <f t="shared" si="195"/>
        <v>1.4662756598240468E-2</v>
      </c>
      <c r="V925" s="97">
        <v>1.24</v>
      </c>
      <c r="W925" s="36">
        <f>RTD("money.excel",,"8215","Price")</f>
        <v>34.1</v>
      </c>
      <c r="X925" s="67"/>
      <c r="Y925" s="15">
        <f t="shared" si="187"/>
        <v>34.1</v>
      </c>
      <c r="Z925" s="3" t="e">
        <f t="shared" si="188"/>
        <v>#DIV/0!</v>
      </c>
      <c r="AA925" s="174" t="s">
        <v>4710</v>
      </c>
      <c r="AB925" s="22" t="s">
        <v>5541</v>
      </c>
      <c r="AE925" s="33">
        <f t="shared" si="189"/>
        <v>0</v>
      </c>
      <c r="AF925" s="43" t="s">
        <v>5321</v>
      </c>
      <c r="AG925" s="128"/>
      <c r="AI925" s="64">
        <f t="shared" si="196"/>
        <v>3.5812499999999998E-3</v>
      </c>
      <c r="AJ925" s="313">
        <f>RTD("money.excel",,$G925,"PredictVolume")</f>
        <v>1146</v>
      </c>
      <c r="AK925" s="348"/>
    </row>
    <row r="926" spans="1:37">
      <c r="A926" s="148" t="s">
        <v>5427</v>
      </c>
      <c r="B926" s="82">
        <v>-3</v>
      </c>
      <c r="C926" s="82">
        <v>-10</v>
      </c>
      <c r="D926" s="81">
        <v>25</v>
      </c>
      <c r="E926" s="81">
        <v>18</v>
      </c>
      <c r="F926" s="6">
        <v>2.59</v>
      </c>
      <c r="G926" s="81">
        <v>8240</v>
      </c>
      <c r="H926" s="8" t="s">
        <v>2167</v>
      </c>
      <c r="I926" s="16" t="s">
        <v>5542</v>
      </c>
      <c r="J926" s="75">
        <v>50.1</v>
      </c>
      <c r="K926" s="75">
        <v>6.5</v>
      </c>
      <c r="L926" s="330">
        <v>8.81</v>
      </c>
      <c r="N926" s="325">
        <f t="shared" si="185"/>
        <v>65.41</v>
      </c>
      <c r="O926" s="27"/>
      <c r="P926" s="56"/>
      <c r="Q926" s="26"/>
      <c r="S926" s="330">
        <v>0</v>
      </c>
      <c r="T926" s="34">
        <v>1.6</v>
      </c>
      <c r="U926" s="366">
        <f t="shared" si="195"/>
        <v>5.0473186119873822E-2</v>
      </c>
      <c r="V926" s="58">
        <v>2.21</v>
      </c>
      <c r="W926" s="36">
        <f>RTD("money.excel",,"8240","Price")</f>
        <v>31.7</v>
      </c>
      <c r="X926" s="67"/>
      <c r="Y926" s="15">
        <f t="shared" si="187"/>
        <v>31.7</v>
      </c>
      <c r="Z926" s="3" t="e">
        <f t="shared" si="188"/>
        <v>#DIV/0!</v>
      </c>
      <c r="AA926" s="174" t="s">
        <v>4710</v>
      </c>
      <c r="AB926" s="16" t="s">
        <v>5542</v>
      </c>
      <c r="AE926" s="33">
        <f t="shared" si="189"/>
        <v>0</v>
      </c>
      <c r="AF926" s="43" t="s">
        <v>5543</v>
      </c>
      <c r="AG926" s="128"/>
      <c r="AI926" s="64">
        <f t="shared" si="196"/>
        <v>2.7E-4</v>
      </c>
      <c r="AJ926" s="313">
        <f>RTD("money.excel",,$G926,"PredictVolume")</f>
        <v>27</v>
      </c>
      <c r="AK926" s="348"/>
    </row>
    <row r="927" spans="1:37">
      <c r="A927" s="148"/>
      <c r="B927" s="82"/>
      <c r="C927" s="82"/>
      <c r="D927" s="81"/>
      <c r="E927" s="81"/>
      <c r="F927" s="6"/>
      <c r="G927" s="81"/>
      <c r="H927" s="8"/>
      <c r="I927" s="16"/>
      <c r="J927" s="75"/>
      <c r="K927" s="75"/>
      <c r="L927" s="330"/>
      <c r="N927" s="325"/>
      <c r="O927" s="27"/>
      <c r="P927" s="56"/>
      <c r="Q927" s="26"/>
      <c r="T927" s="34"/>
      <c r="V927" s="58"/>
      <c r="W927" s="36"/>
      <c r="X927" s="67"/>
      <c r="Y927" s="15"/>
      <c r="Z927" s="3"/>
      <c r="AB927" s="16"/>
      <c r="AE927" s="33"/>
      <c r="AF927" s="43"/>
      <c r="AG927" s="128"/>
      <c r="AI927" s="64"/>
      <c r="AJ927" s="313"/>
      <c r="AK927" s="348"/>
    </row>
    <row r="928" spans="1:37">
      <c r="A928" s="132" t="s">
        <v>4917</v>
      </c>
      <c r="B928" s="93" t="s">
        <v>4918</v>
      </c>
      <c r="C928" s="93" t="s">
        <v>4919</v>
      </c>
      <c r="D928" s="93" t="s">
        <v>4920</v>
      </c>
      <c r="E928" s="93" t="s">
        <v>4921</v>
      </c>
      <c r="F928" s="8" t="s">
        <v>4922</v>
      </c>
      <c r="G928" s="27" t="s">
        <v>548</v>
      </c>
      <c r="H928" s="55" t="s">
        <v>342</v>
      </c>
      <c r="I928" s="8" t="s">
        <v>5544</v>
      </c>
      <c r="J928" s="324" t="s">
        <v>4925</v>
      </c>
      <c r="K928" s="324" t="s">
        <v>4926</v>
      </c>
      <c r="L928" s="324" t="s">
        <v>4927</v>
      </c>
      <c r="M928" s="324" t="s">
        <v>4928</v>
      </c>
      <c r="N928" s="324" t="s">
        <v>6091</v>
      </c>
      <c r="O928" s="27" t="s">
        <v>6253</v>
      </c>
      <c r="P928" s="56" t="s">
        <v>6219</v>
      </c>
      <c r="Q928" s="26" t="s">
        <v>6313</v>
      </c>
      <c r="R928" s="309" t="s">
        <v>4929</v>
      </c>
      <c r="S928" s="335" t="s">
        <v>4930</v>
      </c>
      <c r="T928" s="10" t="s">
        <v>4931</v>
      </c>
      <c r="U928" s="364" t="s">
        <v>6152</v>
      </c>
      <c r="V928" s="69" t="s">
        <v>4932</v>
      </c>
      <c r="W928" s="28" t="s">
        <v>4933</v>
      </c>
      <c r="X928" s="17" t="s">
        <v>4934</v>
      </c>
      <c r="Y928" s="14" t="s">
        <v>4935</v>
      </c>
      <c r="Z928" s="21" t="s">
        <v>4936</v>
      </c>
      <c r="AA928" s="322" t="s">
        <v>4937</v>
      </c>
      <c r="AB928" s="8" t="s">
        <v>5544</v>
      </c>
      <c r="AC928" s="73" t="s">
        <v>4938</v>
      </c>
      <c r="AD928" s="74" t="s">
        <v>4939</v>
      </c>
      <c r="AE928" s="32" t="s">
        <v>4940</v>
      </c>
      <c r="AF928" s="43"/>
      <c r="AG928" s="128"/>
      <c r="AI928" s="8" t="s">
        <v>4941</v>
      </c>
      <c r="AJ928" s="50" t="s">
        <v>4942</v>
      </c>
      <c r="AK928" s="348" t="s">
        <v>6074</v>
      </c>
    </row>
    <row r="929" spans="1:37">
      <c r="A929" s="148" t="s">
        <v>6410</v>
      </c>
      <c r="B929" s="82">
        <v>-473</v>
      </c>
      <c r="C929" s="82">
        <v>-281</v>
      </c>
      <c r="D929" s="81">
        <v>5</v>
      </c>
      <c r="E929" s="82">
        <v>-34</v>
      </c>
      <c r="F929" s="6">
        <v>-10.43</v>
      </c>
      <c r="G929" s="81">
        <v>2314</v>
      </c>
      <c r="H929" s="8" t="s">
        <v>331</v>
      </c>
      <c r="I929" s="22" t="s">
        <v>5545</v>
      </c>
      <c r="J929" s="330">
        <v>33.44</v>
      </c>
      <c r="K929" s="330">
        <v>7.22</v>
      </c>
      <c r="L929" s="330">
        <v>0</v>
      </c>
      <c r="M929" s="330">
        <v>24.51</v>
      </c>
      <c r="N929" s="325">
        <f t="shared" ref="N929" si="197">J929+K929+L929+M929</f>
        <v>65.17</v>
      </c>
      <c r="O929" s="27" t="s">
        <v>6412</v>
      </c>
      <c r="P929" s="56" t="s">
        <v>6413</v>
      </c>
      <c r="Q929" s="26" t="s">
        <v>6413</v>
      </c>
      <c r="R929" s="308" t="s">
        <v>6414</v>
      </c>
      <c r="S929" s="330">
        <v>0</v>
      </c>
      <c r="T929" s="34">
        <v>0</v>
      </c>
      <c r="U929" s="366">
        <f t="shared" ref="U929:U960" si="198">T929/W929</f>
        <v>0</v>
      </c>
      <c r="V929" s="97">
        <v>-1.53</v>
      </c>
      <c r="W929" s="36">
        <f>RTD("money.excel",,"2314","Price")</f>
        <v>56.8</v>
      </c>
      <c r="X929" s="67"/>
      <c r="Y929" s="15">
        <f t="shared" ref="Y929" si="199">W929-X929</f>
        <v>56.8</v>
      </c>
      <c r="Z929" s="3" t="e">
        <f t="shared" ref="Z929" si="200">Y929/X929</f>
        <v>#DIV/0!</v>
      </c>
      <c r="AA929" s="174" t="s">
        <v>1943</v>
      </c>
      <c r="AB929" s="22" t="s">
        <v>5545</v>
      </c>
      <c r="AE929" s="33">
        <f t="shared" ref="AE929" si="201">AD929-AC929</f>
        <v>0</v>
      </c>
      <c r="AF929" s="124" t="s">
        <v>5546</v>
      </c>
      <c r="AG929" s="128"/>
      <c r="AI929" s="64">
        <f t="shared" ref="AI929:AI960" si="202">AJ929/(A929*10000)</f>
        <v>7.7983193277310929E-3</v>
      </c>
      <c r="AJ929" s="313">
        <f>RTD("money.excel",,$G929,"PredictVolume")</f>
        <v>1856</v>
      </c>
      <c r="AK929" s="348">
        <v>28.35</v>
      </c>
    </row>
    <row r="930" spans="1:37">
      <c r="A930" s="148" t="s">
        <v>5547</v>
      </c>
      <c r="B930" s="93">
        <v>58</v>
      </c>
      <c r="C930" s="93">
        <v>51</v>
      </c>
      <c r="D930" s="93">
        <v>1</v>
      </c>
      <c r="E930" s="93">
        <v>-4</v>
      </c>
      <c r="F930" s="6">
        <v>-6.75</v>
      </c>
      <c r="G930" s="81">
        <v>2321</v>
      </c>
      <c r="H930" s="8" t="s">
        <v>331</v>
      </c>
      <c r="I930" s="22" t="s">
        <v>5548</v>
      </c>
      <c r="J930" s="75">
        <v>45.49</v>
      </c>
      <c r="K930" s="75">
        <v>7.0000000000000007E-2</v>
      </c>
      <c r="N930" s="325">
        <f t="shared" ref="N930:N992" si="203">J930+K930+L930+M930</f>
        <v>45.56</v>
      </c>
      <c r="O930" s="27"/>
      <c r="P930" s="56"/>
      <c r="Q930" s="26"/>
      <c r="S930" s="330">
        <v>31.84</v>
      </c>
      <c r="T930" s="34">
        <v>0</v>
      </c>
      <c r="U930" s="366">
        <f t="shared" si="198"/>
        <v>0</v>
      </c>
      <c r="V930" s="97">
        <v>-0.42</v>
      </c>
      <c r="W930" s="36">
        <f>RTD("money.excel",,"2321","Price")</f>
        <v>6.7</v>
      </c>
      <c r="X930" s="67"/>
      <c r="Y930" s="15">
        <f t="shared" ref="Y930:Y992" si="204">W930-X930</f>
        <v>6.7</v>
      </c>
      <c r="Z930" s="3" t="e">
        <f t="shared" ref="Z930:Z992" si="205">Y930/X930</f>
        <v>#DIV/0!</v>
      </c>
      <c r="AB930" s="22" t="s">
        <v>5548</v>
      </c>
      <c r="AE930" s="33">
        <f t="shared" ref="AE930:AE992" si="206">AD930-AC930</f>
        <v>0</v>
      </c>
      <c r="AF930" s="43" t="s">
        <v>5549</v>
      </c>
      <c r="AG930" s="269"/>
      <c r="AI930" s="64">
        <f t="shared" si="202"/>
        <v>2.9147982062780267E-4</v>
      </c>
      <c r="AJ930" s="313">
        <f>RTD("money.excel",,$G930,"PredictVolume")</f>
        <v>13</v>
      </c>
      <c r="AK930" s="348"/>
    </row>
    <row r="931" spans="1:37">
      <c r="A931" s="148" t="s">
        <v>5550</v>
      </c>
      <c r="B931" s="82">
        <v>-647</v>
      </c>
      <c r="C931" s="81">
        <v>121</v>
      </c>
      <c r="D931" s="81">
        <v>0</v>
      </c>
      <c r="E931" s="82">
        <v>-5</v>
      </c>
      <c r="F931" s="6">
        <v>0.44</v>
      </c>
      <c r="G931" s="81">
        <v>2332</v>
      </c>
      <c r="H931" s="210" t="s">
        <v>331</v>
      </c>
      <c r="I931" s="22" t="s">
        <v>5551</v>
      </c>
      <c r="J931" s="75">
        <v>39.22</v>
      </c>
      <c r="K931" s="75">
        <v>6.49</v>
      </c>
      <c r="L931" s="75">
        <v>10.86</v>
      </c>
      <c r="N931" s="325">
        <f t="shared" si="203"/>
        <v>56.57</v>
      </c>
      <c r="O931" s="27"/>
      <c r="P931" s="56"/>
      <c r="Q931" s="26"/>
      <c r="S931" s="330">
        <v>0.11</v>
      </c>
      <c r="T931" s="34">
        <v>0.3</v>
      </c>
      <c r="U931" s="366">
        <f t="shared" si="198"/>
        <v>1.8808777429467086E-2</v>
      </c>
      <c r="V931" s="97">
        <v>1.74</v>
      </c>
      <c r="W931" s="36">
        <f>RTD("money.excel",,"2332","Price")</f>
        <v>15.95</v>
      </c>
      <c r="X931" s="67"/>
      <c r="Y931" s="15">
        <f t="shared" si="204"/>
        <v>15.95</v>
      </c>
      <c r="Z931" s="3" t="e">
        <f t="shared" si="205"/>
        <v>#DIV/0!</v>
      </c>
      <c r="AA931" s="174" t="s">
        <v>4710</v>
      </c>
      <c r="AB931" s="22" t="s">
        <v>5551</v>
      </c>
      <c r="AE931" s="33">
        <f t="shared" si="206"/>
        <v>0</v>
      </c>
      <c r="AF931" s="124" t="s">
        <v>5552</v>
      </c>
      <c r="AG931" s="269"/>
      <c r="AI931" s="64">
        <f t="shared" si="202"/>
        <v>7.8067484662576686E-4</v>
      </c>
      <c r="AJ931" s="313">
        <f>RTD("money.excel",,$G931,"PredictVolume")</f>
        <v>509</v>
      </c>
      <c r="AK931" s="348"/>
    </row>
    <row r="932" spans="1:37">
      <c r="A932" s="148" t="s">
        <v>5553</v>
      </c>
      <c r="B932" s="82">
        <v>-4</v>
      </c>
      <c r="C932" s="82">
        <v>-7</v>
      </c>
      <c r="D932" s="81">
        <v>21</v>
      </c>
      <c r="E932" s="81">
        <v>13</v>
      </c>
      <c r="F932" s="6">
        <v>8.5</v>
      </c>
      <c r="G932" s="81">
        <v>2345</v>
      </c>
      <c r="H932" s="210" t="s">
        <v>331</v>
      </c>
      <c r="I932" s="22" t="s">
        <v>5554</v>
      </c>
      <c r="J932" s="75">
        <v>67.260000000000005</v>
      </c>
      <c r="K932" s="75">
        <v>73.06</v>
      </c>
      <c r="L932" s="330">
        <v>0.62</v>
      </c>
      <c r="N932" s="325">
        <f t="shared" si="203"/>
        <v>140.94</v>
      </c>
      <c r="O932" s="27"/>
      <c r="P932" s="56"/>
      <c r="Q932" s="26"/>
      <c r="S932" s="330">
        <v>18.25</v>
      </c>
      <c r="T932" s="67">
        <v>6.5</v>
      </c>
      <c r="U932" s="366">
        <f t="shared" si="198"/>
        <v>2.7718550106609809E-2</v>
      </c>
      <c r="V932" s="58">
        <v>8.8800000000000008</v>
      </c>
      <c r="W932" s="13">
        <f>RTD("money.excel",,"2345","Price")</f>
        <v>234.5</v>
      </c>
      <c r="X932" s="67"/>
      <c r="Y932" s="15">
        <f t="shared" si="204"/>
        <v>234.5</v>
      </c>
      <c r="Z932" s="3" t="e">
        <f t="shared" si="205"/>
        <v>#DIV/0!</v>
      </c>
      <c r="AA932" s="174" t="s">
        <v>4714</v>
      </c>
      <c r="AB932" s="22" t="s">
        <v>5554</v>
      </c>
      <c r="AE932" s="33">
        <f t="shared" si="206"/>
        <v>0</v>
      </c>
      <c r="AF932" s="122" t="s">
        <v>5555</v>
      </c>
      <c r="AG932" s="128"/>
      <c r="AI932" s="64">
        <f t="shared" si="202"/>
        <v>4.3720930232558136E-3</v>
      </c>
      <c r="AJ932" s="313">
        <f>RTD("money.excel",,$G932,"PredictVolume")</f>
        <v>2444</v>
      </c>
      <c r="AK932" s="348"/>
    </row>
    <row r="933" spans="1:37">
      <c r="A933" s="132" t="s">
        <v>5556</v>
      </c>
      <c r="B933" s="81">
        <v>1</v>
      </c>
      <c r="C933" s="81">
        <v>3</v>
      </c>
      <c r="D933" s="81">
        <v>35</v>
      </c>
      <c r="E933" s="81">
        <v>22</v>
      </c>
      <c r="F933" s="58">
        <v>21.51</v>
      </c>
      <c r="G933" s="81">
        <v>2412</v>
      </c>
      <c r="H933" s="17" t="s">
        <v>331</v>
      </c>
      <c r="I933" s="22" t="s">
        <v>5557</v>
      </c>
      <c r="J933" s="333">
        <v>78.709999999999994</v>
      </c>
      <c r="K933" s="75">
        <v>17.079999999999998</v>
      </c>
      <c r="L933" s="330">
        <v>0.03</v>
      </c>
      <c r="N933" s="325">
        <f t="shared" si="203"/>
        <v>95.82</v>
      </c>
      <c r="O933" s="27"/>
      <c r="P933" s="56"/>
      <c r="Q933" s="26"/>
      <c r="S933" s="330">
        <v>0</v>
      </c>
      <c r="T933" s="223">
        <v>4.3099999999999996</v>
      </c>
      <c r="U933" s="366">
        <f t="shared" si="198"/>
        <v>3.518367346938775E-2</v>
      </c>
      <c r="V933" s="58">
        <v>4.3099999999999996</v>
      </c>
      <c r="W933" s="36">
        <f>RTD("money.excel",,"2412","Price")</f>
        <v>122.5</v>
      </c>
      <c r="X933" s="66"/>
      <c r="Y933" s="15">
        <f t="shared" si="204"/>
        <v>122.5</v>
      </c>
      <c r="Z933" s="3" t="e">
        <f t="shared" si="205"/>
        <v>#DIV/0!</v>
      </c>
      <c r="AA933" s="174" t="s">
        <v>4714</v>
      </c>
      <c r="AB933" s="22" t="s">
        <v>5557</v>
      </c>
      <c r="AE933" s="33">
        <f t="shared" si="206"/>
        <v>0</v>
      </c>
      <c r="AF933" s="122" t="s">
        <v>5558</v>
      </c>
      <c r="AG933" s="128"/>
      <c r="AI933" s="64">
        <f t="shared" si="202"/>
        <v>1.0107096774193548E-3</v>
      </c>
      <c r="AJ933" s="313">
        <f>RTD("money.excel",,$G933,"PredictVolume")</f>
        <v>7833</v>
      </c>
      <c r="AK933" s="348"/>
    </row>
    <row r="934" spans="1:37">
      <c r="A934" s="148" t="s">
        <v>5559</v>
      </c>
      <c r="B934" s="82">
        <v>-7</v>
      </c>
      <c r="C934" s="82">
        <v>-16</v>
      </c>
      <c r="D934" s="82">
        <v>-30</v>
      </c>
      <c r="E934" s="82">
        <v>-15</v>
      </c>
      <c r="F934" s="6">
        <v>4.18</v>
      </c>
      <c r="G934" s="81">
        <v>2419</v>
      </c>
      <c r="H934" s="210" t="s">
        <v>331</v>
      </c>
      <c r="I934" s="22" t="s">
        <v>5560</v>
      </c>
      <c r="J934" s="75">
        <v>72</v>
      </c>
      <c r="K934" s="75">
        <v>4.7</v>
      </c>
      <c r="L934" s="75">
        <v>11.66</v>
      </c>
      <c r="N934" s="325">
        <f t="shared" si="203"/>
        <v>88.36</v>
      </c>
      <c r="O934" s="27"/>
      <c r="P934" s="56"/>
      <c r="Q934" s="26"/>
      <c r="S934" s="330">
        <v>0.2</v>
      </c>
      <c r="T934" s="34">
        <v>1</v>
      </c>
      <c r="U934" s="366">
        <f t="shared" si="198"/>
        <v>4.8899755501222497E-2</v>
      </c>
      <c r="V934" s="97">
        <v>0.87</v>
      </c>
      <c r="W934" s="36">
        <f>RTD("money.excel",,"2419","Price")</f>
        <v>20.45</v>
      </c>
      <c r="X934" s="67"/>
      <c r="Y934" s="15">
        <f t="shared" si="204"/>
        <v>20.45</v>
      </c>
      <c r="Z934" s="3" t="e">
        <f t="shared" si="205"/>
        <v>#DIV/0!</v>
      </c>
      <c r="AA934" s="174" t="s">
        <v>4710</v>
      </c>
      <c r="AB934" s="22" t="s">
        <v>5560</v>
      </c>
      <c r="AE934" s="33">
        <f t="shared" si="206"/>
        <v>0</v>
      </c>
      <c r="AF934" s="43" t="s">
        <v>5561</v>
      </c>
      <c r="AG934" s="128"/>
      <c r="AI934" s="64">
        <f t="shared" si="202"/>
        <v>1.182370820668693E-3</v>
      </c>
      <c r="AJ934" s="313">
        <f>RTD("money.excel",,$G934,"PredictVolume")</f>
        <v>389</v>
      </c>
      <c r="AK934" s="348"/>
    </row>
    <row r="935" spans="1:37">
      <c r="A935" s="148" t="s">
        <v>5562</v>
      </c>
      <c r="B935" s="82">
        <v>-4</v>
      </c>
      <c r="C935" s="82">
        <v>-41</v>
      </c>
      <c r="D935" s="81">
        <v>22</v>
      </c>
      <c r="E935" s="82">
        <v>-2</v>
      </c>
      <c r="F935" s="6">
        <v>1.5</v>
      </c>
      <c r="G935" s="81">
        <v>2439</v>
      </c>
      <c r="H935" s="210" t="s">
        <v>331</v>
      </c>
      <c r="I935" s="22" t="s">
        <v>5563</v>
      </c>
      <c r="J935" s="330">
        <v>25.76</v>
      </c>
      <c r="K935" s="75">
        <v>17.54</v>
      </c>
      <c r="L935" s="330">
        <v>13.06</v>
      </c>
      <c r="M935" s="75">
        <v>8.48</v>
      </c>
      <c r="N935" s="325">
        <f t="shared" si="203"/>
        <v>64.84</v>
      </c>
      <c r="O935" s="27"/>
      <c r="P935" s="56"/>
      <c r="Q935" s="26"/>
      <c r="R935" s="308" t="s">
        <v>4728</v>
      </c>
      <c r="S935" s="330">
        <v>5.16</v>
      </c>
      <c r="T935" s="67">
        <v>5.07</v>
      </c>
      <c r="U935" s="366">
        <f t="shared" si="198"/>
        <v>6.2825278810408919E-2</v>
      </c>
      <c r="V935" s="97">
        <v>5.63</v>
      </c>
      <c r="W935" s="36">
        <f>RTD("money.excel",,"2439","Price")</f>
        <v>80.7</v>
      </c>
      <c r="X935" s="67"/>
      <c r="Y935" s="15">
        <f t="shared" si="204"/>
        <v>80.7</v>
      </c>
      <c r="Z935" s="3" t="e">
        <f t="shared" si="205"/>
        <v>#DIV/0!</v>
      </c>
      <c r="AA935" s="174" t="s">
        <v>4714</v>
      </c>
      <c r="AB935" s="22" t="s">
        <v>5563</v>
      </c>
      <c r="AE935" s="33">
        <f t="shared" si="206"/>
        <v>0</v>
      </c>
      <c r="AF935" s="122" t="s">
        <v>2895</v>
      </c>
      <c r="AG935" s="128"/>
      <c r="AI935" s="64">
        <f t="shared" si="202"/>
        <v>1.4700460829493087E-3</v>
      </c>
      <c r="AJ935" s="313">
        <f>RTD("money.excel",,$G935,"PredictVolume")</f>
        <v>319</v>
      </c>
      <c r="AK935" s="348"/>
    </row>
    <row r="936" spans="1:37">
      <c r="A936" s="148" t="s">
        <v>5564</v>
      </c>
      <c r="B936" s="93">
        <v>-152</v>
      </c>
      <c r="C936" s="93">
        <v>-141</v>
      </c>
      <c r="D936" s="93">
        <v>-31</v>
      </c>
      <c r="E936" s="93">
        <v>9</v>
      </c>
      <c r="F936" s="6">
        <v>-7.76</v>
      </c>
      <c r="G936" s="81">
        <v>2444</v>
      </c>
      <c r="H936" s="210" t="s">
        <v>331</v>
      </c>
      <c r="I936" s="22" t="s">
        <v>5565</v>
      </c>
      <c r="J936" s="75">
        <v>30.05</v>
      </c>
      <c r="K936" s="75">
        <v>13.38</v>
      </c>
      <c r="L936" s="75">
        <v>4.0999999999999996</v>
      </c>
      <c r="N936" s="325">
        <f t="shared" si="203"/>
        <v>47.53</v>
      </c>
      <c r="O936" s="27"/>
      <c r="P936" s="56"/>
      <c r="Q936" s="26"/>
      <c r="S936" s="330">
        <v>7.37</v>
      </c>
      <c r="T936" s="34">
        <v>0</v>
      </c>
      <c r="U936" s="366">
        <f t="shared" si="198"/>
        <v>0</v>
      </c>
      <c r="V936" s="97">
        <v>-0.93</v>
      </c>
      <c r="W936" s="36">
        <f>RTD("money.excel",,"2444","Price")</f>
        <v>11.15</v>
      </c>
      <c r="X936" s="67"/>
      <c r="Y936" s="15">
        <f t="shared" si="204"/>
        <v>11.15</v>
      </c>
      <c r="Z936" s="3" t="e">
        <f t="shared" si="205"/>
        <v>#DIV/0!</v>
      </c>
      <c r="AB936" s="22" t="s">
        <v>5565</v>
      </c>
      <c r="AE936" s="33">
        <f t="shared" si="206"/>
        <v>0</v>
      </c>
      <c r="AF936" s="43" t="s">
        <v>5566</v>
      </c>
      <c r="AG936" s="269"/>
      <c r="AI936" s="64">
        <f t="shared" si="202"/>
        <v>1.3333333333333333E-3</v>
      </c>
      <c r="AJ936" s="313">
        <f>RTD("money.excel",,$G936,"PredictVolume")</f>
        <v>140</v>
      </c>
      <c r="AK936" s="348"/>
    </row>
    <row r="937" spans="1:37">
      <c r="A937" s="148" t="s">
        <v>5567</v>
      </c>
      <c r="B937" s="93">
        <v>-6</v>
      </c>
      <c r="C937" s="93">
        <v>0</v>
      </c>
      <c r="D937" s="93">
        <v>8</v>
      </c>
      <c r="E937" s="93">
        <v>11</v>
      </c>
      <c r="F937" s="6">
        <v>0.14000000000000001</v>
      </c>
      <c r="G937" s="81">
        <v>2450</v>
      </c>
      <c r="H937" s="210" t="s">
        <v>331</v>
      </c>
      <c r="I937" s="22" t="s">
        <v>5568</v>
      </c>
      <c r="J937" s="75">
        <v>81.47</v>
      </c>
      <c r="K937" s="75">
        <v>7.27</v>
      </c>
      <c r="L937" s="75">
        <v>0.2</v>
      </c>
      <c r="N937" s="325">
        <f t="shared" si="203"/>
        <v>88.94</v>
      </c>
      <c r="O937" s="27"/>
      <c r="P937" s="56"/>
      <c r="Q937" s="26"/>
      <c r="S937" s="330">
        <v>44.03</v>
      </c>
      <c r="T937" s="34">
        <v>1.5</v>
      </c>
      <c r="U937" s="366">
        <f t="shared" si="198"/>
        <v>4.5454545454545456E-2</v>
      </c>
      <c r="V937" s="97">
        <v>1.69</v>
      </c>
      <c r="W937" s="13">
        <f>RTD("money.excel",,"2450","Price")</f>
        <v>33</v>
      </c>
      <c r="X937" s="67"/>
      <c r="Y937" s="15">
        <f t="shared" si="204"/>
        <v>33</v>
      </c>
      <c r="Z937" s="3" t="e">
        <f t="shared" si="205"/>
        <v>#DIV/0!</v>
      </c>
      <c r="AB937" s="22" t="s">
        <v>5568</v>
      </c>
      <c r="AE937" s="33">
        <f t="shared" si="206"/>
        <v>0</v>
      </c>
      <c r="AF937" s="122" t="s">
        <v>5569</v>
      </c>
      <c r="AG937" s="128"/>
      <c r="AI937" s="64">
        <f t="shared" si="202"/>
        <v>4.1085271317829459E-4</v>
      </c>
      <c r="AJ937" s="313">
        <f>RTD("money.excel",,$G937,"PredictVolume")</f>
        <v>106</v>
      </c>
      <c r="AK937" s="348"/>
    </row>
    <row r="938" spans="1:37">
      <c r="A938" s="132" t="s">
        <v>5392</v>
      </c>
      <c r="B938" s="82">
        <v>-1</v>
      </c>
      <c r="C938" s="81">
        <v>4</v>
      </c>
      <c r="D938" s="81">
        <v>21</v>
      </c>
      <c r="E938" s="81">
        <v>28</v>
      </c>
      <c r="F938" s="58">
        <v>25.71</v>
      </c>
      <c r="G938" s="81">
        <v>2455</v>
      </c>
      <c r="H938" s="210" t="s">
        <v>331</v>
      </c>
      <c r="I938" s="22" t="s">
        <v>5570</v>
      </c>
      <c r="J938" s="75">
        <v>44.18</v>
      </c>
      <c r="K938" s="75">
        <v>32.68</v>
      </c>
      <c r="L938" s="75">
        <v>19.23</v>
      </c>
      <c r="N938" s="325">
        <f t="shared" si="203"/>
        <v>96.09</v>
      </c>
      <c r="O938" s="27"/>
      <c r="P938" s="56"/>
      <c r="Q938" s="26"/>
      <c r="S938" s="330">
        <v>1.38</v>
      </c>
      <c r="T938" s="34">
        <v>2.59</v>
      </c>
      <c r="U938" s="366">
        <f t="shared" si="198"/>
        <v>2.2819383259911893E-2</v>
      </c>
      <c r="V938" s="97">
        <v>2.88</v>
      </c>
      <c r="W938" s="36">
        <f>RTD("money.excel",,"2455","Price")</f>
        <v>113.5</v>
      </c>
      <c r="X938" s="67"/>
      <c r="Y938" s="15">
        <f t="shared" si="204"/>
        <v>113.5</v>
      </c>
      <c r="Z938" s="3" t="e">
        <f t="shared" si="205"/>
        <v>#DIV/0!</v>
      </c>
      <c r="AA938" s="174" t="s">
        <v>4710</v>
      </c>
      <c r="AB938" s="22" t="s">
        <v>5570</v>
      </c>
      <c r="AE938" s="33">
        <f t="shared" si="206"/>
        <v>0</v>
      </c>
      <c r="AF938" s="122" t="s">
        <v>2843</v>
      </c>
      <c r="AG938" s="128"/>
      <c r="AI938" s="64">
        <f t="shared" si="202"/>
        <v>1.566304347826087E-2</v>
      </c>
      <c r="AJ938" s="313">
        <f>RTD("money.excel",,$G938,"PredictVolume")</f>
        <v>2882</v>
      </c>
      <c r="AK938" s="348"/>
    </row>
    <row r="939" spans="1:37">
      <c r="A939" s="148" t="s">
        <v>5571</v>
      </c>
      <c r="B939" s="82">
        <v>-125</v>
      </c>
      <c r="C939" s="82">
        <v>-136</v>
      </c>
      <c r="D939" s="82">
        <v>-8</v>
      </c>
      <c r="E939" s="81">
        <v>73</v>
      </c>
      <c r="F939" s="6">
        <v>-2.17</v>
      </c>
      <c r="G939" s="81">
        <v>2485</v>
      </c>
      <c r="H939" s="8" t="s">
        <v>331</v>
      </c>
      <c r="I939" s="22" t="s">
        <v>5572</v>
      </c>
      <c r="J939" s="75">
        <v>21.47</v>
      </c>
      <c r="K939" s="75">
        <v>6.41</v>
      </c>
      <c r="L939" s="75">
        <v>8.9600000000000009</v>
      </c>
      <c r="N939" s="325">
        <f t="shared" si="203"/>
        <v>36.840000000000003</v>
      </c>
      <c r="O939" s="27"/>
      <c r="P939" s="56"/>
      <c r="Q939" s="26"/>
      <c r="S939" s="330">
        <v>0.12</v>
      </c>
      <c r="T939" s="34">
        <v>0</v>
      </c>
      <c r="U939" s="366">
        <f t="shared" si="198"/>
        <v>0</v>
      </c>
      <c r="V939" s="97">
        <v>-0.48</v>
      </c>
      <c r="W939" s="36">
        <f>RTD("money.excel",,"2485","Price")</f>
        <v>18.2</v>
      </c>
      <c r="X939" s="67"/>
      <c r="Y939" s="15">
        <f t="shared" si="204"/>
        <v>18.2</v>
      </c>
      <c r="Z939" s="3" t="e">
        <f t="shared" si="205"/>
        <v>#DIV/0!</v>
      </c>
      <c r="AB939" s="22" t="s">
        <v>5572</v>
      </c>
      <c r="AE939" s="33">
        <f t="shared" si="206"/>
        <v>0</v>
      </c>
      <c r="AF939" s="43" t="s">
        <v>5573</v>
      </c>
      <c r="AG939" s="128"/>
      <c r="AI939" s="64">
        <f t="shared" si="202"/>
        <v>1.0599369085173501E-3</v>
      </c>
      <c r="AJ939" s="313">
        <f>RTD("money.excel",,$G939,"PredictVolume")</f>
        <v>336</v>
      </c>
      <c r="AK939" s="348"/>
    </row>
    <row r="940" spans="1:37">
      <c r="A940" s="148" t="s">
        <v>6062</v>
      </c>
      <c r="B940" s="81">
        <v>52</v>
      </c>
      <c r="C940" s="81">
        <v>37</v>
      </c>
      <c r="D940" s="81">
        <v>32</v>
      </c>
      <c r="E940" s="82">
        <v>-16</v>
      </c>
      <c r="F940" s="75">
        <v>-131.6</v>
      </c>
      <c r="G940" s="81">
        <v>2498</v>
      </c>
      <c r="H940" s="8" t="s">
        <v>331</v>
      </c>
      <c r="I940" s="22" t="s">
        <v>2112</v>
      </c>
      <c r="J940" s="330">
        <v>41.56</v>
      </c>
      <c r="K940" s="75">
        <v>22.42</v>
      </c>
      <c r="L940" s="330">
        <v>29.45</v>
      </c>
      <c r="M940" s="330">
        <v>6.79</v>
      </c>
      <c r="N940" s="325">
        <f t="shared" si="203"/>
        <v>100.22000000000001</v>
      </c>
      <c r="O940" s="27"/>
      <c r="P940" s="56"/>
      <c r="Q940" s="26"/>
      <c r="R940" s="308" t="s">
        <v>6061</v>
      </c>
      <c r="S940" s="330">
        <v>8.4499999999999993</v>
      </c>
      <c r="T940" s="34">
        <v>0</v>
      </c>
      <c r="U940" s="366">
        <f t="shared" si="198"/>
        <v>0</v>
      </c>
      <c r="V940" s="97">
        <v>-4.1399999999999997</v>
      </c>
      <c r="W940" s="36">
        <f>RTD("money.excel",,"2498","Price")</f>
        <v>57.8</v>
      </c>
      <c r="X940" s="67"/>
      <c r="Y940" s="15">
        <f t="shared" si="204"/>
        <v>57.8</v>
      </c>
      <c r="Z940" s="3" t="e">
        <f t="shared" si="205"/>
        <v>#DIV/0!</v>
      </c>
      <c r="AA940" s="174" t="s">
        <v>1943</v>
      </c>
      <c r="AB940" s="22" t="s">
        <v>2112</v>
      </c>
      <c r="AE940" s="33">
        <f t="shared" si="206"/>
        <v>0</v>
      </c>
      <c r="AF940" s="122" t="s">
        <v>5574</v>
      </c>
      <c r="AG940" s="128"/>
      <c r="AI940" s="64">
        <f t="shared" si="202"/>
        <v>2.5888349514563105E-2</v>
      </c>
      <c r="AJ940" s="313">
        <f>RTD("money.excel",,$G940,"PredictVolume")</f>
        <v>21332</v>
      </c>
      <c r="AK940" s="348"/>
    </row>
    <row r="941" spans="1:37">
      <c r="A941" s="148" t="s">
        <v>5115</v>
      </c>
      <c r="B941" s="82">
        <v>-113</v>
      </c>
      <c r="C941" s="82">
        <v>-110</v>
      </c>
      <c r="D941" s="82">
        <v>-16</v>
      </c>
      <c r="E941" s="82">
        <v>-26</v>
      </c>
      <c r="F941" s="6">
        <v>-1.9</v>
      </c>
      <c r="G941" s="81">
        <v>3025</v>
      </c>
      <c r="H941" s="8" t="s">
        <v>331</v>
      </c>
      <c r="I941" s="22" t="s">
        <v>5575</v>
      </c>
      <c r="J941" s="75">
        <v>18.989999999999998</v>
      </c>
      <c r="K941" s="330">
        <v>1.94</v>
      </c>
      <c r="L941" s="75">
        <v>28.76</v>
      </c>
      <c r="M941" s="330">
        <v>13.57</v>
      </c>
      <c r="N941" s="325">
        <f t="shared" si="203"/>
        <v>63.26</v>
      </c>
      <c r="O941" s="27"/>
      <c r="P941" s="56"/>
      <c r="Q941" s="26"/>
      <c r="R941" s="308" t="s">
        <v>4728</v>
      </c>
      <c r="S941" s="330">
        <v>2.14</v>
      </c>
      <c r="T941" s="34">
        <v>1</v>
      </c>
      <c r="U941" s="366">
        <f t="shared" si="198"/>
        <v>5.305039787798408E-2</v>
      </c>
      <c r="V941" s="97">
        <v>1.1100000000000001</v>
      </c>
      <c r="W941" s="36">
        <f>RTD("money.excel",,"3025","Price")</f>
        <v>18.850000000000001</v>
      </c>
      <c r="X941" s="67"/>
      <c r="Y941" s="15">
        <f t="shared" si="204"/>
        <v>18.850000000000001</v>
      </c>
      <c r="Z941" s="3" t="e">
        <f t="shared" si="205"/>
        <v>#DIV/0!</v>
      </c>
      <c r="AA941" s="174" t="s">
        <v>4710</v>
      </c>
      <c r="AB941" s="22" t="s">
        <v>5575</v>
      </c>
      <c r="AE941" s="33">
        <f t="shared" si="206"/>
        <v>0</v>
      </c>
      <c r="AF941" s="43" t="s">
        <v>5576</v>
      </c>
      <c r="AI941" s="64">
        <f t="shared" si="202"/>
        <v>1.8617771509167843E-3</v>
      </c>
      <c r="AJ941" s="313">
        <f>RTD("money.excel",,$G941,"PredictVolume")</f>
        <v>132</v>
      </c>
    </row>
    <row r="942" spans="1:37">
      <c r="A942" s="148" t="s">
        <v>5577</v>
      </c>
      <c r="B942" s="81">
        <v>67</v>
      </c>
      <c r="C942" s="82">
        <v>-2191</v>
      </c>
      <c r="D942" s="81">
        <v>2</v>
      </c>
      <c r="E942" s="82">
        <v>-28</v>
      </c>
      <c r="F942" s="6">
        <v>-3.1</v>
      </c>
      <c r="G942" s="81">
        <v>3027</v>
      </c>
      <c r="H942" s="8" t="s">
        <v>331</v>
      </c>
      <c r="I942" s="22" t="s">
        <v>5578</v>
      </c>
      <c r="J942" s="75">
        <v>34.700000000000003</v>
      </c>
      <c r="K942" s="330">
        <v>0.22</v>
      </c>
      <c r="L942" s="75">
        <v>12.63</v>
      </c>
      <c r="N942" s="325">
        <f t="shared" si="203"/>
        <v>47.550000000000004</v>
      </c>
      <c r="O942" s="27"/>
      <c r="P942" s="56"/>
      <c r="Q942" s="26"/>
      <c r="S942" s="330">
        <v>17.670000000000002</v>
      </c>
      <c r="T942" s="34">
        <v>0</v>
      </c>
      <c r="U942" s="366">
        <f t="shared" si="198"/>
        <v>0</v>
      </c>
      <c r="V942" s="97">
        <v>0.32</v>
      </c>
      <c r="W942" s="36">
        <f>RTD("money.excel",,"3027","Price")</f>
        <v>21.1</v>
      </c>
      <c r="X942" s="67"/>
      <c r="Y942" s="15">
        <f t="shared" si="204"/>
        <v>21.1</v>
      </c>
      <c r="Z942" s="3" t="e">
        <f t="shared" si="205"/>
        <v>#DIV/0!</v>
      </c>
      <c r="AA942" s="174" t="s">
        <v>4710</v>
      </c>
      <c r="AB942" s="22" t="s">
        <v>5578</v>
      </c>
      <c r="AE942" s="33">
        <f t="shared" si="206"/>
        <v>0</v>
      </c>
      <c r="AF942" s="43" t="s">
        <v>5579</v>
      </c>
      <c r="AG942" s="128"/>
      <c r="AI942" s="64">
        <f t="shared" si="202"/>
        <v>5.4600606673407479E-3</v>
      </c>
      <c r="AJ942" s="313">
        <f>RTD("money.excel",,$G942,"PredictVolume")</f>
        <v>540</v>
      </c>
      <c r="AK942" s="348"/>
    </row>
    <row r="943" spans="1:37">
      <c r="A943" s="132" t="s">
        <v>5580</v>
      </c>
      <c r="B943" s="82">
        <v>-1</v>
      </c>
      <c r="C943" s="82">
        <v>-2</v>
      </c>
      <c r="D943" s="82">
        <v>-16</v>
      </c>
      <c r="E943" s="81">
        <v>14</v>
      </c>
      <c r="F943" s="58">
        <v>13.19</v>
      </c>
      <c r="G943" s="81">
        <v>3045</v>
      </c>
      <c r="H943" s="8" t="s">
        <v>331</v>
      </c>
      <c r="I943" s="22" t="s">
        <v>5581</v>
      </c>
      <c r="J943" s="330">
        <v>88.21</v>
      </c>
      <c r="K943" s="75">
        <v>16.47</v>
      </c>
      <c r="L943" s="330">
        <v>7.0000000000000007E-2</v>
      </c>
      <c r="N943" s="325">
        <f t="shared" si="203"/>
        <v>104.74999999999999</v>
      </c>
      <c r="O943" s="27"/>
      <c r="P943" s="56"/>
      <c r="Q943" s="26"/>
      <c r="S943" s="330">
        <v>0</v>
      </c>
      <c r="T943" s="67">
        <v>4.75</v>
      </c>
      <c r="U943" s="366">
        <f t="shared" si="198"/>
        <v>4.4811320754716978E-2</v>
      </c>
      <c r="V943" s="58">
        <v>4.01</v>
      </c>
      <c r="W943" s="36">
        <f>RTD("money.excel",,"3045","Price")</f>
        <v>106</v>
      </c>
      <c r="X943" s="67"/>
      <c r="Y943" s="15">
        <f t="shared" si="204"/>
        <v>106</v>
      </c>
      <c r="Z943" s="3" t="e">
        <f t="shared" si="205"/>
        <v>#DIV/0!</v>
      </c>
      <c r="AA943" s="174" t="s">
        <v>4714</v>
      </c>
      <c r="AB943" s="22" t="s">
        <v>5581</v>
      </c>
      <c r="AE943" s="33">
        <f t="shared" si="206"/>
        <v>0</v>
      </c>
      <c r="AF943" s="122" t="s">
        <v>5582</v>
      </c>
      <c r="AG943" s="128"/>
      <c r="AI943" s="64">
        <f t="shared" si="202"/>
        <v>5.8290598290598294E-4</v>
      </c>
      <c r="AJ943" s="313">
        <f>RTD("money.excel",,$G943,"PredictVolume")</f>
        <v>2046</v>
      </c>
      <c r="AK943" s="348"/>
    </row>
    <row r="944" spans="1:37">
      <c r="A944" s="148" t="s">
        <v>2414</v>
      </c>
      <c r="B944" s="82">
        <v>-126</v>
      </c>
      <c r="C944" s="82">
        <v>-105</v>
      </c>
      <c r="D944" s="81">
        <v>12</v>
      </c>
      <c r="E944" s="82">
        <v>-1</v>
      </c>
      <c r="F944" s="6">
        <v>-0.5</v>
      </c>
      <c r="G944" s="81">
        <v>3047</v>
      </c>
      <c r="H944" s="8" t="s">
        <v>331</v>
      </c>
      <c r="I944" s="22" t="s">
        <v>5583</v>
      </c>
      <c r="J944" s="75">
        <v>19.77</v>
      </c>
      <c r="K944" s="75">
        <v>4.47</v>
      </c>
      <c r="L944" s="75">
        <v>17.37</v>
      </c>
      <c r="M944" s="330">
        <v>7.1</v>
      </c>
      <c r="N944" s="325">
        <f t="shared" si="203"/>
        <v>48.71</v>
      </c>
      <c r="O944" s="27" t="s">
        <v>6203</v>
      </c>
      <c r="P944" s="56"/>
      <c r="Q944" s="26"/>
      <c r="R944" s="309" t="s">
        <v>4373</v>
      </c>
      <c r="S944" s="330">
        <v>3.27</v>
      </c>
      <c r="T944" s="34">
        <v>0.28999999999999998</v>
      </c>
      <c r="U944" s="366">
        <f t="shared" si="198"/>
        <v>2.3199999999999998E-2</v>
      </c>
      <c r="V944" s="97">
        <v>-0.27</v>
      </c>
      <c r="W944" s="36">
        <f>RTD("money.excel",,"3047","Price")</f>
        <v>12.5</v>
      </c>
      <c r="X944" s="67"/>
      <c r="Y944" s="15">
        <f t="shared" si="204"/>
        <v>12.5</v>
      </c>
      <c r="Z944" s="3" t="e">
        <f t="shared" si="205"/>
        <v>#DIV/0!</v>
      </c>
      <c r="AA944" s="174" t="s">
        <v>1943</v>
      </c>
      <c r="AB944" s="22" t="s">
        <v>5583</v>
      </c>
      <c r="AE944" s="33">
        <f t="shared" si="206"/>
        <v>0</v>
      </c>
      <c r="AF944" s="43" t="s">
        <v>5552</v>
      </c>
      <c r="AG944" s="128"/>
      <c r="AI944" s="64">
        <f t="shared" si="202"/>
        <v>3.5157894736842104E-3</v>
      </c>
      <c r="AJ944" s="313">
        <f>RTD("money.excel",,$G944,"PredictVolume")</f>
        <v>668</v>
      </c>
      <c r="AK944" s="348">
        <v>27.3</v>
      </c>
    </row>
    <row r="945" spans="1:37">
      <c r="A945" s="148" t="s">
        <v>5584</v>
      </c>
      <c r="B945" s="82">
        <v>-102</v>
      </c>
      <c r="C945" s="82">
        <v>-928</v>
      </c>
      <c r="D945" s="82">
        <v>-1</v>
      </c>
      <c r="E945" s="82">
        <v>-13</v>
      </c>
      <c r="F945" s="6">
        <v>-2.83</v>
      </c>
      <c r="G945" s="81">
        <v>3062</v>
      </c>
      <c r="H945" s="8" t="s">
        <v>331</v>
      </c>
      <c r="I945" s="22" t="s">
        <v>5585</v>
      </c>
      <c r="J945" s="75">
        <v>37.200000000000003</v>
      </c>
      <c r="K945" s="330">
        <v>11.26</v>
      </c>
      <c r="L945" s="75">
        <v>10.050000000000001</v>
      </c>
      <c r="N945" s="325">
        <f t="shared" si="203"/>
        <v>58.510000000000005</v>
      </c>
      <c r="O945" s="27"/>
      <c r="P945" s="56"/>
      <c r="Q945" s="26"/>
      <c r="S945" s="330">
        <v>0.03</v>
      </c>
      <c r="T945" s="34">
        <v>0.15</v>
      </c>
      <c r="U945" s="366">
        <f t="shared" si="198"/>
        <v>6.0851926977687626E-3</v>
      </c>
      <c r="V945" s="97">
        <v>7.0000000000000007E-2</v>
      </c>
      <c r="W945" s="36">
        <f>RTD("money.excel",,"3062","Price")</f>
        <v>24.65</v>
      </c>
      <c r="X945" s="67"/>
      <c r="Y945" s="15">
        <f t="shared" si="204"/>
        <v>24.65</v>
      </c>
      <c r="Z945" s="3" t="e">
        <f t="shared" si="205"/>
        <v>#DIV/0!</v>
      </c>
      <c r="AA945" s="174" t="s">
        <v>4710</v>
      </c>
      <c r="AB945" s="22" t="s">
        <v>5585</v>
      </c>
      <c r="AE945" s="33">
        <f t="shared" si="206"/>
        <v>0</v>
      </c>
      <c r="AF945" s="122" t="s">
        <v>5586</v>
      </c>
      <c r="AG945" s="128"/>
      <c r="AI945" s="64">
        <f t="shared" si="202"/>
        <v>7.6189024390243901E-3</v>
      </c>
      <c r="AJ945" s="313">
        <f>RTD("money.excel",,$G945,"PredictVolume")</f>
        <v>2499</v>
      </c>
      <c r="AK945" s="348"/>
    </row>
    <row r="946" spans="1:37">
      <c r="A946" s="132" t="s">
        <v>5587</v>
      </c>
      <c r="B946" s="81">
        <v>60</v>
      </c>
      <c r="C946" s="81">
        <v>63</v>
      </c>
      <c r="D946" s="81">
        <v>14</v>
      </c>
      <c r="E946" s="82">
        <v>-21</v>
      </c>
      <c r="F946" s="58">
        <v>32.92</v>
      </c>
      <c r="G946" s="81">
        <v>3081</v>
      </c>
      <c r="H946" s="151" t="s">
        <v>331</v>
      </c>
      <c r="I946" s="16" t="s">
        <v>5588</v>
      </c>
      <c r="J946" s="75">
        <v>47.36</v>
      </c>
      <c r="K946" s="330">
        <v>50.43</v>
      </c>
      <c r="L946" s="330">
        <v>11.65</v>
      </c>
      <c r="N946" s="325">
        <f t="shared" si="203"/>
        <v>109.44</v>
      </c>
      <c r="O946" s="27"/>
      <c r="P946" s="56"/>
      <c r="Q946" s="26"/>
      <c r="S946" s="330">
        <v>2.1</v>
      </c>
      <c r="T946" s="67">
        <v>5</v>
      </c>
      <c r="U946" s="366">
        <f t="shared" si="198"/>
        <v>2.7027027027027029E-2</v>
      </c>
      <c r="V946" s="97">
        <v>7.74</v>
      </c>
      <c r="W946" s="13">
        <f>RTD("money.excel",,"3081","Price")</f>
        <v>185</v>
      </c>
      <c r="X946" s="67"/>
      <c r="Y946" s="15">
        <f t="shared" si="204"/>
        <v>185</v>
      </c>
      <c r="Z946" s="3" t="e">
        <f t="shared" si="205"/>
        <v>#DIV/0!</v>
      </c>
      <c r="AA946" s="174" t="s">
        <v>4714</v>
      </c>
      <c r="AB946" s="16" t="s">
        <v>5588</v>
      </c>
      <c r="AE946" s="33">
        <f t="shared" si="206"/>
        <v>0</v>
      </c>
      <c r="AF946" s="122" t="s">
        <v>5589</v>
      </c>
      <c r="AG946" s="128"/>
      <c r="AI946" s="64">
        <f t="shared" si="202"/>
        <v>2.2210065645514223E-3</v>
      </c>
      <c r="AJ946" s="313">
        <f>RTD("money.excel",,$G946,"PredictVolume")</f>
        <v>203</v>
      </c>
      <c r="AK946" s="348"/>
    </row>
    <row r="947" spans="1:37">
      <c r="A947" s="148" t="s">
        <v>5537</v>
      </c>
      <c r="B947" s="93">
        <v>-281</v>
      </c>
      <c r="C947" s="93">
        <v>-269</v>
      </c>
      <c r="D947" s="93">
        <v>7</v>
      </c>
      <c r="E947" s="93">
        <v>4</v>
      </c>
      <c r="F947" s="6">
        <v>-11.85</v>
      </c>
      <c r="G947" s="81">
        <v>3095</v>
      </c>
      <c r="H947" s="8" t="s">
        <v>331</v>
      </c>
      <c r="I947" s="16" t="s">
        <v>5590</v>
      </c>
      <c r="J947" s="75">
        <v>45.56</v>
      </c>
      <c r="K947" s="75">
        <v>4.49</v>
      </c>
      <c r="N947" s="325">
        <f t="shared" si="203"/>
        <v>50.050000000000004</v>
      </c>
      <c r="O947" s="27"/>
      <c r="P947" s="56"/>
      <c r="Q947" s="26"/>
      <c r="S947" s="330">
        <v>27.02</v>
      </c>
      <c r="T947" s="34">
        <v>0</v>
      </c>
      <c r="U947" s="366">
        <f t="shared" si="198"/>
        <v>0</v>
      </c>
      <c r="V947" s="97">
        <v>-0.6</v>
      </c>
      <c r="W947" s="36">
        <f>RTD("money.excel",,"3095","Price")</f>
        <v>3.31</v>
      </c>
      <c r="X947" s="67"/>
      <c r="Y947" s="15">
        <f t="shared" si="204"/>
        <v>3.31</v>
      </c>
      <c r="Z947" s="3" t="e">
        <f t="shared" si="205"/>
        <v>#DIV/0!</v>
      </c>
      <c r="AB947" s="16" t="s">
        <v>5590</v>
      </c>
      <c r="AE947" s="33">
        <f t="shared" si="206"/>
        <v>0</v>
      </c>
      <c r="AF947" s="43" t="s">
        <v>3108</v>
      </c>
      <c r="AG947" s="128"/>
      <c r="AI947" s="64">
        <f t="shared" si="202"/>
        <v>8.990825688073395E-4</v>
      </c>
      <c r="AJ947" s="313">
        <f>RTD("money.excel",,$G947,"PredictVolume")</f>
        <v>98</v>
      </c>
      <c r="AK947" s="348"/>
    </row>
    <row r="948" spans="1:37">
      <c r="A948" s="132" t="s">
        <v>5591</v>
      </c>
      <c r="B948" s="81">
        <v>33</v>
      </c>
      <c r="C948" s="81">
        <v>43</v>
      </c>
      <c r="D948" s="82">
        <v>-9</v>
      </c>
      <c r="E948" s="81">
        <v>6</v>
      </c>
      <c r="F948" s="58">
        <v>10.64</v>
      </c>
      <c r="G948" s="81">
        <v>3138</v>
      </c>
      <c r="H948" s="8" t="s">
        <v>331</v>
      </c>
      <c r="I948" s="22" t="s">
        <v>5592</v>
      </c>
      <c r="J948" s="330">
        <v>21.5</v>
      </c>
      <c r="K948" s="75">
        <v>0.68</v>
      </c>
      <c r="L948" s="330"/>
      <c r="N948" s="325">
        <f t="shared" si="203"/>
        <v>22.18</v>
      </c>
      <c r="O948" s="27"/>
      <c r="P948" s="56"/>
      <c r="Q948" s="26"/>
      <c r="T948" s="34">
        <v>1.6</v>
      </c>
      <c r="U948" s="366">
        <f t="shared" si="198"/>
        <v>9.6385542168674707E-3</v>
      </c>
      <c r="V948" s="97">
        <v>2.78</v>
      </c>
      <c r="W948" s="36">
        <f>RTD("money.excel",,"3138","Price")</f>
        <v>166</v>
      </c>
      <c r="X948" s="67"/>
      <c r="Y948" s="15">
        <f t="shared" si="204"/>
        <v>166</v>
      </c>
      <c r="Z948" s="3" t="e">
        <f t="shared" si="205"/>
        <v>#DIV/0!</v>
      </c>
      <c r="AA948" s="174" t="s">
        <v>4710</v>
      </c>
      <c r="AB948" s="22" t="s">
        <v>5592</v>
      </c>
      <c r="AE948" s="33">
        <f t="shared" si="206"/>
        <v>0</v>
      </c>
      <c r="AF948" s="122" t="s">
        <v>5593</v>
      </c>
      <c r="AG948" s="128"/>
      <c r="AI948" s="64">
        <f t="shared" si="202"/>
        <v>4.3133047210300425E-3</v>
      </c>
      <c r="AJ948" s="313">
        <f>RTD("money.excel",,$G948,"PredictVolume")</f>
        <v>201</v>
      </c>
      <c r="AK948" s="348"/>
    </row>
    <row r="949" spans="1:37">
      <c r="A949" s="132" t="s">
        <v>5594</v>
      </c>
      <c r="B949" s="81">
        <v>57</v>
      </c>
      <c r="C949" s="81">
        <v>59</v>
      </c>
      <c r="D949" s="82">
        <v>-13</v>
      </c>
      <c r="E949" s="82">
        <v>-18</v>
      </c>
      <c r="F949" s="58">
        <v>50.9</v>
      </c>
      <c r="G949" s="81">
        <v>3152</v>
      </c>
      <c r="H949" s="151" t="s">
        <v>331</v>
      </c>
      <c r="I949" s="16" t="s">
        <v>5595</v>
      </c>
      <c r="J949" s="75">
        <v>67.930000000000007</v>
      </c>
      <c r="K949" s="330">
        <v>10.39</v>
      </c>
      <c r="L949" s="75">
        <v>2.52</v>
      </c>
      <c r="M949" s="75">
        <v>47.18</v>
      </c>
      <c r="N949" s="325">
        <f t="shared" si="203"/>
        <v>128.02000000000001</v>
      </c>
      <c r="O949" s="27"/>
      <c r="P949" s="56"/>
      <c r="Q949" s="26"/>
      <c r="R949" s="308" t="s">
        <v>4754</v>
      </c>
      <c r="S949" s="330">
        <v>2.36</v>
      </c>
      <c r="T949" s="67">
        <v>10.8</v>
      </c>
      <c r="U949" s="366">
        <f t="shared" si="198"/>
        <v>3.9059674502712478E-2</v>
      </c>
      <c r="V949" s="58">
        <v>16.89</v>
      </c>
      <c r="W949" s="36">
        <f>RTD("money.excel",,"3152","Price")</f>
        <v>276.5</v>
      </c>
      <c r="X949" s="67"/>
      <c r="Y949" s="15">
        <f t="shared" si="204"/>
        <v>276.5</v>
      </c>
      <c r="Z949" s="3" t="e">
        <f t="shared" si="205"/>
        <v>#DIV/0!</v>
      </c>
      <c r="AA949" s="174" t="s">
        <v>4714</v>
      </c>
      <c r="AB949" s="16" t="s">
        <v>5595</v>
      </c>
      <c r="AE949" s="33">
        <f t="shared" si="206"/>
        <v>0</v>
      </c>
      <c r="AF949" s="122" t="s">
        <v>5596</v>
      </c>
      <c r="AG949" s="128"/>
      <c r="AI949" s="64">
        <f t="shared" si="202"/>
        <v>2.0289855072463769E-3</v>
      </c>
      <c r="AJ949" s="313">
        <f>RTD("money.excel",,$G949,"PredictVolume")</f>
        <v>140</v>
      </c>
      <c r="AK949" s="348"/>
    </row>
    <row r="950" spans="1:37">
      <c r="A950" s="148" t="s">
        <v>5597</v>
      </c>
      <c r="B950" s="82">
        <v>-88</v>
      </c>
      <c r="C950" s="82">
        <v>-86</v>
      </c>
      <c r="D950" s="82">
        <v>-4</v>
      </c>
      <c r="E950" s="82">
        <v>-17</v>
      </c>
      <c r="F950" s="6">
        <v>3.08</v>
      </c>
      <c r="G950" s="81">
        <v>3163</v>
      </c>
      <c r="H950" s="8" t="s">
        <v>331</v>
      </c>
      <c r="I950" s="16" t="s">
        <v>5598</v>
      </c>
      <c r="J950" s="75">
        <v>15.24</v>
      </c>
      <c r="K950" s="75">
        <v>4.93</v>
      </c>
      <c r="L950" s="75">
        <v>24.64</v>
      </c>
      <c r="M950" s="330">
        <v>11.42</v>
      </c>
      <c r="N950" s="325">
        <f t="shared" si="203"/>
        <v>56.230000000000004</v>
      </c>
      <c r="O950" s="27"/>
      <c r="P950" s="56"/>
      <c r="Q950" s="26"/>
      <c r="R950" s="308" t="s">
        <v>4754</v>
      </c>
      <c r="S950" s="330">
        <v>1.41</v>
      </c>
      <c r="T950" s="34">
        <v>2.5</v>
      </c>
      <c r="U950" s="366">
        <f t="shared" si="198"/>
        <v>6.1124694376528121E-2</v>
      </c>
      <c r="V950" s="97">
        <v>0.67</v>
      </c>
      <c r="W950" s="36">
        <f>RTD("money.excel",,"3163","Price")</f>
        <v>40.9</v>
      </c>
      <c r="X950" s="67"/>
      <c r="Y950" s="15">
        <f t="shared" si="204"/>
        <v>40.9</v>
      </c>
      <c r="Z950" s="3" t="e">
        <f t="shared" si="205"/>
        <v>#DIV/0!</v>
      </c>
      <c r="AA950" s="174" t="s">
        <v>4710</v>
      </c>
      <c r="AB950" s="16" t="s">
        <v>5598</v>
      </c>
      <c r="AE950" s="33">
        <f t="shared" si="206"/>
        <v>0</v>
      </c>
      <c r="AF950" s="43" t="s">
        <v>5599</v>
      </c>
      <c r="AG950" s="128"/>
      <c r="AI950" s="64">
        <f t="shared" si="202"/>
        <v>4.5816733067729079E-3</v>
      </c>
      <c r="AJ950" s="313">
        <f>RTD("money.excel",,$G950,"PredictVolume")</f>
        <v>345</v>
      </c>
      <c r="AK950" s="348"/>
    </row>
    <row r="951" spans="1:37">
      <c r="A951" s="148" t="s">
        <v>5151</v>
      </c>
      <c r="B951" s="93">
        <v>-112</v>
      </c>
      <c r="C951" s="93">
        <v>-50</v>
      </c>
      <c r="D951" s="93">
        <v>24</v>
      </c>
      <c r="E951" s="93">
        <v>26</v>
      </c>
      <c r="F951" s="6">
        <v>2.57</v>
      </c>
      <c r="G951" s="81">
        <v>3221</v>
      </c>
      <c r="H951" s="8" t="s">
        <v>331</v>
      </c>
      <c r="I951" s="16" t="s">
        <v>5600</v>
      </c>
      <c r="J951" s="330">
        <v>45.79</v>
      </c>
      <c r="K951" s="330">
        <v>4.37</v>
      </c>
      <c r="L951" s="75">
        <v>32.880000000000003</v>
      </c>
      <c r="N951" s="325">
        <f t="shared" si="203"/>
        <v>83.039999999999992</v>
      </c>
      <c r="O951" s="27"/>
      <c r="P951" s="56"/>
      <c r="Q951" s="26"/>
      <c r="S951" s="330">
        <v>17.43</v>
      </c>
      <c r="T951" s="34">
        <v>0.2</v>
      </c>
      <c r="U951" s="366">
        <f t="shared" si="198"/>
        <v>6.2695924764890288E-3</v>
      </c>
      <c r="V951" s="97">
        <v>-0.69</v>
      </c>
      <c r="W951" s="36">
        <f>RTD("money.excel",,"3221","Price")</f>
        <v>31.9</v>
      </c>
      <c r="X951" s="67"/>
      <c r="Y951" s="15">
        <f t="shared" si="204"/>
        <v>31.9</v>
      </c>
      <c r="Z951" s="3" t="e">
        <f t="shared" si="205"/>
        <v>#DIV/0!</v>
      </c>
      <c r="AA951" s="174" t="s">
        <v>4710</v>
      </c>
      <c r="AB951" s="16" t="s">
        <v>5600</v>
      </c>
      <c r="AE951" s="33">
        <f t="shared" si="206"/>
        <v>0</v>
      </c>
      <c r="AF951" s="43" t="s">
        <v>5601</v>
      </c>
      <c r="AG951" s="128"/>
      <c r="AI951" s="64">
        <f t="shared" si="202"/>
        <v>2.7766990291262137E-3</v>
      </c>
      <c r="AJ951" s="313">
        <f>RTD("money.excel",,$G951,"PredictVolume")</f>
        <v>286</v>
      </c>
      <c r="AK951" s="348"/>
    </row>
    <row r="952" spans="1:37">
      <c r="A952" s="148" t="s">
        <v>5602</v>
      </c>
      <c r="B952" s="81">
        <v>100</v>
      </c>
      <c r="C952" s="81">
        <v>113</v>
      </c>
      <c r="D952" s="81">
        <v>1</v>
      </c>
      <c r="E952" s="82">
        <v>-6</v>
      </c>
      <c r="F952" s="6">
        <v>2.77</v>
      </c>
      <c r="G952" s="81">
        <v>3234</v>
      </c>
      <c r="H952" s="8" t="s">
        <v>331</v>
      </c>
      <c r="I952" s="16" t="s">
        <v>5603</v>
      </c>
      <c r="J952" s="75">
        <v>10.16</v>
      </c>
      <c r="K952" s="75">
        <v>4.5</v>
      </c>
      <c r="L952" s="75">
        <v>35.31</v>
      </c>
      <c r="N952" s="325">
        <f t="shared" si="203"/>
        <v>49.97</v>
      </c>
      <c r="O952" s="27"/>
      <c r="P952" s="56"/>
      <c r="Q952" s="26"/>
      <c r="S952" s="330">
        <v>0.49</v>
      </c>
      <c r="T952" s="34">
        <v>0</v>
      </c>
      <c r="U952" s="366">
        <f t="shared" si="198"/>
        <v>0</v>
      </c>
      <c r="V952" s="97">
        <v>0.1</v>
      </c>
      <c r="W952" s="36">
        <f>RTD("money.excel",,"3234","Price")</f>
        <v>23.9</v>
      </c>
      <c r="X952" s="67"/>
      <c r="Y952" s="15">
        <f t="shared" si="204"/>
        <v>23.9</v>
      </c>
      <c r="Z952" s="3" t="e">
        <f t="shared" si="205"/>
        <v>#DIV/0!</v>
      </c>
      <c r="AA952" s="174" t="s">
        <v>4710</v>
      </c>
      <c r="AB952" s="16" t="s">
        <v>5603</v>
      </c>
      <c r="AE952" s="33">
        <f t="shared" si="206"/>
        <v>0</v>
      </c>
      <c r="AF952" s="122" t="s">
        <v>5604</v>
      </c>
      <c r="AG952" s="128"/>
      <c r="AI952" s="64">
        <f t="shared" si="202"/>
        <v>1.8823529411764706E-3</v>
      </c>
      <c r="AJ952" s="313">
        <f>RTD("money.excel",,$G952,"PredictVolume")</f>
        <v>144</v>
      </c>
      <c r="AK952" s="348"/>
    </row>
    <row r="953" spans="1:37">
      <c r="A953" s="148" t="s">
        <v>5367</v>
      </c>
      <c r="B953" s="93">
        <v>-59</v>
      </c>
      <c r="C953" s="93">
        <v>-232</v>
      </c>
      <c r="D953" s="93">
        <v>-5</v>
      </c>
      <c r="E953" s="93">
        <v>-35</v>
      </c>
      <c r="F953" s="6">
        <v>-1.93</v>
      </c>
      <c r="G953" s="81">
        <v>3306</v>
      </c>
      <c r="H953" s="8" t="s">
        <v>331</v>
      </c>
      <c r="I953" s="16" t="s">
        <v>5605</v>
      </c>
      <c r="J953" s="75">
        <v>58.3</v>
      </c>
      <c r="K953" s="75">
        <v>0.15</v>
      </c>
      <c r="L953" s="75">
        <v>4.16</v>
      </c>
      <c r="N953" s="325">
        <f t="shared" si="203"/>
        <v>62.61</v>
      </c>
      <c r="O953" s="27"/>
      <c r="P953" s="56"/>
      <c r="Q953" s="26"/>
      <c r="S953" s="330">
        <v>37.229999999999997</v>
      </c>
      <c r="T953" s="34">
        <v>0.5</v>
      </c>
      <c r="U953" s="366">
        <f t="shared" si="198"/>
        <v>1.9723865877712032E-2</v>
      </c>
      <c r="V953" s="97">
        <v>0.35</v>
      </c>
      <c r="W953" s="13">
        <f>RTD("money.excel",,"3306","Price")</f>
        <v>25.35</v>
      </c>
      <c r="X953" s="67"/>
      <c r="Y953" s="15">
        <f t="shared" si="204"/>
        <v>25.35</v>
      </c>
      <c r="Z953" s="3" t="e">
        <f t="shared" si="205"/>
        <v>#DIV/0!</v>
      </c>
      <c r="AB953" s="16" t="s">
        <v>5605</v>
      </c>
      <c r="AE953" s="33">
        <f t="shared" si="206"/>
        <v>0</v>
      </c>
      <c r="AF953" s="43" t="s">
        <v>5606</v>
      </c>
      <c r="AG953" s="128"/>
      <c r="AI953" s="64">
        <f t="shared" si="202"/>
        <v>1.640316205533597E-3</v>
      </c>
      <c r="AJ953" s="313">
        <f>RTD("money.excel",,$G953,"PredictVolume")</f>
        <v>83</v>
      </c>
      <c r="AK953" s="348"/>
    </row>
    <row r="954" spans="1:37">
      <c r="A954" s="148" t="s">
        <v>5607</v>
      </c>
      <c r="B954" s="82">
        <v>-877</v>
      </c>
      <c r="C954" s="82">
        <v>-121</v>
      </c>
      <c r="D954" s="82">
        <v>-4</v>
      </c>
      <c r="E954" s="82">
        <v>-26</v>
      </c>
      <c r="F954" s="6">
        <v>-17.37</v>
      </c>
      <c r="G954" s="81">
        <v>3311</v>
      </c>
      <c r="H954" s="8" t="s">
        <v>331</v>
      </c>
      <c r="I954" s="22" t="s">
        <v>5608</v>
      </c>
      <c r="J954" s="75">
        <v>40.24</v>
      </c>
      <c r="K954" s="75">
        <v>2.27</v>
      </c>
      <c r="L954" s="75">
        <v>11.46</v>
      </c>
      <c r="N954" s="325">
        <f t="shared" si="203"/>
        <v>53.970000000000006</v>
      </c>
      <c r="O954" s="27"/>
      <c r="P954" s="56"/>
      <c r="Q954" s="26"/>
      <c r="S954" s="330">
        <v>1.31</v>
      </c>
      <c r="T954" s="34">
        <v>0</v>
      </c>
      <c r="U954" s="366">
        <f t="shared" si="198"/>
        <v>0</v>
      </c>
      <c r="V954" s="97">
        <v>-6.1</v>
      </c>
      <c r="W954" s="36">
        <f>RTD("money.excel",,"3311","Price")</f>
        <v>33.1</v>
      </c>
      <c r="X954" s="67"/>
      <c r="Y954" s="15">
        <f t="shared" si="204"/>
        <v>33.1</v>
      </c>
      <c r="Z954" s="3" t="e">
        <f t="shared" si="205"/>
        <v>#DIV/0!</v>
      </c>
      <c r="AA954" s="174" t="s">
        <v>4710</v>
      </c>
      <c r="AB954" s="22" t="s">
        <v>5608</v>
      </c>
      <c r="AE954" s="33">
        <f t="shared" si="206"/>
        <v>0</v>
      </c>
      <c r="AF954" s="43" t="s">
        <v>5609</v>
      </c>
      <c r="AG954" s="128"/>
      <c r="AI954" s="64">
        <f t="shared" si="202"/>
        <v>6.4999999999999997E-4</v>
      </c>
      <c r="AJ954" s="313">
        <f>RTD("money.excel",,$G954,"PredictVolume")</f>
        <v>39</v>
      </c>
      <c r="AK954" s="348"/>
    </row>
    <row r="955" spans="1:37">
      <c r="A955" s="148" t="s">
        <v>5424</v>
      </c>
      <c r="B955" s="81">
        <v>38</v>
      </c>
      <c r="C955" s="81">
        <v>70</v>
      </c>
      <c r="D955" s="82">
        <v>-4</v>
      </c>
      <c r="E955" s="82">
        <v>-29</v>
      </c>
      <c r="F955" s="6">
        <v>7.83</v>
      </c>
      <c r="G955" s="81">
        <v>3363</v>
      </c>
      <c r="H955" s="8" t="s">
        <v>331</v>
      </c>
      <c r="I955" s="16" t="s">
        <v>5610</v>
      </c>
      <c r="J955" s="75">
        <v>39.21</v>
      </c>
      <c r="K955" s="75">
        <v>3.82</v>
      </c>
      <c r="L955" s="75">
        <v>37.03</v>
      </c>
      <c r="N955" s="325">
        <f t="shared" si="203"/>
        <v>80.06</v>
      </c>
      <c r="O955" s="27"/>
      <c r="P955" s="56"/>
      <c r="Q955" s="26"/>
      <c r="S955" s="330">
        <v>10.18</v>
      </c>
      <c r="T955" s="34">
        <v>1</v>
      </c>
      <c r="U955" s="366">
        <f t="shared" si="198"/>
        <v>3.6231884057971016E-2</v>
      </c>
      <c r="V955" s="97">
        <v>1.1000000000000001</v>
      </c>
      <c r="W955" s="36">
        <f>RTD("money.excel",,"3363","Price")</f>
        <v>27.6</v>
      </c>
      <c r="X955" s="67"/>
      <c r="Y955" s="15">
        <f t="shared" si="204"/>
        <v>27.6</v>
      </c>
      <c r="Z955" s="3" t="e">
        <f t="shared" si="205"/>
        <v>#DIV/0!</v>
      </c>
      <c r="AB955" s="16" t="s">
        <v>5610</v>
      </c>
      <c r="AE955" s="33">
        <f t="shared" si="206"/>
        <v>0</v>
      </c>
      <c r="AF955" s="43" t="s">
        <v>5611</v>
      </c>
      <c r="AG955" s="128"/>
      <c r="AI955" s="64">
        <f t="shared" si="202"/>
        <v>5.7405281285878287E-3</v>
      </c>
      <c r="AJ955" s="313">
        <f>RTD("money.excel",,$G955,"PredictVolume")</f>
        <v>500</v>
      </c>
      <c r="AK955" s="348"/>
    </row>
    <row r="956" spans="1:37">
      <c r="A956" s="148" t="s">
        <v>5612</v>
      </c>
      <c r="B956" s="81">
        <v>82</v>
      </c>
      <c r="C956" s="81">
        <v>99</v>
      </c>
      <c r="D956" s="82">
        <v>-24</v>
      </c>
      <c r="E956" s="82">
        <v>-31</v>
      </c>
      <c r="F956" s="6">
        <v>2.23</v>
      </c>
      <c r="G956" s="81">
        <v>3380</v>
      </c>
      <c r="H956" s="8" t="s">
        <v>331</v>
      </c>
      <c r="I956" s="22" t="s">
        <v>5613</v>
      </c>
      <c r="J956" s="330">
        <v>68.34</v>
      </c>
      <c r="K956" s="330">
        <v>4.0199999999999996</v>
      </c>
      <c r="L956" s="330">
        <v>4.62</v>
      </c>
      <c r="N956" s="325">
        <f t="shared" si="203"/>
        <v>76.98</v>
      </c>
      <c r="O956" s="27"/>
      <c r="P956" s="56"/>
      <c r="Q956" s="26"/>
      <c r="S956" s="330">
        <v>2.37</v>
      </c>
      <c r="T956" s="34">
        <v>1</v>
      </c>
      <c r="U956" s="366">
        <f t="shared" si="198"/>
        <v>3.3057851239669422E-2</v>
      </c>
      <c r="V956" s="58">
        <v>1.3</v>
      </c>
      <c r="W956" s="36">
        <f>RTD("money.excel",,"3380","Price")</f>
        <v>30.25</v>
      </c>
      <c r="X956" s="67"/>
      <c r="Y956" s="15">
        <f t="shared" si="204"/>
        <v>30.25</v>
      </c>
      <c r="Z956" s="3" t="e">
        <f t="shared" si="205"/>
        <v>#DIV/0!</v>
      </c>
      <c r="AA956" s="174" t="s">
        <v>4710</v>
      </c>
      <c r="AB956" s="22" t="s">
        <v>5613</v>
      </c>
      <c r="AE956" s="33">
        <f t="shared" si="206"/>
        <v>0</v>
      </c>
      <c r="AF956" s="122" t="s">
        <v>5552</v>
      </c>
      <c r="AG956" s="128"/>
      <c r="AI956" s="64">
        <f t="shared" si="202"/>
        <v>3.2920517560073937E-3</v>
      </c>
      <c r="AJ956" s="313">
        <f>RTD("money.excel",,$G956,"PredictVolume")</f>
        <v>1781</v>
      </c>
      <c r="AK956" s="348"/>
    </row>
    <row r="957" spans="1:37">
      <c r="A957" s="148" t="s">
        <v>4812</v>
      </c>
      <c r="B957" s="93">
        <v>317</v>
      </c>
      <c r="C957" s="93">
        <v>101</v>
      </c>
      <c r="D957" s="93">
        <v>1</v>
      </c>
      <c r="E957" s="93">
        <v>34</v>
      </c>
      <c r="F957" s="6">
        <v>0.14000000000000001</v>
      </c>
      <c r="G957" s="81">
        <v>3419</v>
      </c>
      <c r="H957" s="8" t="s">
        <v>331</v>
      </c>
      <c r="I957" s="22" t="s">
        <v>5614</v>
      </c>
      <c r="J957" s="75">
        <v>45.81</v>
      </c>
      <c r="K957" s="75">
        <v>7.04</v>
      </c>
      <c r="L957" s="75">
        <v>37.729999999999997</v>
      </c>
      <c r="N957" s="325">
        <f t="shared" si="203"/>
        <v>90.58</v>
      </c>
      <c r="O957" s="27"/>
      <c r="P957" s="56"/>
      <c r="Q957" s="26"/>
      <c r="S957" s="330">
        <v>19.09</v>
      </c>
      <c r="T957" s="34">
        <v>0.5</v>
      </c>
      <c r="U957" s="366">
        <f t="shared" si="198"/>
        <v>2.4271844660194174E-2</v>
      </c>
      <c r="V957" s="97">
        <v>0.61</v>
      </c>
      <c r="W957" s="36">
        <f>RTD("money.excel",,"3419","Price")</f>
        <v>20.6</v>
      </c>
      <c r="X957" s="67"/>
      <c r="Y957" s="15">
        <f t="shared" si="204"/>
        <v>20.6</v>
      </c>
      <c r="Z957" s="3" t="e">
        <f t="shared" si="205"/>
        <v>#DIV/0!</v>
      </c>
      <c r="AA957" s="174" t="s">
        <v>4710</v>
      </c>
      <c r="AB957" s="22" t="s">
        <v>5614</v>
      </c>
      <c r="AE957" s="33">
        <f t="shared" si="206"/>
        <v>0</v>
      </c>
      <c r="AF957" s="124" t="s">
        <v>5593</v>
      </c>
      <c r="AG957" s="128"/>
      <c r="AI957" s="64">
        <f t="shared" si="202"/>
        <v>3.2583333333333331E-3</v>
      </c>
      <c r="AJ957" s="313">
        <f>RTD("money.excel",,$G957,"PredictVolume")</f>
        <v>391</v>
      </c>
      <c r="AK957" s="348"/>
    </row>
    <row r="958" spans="1:37">
      <c r="A958" s="148" t="s">
        <v>4782</v>
      </c>
      <c r="B958" s="81">
        <v>55</v>
      </c>
      <c r="C958" s="81">
        <v>8</v>
      </c>
      <c r="D958" s="81">
        <v>45</v>
      </c>
      <c r="E958" s="81">
        <v>31</v>
      </c>
      <c r="F958" s="6">
        <v>-7.07</v>
      </c>
      <c r="G958" s="81">
        <v>3466</v>
      </c>
      <c r="H958" s="8" t="s">
        <v>331</v>
      </c>
      <c r="I958" s="16" t="s">
        <v>5615</v>
      </c>
      <c r="J958" s="330">
        <v>37.659999999999997</v>
      </c>
      <c r="K958" s="330">
        <v>8.7799999999999994</v>
      </c>
      <c r="L958" s="330">
        <v>12.76</v>
      </c>
      <c r="M958" s="330">
        <v>17.7</v>
      </c>
      <c r="N958" s="325">
        <f t="shared" si="203"/>
        <v>76.899999999999991</v>
      </c>
      <c r="O958" s="27"/>
      <c r="P958" s="56"/>
      <c r="Q958" s="26"/>
      <c r="R958" s="308" t="s">
        <v>4728</v>
      </c>
      <c r="S958" s="330">
        <v>0.49</v>
      </c>
      <c r="T958" s="34">
        <v>0</v>
      </c>
      <c r="U958" s="366">
        <f t="shared" si="198"/>
        <v>0</v>
      </c>
      <c r="V958" s="97">
        <v>-1.37</v>
      </c>
      <c r="W958" s="36">
        <f>RTD("money.excel",,"3466","Price")</f>
        <v>17</v>
      </c>
      <c r="X958" s="67"/>
      <c r="Y958" s="15">
        <f t="shared" si="204"/>
        <v>17</v>
      </c>
      <c r="Z958" s="3" t="e">
        <f t="shared" si="205"/>
        <v>#DIV/0!</v>
      </c>
      <c r="AA958" s="174" t="s">
        <v>4710</v>
      </c>
      <c r="AB958" s="16" t="s">
        <v>5615</v>
      </c>
      <c r="AE958" s="33">
        <f t="shared" si="206"/>
        <v>0</v>
      </c>
      <c r="AF958" s="43" t="s">
        <v>5616</v>
      </c>
      <c r="AG958" s="128"/>
      <c r="AI958" s="64">
        <f t="shared" si="202"/>
        <v>1.80623973727422E-3</v>
      </c>
      <c r="AJ958" s="313">
        <f>RTD("money.excel",,$G958,"PredictVolume")</f>
        <v>110</v>
      </c>
      <c r="AK958" s="348"/>
    </row>
    <row r="959" spans="1:37">
      <c r="A959" s="132" t="s">
        <v>2804</v>
      </c>
      <c r="B959" s="81">
        <v>64</v>
      </c>
      <c r="C959" s="81">
        <v>6</v>
      </c>
      <c r="D959" s="82">
        <v>-13</v>
      </c>
      <c r="E959" s="81">
        <v>7</v>
      </c>
      <c r="F959" s="58">
        <v>11.41</v>
      </c>
      <c r="G959" s="81">
        <v>3491</v>
      </c>
      <c r="H959" s="8" t="s">
        <v>331</v>
      </c>
      <c r="I959" s="16" t="s">
        <v>5617</v>
      </c>
      <c r="J959" s="330">
        <v>19.09</v>
      </c>
      <c r="K959" s="330">
        <v>14.15</v>
      </c>
      <c r="L959" s="75">
        <v>31.08</v>
      </c>
      <c r="M959" s="330">
        <v>10.39</v>
      </c>
      <c r="N959" s="325">
        <f t="shared" si="203"/>
        <v>74.709999999999994</v>
      </c>
      <c r="O959" s="27" t="s">
        <v>1735</v>
      </c>
      <c r="P959" s="56" t="s">
        <v>6259</v>
      </c>
      <c r="Q959" s="26" t="s">
        <v>6259</v>
      </c>
      <c r="R959" s="309" t="s">
        <v>6219</v>
      </c>
      <c r="S959" s="330">
        <v>2.58</v>
      </c>
      <c r="T959" s="34">
        <v>2.5</v>
      </c>
      <c r="U959" s="366">
        <f t="shared" si="198"/>
        <v>1.6611295681063124E-2</v>
      </c>
      <c r="V959" s="97">
        <v>3.19</v>
      </c>
      <c r="W959" s="36">
        <f>RTD("money.excel",,"3491","Price")</f>
        <v>150.5</v>
      </c>
      <c r="X959" s="67"/>
      <c r="Y959" s="15">
        <f t="shared" si="204"/>
        <v>150.5</v>
      </c>
      <c r="Z959" s="3" t="e">
        <f t="shared" si="205"/>
        <v>#DIV/0!</v>
      </c>
      <c r="AA959" s="174" t="s">
        <v>1943</v>
      </c>
      <c r="AB959" s="16" t="s">
        <v>5617</v>
      </c>
      <c r="AE959" s="33">
        <f t="shared" si="206"/>
        <v>0</v>
      </c>
      <c r="AF959" s="122" t="s">
        <v>5618</v>
      </c>
      <c r="AG959" s="128"/>
      <c r="AI959" s="64">
        <f t="shared" si="202"/>
        <v>0.03</v>
      </c>
      <c r="AJ959" s="313">
        <f>RTD("money.excel",,$G959,"PredictVolume")</f>
        <v>1866</v>
      </c>
      <c r="AK959" s="348">
        <v>37.9</v>
      </c>
    </row>
    <row r="960" spans="1:37">
      <c r="A960" s="148" t="s">
        <v>3567</v>
      </c>
      <c r="B960" s="81">
        <v>63</v>
      </c>
      <c r="C960" s="82">
        <v>-8</v>
      </c>
      <c r="D960" s="81">
        <v>20</v>
      </c>
      <c r="E960" s="81">
        <v>5</v>
      </c>
      <c r="F960" s="6">
        <v>-13.68</v>
      </c>
      <c r="G960" s="81">
        <v>3499</v>
      </c>
      <c r="H960" s="8" t="s">
        <v>331</v>
      </c>
      <c r="I960" s="16" t="s">
        <v>5619</v>
      </c>
      <c r="J960" s="330">
        <v>41.45</v>
      </c>
      <c r="K960" s="75">
        <v>1.72</v>
      </c>
      <c r="L960" s="75">
        <v>23.37</v>
      </c>
      <c r="M960" s="330">
        <v>27.63</v>
      </c>
      <c r="N960" s="325">
        <f t="shared" si="203"/>
        <v>94.17</v>
      </c>
      <c r="O960" s="27" t="s">
        <v>6222</v>
      </c>
      <c r="P960" s="56"/>
      <c r="Q960" s="26"/>
      <c r="R960" s="309" t="s">
        <v>6219</v>
      </c>
      <c r="S960" s="330">
        <v>2.21</v>
      </c>
      <c r="T960" s="34">
        <v>0</v>
      </c>
      <c r="U960" s="366">
        <f t="shared" si="198"/>
        <v>0</v>
      </c>
      <c r="V960" s="97">
        <v>-0.06</v>
      </c>
      <c r="W960" s="36">
        <f>RTD("money.excel",,"3499","Price")</f>
        <v>18.95</v>
      </c>
      <c r="X960" s="67"/>
      <c r="Y960" s="15">
        <f t="shared" si="204"/>
        <v>18.95</v>
      </c>
      <c r="Z960" s="3" t="e">
        <f t="shared" si="205"/>
        <v>#DIV/0!</v>
      </c>
      <c r="AB960" s="16" t="s">
        <v>5619</v>
      </c>
      <c r="AE960" s="33">
        <f t="shared" si="206"/>
        <v>0</v>
      </c>
      <c r="AF960" s="43" t="s">
        <v>5620</v>
      </c>
      <c r="AG960" s="128"/>
      <c r="AI960" s="64">
        <f t="shared" si="202"/>
        <v>6.8181818181818179E-3</v>
      </c>
      <c r="AJ960" s="313">
        <f>RTD("money.excel",,$G960,"PredictVolume")</f>
        <v>375</v>
      </c>
      <c r="AK960" s="348">
        <v>69.86</v>
      </c>
    </row>
    <row r="961" spans="1:37">
      <c r="A961" s="148" t="s">
        <v>5621</v>
      </c>
      <c r="B961" s="81">
        <v>16</v>
      </c>
      <c r="C961" s="81">
        <v>0</v>
      </c>
      <c r="D961" s="81">
        <v>25</v>
      </c>
      <c r="E961" s="81">
        <v>10</v>
      </c>
      <c r="F961" s="6">
        <v>5.41</v>
      </c>
      <c r="G961" s="81">
        <v>3558</v>
      </c>
      <c r="H961" s="8" t="s">
        <v>331</v>
      </c>
      <c r="I961" s="16" t="s">
        <v>5622</v>
      </c>
      <c r="J961" s="75">
        <v>45.85</v>
      </c>
      <c r="K961" s="75">
        <v>6.87</v>
      </c>
      <c r="L961" s="75">
        <v>10.85</v>
      </c>
      <c r="M961" s="330">
        <v>40.380000000000003</v>
      </c>
      <c r="N961" s="325">
        <f t="shared" si="203"/>
        <v>103.95</v>
      </c>
      <c r="O961" s="27" t="s">
        <v>1581</v>
      </c>
      <c r="P961" s="56"/>
      <c r="Q961" s="26"/>
      <c r="R961" s="309" t="s">
        <v>6219</v>
      </c>
      <c r="T961" s="67">
        <v>4</v>
      </c>
      <c r="U961" s="366">
        <f t="shared" ref="U961:U992" si="207">T961/W961</f>
        <v>3.3333333333333333E-2</v>
      </c>
      <c r="V961" s="97">
        <v>8.49</v>
      </c>
      <c r="W961" s="36">
        <f>RTD("money.excel",,"3558","Price")</f>
        <v>120</v>
      </c>
      <c r="X961" s="67"/>
      <c r="Y961" s="15">
        <f t="shared" si="204"/>
        <v>120</v>
      </c>
      <c r="Z961" s="3" t="e">
        <f t="shared" si="205"/>
        <v>#DIV/0!</v>
      </c>
      <c r="AA961" s="174" t="s">
        <v>2185</v>
      </c>
      <c r="AB961" s="16" t="s">
        <v>5622</v>
      </c>
      <c r="AE961" s="33">
        <f t="shared" si="206"/>
        <v>0</v>
      </c>
      <c r="AF961" s="122" t="s">
        <v>5623</v>
      </c>
      <c r="AG961" s="128"/>
      <c r="AI961" s="64">
        <f t="shared" ref="AI961:AI992" si="208">AJ961/(A961*10000)</f>
        <v>8.3095723014256617E-3</v>
      </c>
      <c r="AJ961" s="313">
        <f>RTD("money.excel",,$G961,"PredictVolume")</f>
        <v>408</v>
      </c>
      <c r="AK961" s="348"/>
    </row>
    <row r="962" spans="1:37">
      <c r="A962" s="148" t="s">
        <v>5624</v>
      </c>
      <c r="B962" s="93">
        <v>41</v>
      </c>
      <c r="C962" s="93">
        <v>27</v>
      </c>
      <c r="D962" s="93">
        <v>-46</v>
      </c>
      <c r="E962" s="93">
        <v>-30</v>
      </c>
      <c r="F962" s="6">
        <v>2.84</v>
      </c>
      <c r="G962" s="81">
        <v>3564</v>
      </c>
      <c r="H962" s="8" t="s">
        <v>331</v>
      </c>
      <c r="I962" s="16" t="s">
        <v>5625</v>
      </c>
      <c r="J962" s="75">
        <v>51.72</v>
      </c>
      <c r="K962" s="75">
        <v>4.84</v>
      </c>
      <c r="N962" s="325">
        <f t="shared" si="203"/>
        <v>56.56</v>
      </c>
      <c r="O962" s="27"/>
      <c r="P962" s="56"/>
      <c r="Q962" s="26"/>
      <c r="S962" s="330">
        <v>30.44</v>
      </c>
      <c r="T962" s="34">
        <v>0.6</v>
      </c>
      <c r="U962" s="366">
        <f t="shared" si="207"/>
        <v>2.3904382470119518E-2</v>
      </c>
      <c r="V962" s="97">
        <v>0.9</v>
      </c>
      <c r="W962" s="13">
        <f>RTD("money.excel",,"3564","Price")</f>
        <v>25.1</v>
      </c>
      <c r="X962" s="67"/>
      <c r="Y962" s="15">
        <f t="shared" si="204"/>
        <v>25.1</v>
      </c>
      <c r="Z962" s="3" t="e">
        <f t="shared" si="205"/>
        <v>#DIV/0!</v>
      </c>
      <c r="AB962" s="16" t="s">
        <v>5625</v>
      </c>
      <c r="AE962" s="33">
        <f t="shared" si="206"/>
        <v>0</v>
      </c>
      <c r="AF962" s="43" t="s">
        <v>2726</v>
      </c>
      <c r="AG962" s="128"/>
      <c r="AI962" s="64">
        <f t="shared" si="208"/>
        <v>3.0456852791878173E-4</v>
      </c>
      <c r="AJ962" s="313">
        <f>RTD("money.excel",,$G962,"PredictVolume")</f>
        <v>18</v>
      </c>
      <c r="AK962" s="348"/>
    </row>
    <row r="963" spans="1:37">
      <c r="A963" s="148" t="s">
        <v>3666</v>
      </c>
      <c r="B963" s="81">
        <v>10</v>
      </c>
      <c r="C963" s="82">
        <v>-1</v>
      </c>
      <c r="D963" s="82">
        <v>-2</v>
      </c>
      <c r="E963" s="81">
        <v>13</v>
      </c>
      <c r="F963" s="6">
        <v>5.69</v>
      </c>
      <c r="G963" s="81">
        <v>3596</v>
      </c>
      <c r="H963" s="210" t="s">
        <v>331</v>
      </c>
      <c r="I963" s="22" t="s">
        <v>5626</v>
      </c>
      <c r="J963" s="75">
        <v>55.04</v>
      </c>
      <c r="K963" s="75">
        <v>18.100000000000001</v>
      </c>
      <c r="L963" s="75">
        <v>15.6</v>
      </c>
      <c r="M963" s="325">
        <v>21.04</v>
      </c>
      <c r="N963" s="325">
        <f t="shared" si="203"/>
        <v>109.78</v>
      </c>
      <c r="O963" s="27"/>
      <c r="P963" s="56"/>
      <c r="Q963" s="26"/>
      <c r="R963" s="308" t="s">
        <v>6095</v>
      </c>
      <c r="S963" s="330">
        <v>3.77</v>
      </c>
      <c r="T963" s="67">
        <v>6.5</v>
      </c>
      <c r="U963" s="366">
        <f t="shared" si="207"/>
        <v>5.8558558558558557E-2</v>
      </c>
      <c r="V963" s="58">
        <v>8.98</v>
      </c>
      <c r="W963" s="36">
        <f>RTD("money.excel",,"3596","Price")</f>
        <v>111</v>
      </c>
      <c r="X963" s="67"/>
      <c r="Y963" s="15">
        <f t="shared" si="204"/>
        <v>111</v>
      </c>
      <c r="Z963" s="3" t="e">
        <f t="shared" si="205"/>
        <v>#DIV/0!</v>
      </c>
      <c r="AA963" s="174" t="s">
        <v>2185</v>
      </c>
      <c r="AB963" s="22" t="s">
        <v>5626</v>
      </c>
      <c r="AE963" s="33">
        <f t="shared" si="206"/>
        <v>0</v>
      </c>
      <c r="AF963" s="123" t="s">
        <v>5627</v>
      </c>
      <c r="AG963" s="128"/>
      <c r="AI963" s="64">
        <f t="shared" si="208"/>
        <v>6.5420560747663555E-3</v>
      </c>
      <c r="AJ963" s="313">
        <f>RTD("money.excel",,$G963,"PredictVolume")</f>
        <v>1400</v>
      </c>
      <c r="AK963" s="348">
        <v>19.68</v>
      </c>
    </row>
    <row r="964" spans="1:37">
      <c r="A964" s="148" t="s">
        <v>5628</v>
      </c>
      <c r="B964" s="93">
        <v>-30</v>
      </c>
      <c r="C964" s="93">
        <v>2</v>
      </c>
      <c r="D964" s="93">
        <v>6</v>
      </c>
      <c r="E964" s="93">
        <v>110</v>
      </c>
      <c r="F964" s="6">
        <v>-46.81</v>
      </c>
      <c r="G964" s="81">
        <v>3632</v>
      </c>
      <c r="H964" s="8" t="s">
        <v>331</v>
      </c>
      <c r="I964" s="16" t="s">
        <v>5629</v>
      </c>
      <c r="J964" s="75">
        <v>22.95</v>
      </c>
      <c r="K964" s="75">
        <v>0.27</v>
      </c>
      <c r="L964" s="75">
        <v>8.48</v>
      </c>
      <c r="N964" s="325">
        <f t="shared" si="203"/>
        <v>31.7</v>
      </c>
      <c r="O964" s="27"/>
      <c r="P964" s="56"/>
      <c r="Q964" s="26"/>
      <c r="S964" s="330">
        <v>14.07</v>
      </c>
      <c r="T964" s="34">
        <v>0</v>
      </c>
      <c r="U964" s="366">
        <f t="shared" si="207"/>
        <v>0</v>
      </c>
      <c r="V964" s="97">
        <v>-4.13</v>
      </c>
      <c r="W964" s="36">
        <f>RTD("money.excel",,"3632","Price")</f>
        <v>9.36</v>
      </c>
      <c r="X964" s="67"/>
      <c r="Y964" s="15">
        <f t="shared" si="204"/>
        <v>9.36</v>
      </c>
      <c r="Z964" s="3" t="e">
        <f t="shared" si="205"/>
        <v>#DIV/0!</v>
      </c>
      <c r="AB964" s="16" t="s">
        <v>5629</v>
      </c>
      <c r="AE964" s="33">
        <f t="shared" si="206"/>
        <v>0</v>
      </c>
      <c r="AF964" s="43" t="s">
        <v>5630</v>
      </c>
      <c r="AG964" s="128"/>
      <c r="AI964" s="64">
        <f t="shared" si="208"/>
        <v>2.4449877750611245E-4</v>
      </c>
      <c r="AJ964" s="313">
        <f>RTD("money.excel",,$G964,"PredictVolume")</f>
        <v>10</v>
      </c>
      <c r="AK964" s="348"/>
    </row>
    <row r="965" spans="1:37">
      <c r="A965" s="148" t="s">
        <v>5631</v>
      </c>
      <c r="B965" s="93">
        <v>20</v>
      </c>
      <c r="C965" s="93">
        <v>28</v>
      </c>
      <c r="D965" s="93">
        <v>63</v>
      </c>
      <c r="E965" s="93">
        <v>-27</v>
      </c>
      <c r="F965" s="6">
        <v>-25.95</v>
      </c>
      <c r="G965" s="81">
        <v>3664</v>
      </c>
      <c r="H965" s="8" t="s">
        <v>331</v>
      </c>
      <c r="I965" s="16" t="s">
        <v>5632</v>
      </c>
      <c r="J965" s="75">
        <v>66.489999999999995</v>
      </c>
      <c r="K965" s="75">
        <v>50.84</v>
      </c>
      <c r="L965" s="75">
        <v>10.97</v>
      </c>
      <c r="N965" s="325">
        <f t="shared" si="203"/>
        <v>128.30000000000001</v>
      </c>
      <c r="O965" s="27"/>
      <c r="P965" s="56"/>
      <c r="Q965" s="26"/>
      <c r="S965" s="330">
        <v>7.16</v>
      </c>
      <c r="T965" s="34">
        <v>0</v>
      </c>
      <c r="U965" s="366">
        <f t="shared" si="207"/>
        <v>0</v>
      </c>
      <c r="V965" s="58">
        <v>-2.1</v>
      </c>
      <c r="W965" s="13">
        <f>RTD("money.excel",,"3664","Price")</f>
        <v>8.06</v>
      </c>
      <c r="X965" s="67"/>
      <c r="Y965" s="15">
        <f t="shared" si="204"/>
        <v>8.06</v>
      </c>
      <c r="Z965" s="3" t="e">
        <f t="shared" si="205"/>
        <v>#DIV/0!</v>
      </c>
      <c r="AB965" s="16" t="s">
        <v>5632</v>
      </c>
      <c r="AE965" s="33">
        <f t="shared" si="206"/>
        <v>0</v>
      </c>
      <c r="AF965" s="43" t="s">
        <v>5633</v>
      </c>
      <c r="AG965" s="128"/>
      <c r="AI965" s="64">
        <f t="shared" si="208"/>
        <v>2.0352250489236792E-3</v>
      </c>
      <c r="AJ965" s="313">
        <f>RTD("money.excel",,$G965,"PredictVolume")</f>
        <v>104</v>
      </c>
      <c r="AK965" s="348"/>
    </row>
    <row r="966" spans="1:37">
      <c r="A966" s="148" t="s">
        <v>5634</v>
      </c>
      <c r="B966" s="81">
        <v>24</v>
      </c>
      <c r="C966" s="81">
        <v>168</v>
      </c>
      <c r="D966" s="81">
        <v>21</v>
      </c>
      <c r="E966" s="82">
        <v>-10</v>
      </c>
      <c r="F966" s="6">
        <v>4.88</v>
      </c>
      <c r="G966" s="81">
        <v>3672</v>
      </c>
      <c r="H966" s="8" t="s">
        <v>331</v>
      </c>
      <c r="I966" s="16" t="s">
        <v>5635</v>
      </c>
      <c r="J966" s="75">
        <v>39.86</v>
      </c>
      <c r="K966" s="75">
        <v>1.61</v>
      </c>
      <c r="L966" s="75">
        <v>73.37</v>
      </c>
      <c r="M966" s="330">
        <v>34.75</v>
      </c>
      <c r="N966" s="75">
        <f t="shared" si="203"/>
        <v>149.59</v>
      </c>
      <c r="O966" s="27"/>
      <c r="P966" s="56"/>
      <c r="Q966" s="26"/>
      <c r="R966" s="308" t="s">
        <v>4728</v>
      </c>
      <c r="S966" s="330">
        <v>0.84</v>
      </c>
      <c r="T966" s="34">
        <v>0.25</v>
      </c>
      <c r="U966" s="366">
        <f t="shared" si="207"/>
        <v>6.3451776649746192E-3</v>
      </c>
      <c r="V966" s="97">
        <v>0.64</v>
      </c>
      <c r="W966" s="36">
        <f>RTD("money.excel",,"3672","Price")</f>
        <v>39.4</v>
      </c>
      <c r="X966" s="67"/>
      <c r="Y966" s="15">
        <f t="shared" si="204"/>
        <v>39.4</v>
      </c>
      <c r="Z966" s="3" t="e">
        <f t="shared" si="205"/>
        <v>#DIV/0!</v>
      </c>
      <c r="AB966" s="16" t="s">
        <v>5635</v>
      </c>
      <c r="AE966" s="33">
        <f t="shared" si="206"/>
        <v>0</v>
      </c>
      <c r="AF966" s="43" t="s">
        <v>5636</v>
      </c>
      <c r="AG966" s="128"/>
      <c r="AI966" s="64">
        <f t="shared" si="208"/>
        <v>6.160990712074303E-3</v>
      </c>
      <c r="AJ966" s="313">
        <f>RTD("money.excel",,$G966,"PredictVolume")</f>
        <v>199</v>
      </c>
      <c r="AK966" s="348"/>
    </row>
    <row r="967" spans="1:37">
      <c r="A967" s="148" t="s">
        <v>5637</v>
      </c>
      <c r="B967" s="82">
        <v>-77</v>
      </c>
      <c r="C967" s="82">
        <v>-9</v>
      </c>
      <c r="D967" s="81">
        <v>1</v>
      </c>
      <c r="E967" s="82">
        <v>-5</v>
      </c>
      <c r="F967" s="6">
        <v>-37.35</v>
      </c>
      <c r="G967" s="81">
        <v>3682</v>
      </c>
      <c r="H967" s="8" t="s">
        <v>331</v>
      </c>
      <c r="I967" s="22" t="s">
        <v>5638</v>
      </c>
      <c r="J967" s="330">
        <v>71</v>
      </c>
      <c r="K967" s="75">
        <v>4</v>
      </c>
      <c r="N967" s="325">
        <f t="shared" si="203"/>
        <v>75</v>
      </c>
      <c r="O967" s="27"/>
      <c r="P967" s="56"/>
      <c r="Q967" s="26"/>
      <c r="S967" s="330">
        <v>10.38</v>
      </c>
      <c r="T967" s="34">
        <v>0</v>
      </c>
      <c r="U967" s="366">
        <f t="shared" si="207"/>
        <v>0</v>
      </c>
      <c r="V967" s="97">
        <v>-1.53</v>
      </c>
      <c r="W967" s="36">
        <f>RTD("money.excel",,"3682","Price")</f>
        <v>6.5</v>
      </c>
      <c r="X967" s="67"/>
      <c r="Y967" s="15">
        <f t="shared" si="204"/>
        <v>6.5</v>
      </c>
      <c r="Z967" s="3" t="e">
        <f t="shared" si="205"/>
        <v>#DIV/0!</v>
      </c>
      <c r="AA967" s="174" t="s">
        <v>4710</v>
      </c>
      <c r="AB967" s="22" t="s">
        <v>5638</v>
      </c>
      <c r="AE967" s="33">
        <f t="shared" si="206"/>
        <v>0</v>
      </c>
      <c r="AF967" s="122" t="s">
        <v>5639</v>
      </c>
      <c r="AG967" s="128"/>
      <c r="AI967" s="64">
        <f t="shared" si="208"/>
        <v>6.8215223097112861E-4</v>
      </c>
      <c r="AJ967" s="313">
        <f>RTD("money.excel",,$G967,"PredictVolume")</f>
        <v>2599</v>
      </c>
      <c r="AK967" s="348"/>
    </row>
    <row r="968" spans="1:37">
      <c r="A968" s="132" t="s">
        <v>5640</v>
      </c>
      <c r="B968" s="93">
        <v>-62</v>
      </c>
      <c r="C968" s="93">
        <v>-3</v>
      </c>
      <c r="D968" s="93">
        <v>12</v>
      </c>
      <c r="E968" s="93">
        <v>32</v>
      </c>
      <c r="F968" s="58">
        <v>14.67</v>
      </c>
      <c r="G968" s="81">
        <v>3684</v>
      </c>
      <c r="H968" s="8" t="s">
        <v>331</v>
      </c>
      <c r="I968" s="16" t="s">
        <v>5641</v>
      </c>
      <c r="J968" s="75">
        <v>59.32</v>
      </c>
      <c r="K968" s="75">
        <v>0.01</v>
      </c>
      <c r="N968" s="325">
        <f t="shared" si="203"/>
        <v>59.33</v>
      </c>
      <c r="O968" s="27"/>
      <c r="P968" s="56"/>
      <c r="Q968" s="26"/>
      <c r="S968" s="330">
        <v>37.82</v>
      </c>
      <c r="T968" s="34">
        <v>1.5</v>
      </c>
      <c r="U968" s="366">
        <f t="shared" si="207"/>
        <v>2.4390243902439025E-2</v>
      </c>
      <c r="V968" s="97">
        <v>2.0299999999999998</v>
      </c>
      <c r="W968" s="13">
        <f>RTD("money.excel",,"3684","Price")</f>
        <v>61.5</v>
      </c>
      <c r="X968" s="67"/>
      <c r="Y968" s="15">
        <f t="shared" si="204"/>
        <v>61.5</v>
      </c>
      <c r="Z968" s="3" t="e">
        <f t="shared" si="205"/>
        <v>#DIV/0!</v>
      </c>
      <c r="AB968" s="16" t="s">
        <v>5641</v>
      </c>
      <c r="AE968" s="33">
        <f t="shared" si="206"/>
        <v>0</v>
      </c>
      <c r="AF968" s="43" t="s">
        <v>5636</v>
      </c>
      <c r="AG968" s="269"/>
      <c r="AI968" s="64">
        <f t="shared" si="208"/>
        <v>1.0975609756097562E-3</v>
      </c>
      <c r="AJ968" s="313">
        <f>RTD("money.excel",,$G968,"PredictVolume")</f>
        <v>27</v>
      </c>
      <c r="AK968" s="348"/>
    </row>
    <row r="969" spans="1:37">
      <c r="A969" s="148" t="s">
        <v>5642</v>
      </c>
      <c r="B969" s="82">
        <v>-40</v>
      </c>
      <c r="C969" s="82">
        <v>-33</v>
      </c>
      <c r="D969" s="82">
        <v>-3</v>
      </c>
      <c r="E969" s="81">
        <v>3</v>
      </c>
      <c r="F969" s="6">
        <v>1.38</v>
      </c>
      <c r="G969" s="81">
        <v>3694</v>
      </c>
      <c r="H969" s="8" t="s">
        <v>331</v>
      </c>
      <c r="I969" s="22" t="s">
        <v>5643</v>
      </c>
      <c r="J969" s="330">
        <v>61.43</v>
      </c>
      <c r="K969" s="75">
        <v>0.68</v>
      </c>
      <c r="L969" s="75">
        <v>12.63</v>
      </c>
      <c r="N969" s="325">
        <f t="shared" si="203"/>
        <v>74.739999999999995</v>
      </c>
      <c r="O969" s="27"/>
      <c r="P969" s="56"/>
      <c r="Q969" s="26"/>
      <c r="S969" s="330">
        <v>0.52</v>
      </c>
      <c r="T969" s="34">
        <v>0</v>
      </c>
      <c r="U969" s="366">
        <f t="shared" si="207"/>
        <v>0</v>
      </c>
      <c r="V969" s="58">
        <v>1.74</v>
      </c>
      <c r="W969" s="36">
        <f>RTD("money.excel",,"3694","Price")</f>
        <v>21.2</v>
      </c>
      <c r="X969" s="67"/>
      <c r="Y969" s="15">
        <f t="shared" si="204"/>
        <v>21.2</v>
      </c>
      <c r="Z969" s="3" t="e">
        <f t="shared" si="205"/>
        <v>#DIV/0!</v>
      </c>
      <c r="AA969" s="174" t="s">
        <v>4710</v>
      </c>
      <c r="AB969" s="22" t="s">
        <v>5643</v>
      </c>
      <c r="AE969" s="33">
        <f t="shared" si="206"/>
        <v>0</v>
      </c>
      <c r="AF969" s="43" t="s">
        <v>5644</v>
      </c>
      <c r="AG969" s="128"/>
      <c r="AI969" s="64">
        <f t="shared" si="208"/>
        <v>6.7333333333333329E-4</v>
      </c>
      <c r="AJ969" s="313">
        <f>RTD("money.excel",,$G969,"PredictVolume")</f>
        <v>101</v>
      </c>
      <c r="AK969" s="348"/>
    </row>
    <row r="970" spans="1:37">
      <c r="A970" s="148" t="s">
        <v>5645</v>
      </c>
      <c r="B970" s="95">
        <v>1966</v>
      </c>
      <c r="C970" s="81">
        <v>161</v>
      </c>
      <c r="D970" s="82">
        <v>-17</v>
      </c>
      <c r="E970" s="81">
        <v>8</v>
      </c>
      <c r="F970" s="6">
        <v>4.3499999999999996</v>
      </c>
      <c r="G970" s="81">
        <v>3704</v>
      </c>
      <c r="H970" s="8" t="s">
        <v>331</v>
      </c>
      <c r="I970" s="22" t="s">
        <v>5646</v>
      </c>
      <c r="J970" s="75">
        <v>51.17</v>
      </c>
      <c r="K970" s="75">
        <v>8.6300000000000008</v>
      </c>
      <c r="L970" s="330">
        <v>15.27</v>
      </c>
      <c r="N970" s="325">
        <f t="shared" si="203"/>
        <v>75.070000000000007</v>
      </c>
      <c r="O970" s="27"/>
      <c r="P970" s="56"/>
      <c r="Q970" s="26"/>
      <c r="S970" s="330">
        <v>0</v>
      </c>
      <c r="T970" s="34">
        <v>0.5</v>
      </c>
      <c r="U970" s="366">
        <f t="shared" si="207"/>
        <v>1.6638935108153077E-2</v>
      </c>
      <c r="V970" s="58">
        <v>2.98</v>
      </c>
      <c r="W970" s="36">
        <f>RTD("money.excel",,"3704","Price")</f>
        <v>30.05</v>
      </c>
      <c r="X970" s="67"/>
      <c r="Y970" s="15">
        <f t="shared" si="204"/>
        <v>30.05</v>
      </c>
      <c r="Z970" s="3" t="e">
        <f t="shared" si="205"/>
        <v>#DIV/0!</v>
      </c>
      <c r="AA970" s="174" t="s">
        <v>4710</v>
      </c>
      <c r="AB970" s="22" t="s">
        <v>5646</v>
      </c>
      <c r="AE970" s="33">
        <f t="shared" si="206"/>
        <v>0</v>
      </c>
      <c r="AF970" s="122" t="s">
        <v>5552</v>
      </c>
      <c r="AG970" s="128"/>
      <c r="AI970" s="64">
        <f t="shared" si="208"/>
        <v>1.7656250000000001E-3</v>
      </c>
      <c r="AJ970" s="313">
        <f>RTD("money.excel",,$G970,"PredictVolume")</f>
        <v>791</v>
      </c>
      <c r="AK970" s="348"/>
    </row>
    <row r="971" spans="1:37">
      <c r="A971" s="148" t="s">
        <v>5647</v>
      </c>
      <c r="B971" s="208">
        <v>-1809</v>
      </c>
      <c r="C971" s="208">
        <v>-3494</v>
      </c>
      <c r="D971" s="93">
        <v>39</v>
      </c>
      <c r="E971" s="93">
        <v>-1</v>
      </c>
      <c r="F971" s="6">
        <v>-22.61</v>
      </c>
      <c r="G971" s="81">
        <v>4903</v>
      </c>
      <c r="H971" s="8" t="s">
        <v>331</v>
      </c>
      <c r="I971" s="16" t="s">
        <v>5648</v>
      </c>
      <c r="J971" s="75">
        <v>27.69</v>
      </c>
      <c r="K971" s="75">
        <v>1.1599999999999999</v>
      </c>
      <c r="L971" s="75">
        <v>0</v>
      </c>
      <c r="N971" s="325">
        <f t="shared" si="203"/>
        <v>28.85</v>
      </c>
      <c r="O971" s="27"/>
      <c r="P971" s="56"/>
      <c r="Q971" s="26"/>
      <c r="S971" s="330">
        <v>2.82</v>
      </c>
      <c r="T971" s="34">
        <v>0</v>
      </c>
      <c r="U971" s="366">
        <f t="shared" si="207"/>
        <v>0</v>
      </c>
      <c r="V971" s="97">
        <v>-1.82</v>
      </c>
      <c r="W971" s="36">
        <f>RTD("money.excel",,"4903","Price")</f>
        <v>10.85</v>
      </c>
      <c r="X971" s="67"/>
      <c r="Y971" s="15">
        <f t="shared" si="204"/>
        <v>10.85</v>
      </c>
      <c r="Z971" s="3" t="e">
        <f t="shared" si="205"/>
        <v>#DIV/0!</v>
      </c>
      <c r="AB971" s="16" t="s">
        <v>5648</v>
      </c>
      <c r="AE971" s="33">
        <f t="shared" si="206"/>
        <v>0</v>
      </c>
      <c r="AF971" s="43" t="s">
        <v>5649</v>
      </c>
      <c r="AG971" s="128"/>
      <c r="AI971" s="64">
        <f t="shared" si="208"/>
        <v>1.2513842746400886E-3</v>
      </c>
      <c r="AJ971" s="313">
        <f>RTD("money.excel",,$G971,"PredictVolume")</f>
        <v>113</v>
      </c>
      <c r="AK971" s="348"/>
    </row>
    <row r="972" spans="1:37">
      <c r="A972" s="132" t="s">
        <v>5650</v>
      </c>
      <c r="B972" s="82">
        <v>-2</v>
      </c>
      <c r="C972" s="82">
        <v>-5</v>
      </c>
      <c r="D972" s="81">
        <v>1</v>
      </c>
      <c r="E972" s="81">
        <v>14</v>
      </c>
      <c r="F972" s="58">
        <v>15.07</v>
      </c>
      <c r="G972" s="81">
        <v>4904</v>
      </c>
      <c r="H972" s="8" t="s">
        <v>331</v>
      </c>
      <c r="I972" s="22" t="s">
        <v>5651</v>
      </c>
      <c r="J972" s="330">
        <v>88.31</v>
      </c>
      <c r="K972" s="75">
        <v>20.399999999999999</v>
      </c>
      <c r="L972" s="75">
        <v>0.1</v>
      </c>
      <c r="N972" s="325">
        <f t="shared" si="203"/>
        <v>108.81</v>
      </c>
      <c r="O972" s="27"/>
      <c r="P972" s="56"/>
      <c r="Q972" s="26"/>
      <c r="S972" s="330">
        <v>0</v>
      </c>
      <c r="T972" s="67">
        <v>3.25</v>
      </c>
      <c r="U972" s="366">
        <f t="shared" si="207"/>
        <v>4.4398907103825137E-2</v>
      </c>
      <c r="V972" s="58">
        <v>2.56</v>
      </c>
      <c r="W972" s="36">
        <f>RTD("money.excel",,"4904","Price")</f>
        <v>73.2</v>
      </c>
      <c r="X972" s="67"/>
      <c r="Y972" s="15">
        <f t="shared" si="204"/>
        <v>73.2</v>
      </c>
      <c r="Z972" s="3" t="e">
        <f t="shared" si="205"/>
        <v>#DIV/0!</v>
      </c>
      <c r="AA972" s="174" t="s">
        <v>4714</v>
      </c>
      <c r="AB972" s="22" t="s">
        <v>5651</v>
      </c>
      <c r="AE972" s="33">
        <f t="shared" si="206"/>
        <v>0</v>
      </c>
      <c r="AF972" s="122" t="s">
        <v>5652</v>
      </c>
      <c r="AG972" s="128"/>
      <c r="AI972" s="64">
        <f t="shared" si="208"/>
        <v>1.1273846153846154E-3</v>
      </c>
      <c r="AJ972" s="313">
        <f>RTD("money.excel",,$G972,"PredictVolume")</f>
        <v>3664</v>
      </c>
      <c r="AK972" s="348"/>
    </row>
    <row r="973" spans="1:37">
      <c r="A973" s="148" t="s">
        <v>5653</v>
      </c>
      <c r="B973" s="82">
        <v>-68</v>
      </c>
      <c r="C973" s="82">
        <v>-4</v>
      </c>
      <c r="D973" s="81">
        <v>5</v>
      </c>
      <c r="E973" s="81">
        <v>12</v>
      </c>
      <c r="F973" s="6">
        <v>2.09</v>
      </c>
      <c r="G973" s="81">
        <v>4906</v>
      </c>
      <c r="H973" s="8" t="s">
        <v>331</v>
      </c>
      <c r="I973" s="22" t="s">
        <v>5654</v>
      </c>
      <c r="J973" s="330">
        <v>15.62</v>
      </c>
      <c r="K973" s="75">
        <v>6.13</v>
      </c>
      <c r="L973" s="75">
        <v>17.45</v>
      </c>
      <c r="N973" s="325">
        <f t="shared" si="203"/>
        <v>39.200000000000003</v>
      </c>
      <c r="O973" s="27"/>
      <c r="P973" s="56"/>
      <c r="Q973" s="26"/>
      <c r="R973" s="308" t="s">
        <v>4754</v>
      </c>
      <c r="S973" s="330">
        <v>10.66</v>
      </c>
      <c r="T973" s="34">
        <v>1.96</v>
      </c>
      <c r="U973" s="366">
        <f t="shared" si="207"/>
        <v>6.655348047538201E-2</v>
      </c>
      <c r="V973" s="97">
        <v>1.45</v>
      </c>
      <c r="W973" s="36">
        <f>RTD("money.excel",,"4906","Price")</f>
        <v>29.45</v>
      </c>
      <c r="X973" s="67"/>
      <c r="Y973" s="15">
        <f t="shared" si="204"/>
        <v>29.45</v>
      </c>
      <c r="Z973" s="3" t="e">
        <f t="shared" si="205"/>
        <v>#DIV/0!</v>
      </c>
      <c r="AA973" s="174" t="s">
        <v>4710</v>
      </c>
      <c r="AB973" s="22" t="s">
        <v>5654</v>
      </c>
      <c r="AE973" s="33">
        <f t="shared" si="206"/>
        <v>0</v>
      </c>
      <c r="AF973" s="124" t="s">
        <v>5655</v>
      </c>
      <c r="AG973" s="128"/>
      <c r="AI973" s="64">
        <f t="shared" si="208"/>
        <v>5.849726775956284E-3</v>
      </c>
      <c r="AJ973" s="313">
        <f>RTD("money.excel",,$G973,"PredictVolume")</f>
        <v>2141</v>
      </c>
      <c r="AK973" s="348"/>
    </row>
    <row r="974" spans="1:37">
      <c r="A974" s="148" t="s">
        <v>5656</v>
      </c>
      <c r="B974" s="82">
        <v>-80</v>
      </c>
      <c r="C974" s="82">
        <v>-79</v>
      </c>
      <c r="D974" s="81">
        <v>1</v>
      </c>
      <c r="E974" s="82">
        <v>-16</v>
      </c>
      <c r="F974" s="6">
        <v>5.86</v>
      </c>
      <c r="G974" s="81">
        <v>4908</v>
      </c>
      <c r="H974" s="8" t="s">
        <v>331</v>
      </c>
      <c r="I974" s="16" t="s">
        <v>5657</v>
      </c>
      <c r="J974" s="75">
        <v>37.74</v>
      </c>
      <c r="K974" s="75">
        <v>2.41</v>
      </c>
      <c r="L974" s="330">
        <v>18.45</v>
      </c>
      <c r="N974" s="325">
        <f t="shared" si="203"/>
        <v>58.600000000000009</v>
      </c>
      <c r="O974" s="27"/>
      <c r="P974" s="56"/>
      <c r="Q974" s="26"/>
      <c r="S974" s="330">
        <v>0.08</v>
      </c>
      <c r="T974" s="34">
        <v>1.1000000000000001</v>
      </c>
      <c r="U974" s="366">
        <f t="shared" si="207"/>
        <v>3.4920634920634921E-2</v>
      </c>
      <c r="V974" s="97">
        <v>1.1299999999999999</v>
      </c>
      <c r="W974" s="36">
        <f>RTD("money.excel",,"4908","Price")</f>
        <v>31.5</v>
      </c>
      <c r="X974" s="67"/>
      <c r="Y974" s="15">
        <f t="shared" si="204"/>
        <v>31.5</v>
      </c>
      <c r="Z974" s="3" t="e">
        <f t="shared" si="205"/>
        <v>#DIV/0!</v>
      </c>
      <c r="AB974" s="16" t="s">
        <v>5657</v>
      </c>
      <c r="AE974" s="33">
        <f t="shared" si="206"/>
        <v>0</v>
      </c>
      <c r="AF974" s="43" t="s">
        <v>5604</v>
      </c>
      <c r="AG974" s="128"/>
      <c r="AI974" s="64">
        <f t="shared" si="208"/>
        <v>1.0319693094629157E-2</v>
      </c>
      <c r="AJ974" s="313">
        <f>RTD("money.excel",,$G974,"PredictVolume")</f>
        <v>807</v>
      </c>
      <c r="AK974" s="348"/>
    </row>
    <row r="975" spans="1:37">
      <c r="A975" s="148" t="s">
        <v>5658</v>
      </c>
      <c r="B975" s="81">
        <v>38</v>
      </c>
      <c r="C975" s="82">
        <v>-18</v>
      </c>
      <c r="D975" s="82">
        <v>-1</v>
      </c>
      <c r="E975" s="81">
        <v>5</v>
      </c>
      <c r="F975" s="6">
        <v>-6.24</v>
      </c>
      <c r="G975" s="81">
        <v>4909</v>
      </c>
      <c r="H975" s="8" t="s">
        <v>331</v>
      </c>
      <c r="I975" s="16" t="s">
        <v>5659</v>
      </c>
      <c r="J975" s="330">
        <v>34.450000000000003</v>
      </c>
      <c r="K975" s="75">
        <v>2.77</v>
      </c>
      <c r="L975" s="75">
        <v>13.1</v>
      </c>
      <c r="N975" s="325">
        <f t="shared" si="203"/>
        <v>50.320000000000007</v>
      </c>
      <c r="O975" s="27"/>
      <c r="P975" s="56"/>
      <c r="Q975" s="26"/>
      <c r="S975" s="330">
        <v>1.02</v>
      </c>
      <c r="T975" s="34">
        <v>0.3</v>
      </c>
      <c r="U975" s="366">
        <f t="shared" si="207"/>
        <v>1.6666666666666666E-2</v>
      </c>
      <c r="V975" s="97">
        <v>0.16</v>
      </c>
      <c r="W975" s="36">
        <f>RTD("money.excel",,"4909","Price")</f>
        <v>18</v>
      </c>
      <c r="X975" s="67"/>
      <c r="Y975" s="15">
        <f t="shared" si="204"/>
        <v>18</v>
      </c>
      <c r="Z975" s="3" t="e">
        <f t="shared" si="205"/>
        <v>#DIV/0!</v>
      </c>
      <c r="AB975" s="16" t="s">
        <v>5659</v>
      </c>
      <c r="AE975" s="33">
        <f t="shared" si="206"/>
        <v>0</v>
      </c>
      <c r="AF975" s="43" t="s">
        <v>5660</v>
      </c>
      <c r="AG975" s="128"/>
      <c r="AI975" s="64">
        <f t="shared" si="208"/>
        <v>1.0492505353319058E-3</v>
      </c>
      <c r="AJ975" s="313">
        <f>RTD("money.excel",,$G975,"PredictVolume")</f>
        <v>98</v>
      </c>
      <c r="AK975" s="348"/>
    </row>
    <row r="976" spans="1:37">
      <c r="A976" s="148" t="s">
        <v>5661</v>
      </c>
      <c r="B976" s="82">
        <v>-47</v>
      </c>
      <c r="C976" s="82">
        <v>-51</v>
      </c>
      <c r="D976" s="81">
        <v>4</v>
      </c>
      <c r="E976" s="82">
        <v>-42</v>
      </c>
      <c r="F976" s="6">
        <v>8.5</v>
      </c>
      <c r="G976" s="81">
        <v>4977</v>
      </c>
      <c r="H976" s="8" t="s">
        <v>331</v>
      </c>
      <c r="I976" s="22" t="s">
        <v>5662</v>
      </c>
      <c r="J976" s="75">
        <v>42.43</v>
      </c>
      <c r="K976" s="75">
        <v>38.880000000000003</v>
      </c>
      <c r="L976" s="75">
        <v>12.65</v>
      </c>
      <c r="N976" s="325">
        <f t="shared" si="203"/>
        <v>93.960000000000008</v>
      </c>
      <c r="O976" s="27"/>
      <c r="P976" s="56"/>
      <c r="Q976" s="26"/>
      <c r="R976" s="308" t="s">
        <v>4829</v>
      </c>
      <c r="S976" s="330">
        <v>0.41</v>
      </c>
      <c r="T976" s="67">
        <v>5.81</v>
      </c>
      <c r="U976" s="366">
        <f t="shared" si="207"/>
        <v>7.4296675191815847E-2</v>
      </c>
      <c r="V976" s="97">
        <v>5.27</v>
      </c>
      <c r="W976" s="36">
        <f>RTD("money.excel",,"4977","Price")</f>
        <v>78.2</v>
      </c>
      <c r="X976" s="67"/>
      <c r="Y976" s="15">
        <f t="shared" si="204"/>
        <v>78.2</v>
      </c>
      <c r="Z976" s="3" t="e">
        <f t="shared" si="205"/>
        <v>#DIV/0!</v>
      </c>
      <c r="AA976" s="174" t="s">
        <v>4714</v>
      </c>
      <c r="AB976" s="22" t="s">
        <v>5662</v>
      </c>
      <c r="AE976" s="33">
        <f t="shared" si="206"/>
        <v>0</v>
      </c>
      <c r="AF976" s="124" t="s">
        <v>5604</v>
      </c>
      <c r="AG976" s="128"/>
      <c r="AI976" s="64">
        <f t="shared" si="208"/>
        <v>3.63901018922853E-4</v>
      </c>
      <c r="AJ976" s="313">
        <f>RTD("money.excel",,$G976,"PredictVolume")</f>
        <v>25</v>
      </c>
      <c r="AK976" s="348"/>
    </row>
    <row r="977" spans="1:37">
      <c r="A977" s="148" t="s">
        <v>4812</v>
      </c>
      <c r="B977" s="81">
        <v>59</v>
      </c>
      <c r="C977" s="81">
        <v>55</v>
      </c>
      <c r="D977" s="82">
        <v>-18</v>
      </c>
      <c r="E977" s="82">
        <v>-17</v>
      </c>
      <c r="F977" s="6">
        <v>-18.21</v>
      </c>
      <c r="G977" s="81">
        <v>4979</v>
      </c>
      <c r="H977" s="8" t="s">
        <v>331</v>
      </c>
      <c r="I977" s="16" t="s">
        <v>5663</v>
      </c>
      <c r="J977" s="75">
        <v>39.409999999999997</v>
      </c>
      <c r="K977" s="330">
        <v>3.87</v>
      </c>
      <c r="L977" s="330">
        <v>39.049999999999997</v>
      </c>
      <c r="N977" s="325">
        <f t="shared" si="203"/>
        <v>82.329999999999984</v>
      </c>
      <c r="O977" s="27"/>
      <c r="P977" s="56"/>
      <c r="Q977" s="26"/>
      <c r="S977" s="330">
        <v>22.78</v>
      </c>
      <c r="T977" s="34">
        <v>0</v>
      </c>
      <c r="U977" s="366">
        <f t="shared" si="207"/>
        <v>0</v>
      </c>
      <c r="V977" s="97">
        <v>-0.75</v>
      </c>
      <c r="W977" s="36">
        <f>RTD("money.excel",,"4979","Price")</f>
        <v>17.600000000000001</v>
      </c>
      <c r="X977" s="67"/>
      <c r="Y977" s="15">
        <f t="shared" si="204"/>
        <v>17.600000000000001</v>
      </c>
      <c r="Z977" s="3" t="e">
        <f t="shared" si="205"/>
        <v>#DIV/0!</v>
      </c>
      <c r="AA977" s="174" t="s">
        <v>4710</v>
      </c>
      <c r="AB977" s="16" t="s">
        <v>5663</v>
      </c>
      <c r="AE977" s="33">
        <f t="shared" si="206"/>
        <v>0</v>
      </c>
      <c r="AF977" s="122" t="s">
        <v>5649</v>
      </c>
      <c r="AG977" s="128"/>
      <c r="AI977" s="64">
        <f t="shared" si="208"/>
        <v>1.1583333333333333E-3</v>
      </c>
      <c r="AJ977" s="313">
        <f>RTD("money.excel",,$G977,"PredictVolume")</f>
        <v>139</v>
      </c>
      <c r="AK977" s="348"/>
    </row>
    <row r="978" spans="1:37">
      <c r="A978" s="148" t="s">
        <v>5664</v>
      </c>
      <c r="B978" s="93">
        <v>20</v>
      </c>
      <c r="C978" s="93">
        <v>25</v>
      </c>
      <c r="D978" s="93">
        <v>-22</v>
      </c>
      <c r="E978" s="93">
        <v>-11</v>
      </c>
      <c r="F978" s="6">
        <v>-23.99</v>
      </c>
      <c r="G978" s="81">
        <v>5348</v>
      </c>
      <c r="H978" s="8" t="s">
        <v>331</v>
      </c>
      <c r="I978" s="16" t="s">
        <v>5665</v>
      </c>
      <c r="J978" s="75">
        <v>60.23</v>
      </c>
      <c r="K978" s="75">
        <v>0</v>
      </c>
      <c r="N978" s="325">
        <f t="shared" si="203"/>
        <v>60.23</v>
      </c>
      <c r="O978" s="27"/>
      <c r="P978" s="56"/>
      <c r="Q978" s="26"/>
      <c r="S978" s="330">
        <v>22.13</v>
      </c>
      <c r="T978" s="34">
        <v>0</v>
      </c>
      <c r="U978" s="366">
        <f t="shared" si="207"/>
        <v>0</v>
      </c>
      <c r="V978" s="97">
        <v>-0.71</v>
      </c>
      <c r="W978" s="13">
        <f>RTD("money.excel",,"5348","Price")</f>
        <v>7.49</v>
      </c>
      <c r="X978" s="67"/>
      <c r="Y978" s="15">
        <f t="shared" si="204"/>
        <v>7.49</v>
      </c>
      <c r="Z978" s="3" t="e">
        <f t="shared" si="205"/>
        <v>#DIV/0!</v>
      </c>
      <c r="AB978" s="16" t="s">
        <v>5665</v>
      </c>
      <c r="AE978" s="33">
        <f t="shared" si="206"/>
        <v>0</v>
      </c>
      <c r="AF978" s="43" t="s">
        <v>5620</v>
      </c>
      <c r="AG978" s="128"/>
      <c r="AI978" s="64">
        <f t="shared" si="208"/>
        <v>1.7307692307692308E-3</v>
      </c>
      <c r="AJ978" s="313">
        <f>RTD("money.excel",,$G978,"PredictVolume")</f>
        <v>45</v>
      </c>
      <c r="AK978" s="348"/>
    </row>
    <row r="979" spans="1:37">
      <c r="A979" s="148" t="s">
        <v>5666</v>
      </c>
      <c r="B979" s="93">
        <v>-31</v>
      </c>
      <c r="C979" s="93">
        <v>-35</v>
      </c>
      <c r="D979" s="93">
        <v>17</v>
      </c>
      <c r="E979" s="93">
        <v>-18</v>
      </c>
      <c r="F979" s="6">
        <v>4.21</v>
      </c>
      <c r="G979" s="81">
        <v>5353</v>
      </c>
      <c r="H979" s="8" t="s">
        <v>331</v>
      </c>
      <c r="I979" s="16" t="s">
        <v>5667</v>
      </c>
      <c r="J979" s="75">
        <v>57.39</v>
      </c>
      <c r="K979" s="75">
        <v>0.01</v>
      </c>
      <c r="L979" s="75">
        <v>5.84</v>
      </c>
      <c r="N979" s="325">
        <f t="shared" si="203"/>
        <v>63.239999999999995</v>
      </c>
      <c r="O979" s="27"/>
      <c r="P979" s="56"/>
      <c r="Q979" s="26"/>
      <c r="S979" s="330">
        <v>27.86</v>
      </c>
      <c r="T979" s="34">
        <v>0.85</v>
      </c>
      <c r="U979" s="366">
        <f t="shared" si="207"/>
        <v>4.2183622828784122E-2</v>
      </c>
      <c r="V979" s="97">
        <v>0.88</v>
      </c>
      <c r="W979" s="13">
        <f>RTD("money.excel",,"5353","Price")</f>
        <v>20.149999999999999</v>
      </c>
      <c r="X979" s="67"/>
      <c r="Y979" s="15">
        <f t="shared" si="204"/>
        <v>20.149999999999999</v>
      </c>
      <c r="Z979" s="3" t="e">
        <f t="shared" si="205"/>
        <v>#DIV/0!</v>
      </c>
      <c r="AB979" s="16" t="s">
        <v>5667</v>
      </c>
      <c r="AE979" s="33">
        <f t="shared" si="206"/>
        <v>0</v>
      </c>
      <c r="AF979" s="43" t="s">
        <v>2726</v>
      </c>
      <c r="AG979" s="128"/>
      <c r="AI979" s="64">
        <f t="shared" si="208"/>
        <v>2.1333333333333333E-4</v>
      </c>
      <c r="AJ979" s="313">
        <f>RTD("money.excel",,$G979,"PredictVolume")</f>
        <v>16</v>
      </c>
      <c r="AK979" s="348"/>
    </row>
    <row r="980" spans="1:37">
      <c r="A980" s="148" t="s">
        <v>5668</v>
      </c>
      <c r="B980" s="81">
        <v>60</v>
      </c>
      <c r="C980" s="81">
        <v>61</v>
      </c>
      <c r="D980" s="82">
        <v>-3</v>
      </c>
      <c r="E980" s="81">
        <v>27</v>
      </c>
      <c r="F980" s="6">
        <v>1.82</v>
      </c>
      <c r="G980" s="81">
        <v>5388</v>
      </c>
      <c r="H980" s="8" t="s">
        <v>331</v>
      </c>
      <c r="I980" s="22" t="s">
        <v>5669</v>
      </c>
      <c r="J980" s="75">
        <v>45.97</v>
      </c>
      <c r="K980" s="75">
        <v>21.87</v>
      </c>
      <c r="L980" s="330">
        <v>7.6</v>
      </c>
      <c r="N980" s="325">
        <f t="shared" si="203"/>
        <v>75.44</v>
      </c>
      <c r="O980" s="27"/>
      <c r="P980" s="56"/>
      <c r="Q980" s="26"/>
      <c r="S980" s="330">
        <v>0.09</v>
      </c>
      <c r="T980" s="34">
        <v>2.6</v>
      </c>
      <c r="U980" s="366">
        <f t="shared" si="207"/>
        <v>3.4255599472990776E-2</v>
      </c>
      <c r="V980" s="97">
        <v>3.87</v>
      </c>
      <c r="W980" s="36">
        <f>RTD("money.excel",,"5388","Price")</f>
        <v>75.900000000000006</v>
      </c>
      <c r="X980" s="67"/>
      <c r="Y980" s="15">
        <f t="shared" si="204"/>
        <v>75.900000000000006</v>
      </c>
      <c r="Z980" s="3" t="e">
        <f t="shared" si="205"/>
        <v>#DIV/0!</v>
      </c>
      <c r="AA980" s="174" t="s">
        <v>4710</v>
      </c>
      <c r="AB980" s="22" t="s">
        <v>5669</v>
      </c>
      <c r="AE980" s="33">
        <f t="shared" si="206"/>
        <v>0</v>
      </c>
      <c r="AF980" s="122" t="s">
        <v>5552</v>
      </c>
      <c r="AG980" s="269"/>
      <c r="AI980" s="64">
        <f t="shared" si="208"/>
        <v>3.100796812749004E-2</v>
      </c>
      <c r="AJ980" s="313">
        <f>RTD("money.excel",,$G980,"PredictVolume")</f>
        <v>7783</v>
      </c>
      <c r="AK980" s="348"/>
    </row>
    <row r="981" spans="1:37">
      <c r="A981" s="148" t="s">
        <v>5670</v>
      </c>
      <c r="B981" s="93">
        <v>-180</v>
      </c>
      <c r="C981" s="93">
        <v>-151</v>
      </c>
      <c r="D981" s="93">
        <v>-10</v>
      </c>
      <c r="E981" s="93">
        <v>20</v>
      </c>
      <c r="F981" s="6">
        <v>-2.0499999999999998</v>
      </c>
      <c r="G981" s="81">
        <v>6109</v>
      </c>
      <c r="H981" s="8" t="s">
        <v>331</v>
      </c>
      <c r="I981" s="16" t="s">
        <v>5671</v>
      </c>
      <c r="J981" s="75">
        <v>60.92</v>
      </c>
      <c r="K981" s="75">
        <v>2.4700000000000002</v>
      </c>
      <c r="L981" s="75">
        <v>2.2200000000000002</v>
      </c>
      <c r="N981" s="325">
        <f t="shared" si="203"/>
        <v>65.61</v>
      </c>
      <c r="O981" s="27"/>
      <c r="P981" s="56"/>
      <c r="Q981" s="26"/>
      <c r="S981" s="330">
        <v>14.48</v>
      </c>
      <c r="T981" s="34">
        <v>0</v>
      </c>
      <c r="U981" s="366">
        <f t="shared" si="207"/>
        <v>0</v>
      </c>
      <c r="V981" s="97">
        <v>-0.16</v>
      </c>
      <c r="W981" s="13">
        <f>RTD("money.excel",,"6109","Price")</f>
        <v>9.4</v>
      </c>
      <c r="X981" s="67"/>
      <c r="Y981" s="15">
        <f t="shared" si="204"/>
        <v>9.4</v>
      </c>
      <c r="Z981" s="3" t="e">
        <f t="shared" si="205"/>
        <v>#DIV/0!</v>
      </c>
      <c r="AB981" s="16" t="s">
        <v>5671</v>
      </c>
      <c r="AE981" s="33">
        <f t="shared" si="206"/>
        <v>0</v>
      </c>
      <c r="AF981" s="43" t="s">
        <v>2893</v>
      </c>
      <c r="AG981" s="128"/>
      <c r="AI981" s="64">
        <f t="shared" si="208"/>
        <v>4.5454545454545449E-4</v>
      </c>
      <c r="AJ981" s="313">
        <f>RTD("money.excel",,$G981,"PredictVolume")</f>
        <v>27</v>
      </c>
      <c r="AK981" s="348"/>
    </row>
    <row r="982" spans="1:37">
      <c r="A982" s="148" t="s">
        <v>5486</v>
      </c>
      <c r="B982" s="81">
        <v>22</v>
      </c>
      <c r="C982" s="82">
        <v>-17</v>
      </c>
      <c r="D982" s="81">
        <v>0</v>
      </c>
      <c r="E982" s="81">
        <v>15</v>
      </c>
      <c r="F982" s="6">
        <v>-7.15</v>
      </c>
      <c r="G982" s="81">
        <v>6136</v>
      </c>
      <c r="H982" s="8" t="s">
        <v>331</v>
      </c>
      <c r="I982" s="22" t="s">
        <v>5672</v>
      </c>
      <c r="J982" s="330">
        <v>19.329999999999998</v>
      </c>
      <c r="K982" s="330">
        <v>4.1399999999999997</v>
      </c>
      <c r="L982" s="330">
        <v>16.760000000000002</v>
      </c>
      <c r="N982" s="325">
        <f t="shared" si="203"/>
        <v>40.230000000000004</v>
      </c>
      <c r="O982" s="27"/>
      <c r="P982" s="56"/>
      <c r="Q982" s="26"/>
      <c r="S982" s="330">
        <v>13.37</v>
      </c>
      <c r="T982" s="34">
        <v>1.1000000000000001</v>
      </c>
      <c r="U982" s="366">
        <f t="shared" si="207"/>
        <v>5.9620596205962065E-2</v>
      </c>
      <c r="V982" s="97">
        <v>0.61</v>
      </c>
      <c r="W982" s="36">
        <f>RTD("money.excel",,"6136","Price")</f>
        <v>18.45</v>
      </c>
      <c r="X982" s="67"/>
      <c r="Y982" s="15">
        <f t="shared" si="204"/>
        <v>18.45</v>
      </c>
      <c r="Z982" s="3" t="e">
        <f t="shared" si="205"/>
        <v>#DIV/0!</v>
      </c>
      <c r="AB982" s="22" t="s">
        <v>5672</v>
      </c>
      <c r="AE982" s="33">
        <f t="shared" si="206"/>
        <v>0</v>
      </c>
      <c r="AF982" s="43" t="s">
        <v>5673</v>
      </c>
      <c r="AG982" s="128"/>
      <c r="AI982" s="64">
        <f t="shared" si="208"/>
        <v>6.7826086956521744E-4</v>
      </c>
      <c r="AJ982" s="313">
        <f>RTD("money.excel",,$G982,"PredictVolume")</f>
        <v>78</v>
      </c>
      <c r="AK982" s="348"/>
    </row>
    <row r="983" spans="1:37">
      <c r="A983" s="148" t="s">
        <v>5674</v>
      </c>
      <c r="B983" s="93">
        <v>-26</v>
      </c>
      <c r="C983" s="93">
        <v>-35</v>
      </c>
      <c r="D983" s="93">
        <v>-58</v>
      </c>
      <c r="E983" s="93">
        <v>-22</v>
      </c>
      <c r="F983" s="6">
        <v>-16.7</v>
      </c>
      <c r="G983" s="81">
        <v>6142</v>
      </c>
      <c r="H983" s="8" t="s">
        <v>331</v>
      </c>
      <c r="I983" s="22" t="s">
        <v>5675</v>
      </c>
      <c r="J983" s="75">
        <v>44.66</v>
      </c>
      <c r="K983" s="75">
        <v>3.29</v>
      </c>
      <c r="L983" s="75">
        <v>17.05</v>
      </c>
      <c r="N983" s="325">
        <f t="shared" si="203"/>
        <v>65</v>
      </c>
      <c r="O983" s="27"/>
      <c r="P983" s="56"/>
      <c r="Q983" s="26"/>
      <c r="S983" s="330">
        <v>10.88</v>
      </c>
      <c r="T983" s="34">
        <v>0</v>
      </c>
      <c r="U983" s="366">
        <f t="shared" si="207"/>
        <v>0</v>
      </c>
      <c r="V983" s="97">
        <v>-1.68</v>
      </c>
      <c r="W983" s="36">
        <f>RTD("money.excel",,"6142","Price")</f>
        <v>8.6199999999999992</v>
      </c>
      <c r="X983" s="67"/>
      <c r="Y983" s="15">
        <f t="shared" si="204"/>
        <v>8.6199999999999992</v>
      </c>
      <c r="Z983" s="3" t="e">
        <f t="shared" si="205"/>
        <v>#DIV/0!</v>
      </c>
      <c r="AB983" s="22" t="s">
        <v>5675</v>
      </c>
      <c r="AE983" s="33">
        <f t="shared" si="206"/>
        <v>0</v>
      </c>
      <c r="AF983" s="43" t="s">
        <v>5676</v>
      </c>
      <c r="AI983" s="64">
        <f t="shared" si="208"/>
        <v>1.8974358974358974E-4</v>
      </c>
      <c r="AJ983" s="313">
        <f>RTD("money.excel",,$G983,"PredictVolume")</f>
        <v>74</v>
      </c>
    </row>
    <row r="984" spans="1:37">
      <c r="A984" s="148" t="s">
        <v>5677</v>
      </c>
      <c r="B984" s="82">
        <v>-1</v>
      </c>
      <c r="C984" s="81">
        <v>55</v>
      </c>
      <c r="D984" s="82">
        <v>-18</v>
      </c>
      <c r="E984" s="81">
        <v>15</v>
      </c>
      <c r="F984" s="6">
        <v>5.52</v>
      </c>
      <c r="G984" s="81">
        <v>6143</v>
      </c>
      <c r="H984" s="8" t="s">
        <v>331</v>
      </c>
      <c r="I984" s="16" t="s">
        <v>5678</v>
      </c>
      <c r="J984" s="75">
        <v>25.25</v>
      </c>
      <c r="K984" s="330">
        <v>5.71</v>
      </c>
      <c r="L984" s="75">
        <v>25.58</v>
      </c>
      <c r="N984" s="325">
        <f t="shared" si="203"/>
        <v>56.54</v>
      </c>
      <c r="O984" s="27"/>
      <c r="P984" s="56"/>
      <c r="Q984" s="26"/>
      <c r="S984" s="330">
        <v>0</v>
      </c>
      <c r="T984" s="34">
        <v>2.85</v>
      </c>
      <c r="U984" s="366">
        <f t="shared" si="207"/>
        <v>6.0897435897435903E-2</v>
      </c>
      <c r="V984" s="97">
        <v>2.95</v>
      </c>
      <c r="W984" s="36">
        <f>RTD("money.excel",,"6143","Price")</f>
        <v>46.8</v>
      </c>
      <c r="X984" s="67"/>
      <c r="Y984" s="15">
        <f t="shared" si="204"/>
        <v>46.8</v>
      </c>
      <c r="Z984" s="3" t="e">
        <f t="shared" si="205"/>
        <v>#DIV/0!</v>
      </c>
      <c r="AA984" s="174" t="s">
        <v>4710</v>
      </c>
      <c r="AB984" s="16" t="s">
        <v>5678</v>
      </c>
      <c r="AE984" s="33">
        <f t="shared" si="206"/>
        <v>0</v>
      </c>
      <c r="AF984" s="122" t="s">
        <v>5679</v>
      </c>
      <c r="AG984" s="128"/>
      <c r="AI984" s="64">
        <f t="shared" si="208"/>
        <v>5.2048192771084337E-3</v>
      </c>
      <c r="AJ984" s="313">
        <f>RTD("money.excel",,$G984,"PredictVolume")</f>
        <v>432</v>
      </c>
      <c r="AK984" s="348"/>
    </row>
    <row r="985" spans="1:37">
      <c r="A985" s="148" t="s">
        <v>4949</v>
      </c>
      <c r="B985" s="93">
        <v>111</v>
      </c>
      <c r="C985" s="93">
        <v>0</v>
      </c>
      <c r="D985" s="93">
        <v>-39</v>
      </c>
      <c r="E985" s="93">
        <v>57</v>
      </c>
      <c r="F985" s="6">
        <v>-6.3</v>
      </c>
      <c r="G985" s="81">
        <v>6152</v>
      </c>
      <c r="H985" s="8" t="s">
        <v>331</v>
      </c>
      <c r="I985" s="22" t="s">
        <v>5680</v>
      </c>
      <c r="J985" s="75">
        <v>40.68</v>
      </c>
      <c r="K985" s="75">
        <v>1.23</v>
      </c>
      <c r="L985" s="75">
        <v>0</v>
      </c>
      <c r="N985" s="325">
        <f t="shared" si="203"/>
        <v>41.91</v>
      </c>
      <c r="O985" s="27"/>
      <c r="P985" s="56"/>
      <c r="Q985" s="26"/>
      <c r="S985" s="330">
        <v>6.28</v>
      </c>
      <c r="T985" s="34">
        <v>0</v>
      </c>
      <c r="U985" s="366">
        <f t="shared" si="207"/>
        <v>0</v>
      </c>
      <c r="V985" s="97">
        <v>0.13</v>
      </c>
      <c r="W985" s="36">
        <f>RTD("money.excel",,"6152","Price")</f>
        <v>9.42</v>
      </c>
      <c r="X985" s="67"/>
      <c r="Y985" s="15">
        <f t="shared" si="204"/>
        <v>9.42</v>
      </c>
      <c r="Z985" s="3" t="e">
        <f t="shared" si="205"/>
        <v>#DIV/0!</v>
      </c>
      <c r="AB985" s="22" t="s">
        <v>5680</v>
      </c>
      <c r="AE985" s="33">
        <f t="shared" si="206"/>
        <v>0</v>
      </c>
      <c r="AF985" s="43" t="s">
        <v>5681</v>
      </c>
      <c r="AG985" s="128"/>
      <c r="AI985" s="64">
        <f t="shared" si="208"/>
        <v>1.5868263473053893E-3</v>
      </c>
      <c r="AJ985" s="313">
        <f>RTD("money.excel",,$G985,"PredictVolume")</f>
        <v>265</v>
      </c>
      <c r="AK985" s="348"/>
    </row>
    <row r="986" spans="1:37">
      <c r="A986" s="148" t="s">
        <v>5383</v>
      </c>
      <c r="B986" s="93">
        <v>-209</v>
      </c>
      <c r="C986" s="93">
        <v>-245</v>
      </c>
      <c r="D986" s="93">
        <v>203</v>
      </c>
      <c r="E986" s="93">
        <v>-5</v>
      </c>
      <c r="F986" s="6">
        <v>3.19</v>
      </c>
      <c r="G986" s="81">
        <v>6163</v>
      </c>
      <c r="H986" s="8" t="s">
        <v>331</v>
      </c>
      <c r="I986" s="16" t="s">
        <v>5682</v>
      </c>
      <c r="J986" s="75">
        <v>22.97</v>
      </c>
      <c r="K986" s="75">
        <v>1.5</v>
      </c>
      <c r="L986" s="75">
        <v>14.27</v>
      </c>
      <c r="N986" s="325">
        <f t="shared" si="203"/>
        <v>38.739999999999995</v>
      </c>
      <c r="O986" s="27"/>
      <c r="P986" s="56"/>
      <c r="Q986" s="26"/>
      <c r="S986" s="330">
        <v>10.94</v>
      </c>
      <c r="T986" s="34">
        <v>0</v>
      </c>
      <c r="U986" s="366">
        <f t="shared" si="207"/>
        <v>0</v>
      </c>
      <c r="V986" s="97">
        <v>0.02</v>
      </c>
      <c r="W986" s="36">
        <f>RTD("money.excel",,"6163","Price")</f>
        <v>18.05</v>
      </c>
      <c r="X986" s="67"/>
      <c r="Y986" s="15">
        <f t="shared" si="204"/>
        <v>18.05</v>
      </c>
      <c r="Z986" s="3" t="e">
        <f t="shared" si="205"/>
        <v>#DIV/0!</v>
      </c>
      <c r="AB986" s="16" t="s">
        <v>5682</v>
      </c>
      <c r="AE986" s="33">
        <f t="shared" si="206"/>
        <v>0</v>
      </c>
      <c r="AF986" s="43" t="s">
        <v>5683</v>
      </c>
      <c r="AG986" s="128"/>
      <c r="AI986" s="64">
        <f t="shared" si="208"/>
        <v>3.5245901639344261E-3</v>
      </c>
      <c r="AJ986" s="313">
        <f>RTD("money.excel",,$G986,"PredictVolume")</f>
        <v>430</v>
      </c>
      <c r="AK986" s="348"/>
    </row>
    <row r="987" spans="1:37">
      <c r="A987" s="148" t="s">
        <v>4841</v>
      </c>
      <c r="B987" s="93">
        <v>71</v>
      </c>
      <c r="C987" s="93">
        <v>60</v>
      </c>
      <c r="D987" s="93">
        <v>6</v>
      </c>
      <c r="E987" s="93">
        <v>-13</v>
      </c>
      <c r="F987" s="6">
        <v>-1.83</v>
      </c>
      <c r="G987" s="81">
        <v>6170</v>
      </c>
      <c r="H987" s="8" t="s">
        <v>331</v>
      </c>
      <c r="I987" s="16" t="s">
        <v>5684</v>
      </c>
      <c r="J987" s="75">
        <v>38.07</v>
      </c>
      <c r="K987" s="75">
        <v>3.67</v>
      </c>
      <c r="L987" s="75">
        <v>10.5</v>
      </c>
      <c r="N987" s="325">
        <f t="shared" si="203"/>
        <v>52.24</v>
      </c>
      <c r="O987" s="27"/>
      <c r="P987" s="56"/>
      <c r="Q987" s="26"/>
      <c r="S987" s="330">
        <v>21.79</v>
      </c>
      <c r="T987" s="34">
        <v>1.4</v>
      </c>
      <c r="U987" s="366">
        <f t="shared" si="207"/>
        <v>4.3545878693623641E-2</v>
      </c>
      <c r="V987" s="97">
        <v>1.63</v>
      </c>
      <c r="W987" s="36">
        <f>RTD("money.excel",,"6170","Price")</f>
        <v>32.15</v>
      </c>
      <c r="X987" s="67"/>
      <c r="Y987" s="15">
        <f t="shared" si="204"/>
        <v>32.15</v>
      </c>
      <c r="Z987" s="3" t="e">
        <f t="shared" si="205"/>
        <v>#DIV/0!</v>
      </c>
      <c r="AB987" s="16" t="s">
        <v>5684</v>
      </c>
      <c r="AE987" s="33">
        <f t="shared" si="206"/>
        <v>0</v>
      </c>
      <c r="AF987" s="43" t="s">
        <v>5685</v>
      </c>
      <c r="AG987" s="128"/>
      <c r="AI987" s="64">
        <f t="shared" si="208"/>
        <v>2.9319955406911929E-3</v>
      </c>
      <c r="AJ987" s="313">
        <f>RTD("money.excel",,$G987,"PredictVolume")</f>
        <v>263</v>
      </c>
      <c r="AK987" s="348"/>
    </row>
    <row r="988" spans="1:37">
      <c r="A988" s="148" t="s">
        <v>5686</v>
      </c>
      <c r="B988" s="81">
        <v>62</v>
      </c>
      <c r="C988" s="81">
        <v>55</v>
      </c>
      <c r="D988" s="81">
        <v>8</v>
      </c>
      <c r="E988" s="81">
        <v>53</v>
      </c>
      <c r="F988" s="6">
        <v>5.15</v>
      </c>
      <c r="G988" s="81">
        <v>6190</v>
      </c>
      <c r="H988" s="8" t="s">
        <v>331</v>
      </c>
      <c r="I988" s="16" t="s">
        <v>5687</v>
      </c>
      <c r="J988" s="75">
        <v>40.119999999999997</v>
      </c>
      <c r="K988" s="75">
        <v>1.52</v>
      </c>
      <c r="L988" s="330">
        <v>28.93</v>
      </c>
      <c r="M988" s="75">
        <v>10.85</v>
      </c>
      <c r="N988" s="325">
        <f t="shared" si="203"/>
        <v>81.419999999999987</v>
      </c>
      <c r="O988" s="27"/>
      <c r="P988" s="56"/>
      <c r="Q988" s="26"/>
      <c r="R988" s="308" t="s">
        <v>4728</v>
      </c>
      <c r="S988" s="330">
        <v>7.33</v>
      </c>
      <c r="T988" s="34">
        <v>1.01</v>
      </c>
      <c r="U988" s="366">
        <f t="shared" si="207"/>
        <v>2.9618768328445746E-2</v>
      </c>
      <c r="V988" s="97">
        <v>1.58</v>
      </c>
      <c r="W988" s="36">
        <f>RTD("money.excel",,"6190","Price")</f>
        <v>34.1</v>
      </c>
      <c r="X988" s="67"/>
      <c r="Y988" s="15">
        <f t="shared" si="204"/>
        <v>34.1</v>
      </c>
      <c r="Z988" s="3" t="e">
        <f t="shared" si="205"/>
        <v>#DIV/0!</v>
      </c>
      <c r="AA988" s="174" t="s">
        <v>4710</v>
      </c>
      <c r="AB988" s="16" t="s">
        <v>5687</v>
      </c>
      <c r="AE988" s="33">
        <f t="shared" si="206"/>
        <v>0</v>
      </c>
      <c r="AF988" s="43" t="s">
        <v>3476</v>
      </c>
      <c r="AG988" s="128"/>
      <c r="AI988" s="64">
        <f t="shared" si="208"/>
        <v>7.919463087248323E-3</v>
      </c>
      <c r="AJ988" s="313">
        <f>RTD("money.excel",,$G988,"PredictVolume")</f>
        <v>1180</v>
      </c>
      <c r="AK988" s="348"/>
    </row>
    <row r="989" spans="1:37">
      <c r="A989" s="132" t="s">
        <v>5688</v>
      </c>
      <c r="B989" s="93">
        <v>-34</v>
      </c>
      <c r="C989" s="93">
        <v>-22</v>
      </c>
      <c r="D989" s="93">
        <v>-3</v>
      </c>
      <c r="E989" s="93">
        <v>92</v>
      </c>
      <c r="F989" s="58">
        <v>16.149999999999999</v>
      </c>
      <c r="G989" s="81">
        <v>6216</v>
      </c>
      <c r="H989" s="8" t="s">
        <v>331</v>
      </c>
      <c r="I989" s="22" t="s">
        <v>5689</v>
      </c>
      <c r="J989" s="75">
        <v>38.04</v>
      </c>
      <c r="K989" s="330">
        <v>0.78</v>
      </c>
      <c r="L989" s="75">
        <v>2.17</v>
      </c>
      <c r="N989" s="325">
        <f t="shared" si="203"/>
        <v>40.99</v>
      </c>
      <c r="O989" s="27"/>
      <c r="P989" s="56"/>
      <c r="Q989" s="26"/>
      <c r="S989" s="330">
        <v>20.53</v>
      </c>
      <c r="T989" s="34">
        <v>1.5</v>
      </c>
      <c r="U989" s="366">
        <f t="shared" si="207"/>
        <v>5.6497175141242938E-2</v>
      </c>
      <c r="V989" s="97">
        <v>1.27</v>
      </c>
      <c r="W989" s="36">
        <f>RTD("money.excel",,"6216","Price")</f>
        <v>26.55</v>
      </c>
      <c r="X989" s="67"/>
      <c r="Y989" s="15">
        <f t="shared" si="204"/>
        <v>26.55</v>
      </c>
      <c r="Z989" s="3" t="e">
        <f t="shared" si="205"/>
        <v>#DIV/0!</v>
      </c>
      <c r="AB989" s="22" t="s">
        <v>5689</v>
      </c>
      <c r="AE989" s="33">
        <f t="shared" si="206"/>
        <v>0</v>
      </c>
      <c r="AF989" s="43" t="s">
        <v>5552</v>
      </c>
      <c r="AG989" s="128"/>
      <c r="AI989" s="64">
        <f t="shared" si="208"/>
        <v>8.0924855491329483E-4</v>
      </c>
      <c r="AJ989" s="313">
        <f>RTD("money.excel",,$G989,"PredictVolume")</f>
        <v>70</v>
      </c>
      <c r="AK989" s="348"/>
    </row>
    <row r="990" spans="1:37">
      <c r="A990" s="148" t="s">
        <v>5690</v>
      </c>
      <c r="B990" s="93">
        <v>-48</v>
      </c>
      <c r="C990" s="93">
        <v>-66</v>
      </c>
      <c r="D990" s="93">
        <v>-23</v>
      </c>
      <c r="E990" s="93">
        <v>56</v>
      </c>
      <c r="F990" s="6">
        <v>3.69</v>
      </c>
      <c r="G990" s="81">
        <v>6218</v>
      </c>
      <c r="H990" s="8" t="s">
        <v>331</v>
      </c>
      <c r="I990" s="16" t="s">
        <v>5691</v>
      </c>
      <c r="J990" s="75">
        <v>58.78</v>
      </c>
      <c r="K990" s="75">
        <v>0.09</v>
      </c>
      <c r="L990" s="75">
        <v>37.26</v>
      </c>
      <c r="N990" s="325">
        <f t="shared" si="203"/>
        <v>96.13</v>
      </c>
      <c r="O990" s="27"/>
      <c r="P990" s="56"/>
      <c r="Q990" s="26"/>
      <c r="S990" s="330">
        <v>11.94</v>
      </c>
      <c r="T990" s="34">
        <v>1</v>
      </c>
      <c r="U990" s="366">
        <f t="shared" si="207"/>
        <v>4.6403712296983757E-2</v>
      </c>
      <c r="V990" s="97">
        <v>0.79</v>
      </c>
      <c r="W990" s="13">
        <f>RTD("money.excel",,"6218","Price")</f>
        <v>21.55</v>
      </c>
      <c r="X990" s="67"/>
      <c r="Y990" s="15">
        <f t="shared" si="204"/>
        <v>21.55</v>
      </c>
      <c r="Z990" s="3" t="e">
        <f t="shared" si="205"/>
        <v>#DIV/0!</v>
      </c>
      <c r="AB990" s="16" t="s">
        <v>5691</v>
      </c>
      <c r="AE990" s="33">
        <f t="shared" si="206"/>
        <v>0</v>
      </c>
      <c r="AF990" s="43" t="s">
        <v>5692</v>
      </c>
      <c r="AG990" s="128"/>
      <c r="AI990" s="64">
        <f t="shared" si="208"/>
        <v>9.1757387247278378E-4</v>
      </c>
      <c r="AJ990" s="313">
        <f>RTD("money.excel",,$G990,"PredictVolume")</f>
        <v>59</v>
      </c>
      <c r="AK990" s="348"/>
    </row>
    <row r="991" spans="1:37">
      <c r="A991" s="148" t="s">
        <v>5693</v>
      </c>
      <c r="B991" s="82">
        <v>-680</v>
      </c>
      <c r="C991" s="96">
        <v>-1103</v>
      </c>
      <c r="D991" s="81">
        <v>91</v>
      </c>
      <c r="E991" s="81">
        <v>91</v>
      </c>
      <c r="F991" s="6">
        <v>-76.709999999999994</v>
      </c>
      <c r="G991" s="81">
        <v>6241</v>
      </c>
      <c r="H991" s="8" t="s">
        <v>331</v>
      </c>
      <c r="I991" s="16" t="s">
        <v>5694</v>
      </c>
      <c r="J991" s="330">
        <v>42.31</v>
      </c>
      <c r="K991" s="330">
        <v>0.03</v>
      </c>
      <c r="N991" s="325">
        <f t="shared" si="203"/>
        <v>42.34</v>
      </c>
      <c r="O991" s="27"/>
      <c r="P991" s="56"/>
      <c r="Q991" s="26"/>
      <c r="T991" s="34">
        <v>0</v>
      </c>
      <c r="U991" s="366">
        <f t="shared" si="207"/>
        <v>0</v>
      </c>
      <c r="V991" s="97">
        <v>-1.35</v>
      </c>
      <c r="W991" s="36">
        <f>RTD("money.excel",,"6241","Price")</f>
        <v>27.1</v>
      </c>
      <c r="X991" s="67"/>
      <c r="Y991" s="15">
        <f t="shared" si="204"/>
        <v>27.1</v>
      </c>
      <c r="Z991" s="3" t="e">
        <f t="shared" si="205"/>
        <v>#DIV/0!</v>
      </c>
      <c r="AB991" s="16" t="s">
        <v>5694</v>
      </c>
      <c r="AE991" s="33">
        <f t="shared" si="206"/>
        <v>0</v>
      </c>
      <c r="AF991" s="43" t="s">
        <v>3147</v>
      </c>
      <c r="AG991" s="269"/>
      <c r="AI991" s="64">
        <f t="shared" si="208"/>
        <v>4.0712166172106823E-2</v>
      </c>
      <c r="AJ991" s="313">
        <f>RTD("money.excel",,$G991,"PredictVolume")</f>
        <v>1372</v>
      </c>
      <c r="AK991" s="348"/>
    </row>
    <row r="992" spans="1:37">
      <c r="A992" s="148" t="s">
        <v>6164</v>
      </c>
      <c r="B992" s="82">
        <v>-34</v>
      </c>
      <c r="C992" s="82">
        <v>-26</v>
      </c>
      <c r="D992" s="81">
        <v>3</v>
      </c>
      <c r="E992" s="81">
        <v>3</v>
      </c>
      <c r="F992" s="6">
        <v>6.69</v>
      </c>
      <c r="G992" s="81">
        <v>6245</v>
      </c>
      <c r="H992" s="8" t="s">
        <v>331</v>
      </c>
      <c r="I992" s="16" t="s">
        <v>5695</v>
      </c>
      <c r="J992" s="75">
        <v>45.53</v>
      </c>
      <c r="K992" s="75">
        <v>10.29</v>
      </c>
      <c r="L992" s="330">
        <v>6.27</v>
      </c>
      <c r="M992" s="75">
        <v>14.86</v>
      </c>
      <c r="N992" s="325">
        <f t="shared" si="203"/>
        <v>76.95</v>
      </c>
      <c r="O992" s="27" t="s">
        <v>6162</v>
      </c>
      <c r="P992" s="56"/>
      <c r="Q992" s="26"/>
      <c r="R992" s="308" t="s">
        <v>6163</v>
      </c>
      <c r="S992" s="330">
        <v>0.38</v>
      </c>
      <c r="T992" s="34">
        <v>2.8</v>
      </c>
      <c r="U992" s="366">
        <f t="shared" si="207"/>
        <v>5.1660516605166046E-2</v>
      </c>
      <c r="V992" s="97">
        <v>5.05</v>
      </c>
      <c r="W992" s="36">
        <f>RTD("money.excel",,"6245","Price")</f>
        <v>54.2</v>
      </c>
      <c r="X992" s="67"/>
      <c r="Y992" s="15">
        <f t="shared" si="204"/>
        <v>54.2</v>
      </c>
      <c r="Z992" s="3" t="e">
        <f t="shared" si="205"/>
        <v>#DIV/0!</v>
      </c>
      <c r="AA992" s="174" t="s">
        <v>1943</v>
      </c>
      <c r="AB992" s="16" t="s">
        <v>5695</v>
      </c>
      <c r="AE992" s="33">
        <f t="shared" si="206"/>
        <v>0</v>
      </c>
      <c r="AF992" s="122" t="s">
        <v>5696</v>
      </c>
      <c r="AG992" s="128"/>
      <c r="AI992" s="64">
        <f t="shared" si="208"/>
        <v>5.2901023890784978E-4</v>
      </c>
      <c r="AJ992" s="313">
        <f>RTD("money.excel",,$G992,"PredictVolume")</f>
        <v>62</v>
      </c>
      <c r="AK992" s="348">
        <v>8.39</v>
      </c>
    </row>
    <row r="993" spans="1:37">
      <c r="A993" s="132" t="s">
        <v>5697</v>
      </c>
      <c r="B993" s="82">
        <v>3</v>
      </c>
      <c r="C993" s="81">
        <v>3</v>
      </c>
      <c r="D993" s="82">
        <v>42</v>
      </c>
      <c r="E993" s="81">
        <v>15</v>
      </c>
      <c r="F993" s="58">
        <v>26.49</v>
      </c>
      <c r="G993" s="81">
        <v>6263</v>
      </c>
      <c r="H993" s="8" t="s">
        <v>331</v>
      </c>
      <c r="I993" s="16" t="s">
        <v>5698</v>
      </c>
      <c r="J993" s="75">
        <v>44.15</v>
      </c>
      <c r="K993" s="330">
        <v>2.35</v>
      </c>
      <c r="L993" s="330">
        <v>0.66</v>
      </c>
      <c r="N993" s="325">
        <f t="shared" ref="N993:N1005" si="209">J993+K993+L993+M993</f>
        <v>47.16</v>
      </c>
      <c r="O993" s="27"/>
      <c r="P993" s="56"/>
      <c r="Q993" s="26"/>
      <c r="S993" s="330">
        <v>40.26</v>
      </c>
      <c r="T993" s="67">
        <v>4.5</v>
      </c>
      <c r="U993" s="366">
        <f t="shared" ref="U993:U1015" si="210">T993/W993</f>
        <v>6.25E-2</v>
      </c>
      <c r="V993" s="58">
        <v>4.33</v>
      </c>
      <c r="W993" s="36">
        <f>RTD("money.excel",,"6263","Price")</f>
        <v>72</v>
      </c>
      <c r="X993" s="67"/>
      <c r="Y993" s="15">
        <f t="shared" ref="Y993:Y1015" si="211">W993-X993</f>
        <v>72</v>
      </c>
      <c r="Z993" s="3" t="e">
        <f t="shared" ref="Z993:Z1015" si="212">Y993/X993</f>
        <v>#DIV/0!</v>
      </c>
      <c r="AA993" s="174" t="s">
        <v>4718</v>
      </c>
      <c r="AB993" s="16" t="s">
        <v>5698</v>
      </c>
      <c r="AE993" s="33">
        <f t="shared" ref="AE993:AE1015" si="213">AD993-AC993</f>
        <v>0</v>
      </c>
      <c r="AF993" s="122" t="s">
        <v>5552</v>
      </c>
      <c r="AG993" s="128"/>
      <c r="AI993" s="64">
        <f t="shared" ref="AI993:AI1015" si="214">AJ993/(A993*10000)</f>
        <v>8.4800000000000001E-4</v>
      </c>
      <c r="AJ993" s="313">
        <f>RTD("money.excel",,$G993,"PredictVolume")</f>
        <v>53</v>
      </c>
      <c r="AK993" s="348"/>
    </row>
    <row r="994" spans="1:37">
      <c r="A994" s="148" t="s">
        <v>5699</v>
      </c>
      <c r="B994" s="81">
        <v>8</v>
      </c>
      <c r="C994" s="81">
        <v>13</v>
      </c>
      <c r="D994" s="82">
        <v>-10</v>
      </c>
      <c r="E994" s="81">
        <v>4</v>
      </c>
      <c r="F994" s="6">
        <v>1.75</v>
      </c>
      <c r="G994" s="81">
        <v>6285</v>
      </c>
      <c r="H994" s="8" t="s">
        <v>331</v>
      </c>
      <c r="I994" s="22" t="s">
        <v>5700</v>
      </c>
      <c r="J994" s="330">
        <v>51.22</v>
      </c>
      <c r="K994" s="330">
        <v>8.99</v>
      </c>
      <c r="L994" s="330">
        <v>6.23</v>
      </c>
      <c r="N994" s="325">
        <f t="shared" si="209"/>
        <v>66.44</v>
      </c>
      <c r="O994" s="27"/>
      <c r="P994" s="56"/>
      <c r="Q994" s="26"/>
      <c r="S994" s="330">
        <v>0.15</v>
      </c>
      <c r="T994" s="34">
        <v>2.5</v>
      </c>
      <c r="U994" s="366">
        <f t="shared" si="210"/>
        <v>3.5765379113018594E-2</v>
      </c>
      <c r="V994" s="58">
        <v>3.81</v>
      </c>
      <c r="W994" s="36">
        <f>RTD("money.excel",,"6285","Price")</f>
        <v>69.900000000000006</v>
      </c>
      <c r="X994" s="67"/>
      <c r="Y994" s="15">
        <f t="shared" si="211"/>
        <v>69.900000000000006</v>
      </c>
      <c r="Z994" s="3" t="e">
        <f t="shared" si="212"/>
        <v>#DIV/0!</v>
      </c>
      <c r="AA994" s="174" t="s">
        <v>4710</v>
      </c>
      <c r="AB994" s="22" t="s">
        <v>5700</v>
      </c>
      <c r="AE994" s="33">
        <f t="shared" si="213"/>
        <v>0</v>
      </c>
      <c r="AF994" s="122" t="s">
        <v>5701</v>
      </c>
      <c r="AG994" s="128"/>
      <c r="AI994" s="64">
        <f t="shared" si="214"/>
        <v>1.2115869017632242E-3</v>
      </c>
      <c r="AJ994" s="313">
        <f>RTD("money.excel",,$G994,"PredictVolume")</f>
        <v>481</v>
      </c>
      <c r="AK994" s="348"/>
    </row>
    <row r="995" spans="1:37">
      <c r="A995" s="148" t="s">
        <v>5702</v>
      </c>
      <c r="B995" s="82">
        <v>-49</v>
      </c>
      <c r="C995" s="82">
        <v>-48</v>
      </c>
      <c r="D995" s="81">
        <v>1</v>
      </c>
      <c r="E995" s="82">
        <v>-11</v>
      </c>
      <c r="F995" s="6">
        <v>6.35</v>
      </c>
      <c r="G995" s="81">
        <v>6416</v>
      </c>
      <c r="H995" s="8" t="s">
        <v>331</v>
      </c>
      <c r="I995" s="22" t="s">
        <v>5703</v>
      </c>
      <c r="J995" s="330">
        <v>37.92</v>
      </c>
      <c r="K995" s="75">
        <v>0.79</v>
      </c>
      <c r="L995" s="75">
        <v>24.69</v>
      </c>
      <c r="M995" s="330">
        <v>28.65</v>
      </c>
      <c r="N995" s="325">
        <f t="shared" si="209"/>
        <v>92.050000000000011</v>
      </c>
      <c r="O995" s="27"/>
      <c r="P995" s="56"/>
      <c r="Q995" s="26"/>
      <c r="R995" s="308" t="s">
        <v>6092</v>
      </c>
      <c r="S995" s="330">
        <v>1.92</v>
      </c>
      <c r="T995" s="67">
        <v>3.65</v>
      </c>
      <c r="U995" s="366">
        <f t="shared" si="210"/>
        <v>4.2890716803760283E-2</v>
      </c>
      <c r="V995" s="97">
        <v>3.31</v>
      </c>
      <c r="W995" s="36">
        <f>RTD("money.excel",,"6416","Price")</f>
        <v>85.1</v>
      </c>
      <c r="X995" s="67"/>
      <c r="Y995" s="15">
        <f t="shared" si="211"/>
        <v>85.1</v>
      </c>
      <c r="Z995" s="3" t="e">
        <f t="shared" si="212"/>
        <v>#DIV/0!</v>
      </c>
      <c r="AA995" s="174" t="s">
        <v>2185</v>
      </c>
      <c r="AB995" s="22" t="s">
        <v>5703</v>
      </c>
      <c r="AE995" s="33">
        <f t="shared" si="213"/>
        <v>0</v>
      </c>
      <c r="AF995" s="43" t="s">
        <v>5704</v>
      </c>
      <c r="AG995" s="128"/>
      <c r="AI995" s="64">
        <f t="shared" si="214"/>
        <v>7.9234972677595628E-4</v>
      </c>
      <c r="AJ995" s="313">
        <f>RTD("money.excel",,$G995,"PredictVolume")</f>
        <v>58</v>
      </c>
      <c r="AK995" s="348">
        <v>32.47</v>
      </c>
    </row>
    <row r="996" spans="1:37">
      <c r="A996" s="132" t="s">
        <v>5705</v>
      </c>
      <c r="B996" s="82">
        <v>-9</v>
      </c>
      <c r="C996" s="82">
        <v>-1</v>
      </c>
      <c r="D996" s="81">
        <v>10</v>
      </c>
      <c r="E996" s="81">
        <v>25</v>
      </c>
      <c r="F996" s="58">
        <v>12.27</v>
      </c>
      <c r="G996" s="81">
        <v>6417</v>
      </c>
      <c r="H996" s="8" t="s">
        <v>331</v>
      </c>
      <c r="I996" s="16" t="s">
        <v>5706</v>
      </c>
      <c r="J996" s="330">
        <v>60.58</v>
      </c>
      <c r="K996" s="330">
        <v>11.57</v>
      </c>
      <c r="L996" s="75">
        <v>30.12</v>
      </c>
      <c r="N996" s="325">
        <f t="shared" si="209"/>
        <v>102.27000000000001</v>
      </c>
      <c r="O996" s="27"/>
      <c r="P996" s="56"/>
      <c r="Q996" s="26"/>
      <c r="S996" s="330">
        <v>0</v>
      </c>
      <c r="T996" s="34">
        <v>1.3</v>
      </c>
      <c r="U996" s="366" t="e">
        <f t="shared" si="210"/>
        <v>#VALUE!</v>
      </c>
      <c r="V996" s="58">
        <v>2.5499999999999998</v>
      </c>
      <c r="W996" s="36" t="str">
        <f>RTD("money.excel",,"6417","Price")</f>
        <v>無資料</v>
      </c>
      <c r="X996" s="67"/>
      <c r="Y996" s="15" t="e">
        <f t="shared" si="211"/>
        <v>#VALUE!</v>
      </c>
      <c r="Z996" s="3" t="e">
        <f t="shared" si="212"/>
        <v>#VALUE!</v>
      </c>
      <c r="AB996" s="16" t="s">
        <v>5706</v>
      </c>
      <c r="AE996" s="33">
        <f t="shared" si="213"/>
        <v>0</v>
      </c>
      <c r="AF996" s="43" t="s">
        <v>3148</v>
      </c>
      <c r="AG996" s="128"/>
      <c r="AI996" s="64">
        <f t="shared" si="214"/>
        <v>0</v>
      </c>
      <c r="AJ996" s="313">
        <f>RTD("money.excel",,$G996,"PredictVolume")</f>
        <v>0</v>
      </c>
      <c r="AK996" s="348"/>
    </row>
    <row r="997" spans="1:37">
      <c r="A997" s="132" t="s">
        <v>5707</v>
      </c>
      <c r="B997" s="81">
        <v>54</v>
      </c>
      <c r="C997" s="81">
        <v>64</v>
      </c>
      <c r="D997" s="82">
        <v>-26</v>
      </c>
      <c r="E997" s="82">
        <v>-29</v>
      </c>
      <c r="F997" s="58">
        <v>28.75</v>
      </c>
      <c r="G997" s="81">
        <v>6426</v>
      </c>
      <c r="H997" s="210" t="s">
        <v>331</v>
      </c>
      <c r="I997" s="22" t="s">
        <v>5708</v>
      </c>
      <c r="J997" s="75">
        <v>34.94</v>
      </c>
      <c r="K997" s="330">
        <v>6.57</v>
      </c>
      <c r="L997" s="330">
        <v>38.15</v>
      </c>
      <c r="N997" s="325">
        <f t="shared" si="209"/>
        <v>79.66</v>
      </c>
      <c r="O997" s="27"/>
      <c r="P997" s="56"/>
      <c r="Q997" s="26"/>
      <c r="S997" s="330">
        <v>1.87</v>
      </c>
      <c r="T997" s="34">
        <v>2.5</v>
      </c>
      <c r="U997" s="366">
        <f t="shared" si="210"/>
        <v>3.5765379113018594E-2</v>
      </c>
      <c r="V997" s="97">
        <v>3.58</v>
      </c>
      <c r="W997" s="36">
        <f>RTD("money.excel",,"6426","Price")</f>
        <v>69.900000000000006</v>
      </c>
      <c r="X997" s="67"/>
      <c r="Y997" s="15">
        <f t="shared" si="211"/>
        <v>69.900000000000006</v>
      </c>
      <c r="Z997" s="3" t="e">
        <f t="shared" si="212"/>
        <v>#DIV/0!</v>
      </c>
      <c r="AA997" s="174" t="s">
        <v>4710</v>
      </c>
      <c r="AB997" s="22" t="s">
        <v>5708</v>
      </c>
      <c r="AE997" s="33">
        <f t="shared" si="213"/>
        <v>0</v>
      </c>
      <c r="AF997" s="124" t="s">
        <v>5709</v>
      </c>
      <c r="AG997" s="128"/>
      <c r="AI997" s="64">
        <f t="shared" si="214"/>
        <v>7.2727272727272723E-4</v>
      </c>
      <c r="AJ997" s="313">
        <f>RTD("money.excel",,$G997,"PredictVolume")</f>
        <v>28</v>
      </c>
      <c r="AK997" s="348"/>
    </row>
    <row r="998" spans="1:37">
      <c r="A998" s="148" t="s">
        <v>5710</v>
      </c>
      <c r="B998" s="93">
        <v>-62</v>
      </c>
      <c r="C998" s="93">
        <v>-63</v>
      </c>
      <c r="D998" s="93">
        <v>-27</v>
      </c>
      <c r="E998" s="93">
        <v>-39</v>
      </c>
      <c r="F998" s="6">
        <v>1.34</v>
      </c>
      <c r="G998" s="81">
        <v>6442</v>
      </c>
      <c r="H998" s="8" t="s">
        <v>331</v>
      </c>
      <c r="I998" s="22" t="s">
        <v>5711</v>
      </c>
      <c r="J998" s="75">
        <v>70.88</v>
      </c>
      <c r="K998" s="75">
        <v>33.64</v>
      </c>
      <c r="L998" s="75">
        <v>8.42</v>
      </c>
      <c r="N998" s="325">
        <f t="shared" si="209"/>
        <v>112.94</v>
      </c>
      <c r="O998" s="27"/>
      <c r="P998" s="56"/>
      <c r="Q998" s="26"/>
      <c r="S998" s="330">
        <v>16.3</v>
      </c>
      <c r="T998" s="34">
        <v>1</v>
      </c>
      <c r="U998" s="366">
        <f t="shared" si="210"/>
        <v>2.865329512893983E-2</v>
      </c>
      <c r="V998" s="97">
        <v>-0.56999999999999995</v>
      </c>
      <c r="W998" s="36">
        <f>RTD("money.excel",,"6442","Price")</f>
        <v>34.9</v>
      </c>
      <c r="X998" s="67"/>
      <c r="Y998" s="15">
        <f t="shared" si="211"/>
        <v>34.9</v>
      </c>
      <c r="Z998" s="3" t="e">
        <f t="shared" si="212"/>
        <v>#DIV/0!</v>
      </c>
      <c r="AA998" s="174" t="s">
        <v>4710</v>
      </c>
      <c r="AB998" s="22" t="s">
        <v>5711</v>
      </c>
      <c r="AE998" s="33">
        <f t="shared" si="213"/>
        <v>0</v>
      </c>
      <c r="AF998" s="43" t="s">
        <v>2214</v>
      </c>
      <c r="AG998" s="128"/>
      <c r="AI998" s="64">
        <f t="shared" si="214"/>
        <v>3.7518037518037518E-4</v>
      </c>
      <c r="AJ998" s="313">
        <f>RTD("money.excel",,$G998,"PredictVolume")</f>
        <v>26</v>
      </c>
      <c r="AK998" s="348"/>
    </row>
    <row r="999" spans="1:37">
      <c r="A999" s="132" t="s">
        <v>5712</v>
      </c>
      <c r="B999" s="93">
        <v>64</v>
      </c>
      <c r="C999" s="93">
        <v>103</v>
      </c>
      <c r="D999" s="93">
        <v>-4</v>
      </c>
      <c r="E999" s="93">
        <v>15</v>
      </c>
      <c r="F999" s="58">
        <v>11.01</v>
      </c>
      <c r="G999" s="81">
        <v>6470</v>
      </c>
      <c r="H999" s="8" t="s">
        <v>331</v>
      </c>
      <c r="I999" s="16" t="s">
        <v>5713</v>
      </c>
      <c r="J999" s="75">
        <v>45.01</v>
      </c>
      <c r="K999" s="75">
        <v>6.13</v>
      </c>
      <c r="L999" s="75">
        <v>24.2</v>
      </c>
      <c r="N999" s="325">
        <f t="shared" si="209"/>
        <v>75.34</v>
      </c>
      <c r="O999" s="27"/>
      <c r="P999" s="56"/>
      <c r="Q999" s="26"/>
      <c r="S999" s="330">
        <v>19.440000000000001</v>
      </c>
      <c r="T999" s="67">
        <v>3.5</v>
      </c>
      <c r="U999" s="366">
        <f t="shared" si="210"/>
        <v>7.9635949943117179E-2</v>
      </c>
      <c r="V999" s="97">
        <v>4.8</v>
      </c>
      <c r="W999" s="36">
        <f>RTD("money.excel",,"6470","Price")</f>
        <v>43.95</v>
      </c>
      <c r="X999" s="67"/>
      <c r="Y999" s="15">
        <f t="shared" si="211"/>
        <v>43.95</v>
      </c>
      <c r="Z999" s="3" t="e">
        <f t="shared" si="212"/>
        <v>#DIV/0!</v>
      </c>
      <c r="AA999" s="174" t="s">
        <v>4718</v>
      </c>
      <c r="AB999" s="16" t="s">
        <v>5713</v>
      </c>
      <c r="AE999" s="33">
        <f t="shared" si="213"/>
        <v>0</v>
      </c>
      <c r="AF999" s="43" t="s">
        <v>5714</v>
      </c>
      <c r="AI999" s="64">
        <f t="shared" si="214"/>
        <v>2.1406727828746178E-4</v>
      </c>
      <c r="AJ999" s="313">
        <f>RTD("money.excel",,$G999,"PredictVolume")</f>
        <v>7</v>
      </c>
    </row>
    <row r="1000" spans="1:37">
      <c r="A1000" s="132" t="s">
        <v>5715</v>
      </c>
      <c r="B1000" s="81">
        <v>28</v>
      </c>
      <c r="C1000" s="81">
        <v>27</v>
      </c>
      <c r="D1000" s="81">
        <v>108</v>
      </c>
      <c r="E1000" s="81">
        <v>51</v>
      </c>
      <c r="F1000" s="58">
        <v>13.82</v>
      </c>
      <c r="G1000" s="81">
        <v>6486</v>
      </c>
      <c r="H1000" s="8" t="s">
        <v>331</v>
      </c>
      <c r="I1000" s="16" t="s">
        <v>5716</v>
      </c>
      <c r="J1000" s="330">
        <v>49.74</v>
      </c>
      <c r="K1000" s="330">
        <v>0.64</v>
      </c>
      <c r="L1000" s="330">
        <v>6.18</v>
      </c>
      <c r="M1000" s="75">
        <v>46.51</v>
      </c>
      <c r="N1000" s="325">
        <f t="shared" si="209"/>
        <v>103.07</v>
      </c>
      <c r="O1000" s="27"/>
      <c r="P1000" s="56"/>
      <c r="Q1000" s="26"/>
      <c r="R1000" s="308" t="s">
        <v>6086</v>
      </c>
      <c r="S1000" s="330">
        <v>0.63</v>
      </c>
      <c r="T1000" s="67">
        <v>6</v>
      </c>
      <c r="U1000" s="366">
        <f t="shared" si="210"/>
        <v>7.7319587628865982E-2</v>
      </c>
      <c r="V1000" s="97">
        <v>6.95</v>
      </c>
      <c r="W1000" s="36">
        <f>RTD("money.excel",,"6486","Price")</f>
        <v>77.599999999999994</v>
      </c>
      <c r="X1000" s="67"/>
      <c r="Y1000" s="15">
        <f t="shared" si="211"/>
        <v>77.599999999999994</v>
      </c>
      <c r="Z1000" s="3" t="e">
        <f t="shared" si="212"/>
        <v>#DIV/0!</v>
      </c>
      <c r="AA1000" s="174" t="s">
        <v>2185</v>
      </c>
      <c r="AB1000" s="16" t="s">
        <v>5716</v>
      </c>
      <c r="AE1000" s="33">
        <f t="shared" si="213"/>
        <v>0</v>
      </c>
      <c r="AF1000" s="43" t="s">
        <v>5717</v>
      </c>
      <c r="AG1000" s="128"/>
      <c r="AI1000" s="64">
        <f t="shared" si="214"/>
        <v>4.2783505154639174E-3</v>
      </c>
      <c r="AJ1000" s="313">
        <f>RTD("money.excel",,$G1000,"PredictVolume")</f>
        <v>166</v>
      </c>
      <c r="AK1000" s="348">
        <v>5.51</v>
      </c>
    </row>
    <row r="1001" spans="1:37">
      <c r="A1001" s="132" t="s">
        <v>4716</v>
      </c>
      <c r="B1001" s="81">
        <v>40</v>
      </c>
      <c r="C1001" s="81">
        <v>10</v>
      </c>
      <c r="D1001" s="81">
        <v>47</v>
      </c>
      <c r="E1001" s="81">
        <v>23</v>
      </c>
      <c r="F1001" s="58">
        <v>13</v>
      </c>
      <c r="G1001" s="81">
        <v>6514</v>
      </c>
      <c r="H1001" s="8" t="s">
        <v>331</v>
      </c>
      <c r="I1001" s="16" t="s">
        <v>5718</v>
      </c>
      <c r="J1001" s="330">
        <v>54.08</v>
      </c>
      <c r="K1001" s="330">
        <v>55</v>
      </c>
      <c r="L1001" s="75">
        <v>28.75</v>
      </c>
      <c r="M1001" s="75">
        <v>57.71</v>
      </c>
      <c r="N1001" s="75">
        <f t="shared" si="209"/>
        <v>195.54</v>
      </c>
      <c r="O1001" s="27"/>
      <c r="P1001" s="56"/>
      <c r="Q1001" s="26"/>
      <c r="R1001" s="308" t="s">
        <v>4728</v>
      </c>
      <c r="S1001" s="330">
        <v>1.06</v>
      </c>
      <c r="T1001" s="67">
        <v>3.5</v>
      </c>
      <c r="U1001" s="366">
        <f t="shared" si="210"/>
        <v>5.9625212947189095E-2</v>
      </c>
      <c r="V1001" s="58">
        <v>2.75</v>
      </c>
      <c r="W1001" s="13">
        <f>RTD("money.excel",,"6514","Price")</f>
        <v>58.7</v>
      </c>
      <c r="X1001" s="67"/>
      <c r="Y1001" s="15">
        <f t="shared" si="211"/>
        <v>58.7</v>
      </c>
      <c r="Z1001" s="3" t="e">
        <f t="shared" si="212"/>
        <v>#DIV/0!</v>
      </c>
      <c r="AA1001" s="174" t="s">
        <v>4714</v>
      </c>
      <c r="AB1001" s="16" t="s">
        <v>5718</v>
      </c>
      <c r="AE1001" s="33">
        <f t="shared" si="213"/>
        <v>0</v>
      </c>
      <c r="AF1001" s="43" t="s">
        <v>5719</v>
      </c>
      <c r="AG1001" s="128"/>
      <c r="AI1001" s="64">
        <f t="shared" si="214"/>
        <v>6.4999999999999997E-3</v>
      </c>
      <c r="AJ1001" s="313">
        <f>RTD("money.excel",,$G1001,"PredictVolume")</f>
        <v>195</v>
      </c>
      <c r="AK1001" s="348"/>
    </row>
    <row r="1002" spans="1:37">
      <c r="A1002" s="132" t="s">
        <v>5720</v>
      </c>
      <c r="B1002" s="93">
        <v>3</v>
      </c>
      <c r="C1002" s="93">
        <v>35</v>
      </c>
      <c r="D1002" s="93">
        <v>-2</v>
      </c>
      <c r="E1002" s="93">
        <v>10</v>
      </c>
      <c r="F1002" s="58">
        <v>12.66</v>
      </c>
      <c r="G1002" s="81">
        <v>6530</v>
      </c>
      <c r="H1002" s="8" t="s">
        <v>331</v>
      </c>
      <c r="I1002" s="16" t="s">
        <v>5721</v>
      </c>
      <c r="J1002" s="75">
        <v>66.63</v>
      </c>
      <c r="K1002" s="75">
        <v>0.01</v>
      </c>
      <c r="L1002" s="75">
        <v>2.31</v>
      </c>
      <c r="N1002" s="325">
        <f t="shared" si="209"/>
        <v>68.95</v>
      </c>
      <c r="O1002" s="27"/>
      <c r="P1002" s="56"/>
      <c r="Q1002" s="26"/>
      <c r="S1002" s="330">
        <v>22.62</v>
      </c>
      <c r="T1002" s="34">
        <v>1</v>
      </c>
      <c r="U1002" s="366">
        <f t="shared" si="210"/>
        <v>4.5977011494252873E-2</v>
      </c>
      <c r="V1002" s="97">
        <v>0.77</v>
      </c>
      <c r="W1002" s="13">
        <f>RTD("money.excel",,"6530","Price")</f>
        <v>21.75</v>
      </c>
      <c r="X1002" s="67"/>
      <c r="Y1002" s="15">
        <f t="shared" si="211"/>
        <v>21.75</v>
      </c>
      <c r="Z1002" s="3" t="e">
        <f t="shared" si="212"/>
        <v>#DIV/0!</v>
      </c>
      <c r="AB1002" s="16" t="s">
        <v>5721</v>
      </c>
      <c r="AE1002" s="33">
        <f t="shared" si="213"/>
        <v>0</v>
      </c>
      <c r="AF1002" s="43" t="s">
        <v>5604</v>
      </c>
      <c r="AG1002" s="128"/>
      <c r="AI1002" s="64">
        <f t="shared" si="214"/>
        <v>4.7337278106508876E-3</v>
      </c>
      <c r="AJ1002" s="313">
        <f>RTD("money.excel",,$G1002,"PredictVolume")</f>
        <v>160</v>
      </c>
      <c r="AK1002" s="348"/>
    </row>
    <row r="1003" spans="1:37">
      <c r="A1003" s="132" t="s">
        <v>5722</v>
      </c>
      <c r="B1003" s="81">
        <v>9</v>
      </c>
      <c r="C1003" s="81">
        <v>9</v>
      </c>
      <c r="D1003" s="81">
        <v>0</v>
      </c>
      <c r="E1003" s="81">
        <v>9</v>
      </c>
      <c r="F1003" s="58">
        <v>30.18</v>
      </c>
      <c r="G1003" s="81">
        <v>6561</v>
      </c>
      <c r="H1003" s="8" t="s">
        <v>331</v>
      </c>
      <c r="I1003" s="16" t="s">
        <v>5723</v>
      </c>
      <c r="J1003" s="330">
        <v>76.03</v>
      </c>
      <c r="K1003" s="330">
        <v>14.08</v>
      </c>
      <c r="L1003" s="75">
        <v>1.03</v>
      </c>
      <c r="N1003" s="325">
        <f t="shared" si="209"/>
        <v>91.14</v>
      </c>
      <c r="O1003" s="27"/>
      <c r="P1003" s="56"/>
      <c r="Q1003" s="26"/>
      <c r="S1003" s="330">
        <v>0</v>
      </c>
      <c r="T1003" s="67">
        <v>8.8000000000000007</v>
      </c>
      <c r="U1003" s="366">
        <f t="shared" si="210"/>
        <v>3.1428571428571431E-2</v>
      </c>
      <c r="V1003" s="97">
        <v>9.08</v>
      </c>
      <c r="W1003" s="36">
        <f>RTD("money.excel",,"6561","Price")</f>
        <v>280</v>
      </c>
      <c r="X1003" s="67"/>
      <c r="Y1003" s="15">
        <f t="shared" si="211"/>
        <v>280</v>
      </c>
      <c r="Z1003" s="3" t="e">
        <f t="shared" si="212"/>
        <v>#DIV/0!</v>
      </c>
      <c r="AA1003" s="174" t="s">
        <v>4714</v>
      </c>
      <c r="AB1003" s="16" t="s">
        <v>5723</v>
      </c>
      <c r="AE1003" s="33">
        <f t="shared" si="213"/>
        <v>0</v>
      </c>
      <c r="AF1003" s="43" t="s">
        <v>5724</v>
      </c>
      <c r="AG1003" s="128"/>
      <c r="AI1003" s="64">
        <f t="shared" si="214"/>
        <v>4.1134751773049644E-4</v>
      </c>
      <c r="AJ1003" s="313">
        <f>RTD("money.excel",,$G1003,"PredictVolume")</f>
        <v>29</v>
      </c>
      <c r="AK1003" s="348"/>
    </row>
    <row r="1004" spans="1:37">
      <c r="A1004" s="132" t="s">
        <v>5725</v>
      </c>
      <c r="B1004" s="81">
        <v>13</v>
      </c>
      <c r="C1004" s="82">
        <v>-28</v>
      </c>
      <c r="D1004" s="81">
        <v>-24</v>
      </c>
      <c r="E1004" s="81">
        <v>-2</v>
      </c>
      <c r="F1004" s="58">
        <v>22.64</v>
      </c>
      <c r="G1004" s="81">
        <v>6588</v>
      </c>
      <c r="H1004" s="8" t="s">
        <v>331</v>
      </c>
      <c r="I1004" s="16" t="s">
        <v>5726</v>
      </c>
      <c r="J1004" s="330">
        <v>50.29</v>
      </c>
      <c r="K1004" s="75">
        <v>0.56000000000000005</v>
      </c>
      <c r="N1004" s="325">
        <f t="shared" si="209"/>
        <v>50.85</v>
      </c>
      <c r="O1004" s="27"/>
      <c r="P1004" s="56"/>
      <c r="Q1004" s="26"/>
      <c r="T1004" s="34">
        <v>1.5</v>
      </c>
      <c r="U1004" s="366">
        <f t="shared" si="210"/>
        <v>3.6674816625916873E-2</v>
      </c>
      <c r="V1004" s="97">
        <v>2.27</v>
      </c>
      <c r="W1004" s="36">
        <f>RTD("money.excel",,"6588","Price")</f>
        <v>40.9</v>
      </c>
      <c r="X1004" s="67"/>
      <c r="Y1004" s="15">
        <f t="shared" si="211"/>
        <v>40.9</v>
      </c>
      <c r="Z1004" s="3" t="e">
        <f t="shared" si="212"/>
        <v>#DIV/0!</v>
      </c>
      <c r="AB1004" s="16" t="s">
        <v>5727</v>
      </c>
      <c r="AE1004" s="33">
        <f t="shared" si="213"/>
        <v>0</v>
      </c>
      <c r="AF1004" s="43" t="s">
        <v>2258</v>
      </c>
      <c r="AG1004" s="269"/>
      <c r="AI1004" s="64">
        <f t="shared" si="214"/>
        <v>2.9962546816479402E-4</v>
      </c>
      <c r="AJ1004" s="313">
        <f>RTD("money.excel",,$G1004,"PredictVolume")</f>
        <v>8</v>
      </c>
      <c r="AK1004" s="348"/>
    </row>
    <row r="1005" spans="1:37">
      <c r="A1005" s="148" t="s">
        <v>5728</v>
      </c>
      <c r="B1005" s="93">
        <v>60</v>
      </c>
      <c r="C1005" s="93">
        <v>-16</v>
      </c>
      <c r="D1005" s="93">
        <v>-8</v>
      </c>
      <c r="E1005" s="93">
        <v>33</v>
      </c>
      <c r="F1005" s="6">
        <v>3.9</v>
      </c>
      <c r="G1005" s="81">
        <v>6674</v>
      </c>
      <c r="H1005" s="8" t="s">
        <v>331</v>
      </c>
      <c r="I1005" s="22" t="s">
        <v>5729</v>
      </c>
      <c r="J1005" s="75">
        <v>87</v>
      </c>
      <c r="K1005" s="75">
        <v>0.03</v>
      </c>
      <c r="N1005" s="325">
        <f t="shared" si="209"/>
        <v>87.03</v>
      </c>
      <c r="O1005" s="27"/>
      <c r="P1005" s="56"/>
      <c r="Q1005" s="26"/>
      <c r="S1005" s="330">
        <v>52.53</v>
      </c>
      <c r="T1005" s="34">
        <v>1.4</v>
      </c>
      <c r="U1005" s="366" t="e">
        <f t="shared" si="210"/>
        <v>#VALUE!</v>
      </c>
      <c r="V1005" s="97">
        <v>0.7</v>
      </c>
      <c r="W1005" s="13" t="str">
        <f>RTD("money.excel",,"6674","Price")</f>
        <v>無資料</v>
      </c>
      <c r="X1005" s="67"/>
      <c r="Y1005" s="15" t="e">
        <f t="shared" si="211"/>
        <v>#VALUE!</v>
      </c>
      <c r="Z1005" s="3" t="e">
        <f t="shared" si="212"/>
        <v>#VALUE!</v>
      </c>
      <c r="AA1005" s="174" t="s">
        <v>4710</v>
      </c>
      <c r="AB1005" s="22" t="s">
        <v>5729</v>
      </c>
      <c r="AE1005" s="33">
        <f t="shared" si="213"/>
        <v>0</v>
      </c>
      <c r="AF1005" s="43" t="s">
        <v>5730</v>
      </c>
      <c r="AG1005" s="128"/>
      <c r="AI1005" s="64">
        <f t="shared" si="214"/>
        <v>0</v>
      </c>
      <c r="AJ1005" s="313">
        <f>RTD("money.excel",,$G1005,"PredictVolume")</f>
        <v>0</v>
      </c>
      <c r="AK1005" s="348"/>
    </row>
    <row r="1006" spans="1:37">
      <c r="A1006" s="132" t="s">
        <v>5731</v>
      </c>
      <c r="B1006" s="81">
        <v>81</v>
      </c>
      <c r="C1006" s="81">
        <v>134</v>
      </c>
      <c r="D1006" s="82">
        <v>-2</v>
      </c>
      <c r="E1006" s="81">
        <v>14</v>
      </c>
      <c r="F1006" s="58">
        <v>20.65</v>
      </c>
      <c r="G1006" s="81">
        <v>6792</v>
      </c>
      <c r="H1006" s="8" t="s">
        <v>331</v>
      </c>
      <c r="I1006" s="22" t="s">
        <v>5732</v>
      </c>
      <c r="J1006" s="330">
        <v>45.77</v>
      </c>
      <c r="K1006" s="330">
        <v>0.64</v>
      </c>
      <c r="L1006" s="330"/>
      <c r="M1006" s="330">
        <v>42.12</v>
      </c>
      <c r="N1006" s="325">
        <f>K1006+J1006+L1006+M1006</f>
        <v>88.53</v>
      </c>
      <c r="O1006" s="27"/>
      <c r="P1006" s="56"/>
      <c r="Q1006" s="26"/>
      <c r="T1006" s="67">
        <v>3.5</v>
      </c>
      <c r="U1006" s="366">
        <f t="shared" si="210"/>
        <v>2.7131782945736434E-2</v>
      </c>
      <c r="V1006" s="97">
        <v>6.28</v>
      </c>
      <c r="W1006" s="36">
        <f>RTD("money.excel",,"6792","Price")</f>
        <v>129</v>
      </c>
      <c r="X1006" s="67"/>
      <c r="Y1006" s="15">
        <f t="shared" si="211"/>
        <v>129</v>
      </c>
      <c r="Z1006" s="3" t="e">
        <f t="shared" si="212"/>
        <v>#DIV/0!</v>
      </c>
      <c r="AA1006" s="174" t="s">
        <v>4718</v>
      </c>
      <c r="AB1006" s="22" t="s">
        <v>5732</v>
      </c>
      <c r="AE1006" s="33">
        <f t="shared" si="213"/>
        <v>0</v>
      </c>
      <c r="AF1006" s="43" t="s">
        <v>4356</v>
      </c>
      <c r="AG1006" s="128"/>
      <c r="AI1006" s="64">
        <f t="shared" si="214"/>
        <v>4.572025052192067E-3</v>
      </c>
      <c r="AJ1006" s="313">
        <f>RTD("money.excel",,$G1006,"PredictVolume")</f>
        <v>219</v>
      </c>
      <c r="AK1006" s="348"/>
    </row>
    <row r="1007" spans="1:37">
      <c r="A1007" s="148" t="s">
        <v>5733</v>
      </c>
      <c r="B1007" s="81">
        <v>46</v>
      </c>
      <c r="C1007" s="81">
        <v>58</v>
      </c>
      <c r="D1007" s="81">
        <v>20</v>
      </c>
      <c r="E1007" s="82">
        <v>-4</v>
      </c>
      <c r="F1007" s="6">
        <v>-2.2200000000000002</v>
      </c>
      <c r="G1007" s="81">
        <v>8011</v>
      </c>
      <c r="H1007" s="8" t="s">
        <v>331</v>
      </c>
      <c r="I1007" s="22" t="s">
        <v>5734</v>
      </c>
      <c r="J1007" s="75">
        <v>24.82</v>
      </c>
      <c r="K1007" s="75">
        <v>2.34</v>
      </c>
      <c r="L1007" s="75">
        <v>23.79</v>
      </c>
      <c r="N1007" s="325">
        <f t="shared" ref="N1007:N1015" si="215">J1007+K1007+L1007+M1007</f>
        <v>50.95</v>
      </c>
      <c r="O1007" s="27"/>
      <c r="P1007" s="56"/>
      <c r="Q1007" s="26"/>
      <c r="S1007" s="330">
        <v>0.42</v>
      </c>
      <c r="T1007" s="34">
        <v>0</v>
      </c>
      <c r="U1007" s="366">
        <f t="shared" si="210"/>
        <v>0</v>
      </c>
      <c r="V1007" s="97">
        <v>-0.19</v>
      </c>
      <c r="W1007" s="36">
        <f>RTD("money.excel",,"8011","Price")</f>
        <v>17.05</v>
      </c>
      <c r="X1007" s="67"/>
      <c r="Y1007" s="15">
        <f t="shared" si="211"/>
        <v>17.05</v>
      </c>
      <c r="Z1007" s="3" t="e">
        <f t="shared" si="212"/>
        <v>#DIV/0!</v>
      </c>
      <c r="AA1007" s="174" t="s">
        <v>4710</v>
      </c>
      <c r="AB1007" s="22" t="s">
        <v>5734</v>
      </c>
      <c r="AE1007" s="33">
        <f t="shared" si="213"/>
        <v>0</v>
      </c>
      <c r="AF1007" s="122" t="s">
        <v>5735</v>
      </c>
      <c r="AG1007" s="128"/>
      <c r="AI1007" s="64">
        <f t="shared" si="214"/>
        <v>3.1224489795918368E-3</v>
      </c>
      <c r="AJ1007" s="313">
        <f>RTD("money.excel",,$G1007,"PredictVolume")</f>
        <v>459</v>
      </c>
      <c r="AK1007" s="348"/>
    </row>
    <row r="1008" spans="1:37">
      <c r="A1008" s="148" t="s">
        <v>5736</v>
      </c>
      <c r="B1008" s="93">
        <v>117</v>
      </c>
      <c r="C1008" s="93">
        <v>95</v>
      </c>
      <c r="D1008" s="93">
        <v>57</v>
      </c>
      <c r="E1008" s="93">
        <v>-68</v>
      </c>
      <c r="F1008" s="6">
        <v>-0.47</v>
      </c>
      <c r="G1008" s="81">
        <v>8034</v>
      </c>
      <c r="H1008" s="8" t="s">
        <v>331</v>
      </c>
      <c r="I1008" s="16" t="s">
        <v>5737</v>
      </c>
      <c r="J1008" s="330">
        <v>30.91</v>
      </c>
      <c r="K1008" s="75">
        <v>0.73</v>
      </c>
      <c r="N1008" s="325">
        <f t="shared" si="215"/>
        <v>31.64</v>
      </c>
      <c r="O1008" s="27"/>
      <c r="P1008" s="56"/>
      <c r="Q1008" s="26"/>
      <c r="S1008" s="330">
        <v>8.82</v>
      </c>
      <c r="T1008" s="34">
        <v>0</v>
      </c>
      <c r="U1008" s="366">
        <f t="shared" si="210"/>
        <v>0</v>
      </c>
      <c r="V1008" s="97">
        <v>0.19</v>
      </c>
      <c r="W1008" s="36">
        <f>RTD("money.excel",,"8034","Price")</f>
        <v>18</v>
      </c>
      <c r="X1008" s="67"/>
      <c r="Y1008" s="15">
        <f t="shared" si="211"/>
        <v>18</v>
      </c>
      <c r="Z1008" s="3" t="e">
        <f t="shared" si="212"/>
        <v>#DIV/0!</v>
      </c>
      <c r="AB1008" s="16" t="s">
        <v>5737</v>
      </c>
      <c r="AE1008" s="33">
        <f t="shared" si="213"/>
        <v>0</v>
      </c>
      <c r="AF1008" s="43" t="s">
        <v>5738</v>
      </c>
      <c r="AG1008" s="128"/>
      <c r="AI1008" s="64">
        <f t="shared" si="214"/>
        <v>6.661367249602544E-3</v>
      </c>
      <c r="AJ1008" s="313">
        <f>RTD("money.excel",,$G1008,"PredictVolume")</f>
        <v>419</v>
      </c>
      <c r="AK1008" s="348"/>
    </row>
    <row r="1009" spans="1:37">
      <c r="A1009" s="132" t="s">
        <v>5739</v>
      </c>
      <c r="B1009" s="93">
        <v>-60</v>
      </c>
      <c r="C1009" s="93">
        <v>-52</v>
      </c>
      <c r="D1009" s="93">
        <v>6</v>
      </c>
      <c r="E1009" s="93">
        <v>-12</v>
      </c>
      <c r="F1009" s="58">
        <v>10.97</v>
      </c>
      <c r="G1009" s="81">
        <v>8048</v>
      </c>
      <c r="H1009" s="8" t="s">
        <v>331</v>
      </c>
      <c r="I1009" s="16" t="s">
        <v>5740</v>
      </c>
      <c r="J1009" s="75">
        <v>55.74</v>
      </c>
      <c r="K1009" s="75">
        <v>0.25</v>
      </c>
      <c r="L1009" s="75">
        <v>13.16</v>
      </c>
      <c r="N1009" s="325">
        <f t="shared" si="215"/>
        <v>69.150000000000006</v>
      </c>
      <c r="O1009" s="27"/>
      <c r="P1009" s="56"/>
      <c r="Q1009" s="26"/>
      <c r="S1009" s="330">
        <v>16.64</v>
      </c>
      <c r="T1009" s="34">
        <v>2.2999999999999998</v>
      </c>
      <c r="U1009" s="366">
        <f t="shared" si="210"/>
        <v>6.6763425253991288E-2</v>
      </c>
      <c r="V1009" s="97">
        <v>2.69</v>
      </c>
      <c r="W1009" s="13">
        <f>RTD("money.excel",,"8048","Price")</f>
        <v>34.450000000000003</v>
      </c>
      <c r="X1009" s="67"/>
      <c r="Y1009" s="15">
        <f t="shared" si="211"/>
        <v>34.450000000000003</v>
      </c>
      <c r="Z1009" s="3" t="e">
        <f t="shared" si="212"/>
        <v>#DIV/0!</v>
      </c>
      <c r="AB1009" s="16" t="s">
        <v>5740</v>
      </c>
      <c r="AE1009" s="33">
        <f t="shared" si="213"/>
        <v>0</v>
      </c>
      <c r="AF1009" s="122" t="s">
        <v>5741</v>
      </c>
      <c r="AG1009" s="128"/>
      <c r="AI1009" s="64">
        <f t="shared" si="214"/>
        <v>4.1209829867674859E-3</v>
      </c>
      <c r="AJ1009" s="313">
        <f>RTD("money.excel",,$G1009,"PredictVolume")</f>
        <v>218</v>
      </c>
      <c r="AK1009" s="348"/>
    </row>
    <row r="1010" spans="1:37">
      <c r="A1010" s="148" t="s">
        <v>5742</v>
      </c>
      <c r="B1010" s="93">
        <v>-92</v>
      </c>
      <c r="C1010" s="93">
        <v>-210</v>
      </c>
      <c r="D1010" s="93">
        <v>-40</v>
      </c>
      <c r="E1010" s="93">
        <v>-28</v>
      </c>
      <c r="F1010" s="6">
        <v>-3.46</v>
      </c>
      <c r="G1010" s="81">
        <v>8059</v>
      </c>
      <c r="H1010" s="8" t="s">
        <v>331</v>
      </c>
      <c r="I1010" s="16" t="s">
        <v>5743</v>
      </c>
      <c r="J1010" s="75">
        <v>45.54</v>
      </c>
      <c r="K1010" s="75">
        <v>2.34</v>
      </c>
      <c r="N1010" s="325">
        <f t="shared" si="215"/>
        <v>47.879999999999995</v>
      </c>
      <c r="O1010" s="27"/>
      <c r="P1010" s="56"/>
      <c r="Q1010" s="26"/>
      <c r="S1010" s="330">
        <v>32.229999999999997</v>
      </c>
      <c r="T1010" s="34">
        <v>0</v>
      </c>
      <c r="U1010" s="366">
        <f t="shared" si="210"/>
        <v>0</v>
      </c>
      <c r="V1010" s="97">
        <v>-0.04</v>
      </c>
      <c r="W1010" s="36">
        <f>RTD("money.excel",,"8059","Price")</f>
        <v>10.1</v>
      </c>
      <c r="X1010" s="67"/>
      <c r="Y1010" s="15">
        <f t="shared" si="211"/>
        <v>10.1</v>
      </c>
      <c r="Z1010" s="3" t="e">
        <f t="shared" si="212"/>
        <v>#DIV/0!</v>
      </c>
      <c r="AB1010" s="16" t="s">
        <v>5743</v>
      </c>
      <c r="AE1010" s="33">
        <f t="shared" si="213"/>
        <v>0</v>
      </c>
      <c r="AF1010" s="43" t="s">
        <v>5744</v>
      </c>
      <c r="AG1010" s="128"/>
      <c r="AI1010" s="64">
        <f t="shared" si="214"/>
        <v>2.3404255319148937E-4</v>
      </c>
      <c r="AJ1010" s="313">
        <f>RTD("money.excel",,$G1010,"PredictVolume")</f>
        <v>44</v>
      </c>
      <c r="AK1010" s="348"/>
    </row>
    <row r="1011" spans="1:37">
      <c r="A1011" s="148" t="s">
        <v>5745</v>
      </c>
      <c r="B1011" s="82">
        <v>-103</v>
      </c>
      <c r="C1011" s="82">
        <v>-101</v>
      </c>
      <c r="D1011" s="81">
        <v>56</v>
      </c>
      <c r="E1011" s="81">
        <v>37</v>
      </c>
      <c r="F1011" s="6">
        <v>-0.3</v>
      </c>
      <c r="G1011" s="81">
        <v>8089</v>
      </c>
      <c r="H1011" s="8" t="s">
        <v>331</v>
      </c>
      <c r="I1011" s="16" t="s">
        <v>5746</v>
      </c>
      <c r="J1011" s="330">
        <v>45.47</v>
      </c>
      <c r="K1011" s="330">
        <v>5.09</v>
      </c>
      <c r="L1011" s="75">
        <v>8.0399999999999991</v>
      </c>
      <c r="M1011" s="75">
        <v>40.840000000000003</v>
      </c>
      <c r="N1011" s="325">
        <f t="shared" si="215"/>
        <v>99.44</v>
      </c>
      <c r="O1011" s="27"/>
      <c r="P1011" s="56"/>
      <c r="Q1011" s="26"/>
      <c r="R1011" s="308" t="s">
        <v>4728</v>
      </c>
      <c r="S1011" s="330">
        <v>0.16</v>
      </c>
      <c r="T1011" s="34">
        <v>1.99</v>
      </c>
      <c r="U1011" s="366">
        <f t="shared" si="210"/>
        <v>7.5809523809523813E-2</v>
      </c>
      <c r="V1011" s="97">
        <v>0.32</v>
      </c>
      <c r="W1011" s="36">
        <f>RTD("money.excel",,"8089","Price")</f>
        <v>26.25</v>
      </c>
      <c r="X1011" s="67"/>
      <c r="Y1011" s="15">
        <f t="shared" si="211"/>
        <v>26.25</v>
      </c>
      <c r="Z1011" s="166" t="e">
        <f t="shared" si="212"/>
        <v>#DIV/0!</v>
      </c>
      <c r="AA1011" s="174" t="s">
        <v>4710</v>
      </c>
      <c r="AB1011" s="16" t="s">
        <v>5746</v>
      </c>
      <c r="AE1011" s="33">
        <f t="shared" si="213"/>
        <v>0</v>
      </c>
      <c r="AF1011" s="43" t="s">
        <v>2392</v>
      </c>
      <c r="AG1011" s="128"/>
      <c r="AI1011" s="64">
        <f t="shared" si="214"/>
        <v>1.0296684118673645E-3</v>
      </c>
      <c r="AJ1011" s="313">
        <f>RTD("money.excel",,$G1011,"PredictVolume")</f>
        <v>59</v>
      </c>
      <c r="AK1011" s="348"/>
    </row>
    <row r="1012" spans="1:37">
      <c r="A1012" s="148" t="s">
        <v>5747</v>
      </c>
      <c r="B1012" s="81">
        <v>185</v>
      </c>
      <c r="C1012" s="81">
        <v>163</v>
      </c>
      <c r="D1012" s="81">
        <v>252</v>
      </c>
      <c r="E1012" s="81">
        <v>349</v>
      </c>
      <c r="F1012" s="6">
        <v>4.4000000000000004</v>
      </c>
      <c r="G1012" s="81">
        <v>8097</v>
      </c>
      <c r="H1012" s="8" t="s">
        <v>331</v>
      </c>
      <c r="I1012" s="16" t="s">
        <v>5748</v>
      </c>
      <c r="J1012" s="330">
        <v>45.02</v>
      </c>
      <c r="K1012" s="330">
        <v>1.1100000000000001</v>
      </c>
      <c r="L1012" s="75">
        <v>28.86</v>
      </c>
      <c r="N1012" s="325">
        <f t="shared" si="215"/>
        <v>74.990000000000009</v>
      </c>
      <c r="O1012" s="27"/>
      <c r="P1012" s="56"/>
      <c r="Q1012" s="26"/>
      <c r="S1012" s="330">
        <v>0.76</v>
      </c>
      <c r="T1012" s="34">
        <v>0</v>
      </c>
      <c r="U1012" s="366">
        <f t="shared" si="210"/>
        <v>0</v>
      </c>
      <c r="V1012" s="97">
        <v>-0.14000000000000001</v>
      </c>
      <c r="W1012" s="36">
        <f>RTD("money.excel",,"8097","Price")</f>
        <v>37.450000000000003</v>
      </c>
      <c r="X1012" s="67"/>
      <c r="Y1012" s="15">
        <f t="shared" si="211"/>
        <v>37.450000000000003</v>
      </c>
      <c r="Z1012" s="3" t="e">
        <f t="shared" si="212"/>
        <v>#DIV/0!</v>
      </c>
      <c r="AB1012" s="16" t="s">
        <v>5748</v>
      </c>
      <c r="AE1012" s="33">
        <f t="shared" si="213"/>
        <v>0</v>
      </c>
      <c r="AF1012" s="43" t="s">
        <v>3149</v>
      </c>
      <c r="AG1012" s="128"/>
      <c r="AI1012" s="64">
        <f t="shared" si="214"/>
        <v>6.7958656330749352E-3</v>
      </c>
      <c r="AJ1012" s="313">
        <f>RTD("money.excel",,$G1012,"PredictVolume")</f>
        <v>263</v>
      </c>
      <c r="AK1012" s="348"/>
    </row>
    <row r="1013" spans="1:37">
      <c r="A1013" s="148" t="s">
        <v>5749</v>
      </c>
      <c r="B1013" s="81">
        <v>92</v>
      </c>
      <c r="C1013" s="81">
        <v>45</v>
      </c>
      <c r="D1013" s="82">
        <v>-54</v>
      </c>
      <c r="E1013" s="81">
        <v>102</v>
      </c>
      <c r="F1013" s="6">
        <v>-23.36</v>
      </c>
      <c r="G1013" s="81">
        <v>8101</v>
      </c>
      <c r="H1013" s="8" t="s">
        <v>331</v>
      </c>
      <c r="I1013" s="22" t="s">
        <v>5750</v>
      </c>
      <c r="J1013" s="75">
        <v>58.64</v>
      </c>
      <c r="K1013" s="75">
        <v>0.48</v>
      </c>
      <c r="L1013" s="330"/>
      <c r="N1013" s="325">
        <f t="shared" si="215"/>
        <v>59.12</v>
      </c>
      <c r="O1013" s="27"/>
      <c r="P1013" s="56"/>
      <c r="Q1013" s="26"/>
      <c r="S1013" s="330">
        <v>44.74</v>
      </c>
      <c r="T1013" s="34">
        <v>0</v>
      </c>
      <c r="U1013" s="366">
        <f t="shared" si="210"/>
        <v>0</v>
      </c>
      <c r="V1013" s="58">
        <v>-3.06</v>
      </c>
      <c r="W1013" s="36">
        <f>RTD("money.excel",,"8101","Price")</f>
        <v>2.87</v>
      </c>
      <c r="X1013" s="67"/>
      <c r="Y1013" s="15">
        <f t="shared" si="211"/>
        <v>2.87</v>
      </c>
      <c r="Z1013" s="3" t="e">
        <f t="shared" si="212"/>
        <v>#DIV/0!</v>
      </c>
      <c r="AA1013" s="174" t="s">
        <v>4710</v>
      </c>
      <c r="AB1013" s="22" t="s">
        <v>5750</v>
      </c>
      <c r="AE1013" s="33">
        <f t="shared" si="213"/>
        <v>0</v>
      </c>
      <c r="AF1013" s="43" t="s">
        <v>5751</v>
      </c>
      <c r="AG1013" s="128"/>
      <c r="AI1013" s="64">
        <f t="shared" si="214"/>
        <v>1.7307692307692308E-3</v>
      </c>
      <c r="AJ1013" s="313">
        <f>RTD("money.excel",,$G1013,"PredictVolume")</f>
        <v>360</v>
      </c>
      <c r="AK1013" s="348"/>
    </row>
    <row r="1014" spans="1:37">
      <c r="A1014" s="148" t="s">
        <v>5395</v>
      </c>
      <c r="B1014" s="82">
        <v>-22</v>
      </c>
      <c r="C1014" s="81">
        <v>41</v>
      </c>
      <c r="D1014" s="81">
        <v>379</v>
      </c>
      <c r="E1014" s="81">
        <v>155</v>
      </c>
      <c r="F1014" s="6">
        <v>-15.62</v>
      </c>
      <c r="G1014" s="81">
        <v>8171</v>
      </c>
      <c r="H1014" s="8" t="s">
        <v>331</v>
      </c>
      <c r="I1014" s="16" t="s">
        <v>5752</v>
      </c>
      <c r="J1014" s="75">
        <v>27.51</v>
      </c>
      <c r="K1014" s="75">
        <v>1.63</v>
      </c>
      <c r="L1014" s="75">
        <v>72.73</v>
      </c>
      <c r="N1014" s="325">
        <f t="shared" si="215"/>
        <v>101.87</v>
      </c>
      <c r="O1014" s="27"/>
      <c r="P1014" s="56"/>
      <c r="Q1014" s="26"/>
      <c r="S1014" s="330">
        <v>4.09</v>
      </c>
      <c r="T1014" s="34">
        <v>0</v>
      </c>
      <c r="U1014" s="366">
        <f t="shared" si="210"/>
        <v>0</v>
      </c>
      <c r="V1014" s="97">
        <v>-1.42</v>
      </c>
      <c r="W1014" s="36">
        <f>RTD("money.excel",,"8171","Price")</f>
        <v>49.65</v>
      </c>
      <c r="X1014" s="67"/>
      <c r="Y1014" s="15">
        <f t="shared" si="211"/>
        <v>49.65</v>
      </c>
      <c r="Z1014" s="3" t="e">
        <f t="shared" si="212"/>
        <v>#DIV/0!</v>
      </c>
      <c r="AA1014" s="174" t="s">
        <v>4710</v>
      </c>
      <c r="AB1014" s="16" t="s">
        <v>5752</v>
      </c>
      <c r="AE1014" s="33">
        <f t="shared" si="213"/>
        <v>0</v>
      </c>
      <c r="AF1014" s="43" t="s">
        <v>3076</v>
      </c>
      <c r="AG1014" s="269"/>
      <c r="AI1014" s="64">
        <f t="shared" si="214"/>
        <v>5.7580919931856898E-3</v>
      </c>
      <c r="AJ1014" s="313">
        <f>RTD("money.excel",,$G1014,"PredictVolume")</f>
        <v>338</v>
      </c>
      <c r="AK1014" s="348"/>
    </row>
    <row r="1015" spans="1:37">
      <c r="A1015" s="148" t="s">
        <v>5753</v>
      </c>
      <c r="B1015" s="208">
        <v>-4503</v>
      </c>
      <c r="C1015" s="208">
        <v>-1096</v>
      </c>
      <c r="D1015" s="93">
        <v>-52</v>
      </c>
      <c r="E1015" s="93">
        <v>-60</v>
      </c>
      <c r="F1015" s="6">
        <v>-37.4</v>
      </c>
      <c r="G1015" s="81">
        <v>8176</v>
      </c>
      <c r="H1015" s="8" t="s">
        <v>331</v>
      </c>
      <c r="I1015" s="16" t="s">
        <v>5754</v>
      </c>
      <c r="J1015" s="75">
        <v>46.68</v>
      </c>
      <c r="K1015" s="75">
        <v>0.77</v>
      </c>
      <c r="L1015" s="75">
        <v>8.83</v>
      </c>
      <c r="N1015" s="325">
        <f t="shared" si="215"/>
        <v>56.28</v>
      </c>
      <c r="O1015" s="27"/>
      <c r="P1015" s="56"/>
      <c r="Q1015" s="26"/>
      <c r="S1015" s="330">
        <v>24.23</v>
      </c>
      <c r="T1015" s="34">
        <v>0</v>
      </c>
      <c r="U1015" s="366">
        <f t="shared" si="210"/>
        <v>0</v>
      </c>
      <c r="V1015" s="97">
        <v>-1.27</v>
      </c>
      <c r="W1015" s="36">
        <f>RTD("money.excel",,"8176","Price")</f>
        <v>8.4499999999999993</v>
      </c>
      <c r="X1015" s="67"/>
      <c r="Y1015" s="15">
        <f t="shared" si="211"/>
        <v>8.4499999999999993</v>
      </c>
      <c r="Z1015" s="3" t="e">
        <f t="shared" si="212"/>
        <v>#DIV/0!</v>
      </c>
      <c r="AB1015" s="16" t="s">
        <v>5754</v>
      </c>
      <c r="AE1015" s="33">
        <f t="shared" si="213"/>
        <v>0</v>
      </c>
      <c r="AF1015" s="43" t="s">
        <v>5738</v>
      </c>
      <c r="AG1015" s="128"/>
      <c r="AI1015" s="64">
        <f t="shared" si="214"/>
        <v>1.1034482758620689E-4</v>
      </c>
      <c r="AJ1015" s="313">
        <f>RTD("money.excel",,$G1015,"PredictVolume")</f>
        <v>8</v>
      </c>
      <c r="AK1015" s="348"/>
    </row>
    <row r="1016" spans="1:37">
      <c r="A1016" s="148"/>
      <c r="B1016" s="208"/>
      <c r="C1016" s="208"/>
      <c r="D1016" s="93"/>
      <c r="E1016" s="93"/>
      <c r="F1016" s="6"/>
      <c r="G1016" s="81"/>
      <c r="H1016" s="8"/>
      <c r="I1016" s="16"/>
      <c r="J1016" s="75"/>
      <c r="K1016" s="75"/>
      <c r="N1016" s="325"/>
      <c r="O1016" s="27"/>
      <c r="P1016" s="56"/>
      <c r="Q1016" s="26"/>
      <c r="T1016" s="34"/>
      <c r="V1016" s="97"/>
      <c r="W1016" s="36"/>
      <c r="X1016" s="67"/>
      <c r="Y1016" s="15"/>
      <c r="Z1016" s="3"/>
      <c r="AB1016" s="16"/>
      <c r="AE1016" s="33"/>
      <c r="AF1016" s="43"/>
      <c r="AG1016" s="128"/>
      <c r="AI1016" s="64"/>
      <c r="AJ1016" s="313"/>
      <c r="AK1016" s="348"/>
    </row>
    <row r="1017" spans="1:37">
      <c r="A1017" s="132" t="s">
        <v>4917</v>
      </c>
      <c r="B1017" s="93" t="s">
        <v>4918</v>
      </c>
      <c r="C1017" s="93" t="s">
        <v>4919</v>
      </c>
      <c r="D1017" s="93" t="s">
        <v>4920</v>
      </c>
      <c r="E1017" s="93" t="s">
        <v>4921</v>
      </c>
      <c r="F1017" s="8" t="s">
        <v>4922</v>
      </c>
      <c r="G1017" s="27" t="s">
        <v>458</v>
      </c>
      <c r="H1017" s="55" t="s">
        <v>342</v>
      </c>
      <c r="I1017" s="8" t="s">
        <v>5755</v>
      </c>
      <c r="J1017" s="324" t="s">
        <v>4925</v>
      </c>
      <c r="K1017" s="324" t="s">
        <v>4926</v>
      </c>
      <c r="L1017" s="324" t="s">
        <v>4927</v>
      </c>
      <c r="M1017" s="324" t="s">
        <v>4928</v>
      </c>
      <c r="N1017" s="324" t="s">
        <v>6091</v>
      </c>
      <c r="O1017" s="27" t="s">
        <v>6253</v>
      </c>
      <c r="P1017" s="56" t="s">
        <v>6219</v>
      </c>
      <c r="Q1017" s="26" t="s">
        <v>6313</v>
      </c>
      <c r="R1017" s="309" t="s">
        <v>4929</v>
      </c>
      <c r="S1017" s="335" t="s">
        <v>4930</v>
      </c>
      <c r="T1017" s="10" t="s">
        <v>4931</v>
      </c>
      <c r="U1017" s="364" t="s">
        <v>6152</v>
      </c>
      <c r="V1017" s="69" t="s">
        <v>4932</v>
      </c>
      <c r="W1017" s="28" t="s">
        <v>4933</v>
      </c>
      <c r="X1017" s="17" t="s">
        <v>4934</v>
      </c>
      <c r="Y1017" s="14" t="s">
        <v>4935</v>
      </c>
      <c r="Z1017" s="21" t="s">
        <v>4936</v>
      </c>
      <c r="AA1017" s="322" t="s">
        <v>4937</v>
      </c>
      <c r="AB1017" s="8" t="s">
        <v>5755</v>
      </c>
      <c r="AC1017" s="73" t="s">
        <v>4938</v>
      </c>
      <c r="AD1017" s="74" t="s">
        <v>4939</v>
      </c>
      <c r="AE1017" s="32" t="s">
        <v>4940</v>
      </c>
      <c r="AF1017" s="43"/>
      <c r="AG1017" s="128"/>
      <c r="AI1017" s="8" t="s">
        <v>4941</v>
      </c>
      <c r="AJ1017" s="50" t="s">
        <v>4942</v>
      </c>
      <c r="AK1017" s="348" t="s">
        <v>6074</v>
      </c>
    </row>
    <row r="1018" spans="1:37">
      <c r="A1018" s="148" t="s">
        <v>5756</v>
      </c>
      <c r="B1018" s="81">
        <v>323</v>
      </c>
      <c r="C1018" s="82">
        <v>-62</v>
      </c>
      <c r="D1018" s="82">
        <v>-7</v>
      </c>
      <c r="E1018" s="82">
        <v>-14</v>
      </c>
      <c r="F1018" s="6">
        <v>1.91</v>
      </c>
      <c r="G1018" s="81">
        <v>1336</v>
      </c>
      <c r="H1018" s="8" t="s">
        <v>327</v>
      </c>
      <c r="I1018" s="16" t="s">
        <v>5757</v>
      </c>
      <c r="J1018" s="75">
        <v>31.06</v>
      </c>
      <c r="K1018" s="75">
        <v>2.4</v>
      </c>
      <c r="L1018" s="75">
        <v>44.5</v>
      </c>
      <c r="N1018" s="325">
        <f t="shared" ref="N1018" si="216">J1018+K1018+L1018+M1018</f>
        <v>77.960000000000008</v>
      </c>
      <c r="O1018" s="27"/>
      <c r="P1018" s="56"/>
      <c r="Q1018" s="26"/>
      <c r="S1018" s="330">
        <v>2.64</v>
      </c>
      <c r="T1018" s="34">
        <v>1.5</v>
      </c>
      <c r="U1018" s="366">
        <f t="shared" ref="U1018:U1081" si="217">T1018/W1018</f>
        <v>7.6335877862595422E-2</v>
      </c>
      <c r="V1018" s="97">
        <v>2.48</v>
      </c>
      <c r="W1018" s="36">
        <f>RTD("money.excel",,"1336","Price")</f>
        <v>19.649999999999999</v>
      </c>
      <c r="X1018" s="67"/>
      <c r="Y1018" s="15">
        <f t="shared" ref="Y1018:Y1079" si="218">W1018-X1018</f>
        <v>19.649999999999999</v>
      </c>
      <c r="Z1018" s="3" t="e">
        <f t="shared" ref="Z1018:Z1079" si="219">Y1018/X1018</f>
        <v>#DIV/0!</v>
      </c>
      <c r="AA1018" s="174" t="s">
        <v>4710</v>
      </c>
      <c r="AB1018" s="16" t="s">
        <v>5757</v>
      </c>
      <c r="AE1018" s="33">
        <f t="shared" ref="AE1018:AE1079" si="220">AD1018-AC1018</f>
        <v>0</v>
      </c>
      <c r="AF1018" s="43" t="s">
        <v>5758</v>
      </c>
      <c r="AG1018" s="128"/>
      <c r="AI1018" s="64">
        <f t="shared" ref="AI1018:AI1081" si="221">AJ1018/(A1018*10000)</f>
        <v>3.761348897535668E-4</v>
      </c>
      <c r="AJ1018" s="313">
        <f>RTD("money.excel",,$G1018,"PredictVolume")</f>
        <v>29</v>
      </c>
      <c r="AK1018" s="348"/>
    </row>
    <row r="1019" spans="1:37">
      <c r="A1019" s="148" t="s">
        <v>5642</v>
      </c>
      <c r="B1019" s="81">
        <v>102</v>
      </c>
      <c r="C1019" s="81">
        <v>32</v>
      </c>
      <c r="D1019" s="82">
        <v>-28</v>
      </c>
      <c r="E1019" s="82">
        <v>-73</v>
      </c>
      <c r="F1019" s="6">
        <v>-23.43</v>
      </c>
      <c r="G1019" s="81">
        <v>1471</v>
      </c>
      <c r="H1019" s="8" t="s">
        <v>327</v>
      </c>
      <c r="I1019" s="22" t="s">
        <v>5759</v>
      </c>
      <c r="J1019" s="330">
        <v>23.47</v>
      </c>
      <c r="K1019" s="330">
        <v>0.81</v>
      </c>
      <c r="L1019" s="330"/>
      <c r="N1019" s="325">
        <f t="shared" ref="N1019:N1079" si="222">J1019+K1019+L1019+M1019</f>
        <v>24.279999999999998</v>
      </c>
      <c r="O1019" s="27"/>
      <c r="P1019" s="56"/>
      <c r="Q1019" s="26"/>
      <c r="T1019" s="34">
        <v>0</v>
      </c>
      <c r="U1019" s="366">
        <f t="shared" si="217"/>
        <v>0</v>
      </c>
      <c r="V1019" s="97">
        <v>3.08</v>
      </c>
      <c r="W1019" s="36">
        <f>RTD("money.excel",,"1471","Price")</f>
        <v>7.12</v>
      </c>
      <c r="X1019" s="67"/>
      <c r="Y1019" s="15">
        <f t="shared" si="218"/>
        <v>7.12</v>
      </c>
      <c r="Z1019" s="3" t="e">
        <f t="shared" si="219"/>
        <v>#DIV/0!</v>
      </c>
      <c r="AB1019" s="22" t="s">
        <v>5759</v>
      </c>
      <c r="AE1019" s="33">
        <f t="shared" si="220"/>
        <v>0</v>
      </c>
      <c r="AF1019" s="43" t="s">
        <v>2893</v>
      </c>
      <c r="AG1019" s="269"/>
      <c r="AI1019" s="64">
        <f t="shared" si="221"/>
        <v>3.8466666666666666E-3</v>
      </c>
      <c r="AJ1019" s="313">
        <f>RTD("money.excel",,$G1019,"PredictVolume")</f>
        <v>577</v>
      </c>
      <c r="AK1019" s="348"/>
    </row>
    <row r="1020" spans="1:37">
      <c r="A1020" s="148" t="s">
        <v>5760</v>
      </c>
      <c r="B1020" s="82">
        <v>-70</v>
      </c>
      <c r="C1020" s="82">
        <v>-69</v>
      </c>
      <c r="D1020" s="81">
        <v>11</v>
      </c>
      <c r="E1020" s="81">
        <v>10</v>
      </c>
      <c r="F1020" s="6">
        <v>4.66</v>
      </c>
      <c r="G1020" s="81">
        <v>1582</v>
      </c>
      <c r="H1020" s="8" t="s">
        <v>327</v>
      </c>
      <c r="I1020" s="22" t="s">
        <v>5761</v>
      </c>
      <c r="J1020" s="75">
        <v>30.24</v>
      </c>
      <c r="K1020" s="330">
        <v>13.49</v>
      </c>
      <c r="L1020" s="75">
        <v>5.08</v>
      </c>
      <c r="N1020" s="325">
        <f t="shared" si="222"/>
        <v>48.809999999999995</v>
      </c>
      <c r="O1020" s="27"/>
      <c r="P1020" s="56"/>
      <c r="Q1020" s="26"/>
      <c r="S1020" s="330">
        <v>0.88</v>
      </c>
      <c r="T1020" s="67">
        <v>5</v>
      </c>
      <c r="U1020" s="366">
        <f t="shared" si="217"/>
        <v>7.2992700729927001E-2</v>
      </c>
      <c r="V1020" s="97">
        <v>5</v>
      </c>
      <c r="W1020" s="36">
        <f>RTD("money.excel",,"1582","Price")</f>
        <v>68.5</v>
      </c>
      <c r="X1020" s="67"/>
      <c r="Y1020" s="15">
        <f t="shared" si="218"/>
        <v>68.5</v>
      </c>
      <c r="Z1020" s="3" t="e">
        <f t="shared" si="219"/>
        <v>#DIV/0!</v>
      </c>
      <c r="AA1020" s="174" t="s">
        <v>4714</v>
      </c>
      <c r="AB1020" s="22" t="s">
        <v>5761</v>
      </c>
      <c r="AE1020" s="33">
        <f t="shared" si="220"/>
        <v>0</v>
      </c>
      <c r="AF1020" s="43" t="s">
        <v>5762</v>
      </c>
      <c r="AG1020" s="128"/>
      <c r="AI1020" s="64">
        <f t="shared" si="221"/>
        <v>1.032520325203252E-3</v>
      </c>
      <c r="AJ1020" s="313">
        <f>RTD("money.excel",,$G1020,"PredictVolume")</f>
        <v>127</v>
      </c>
      <c r="AK1020" s="348"/>
    </row>
    <row r="1021" spans="1:37">
      <c r="A1021" s="148" t="s">
        <v>5763</v>
      </c>
      <c r="B1021" s="82">
        <v>-62</v>
      </c>
      <c r="C1021" s="82">
        <v>-41</v>
      </c>
      <c r="D1021" s="82">
        <v>-45</v>
      </c>
      <c r="E1021" s="82">
        <v>-44</v>
      </c>
      <c r="F1021" s="6">
        <v>4.6100000000000003</v>
      </c>
      <c r="G1021" s="81">
        <v>1595</v>
      </c>
      <c r="H1021" s="8" t="s">
        <v>327</v>
      </c>
      <c r="I1021" s="16" t="s">
        <v>5764</v>
      </c>
      <c r="J1021" s="75">
        <v>45.97</v>
      </c>
      <c r="K1021" s="75">
        <v>0.73</v>
      </c>
      <c r="L1021" s="75">
        <v>1.73</v>
      </c>
      <c r="N1021" s="325">
        <f t="shared" si="222"/>
        <v>48.429999999999993</v>
      </c>
      <c r="O1021" s="27"/>
      <c r="P1021" s="56"/>
      <c r="Q1021" s="26"/>
      <c r="S1021" s="330">
        <v>0</v>
      </c>
      <c r="T1021" s="34">
        <v>0.5</v>
      </c>
      <c r="U1021" s="366">
        <f t="shared" si="217"/>
        <v>1.2300123001230012E-2</v>
      </c>
      <c r="V1021" s="97">
        <v>0.19</v>
      </c>
      <c r="W1021" s="36">
        <f>RTD("money.excel",,"1595","Price")</f>
        <v>40.65</v>
      </c>
      <c r="X1021" s="67"/>
      <c r="Y1021" s="15">
        <f t="shared" si="218"/>
        <v>40.65</v>
      </c>
      <c r="Z1021" s="3" t="e">
        <f t="shared" si="219"/>
        <v>#DIV/0!</v>
      </c>
      <c r="AA1021" s="174" t="s">
        <v>4710</v>
      </c>
      <c r="AB1021" s="16" t="s">
        <v>5764</v>
      </c>
      <c r="AE1021" s="33">
        <f t="shared" si="220"/>
        <v>0</v>
      </c>
      <c r="AF1021" s="43" t="s">
        <v>5765</v>
      </c>
      <c r="AG1021" s="128"/>
      <c r="AI1021" s="64">
        <f t="shared" si="221"/>
        <v>5.9447983014861996E-4</v>
      </c>
      <c r="AJ1021" s="313">
        <f>RTD("money.excel",,$G1021,"PredictVolume")</f>
        <v>28</v>
      </c>
      <c r="AK1021" s="348"/>
    </row>
    <row r="1022" spans="1:37">
      <c r="A1022" s="148" t="s">
        <v>5766</v>
      </c>
      <c r="B1022" s="82">
        <v>-703</v>
      </c>
      <c r="C1022" s="82">
        <v>-360</v>
      </c>
      <c r="D1022" s="82">
        <v>-16</v>
      </c>
      <c r="E1022" s="81">
        <v>25</v>
      </c>
      <c r="F1022" s="6">
        <v>-18.97</v>
      </c>
      <c r="G1022" s="81">
        <v>1815</v>
      </c>
      <c r="H1022" s="8" t="s">
        <v>327</v>
      </c>
      <c r="I1022" s="16" t="s">
        <v>5767</v>
      </c>
      <c r="J1022" s="75">
        <v>34.340000000000003</v>
      </c>
      <c r="K1022" s="330">
        <v>4.0999999999999996</v>
      </c>
      <c r="L1022" s="75">
        <v>18.63</v>
      </c>
      <c r="N1022" s="325">
        <f t="shared" si="222"/>
        <v>57.070000000000007</v>
      </c>
      <c r="O1022" s="27"/>
      <c r="P1022" s="56"/>
      <c r="Q1022" s="26"/>
      <c r="S1022" s="330">
        <v>0.23</v>
      </c>
      <c r="T1022" s="34">
        <v>0</v>
      </c>
      <c r="U1022" s="366">
        <f t="shared" si="217"/>
        <v>0</v>
      </c>
      <c r="V1022" s="97">
        <v>-1.1599999999999999</v>
      </c>
      <c r="W1022" s="36">
        <f>RTD("money.excel",,"1815","Price")</f>
        <v>14.8</v>
      </c>
      <c r="X1022" s="67"/>
      <c r="Y1022" s="15">
        <f t="shared" si="218"/>
        <v>14.8</v>
      </c>
      <c r="Z1022" s="3" t="e">
        <f t="shared" si="219"/>
        <v>#DIV/0!</v>
      </c>
      <c r="AA1022" s="174" t="s">
        <v>4710</v>
      </c>
      <c r="AB1022" s="16" t="s">
        <v>5767</v>
      </c>
      <c r="AE1022" s="33">
        <f t="shared" si="220"/>
        <v>0</v>
      </c>
      <c r="AF1022" s="122" t="s">
        <v>1114</v>
      </c>
      <c r="AG1022" s="128"/>
      <c r="AI1022" s="64">
        <f t="shared" si="221"/>
        <v>1.2182254196642685E-3</v>
      </c>
      <c r="AJ1022" s="313">
        <f>RTD("money.excel",,$G1022,"PredictVolume")</f>
        <v>508</v>
      </c>
      <c r="AK1022" s="348"/>
    </row>
    <row r="1023" spans="1:37">
      <c r="A1023" s="132" t="s">
        <v>5768</v>
      </c>
      <c r="B1023" s="82">
        <v>-25</v>
      </c>
      <c r="C1023" s="81">
        <v>5</v>
      </c>
      <c r="D1023" s="81">
        <v>3</v>
      </c>
      <c r="E1023" s="82">
        <v>-22</v>
      </c>
      <c r="F1023" s="58">
        <v>41.78</v>
      </c>
      <c r="G1023" s="81">
        <v>2059</v>
      </c>
      <c r="H1023" s="206" t="s">
        <v>327</v>
      </c>
      <c r="I1023" s="22" t="s">
        <v>5769</v>
      </c>
      <c r="J1023" s="330">
        <v>66.319999999999993</v>
      </c>
      <c r="K1023" s="75">
        <v>17.690000000000001</v>
      </c>
      <c r="L1023" s="75">
        <v>2.54</v>
      </c>
      <c r="N1023" s="325">
        <f t="shared" si="222"/>
        <v>86.55</v>
      </c>
      <c r="O1023" s="27"/>
      <c r="P1023" s="56"/>
      <c r="Q1023" s="26"/>
      <c r="S1023" s="330">
        <v>0.06</v>
      </c>
      <c r="T1023" s="67">
        <v>6.12</v>
      </c>
      <c r="U1023" s="366">
        <f t="shared" si="217"/>
        <v>1.455410225921522E-2</v>
      </c>
      <c r="V1023" s="97">
        <v>12.22</v>
      </c>
      <c r="W1023" s="36">
        <f>RTD("money.excel",,"2059","Price")</f>
        <v>420.5</v>
      </c>
      <c r="X1023" s="67"/>
      <c r="Y1023" s="15">
        <f t="shared" si="218"/>
        <v>420.5</v>
      </c>
      <c r="Z1023" s="3" t="e">
        <f t="shared" si="219"/>
        <v>#DIV/0!</v>
      </c>
      <c r="AA1023" s="174" t="s">
        <v>4714</v>
      </c>
      <c r="AB1023" s="22" t="s">
        <v>5769</v>
      </c>
      <c r="AE1023" s="33">
        <f t="shared" si="220"/>
        <v>0</v>
      </c>
      <c r="AF1023" s="122" t="s">
        <v>5770</v>
      </c>
      <c r="AG1023" s="128"/>
      <c r="AI1023" s="64">
        <f t="shared" si="221"/>
        <v>9.8635886673662117E-4</v>
      </c>
      <c r="AJ1023" s="313">
        <f>RTD("money.excel",,$G1023,"PredictVolume")</f>
        <v>94</v>
      </c>
      <c r="AK1023" s="348"/>
    </row>
    <row r="1024" spans="1:37">
      <c r="A1024" s="132" t="s">
        <v>5771</v>
      </c>
      <c r="B1024" s="81">
        <v>11</v>
      </c>
      <c r="C1024" s="81">
        <v>10</v>
      </c>
      <c r="D1024" s="81">
        <v>3</v>
      </c>
      <c r="E1024" s="81">
        <v>7</v>
      </c>
      <c r="F1024" s="58">
        <v>10.42</v>
      </c>
      <c r="G1024" s="81">
        <v>2308</v>
      </c>
      <c r="H1024" s="8" t="s">
        <v>327</v>
      </c>
      <c r="I1024" s="22" t="s">
        <v>5772</v>
      </c>
      <c r="J1024" s="75">
        <v>81.239999999999995</v>
      </c>
      <c r="K1024" s="75">
        <v>69.209999999999994</v>
      </c>
      <c r="L1024" s="75">
        <v>0.47</v>
      </c>
      <c r="M1024" s="330">
        <v>7.33</v>
      </c>
      <c r="N1024" s="75">
        <f t="shared" si="222"/>
        <v>158.25</v>
      </c>
      <c r="O1024" s="27"/>
      <c r="P1024" s="56"/>
      <c r="Q1024" s="26"/>
      <c r="R1024" s="308" t="s">
        <v>6073</v>
      </c>
      <c r="S1024" s="330">
        <v>2.02</v>
      </c>
      <c r="T1024" s="67">
        <v>5.5</v>
      </c>
      <c r="U1024" s="366">
        <f t="shared" si="217"/>
        <v>2.0992366412213741E-2</v>
      </c>
      <c r="V1024" s="58">
        <v>10.77</v>
      </c>
      <c r="W1024" s="13">
        <f>RTD("money.excel",,"2308","Price")</f>
        <v>262</v>
      </c>
      <c r="X1024" s="67"/>
      <c r="Y1024" s="15">
        <f t="shared" si="218"/>
        <v>262</v>
      </c>
      <c r="Z1024" s="3" t="e">
        <f t="shared" si="219"/>
        <v>#DIV/0!</v>
      </c>
      <c r="AA1024" s="174" t="s">
        <v>4493</v>
      </c>
      <c r="AB1024" s="22" t="s">
        <v>5772</v>
      </c>
      <c r="AE1024" s="33">
        <f t="shared" si="220"/>
        <v>0</v>
      </c>
      <c r="AF1024" s="49" t="s">
        <v>5773</v>
      </c>
      <c r="AG1024" s="128"/>
      <c r="AI1024" s="64">
        <f t="shared" si="221"/>
        <v>4.1583011583011583E-3</v>
      </c>
      <c r="AJ1024" s="313">
        <f>RTD("money.excel",,$G1024,"PredictVolume")</f>
        <v>10770</v>
      </c>
      <c r="AK1024" s="348"/>
    </row>
    <row r="1025" spans="1:37">
      <c r="A1025" s="148" t="s">
        <v>5774</v>
      </c>
      <c r="B1025" s="81">
        <v>0</v>
      </c>
      <c r="C1025" s="81">
        <v>0</v>
      </c>
      <c r="D1025" s="82">
        <v>-1</v>
      </c>
      <c r="E1025" s="82">
        <v>-2</v>
      </c>
      <c r="F1025" s="6">
        <v>9.48</v>
      </c>
      <c r="G1025" s="81">
        <v>2313</v>
      </c>
      <c r="H1025" s="206" t="s">
        <v>327</v>
      </c>
      <c r="I1025" s="22" t="s">
        <v>5775</v>
      </c>
      <c r="J1025" s="330">
        <v>53.95</v>
      </c>
      <c r="K1025" s="330">
        <v>14.35</v>
      </c>
      <c r="L1025" s="330">
        <v>14.09</v>
      </c>
      <c r="N1025" s="325">
        <f t="shared" si="222"/>
        <v>82.39</v>
      </c>
      <c r="O1025" s="27"/>
      <c r="P1025" s="56"/>
      <c r="Q1025" s="26"/>
      <c r="S1025" s="330">
        <v>0.14000000000000001</v>
      </c>
      <c r="T1025" s="34">
        <v>1.5</v>
      </c>
      <c r="U1025" s="366">
        <f t="shared" si="217"/>
        <v>3.4482758620689655E-2</v>
      </c>
      <c r="V1025" s="58">
        <v>3.91</v>
      </c>
      <c r="W1025" s="36">
        <f>RTD("money.excel",,"2313","Price")</f>
        <v>43.5</v>
      </c>
      <c r="X1025" s="67"/>
      <c r="Y1025" s="15">
        <f t="shared" si="218"/>
        <v>43.5</v>
      </c>
      <c r="Z1025" s="3" t="e">
        <f t="shared" si="219"/>
        <v>#DIV/0!</v>
      </c>
      <c r="AA1025" s="174" t="s">
        <v>4710</v>
      </c>
      <c r="AB1025" s="22" t="s">
        <v>5775</v>
      </c>
      <c r="AE1025" s="33">
        <f t="shared" si="220"/>
        <v>0</v>
      </c>
      <c r="AF1025" s="122" t="s">
        <v>5776</v>
      </c>
      <c r="AG1025" s="128"/>
      <c r="AI1025" s="64">
        <f t="shared" si="221"/>
        <v>4.8058823529411763E-3</v>
      </c>
      <c r="AJ1025" s="313">
        <f>RTD("money.excel",,$G1025,"PredictVolume")</f>
        <v>5719</v>
      </c>
      <c r="AK1025" s="348"/>
    </row>
    <row r="1026" spans="1:37">
      <c r="A1026" s="148" t="s">
        <v>5777</v>
      </c>
      <c r="B1026" s="82">
        <v>-25</v>
      </c>
      <c r="C1026" s="81">
        <v>24</v>
      </c>
      <c r="D1026" s="82">
        <v>-1</v>
      </c>
      <c r="E1026" s="81">
        <v>4</v>
      </c>
      <c r="F1026" s="6">
        <v>-4.33</v>
      </c>
      <c r="G1026" s="81">
        <v>2316</v>
      </c>
      <c r="H1026" s="8" t="s">
        <v>327</v>
      </c>
      <c r="I1026" s="22" t="s">
        <v>5778</v>
      </c>
      <c r="J1026" s="330">
        <v>42.7</v>
      </c>
      <c r="K1026" s="75">
        <v>16.86</v>
      </c>
      <c r="L1026" s="330">
        <v>12.03</v>
      </c>
      <c r="N1026" s="325">
        <f t="shared" si="222"/>
        <v>71.59</v>
      </c>
      <c r="O1026" s="27"/>
      <c r="P1026" s="56"/>
      <c r="Q1026" s="26"/>
      <c r="S1026" s="330">
        <v>0.81</v>
      </c>
      <c r="T1026" s="34">
        <v>1.5</v>
      </c>
      <c r="U1026" s="366">
        <f t="shared" si="217"/>
        <v>4.8387096774193547E-2</v>
      </c>
      <c r="V1026" s="97">
        <v>2.1</v>
      </c>
      <c r="W1026" s="36">
        <f>RTD("money.excel",,"2316","Price")</f>
        <v>31</v>
      </c>
      <c r="X1026" s="67"/>
      <c r="Y1026" s="15">
        <f t="shared" si="218"/>
        <v>31</v>
      </c>
      <c r="Z1026" s="3" t="e">
        <f t="shared" si="219"/>
        <v>#DIV/0!</v>
      </c>
      <c r="AA1026" s="174" t="s">
        <v>4710</v>
      </c>
      <c r="AB1026" s="22" t="s">
        <v>5778</v>
      </c>
      <c r="AE1026" s="33">
        <f t="shared" si="220"/>
        <v>0</v>
      </c>
      <c r="AF1026" s="43" t="s">
        <v>5779</v>
      </c>
      <c r="AG1026" s="128"/>
      <c r="AI1026" s="64">
        <f t="shared" si="221"/>
        <v>1.5659340659340659E-3</v>
      </c>
      <c r="AJ1026" s="313">
        <f>RTD("money.excel",,$G1026,"PredictVolume")</f>
        <v>285</v>
      </c>
      <c r="AK1026" s="348"/>
    </row>
    <row r="1027" spans="1:37">
      <c r="A1027" s="132" t="s">
        <v>5780</v>
      </c>
      <c r="B1027" s="81">
        <v>118</v>
      </c>
      <c r="C1027" s="81">
        <v>101</v>
      </c>
      <c r="D1027" s="82">
        <v>-12</v>
      </c>
      <c r="E1027" s="81">
        <v>19</v>
      </c>
      <c r="F1027" s="58">
        <v>27.78</v>
      </c>
      <c r="G1027" s="81">
        <v>2327</v>
      </c>
      <c r="H1027" s="206" t="s">
        <v>327</v>
      </c>
      <c r="I1027" s="22" t="s">
        <v>5781</v>
      </c>
      <c r="J1027" s="75">
        <v>47.47</v>
      </c>
      <c r="K1027" s="75">
        <v>52.64</v>
      </c>
      <c r="L1027" s="330">
        <v>10.68</v>
      </c>
      <c r="N1027" s="325">
        <f t="shared" si="222"/>
        <v>110.78999999999999</v>
      </c>
      <c r="O1027" s="27"/>
      <c r="P1027" s="56"/>
      <c r="Q1027" s="26"/>
      <c r="S1027" s="330">
        <v>11.95</v>
      </c>
      <c r="T1027" s="67">
        <v>10.08</v>
      </c>
      <c r="U1027" s="366">
        <f t="shared" si="217"/>
        <v>2.3225806451612905E-2</v>
      </c>
      <c r="V1027" s="97">
        <v>46.83</v>
      </c>
      <c r="W1027" s="13">
        <f>RTD("money.excel",,"2327","Price")</f>
        <v>434</v>
      </c>
      <c r="X1027" s="67"/>
      <c r="Y1027" s="15">
        <f t="shared" si="218"/>
        <v>434</v>
      </c>
      <c r="Z1027" s="3" t="e">
        <f t="shared" si="219"/>
        <v>#DIV/0!</v>
      </c>
      <c r="AA1027" s="174" t="s">
        <v>4714</v>
      </c>
      <c r="AB1027" s="22" t="s">
        <v>5781</v>
      </c>
      <c r="AE1027" s="33">
        <f t="shared" si="220"/>
        <v>0</v>
      </c>
      <c r="AF1027" s="122" t="s">
        <v>5782</v>
      </c>
      <c r="AG1027" s="128"/>
      <c r="AI1027" s="64">
        <f t="shared" si="221"/>
        <v>2.4646464646464646E-3</v>
      </c>
      <c r="AJ1027" s="313">
        <f>RTD("money.excel",,$G1027,"PredictVolume")</f>
        <v>1220</v>
      </c>
      <c r="AK1027" s="348"/>
    </row>
    <row r="1028" spans="1:37">
      <c r="A1028" s="148" t="s">
        <v>5783</v>
      </c>
      <c r="B1028" s="82">
        <v>-68</v>
      </c>
      <c r="C1028" s="82">
        <v>-75</v>
      </c>
      <c r="D1028" s="81">
        <v>1</v>
      </c>
      <c r="E1028" s="82">
        <v>-22</v>
      </c>
      <c r="F1028" s="6">
        <v>0.96</v>
      </c>
      <c r="G1028" s="81">
        <v>2328</v>
      </c>
      <c r="H1028" s="8" t="s">
        <v>327</v>
      </c>
      <c r="I1028" s="22" t="s">
        <v>5784</v>
      </c>
      <c r="J1028" s="330">
        <v>45.79</v>
      </c>
      <c r="K1028" s="330">
        <v>15.07</v>
      </c>
      <c r="L1028" s="330">
        <v>6.64</v>
      </c>
      <c r="N1028" s="325">
        <f t="shared" si="222"/>
        <v>67.5</v>
      </c>
      <c r="O1028" s="27"/>
      <c r="P1028" s="56"/>
      <c r="Q1028" s="26"/>
      <c r="S1028" s="330">
        <v>0.03</v>
      </c>
      <c r="T1028" s="34">
        <v>0.65</v>
      </c>
      <c r="U1028" s="366">
        <f t="shared" si="217"/>
        <v>1.754385964912281E-2</v>
      </c>
      <c r="V1028" s="97">
        <v>1.28</v>
      </c>
      <c r="W1028" s="36">
        <f>RTD("money.excel",,"2328","Price")</f>
        <v>37.049999999999997</v>
      </c>
      <c r="X1028" s="67"/>
      <c r="Y1028" s="15">
        <f t="shared" si="218"/>
        <v>37.049999999999997</v>
      </c>
      <c r="Z1028" s="3" t="e">
        <f t="shared" si="219"/>
        <v>#DIV/0!</v>
      </c>
      <c r="AA1028" s="174" t="s">
        <v>4710</v>
      </c>
      <c r="AB1028" s="22" t="s">
        <v>5784</v>
      </c>
      <c r="AE1028" s="33">
        <f t="shared" si="220"/>
        <v>0</v>
      </c>
      <c r="AF1028" s="122" t="s">
        <v>5785</v>
      </c>
      <c r="AG1028" s="128"/>
      <c r="AI1028" s="64">
        <f t="shared" si="221"/>
        <v>2.6583011583011583E-3</v>
      </c>
      <c r="AJ1028" s="313">
        <f>RTD("money.excel",,$G1028,"PredictVolume")</f>
        <v>1377</v>
      </c>
      <c r="AK1028" s="348"/>
    </row>
    <row r="1029" spans="1:37">
      <c r="A1029" s="148" t="s">
        <v>5699</v>
      </c>
      <c r="B1029" s="81">
        <v>750</v>
      </c>
      <c r="C1029" s="82">
        <v>-12</v>
      </c>
      <c r="D1029" s="81">
        <v>14</v>
      </c>
      <c r="E1029" s="81">
        <v>13</v>
      </c>
      <c r="F1029" s="6">
        <v>-1</v>
      </c>
      <c r="G1029" s="81">
        <v>2355</v>
      </c>
      <c r="H1029" s="8" t="s">
        <v>327</v>
      </c>
      <c r="I1029" s="22" t="s">
        <v>5786</v>
      </c>
      <c r="J1029" s="75">
        <v>42.52</v>
      </c>
      <c r="K1029" s="75">
        <v>17.010000000000002</v>
      </c>
      <c r="L1029" s="330">
        <v>9.69</v>
      </c>
      <c r="M1029" s="330">
        <v>11.89</v>
      </c>
      <c r="N1029" s="325">
        <f t="shared" si="222"/>
        <v>81.11</v>
      </c>
      <c r="O1029" s="27"/>
      <c r="P1029" s="56"/>
      <c r="Q1029" s="26"/>
      <c r="R1029" s="308" t="s">
        <v>6059</v>
      </c>
      <c r="S1029" s="330">
        <v>3.53</v>
      </c>
      <c r="T1029" s="34">
        <v>0.5</v>
      </c>
      <c r="U1029" s="366">
        <f t="shared" si="217"/>
        <v>1.4513788098693758E-2</v>
      </c>
      <c r="V1029" s="97">
        <v>1.1399999999999999</v>
      </c>
      <c r="W1029" s="36">
        <f>RTD("money.excel",,"2355","Price")</f>
        <v>34.450000000000003</v>
      </c>
      <c r="X1029" s="67"/>
      <c r="Y1029" s="15">
        <f t="shared" si="218"/>
        <v>34.450000000000003</v>
      </c>
      <c r="Z1029" s="3" t="e">
        <f t="shared" si="219"/>
        <v>#DIV/0!</v>
      </c>
      <c r="AA1029" s="174" t="s">
        <v>1943</v>
      </c>
      <c r="AB1029" s="22" t="s">
        <v>5786</v>
      </c>
      <c r="AE1029" s="33">
        <f t="shared" si="220"/>
        <v>0</v>
      </c>
      <c r="AF1029" s="122" t="s">
        <v>5787</v>
      </c>
      <c r="AG1029" s="128"/>
      <c r="AI1029" s="64">
        <f t="shared" si="221"/>
        <v>3.0554156171284635E-3</v>
      </c>
      <c r="AJ1029" s="313">
        <f>RTD("money.excel",,$G1029,"PredictVolume")</f>
        <v>1213</v>
      </c>
      <c r="AK1029" s="348"/>
    </row>
    <row r="1030" spans="1:37">
      <c r="A1030" s="148" t="s">
        <v>5788</v>
      </c>
      <c r="B1030" s="82">
        <v>-182</v>
      </c>
      <c r="C1030" s="82">
        <v>-195</v>
      </c>
      <c r="D1030" s="81">
        <v>7</v>
      </c>
      <c r="E1030" s="82">
        <v>-3</v>
      </c>
      <c r="F1030" s="6">
        <v>-16.059999999999999</v>
      </c>
      <c r="G1030" s="81">
        <v>2367</v>
      </c>
      <c r="H1030" s="8" t="s">
        <v>327</v>
      </c>
      <c r="I1030" s="22" t="s">
        <v>5789</v>
      </c>
      <c r="J1030" s="330">
        <v>27.29</v>
      </c>
      <c r="K1030" s="330">
        <v>8.11</v>
      </c>
      <c r="L1030" s="75">
        <v>21.61</v>
      </c>
      <c r="N1030" s="325">
        <f t="shared" si="222"/>
        <v>57.01</v>
      </c>
      <c r="O1030" s="27"/>
      <c r="P1030" s="56"/>
      <c r="Q1030" s="26"/>
      <c r="S1030" s="330">
        <v>0.12</v>
      </c>
      <c r="T1030" s="34">
        <v>0</v>
      </c>
      <c r="U1030" s="366">
        <f t="shared" si="217"/>
        <v>0</v>
      </c>
      <c r="V1030" s="97">
        <v>-2.3199999999999998</v>
      </c>
      <c r="W1030" s="36">
        <f>RTD("money.excel",,"2367","Price")</f>
        <v>17.8</v>
      </c>
      <c r="X1030" s="67"/>
      <c r="Y1030" s="15">
        <f t="shared" si="218"/>
        <v>17.8</v>
      </c>
      <c r="Z1030" s="3" t="e">
        <f t="shared" si="219"/>
        <v>#DIV/0!</v>
      </c>
      <c r="AA1030" s="174" t="s">
        <v>4710</v>
      </c>
      <c r="AB1030" s="22" t="s">
        <v>5789</v>
      </c>
      <c r="AE1030" s="33">
        <f t="shared" si="220"/>
        <v>0</v>
      </c>
      <c r="AF1030" s="122" t="s">
        <v>1101</v>
      </c>
      <c r="AG1030" s="128"/>
      <c r="AI1030" s="64">
        <f t="shared" si="221"/>
        <v>1.1922455573505654E-3</v>
      </c>
      <c r="AJ1030" s="313">
        <f>RTD("money.excel",,$G1030,"PredictVolume")</f>
        <v>738</v>
      </c>
      <c r="AK1030" s="348"/>
    </row>
    <row r="1031" spans="1:37">
      <c r="A1031" s="132" t="s">
        <v>5790</v>
      </c>
      <c r="B1031" s="81">
        <v>49</v>
      </c>
      <c r="C1031" s="81">
        <v>57</v>
      </c>
      <c r="D1031" s="82">
        <v>-1</v>
      </c>
      <c r="E1031" s="82">
        <v>-4</v>
      </c>
      <c r="F1031" s="58">
        <v>13.62</v>
      </c>
      <c r="G1031" s="81">
        <v>2368</v>
      </c>
      <c r="H1031" s="8" t="s">
        <v>327</v>
      </c>
      <c r="I1031" s="22" t="s">
        <v>5791</v>
      </c>
      <c r="J1031" s="75">
        <v>69.73</v>
      </c>
      <c r="K1031" s="75">
        <v>19.2</v>
      </c>
      <c r="L1031" s="330">
        <v>15.17</v>
      </c>
      <c r="N1031" s="325">
        <f t="shared" si="222"/>
        <v>104.10000000000001</v>
      </c>
      <c r="O1031" s="27"/>
      <c r="P1031" s="56"/>
      <c r="Q1031" s="26"/>
      <c r="S1031" s="330">
        <v>10.25</v>
      </c>
      <c r="T1031" s="34">
        <v>1.5</v>
      </c>
      <c r="U1031" s="366">
        <f t="shared" si="217"/>
        <v>1.935483870967742E-2</v>
      </c>
      <c r="V1031" s="58">
        <v>4.18</v>
      </c>
      <c r="W1031" s="36">
        <f>RTD("money.excel",,"2368","Price")</f>
        <v>77.5</v>
      </c>
      <c r="X1031" s="67"/>
      <c r="Y1031" s="15">
        <f t="shared" si="218"/>
        <v>77.5</v>
      </c>
      <c r="Z1031" s="3" t="e">
        <f t="shared" si="219"/>
        <v>#DIV/0!</v>
      </c>
      <c r="AA1031" s="174" t="s">
        <v>4710</v>
      </c>
      <c r="AB1031" s="22" t="s">
        <v>5791</v>
      </c>
      <c r="AE1031" s="33">
        <f t="shared" si="220"/>
        <v>0</v>
      </c>
      <c r="AF1031" s="43" t="s">
        <v>1101</v>
      </c>
      <c r="AG1031" s="128"/>
      <c r="AI1031" s="64">
        <f t="shared" si="221"/>
        <v>1.1197802197802198E-2</v>
      </c>
      <c r="AJ1031" s="313">
        <f>RTD("money.excel",,$G1031,"PredictVolume")</f>
        <v>6114</v>
      </c>
      <c r="AK1031" s="348"/>
    </row>
    <row r="1032" spans="1:37">
      <c r="A1032" s="132" t="s">
        <v>5792</v>
      </c>
      <c r="B1032" s="81">
        <v>54</v>
      </c>
      <c r="C1032" s="81">
        <v>45</v>
      </c>
      <c r="D1032" s="81">
        <v>7</v>
      </c>
      <c r="E1032" s="81">
        <v>42</v>
      </c>
      <c r="F1032" s="58">
        <v>13.21</v>
      </c>
      <c r="G1032" s="81">
        <v>2375</v>
      </c>
      <c r="H1032" s="210" t="s">
        <v>327</v>
      </c>
      <c r="I1032" s="23" t="s">
        <v>5793</v>
      </c>
      <c r="J1032" s="75">
        <v>14.64</v>
      </c>
      <c r="K1032" s="75">
        <v>7.02</v>
      </c>
      <c r="L1032" s="330">
        <v>37.75</v>
      </c>
      <c r="M1032" s="75">
        <v>7.07</v>
      </c>
      <c r="N1032" s="325">
        <f t="shared" si="222"/>
        <v>66.47999999999999</v>
      </c>
      <c r="O1032" s="27"/>
      <c r="P1032" s="56"/>
      <c r="Q1032" s="26"/>
      <c r="R1032" s="308" t="s">
        <v>4754</v>
      </c>
      <c r="S1032" s="330">
        <v>4.9800000000000004</v>
      </c>
      <c r="T1032" s="34">
        <v>2</v>
      </c>
      <c r="U1032" s="366">
        <f t="shared" si="217"/>
        <v>2.4752475247524754E-2</v>
      </c>
      <c r="V1032" s="97">
        <v>7.95</v>
      </c>
      <c r="W1032" s="36">
        <f>RTD("money.excel",,"2375","Price")</f>
        <v>80.8</v>
      </c>
      <c r="X1032" s="67"/>
      <c r="Y1032" s="15">
        <f t="shared" si="218"/>
        <v>80.8</v>
      </c>
      <c r="Z1032" s="3" t="e">
        <f t="shared" si="219"/>
        <v>#DIV/0!</v>
      </c>
      <c r="AA1032" s="174" t="s">
        <v>4710</v>
      </c>
      <c r="AB1032" s="23" t="s">
        <v>5793</v>
      </c>
      <c r="AE1032" s="33">
        <f t="shared" si="220"/>
        <v>0</v>
      </c>
      <c r="AF1032" s="124" t="s">
        <v>5794</v>
      </c>
      <c r="AG1032" s="128"/>
      <c r="AI1032" s="64">
        <f t="shared" si="221"/>
        <v>2.7925925925925926E-3</v>
      </c>
      <c r="AJ1032" s="313">
        <f>RTD("money.excel",,$G1032,"PredictVolume")</f>
        <v>377</v>
      </c>
      <c r="AK1032" s="348"/>
    </row>
    <row r="1033" spans="1:37">
      <c r="A1033" s="132" t="s">
        <v>5113</v>
      </c>
      <c r="B1033" s="81">
        <v>28</v>
      </c>
      <c r="C1033" s="81">
        <v>19</v>
      </c>
      <c r="D1033" s="81">
        <v>3</v>
      </c>
      <c r="E1033" s="81">
        <v>14</v>
      </c>
      <c r="F1033" s="58">
        <v>17.68</v>
      </c>
      <c r="G1033" s="81">
        <v>2383</v>
      </c>
      <c r="H1033" s="8" t="s">
        <v>327</v>
      </c>
      <c r="I1033" s="22" t="s">
        <v>5795</v>
      </c>
      <c r="J1033" s="75">
        <v>61.55</v>
      </c>
      <c r="K1033" s="75">
        <v>31.35</v>
      </c>
      <c r="L1033" s="75">
        <v>5.74</v>
      </c>
      <c r="N1033" s="325">
        <f t="shared" si="222"/>
        <v>98.64</v>
      </c>
      <c r="O1033" s="27"/>
      <c r="P1033" s="56"/>
      <c r="Q1033" s="26"/>
      <c r="S1033" s="330">
        <v>0.15</v>
      </c>
      <c r="T1033" s="67">
        <v>7</v>
      </c>
      <c r="U1033" s="366">
        <f t="shared" si="217"/>
        <v>2.766798418972332E-2</v>
      </c>
      <c r="V1033" s="97">
        <v>11.39</v>
      </c>
      <c r="W1033" s="36">
        <f>RTD("money.excel",,"2383","Price")</f>
        <v>253</v>
      </c>
      <c r="X1033" s="67"/>
      <c r="Y1033" s="15">
        <f t="shared" si="218"/>
        <v>253</v>
      </c>
      <c r="Z1033" s="3" t="e">
        <f t="shared" si="219"/>
        <v>#DIV/0!</v>
      </c>
      <c r="AA1033" s="174" t="s">
        <v>4714</v>
      </c>
      <c r="AB1033" s="22" t="s">
        <v>5795</v>
      </c>
      <c r="AE1033" s="33">
        <f t="shared" si="220"/>
        <v>0</v>
      </c>
      <c r="AF1033" s="122" t="s">
        <v>4027</v>
      </c>
      <c r="AG1033" s="128"/>
      <c r="AI1033" s="64">
        <f t="shared" si="221"/>
        <v>4.4277108433734939E-3</v>
      </c>
      <c r="AJ1033" s="313">
        <f>RTD("money.excel",,$G1033,"PredictVolume")</f>
        <v>1470</v>
      </c>
      <c r="AK1033" s="348"/>
    </row>
    <row r="1034" spans="1:37">
      <c r="A1034" s="148" t="s">
        <v>5796</v>
      </c>
      <c r="B1034" s="81">
        <v>9</v>
      </c>
      <c r="C1034" s="82">
        <v>-3</v>
      </c>
      <c r="D1034" s="81">
        <v>8</v>
      </c>
      <c r="E1034" s="81">
        <v>23</v>
      </c>
      <c r="F1034" s="6">
        <v>7.9</v>
      </c>
      <c r="G1034" s="81">
        <v>2385</v>
      </c>
      <c r="H1034" s="8" t="s">
        <v>327</v>
      </c>
      <c r="I1034" s="22" t="s">
        <v>5797</v>
      </c>
      <c r="J1034" s="75">
        <v>68.599999999999994</v>
      </c>
      <c r="K1034" s="330">
        <v>42.89</v>
      </c>
      <c r="L1034" s="75">
        <v>2.02</v>
      </c>
      <c r="N1034" s="325">
        <f t="shared" si="222"/>
        <v>113.50999999999999</v>
      </c>
      <c r="O1034" s="27"/>
      <c r="P1034" s="56"/>
      <c r="Q1034" s="26"/>
      <c r="R1034" s="308" t="s">
        <v>4839</v>
      </c>
      <c r="S1034" s="330">
        <v>0.05</v>
      </c>
      <c r="T1034" s="67">
        <v>5.5</v>
      </c>
      <c r="U1034" s="366">
        <f t="shared" si="217"/>
        <v>6.1728395061728399E-2</v>
      </c>
      <c r="V1034" s="58">
        <v>8.14</v>
      </c>
      <c r="W1034" s="13">
        <f>RTD("money.excel",,"2385","Price")</f>
        <v>89.1</v>
      </c>
      <c r="X1034" s="67"/>
      <c r="Y1034" s="15">
        <f t="shared" si="218"/>
        <v>89.1</v>
      </c>
      <c r="Z1034" s="3" t="e">
        <f t="shared" si="219"/>
        <v>#DIV/0!</v>
      </c>
      <c r="AA1034" s="174" t="s">
        <v>4714</v>
      </c>
      <c r="AB1034" s="22" t="s">
        <v>5797</v>
      </c>
      <c r="AE1034" s="33">
        <f t="shared" si="220"/>
        <v>0</v>
      </c>
      <c r="AF1034" s="122" t="s">
        <v>5798</v>
      </c>
      <c r="AG1034" s="128"/>
      <c r="AI1034" s="64">
        <f t="shared" si="221"/>
        <v>2.6228187919463087E-3</v>
      </c>
      <c r="AJ1034" s="313">
        <f>RTD("money.excel",,$G1034,"PredictVolume")</f>
        <v>1954</v>
      </c>
      <c r="AK1034" s="348"/>
    </row>
    <row r="1035" spans="1:37">
      <c r="A1035" s="148" t="s">
        <v>5799</v>
      </c>
      <c r="B1035" s="82">
        <v>-30</v>
      </c>
      <c r="C1035" s="82">
        <v>-11</v>
      </c>
      <c r="D1035" s="81">
        <v>6</v>
      </c>
      <c r="E1035" s="82">
        <v>-1</v>
      </c>
      <c r="F1035" s="6">
        <v>2.12</v>
      </c>
      <c r="G1035" s="81">
        <v>2392</v>
      </c>
      <c r="H1035" s="8" t="s">
        <v>327</v>
      </c>
      <c r="I1035" s="22" t="s">
        <v>5800</v>
      </c>
      <c r="J1035" s="75">
        <v>44.23</v>
      </c>
      <c r="K1035" s="75">
        <v>12.14</v>
      </c>
      <c r="L1035" s="75">
        <v>4.34</v>
      </c>
      <c r="N1035" s="325">
        <f t="shared" si="222"/>
        <v>60.709999999999994</v>
      </c>
      <c r="O1035" s="27"/>
      <c r="P1035" s="56"/>
      <c r="Q1035" s="26"/>
      <c r="S1035" s="330">
        <v>0.18</v>
      </c>
      <c r="T1035" s="34">
        <v>2.5</v>
      </c>
      <c r="U1035" s="366">
        <f t="shared" si="217"/>
        <v>6.5789473684210523E-2</v>
      </c>
      <c r="V1035" s="97">
        <v>2.48</v>
      </c>
      <c r="W1035" s="36">
        <f>RTD("money.excel",,"2392","Price")</f>
        <v>38</v>
      </c>
      <c r="X1035" s="67"/>
      <c r="Y1035" s="15">
        <f t="shared" si="218"/>
        <v>38</v>
      </c>
      <c r="Z1035" s="3" t="e">
        <f t="shared" si="219"/>
        <v>#DIV/0!</v>
      </c>
      <c r="AA1035" s="174" t="s">
        <v>4710</v>
      </c>
      <c r="AB1035" s="22" t="s">
        <v>5800</v>
      </c>
      <c r="AE1035" s="33">
        <f t="shared" si="220"/>
        <v>0</v>
      </c>
      <c r="AF1035" s="122" t="s">
        <v>5801</v>
      </c>
      <c r="AG1035" s="128"/>
      <c r="AI1035" s="64">
        <f t="shared" si="221"/>
        <v>8.7109375000000001E-4</v>
      </c>
      <c r="AJ1035" s="313">
        <f>RTD("money.excel",,$G1035,"PredictVolume")</f>
        <v>446</v>
      </c>
      <c r="AK1035" s="348"/>
    </row>
    <row r="1036" spans="1:37">
      <c r="A1036" s="148" t="s">
        <v>5802</v>
      </c>
      <c r="B1036" s="81">
        <v>56</v>
      </c>
      <c r="C1036" s="81">
        <v>239</v>
      </c>
      <c r="D1036" s="81">
        <v>128</v>
      </c>
      <c r="E1036" s="81">
        <v>3</v>
      </c>
      <c r="F1036" s="6">
        <v>4.57</v>
      </c>
      <c r="G1036" s="81">
        <v>2402</v>
      </c>
      <c r="H1036" s="8" t="s">
        <v>327</v>
      </c>
      <c r="I1036" s="22" t="s">
        <v>5803</v>
      </c>
      <c r="J1036" s="330">
        <v>48.15</v>
      </c>
      <c r="K1036" s="330">
        <v>14.39</v>
      </c>
      <c r="L1036" s="75">
        <v>5.95</v>
      </c>
      <c r="N1036" s="325">
        <f t="shared" si="222"/>
        <v>68.489999999999995</v>
      </c>
      <c r="O1036" s="27"/>
      <c r="P1036" s="56"/>
      <c r="Q1036" s="26"/>
      <c r="S1036" s="330">
        <v>12.16</v>
      </c>
      <c r="T1036" s="34">
        <v>0.5</v>
      </c>
      <c r="U1036" s="366">
        <f t="shared" si="217"/>
        <v>3.1347962382445145E-2</v>
      </c>
      <c r="V1036" s="97">
        <v>0.39</v>
      </c>
      <c r="W1036" s="36">
        <f>RTD("money.excel",,"2402","Price")</f>
        <v>15.95</v>
      </c>
      <c r="X1036" s="67"/>
      <c r="Y1036" s="15">
        <f t="shared" si="218"/>
        <v>15.95</v>
      </c>
      <c r="Z1036" s="3" t="e">
        <f t="shared" si="219"/>
        <v>#DIV/0!</v>
      </c>
      <c r="AA1036" s="174" t="s">
        <v>4710</v>
      </c>
      <c r="AB1036" s="22" t="s">
        <v>5803</v>
      </c>
      <c r="AE1036" s="33">
        <f t="shared" si="220"/>
        <v>0</v>
      </c>
      <c r="AF1036" s="43" t="s">
        <v>5804</v>
      </c>
      <c r="AG1036" s="128"/>
      <c r="AI1036" s="64">
        <f t="shared" si="221"/>
        <v>8.1433224755700329E-4</v>
      </c>
      <c r="AJ1036" s="313">
        <f>RTD("money.excel",,$G1036,"PredictVolume")</f>
        <v>250</v>
      </c>
      <c r="AK1036" s="348"/>
    </row>
    <row r="1037" spans="1:37">
      <c r="A1037" s="148" t="s">
        <v>5483</v>
      </c>
      <c r="B1037" s="96">
        <v>-1791</v>
      </c>
      <c r="C1037" s="82">
        <v>-92</v>
      </c>
      <c r="D1037" s="82">
        <v>-16</v>
      </c>
      <c r="E1037" s="82">
        <v>-18</v>
      </c>
      <c r="F1037" s="6">
        <v>-2.77</v>
      </c>
      <c r="G1037" s="81">
        <v>2413</v>
      </c>
      <c r="H1037" s="8" t="s">
        <v>327</v>
      </c>
      <c r="I1037" s="22" t="s">
        <v>5805</v>
      </c>
      <c r="J1037" s="75">
        <v>55.7</v>
      </c>
      <c r="K1037" s="75">
        <v>0.79</v>
      </c>
      <c r="L1037" s="330">
        <v>7.74</v>
      </c>
      <c r="N1037" s="325">
        <f t="shared" si="222"/>
        <v>64.23</v>
      </c>
      <c r="O1037" s="27"/>
      <c r="P1037" s="56"/>
      <c r="Q1037" s="26"/>
      <c r="S1037" s="330">
        <v>0.02</v>
      </c>
      <c r="T1037" s="34">
        <v>0</v>
      </c>
      <c r="U1037" s="366">
        <f t="shared" si="217"/>
        <v>0</v>
      </c>
      <c r="V1037" s="97">
        <v>-0.1</v>
      </c>
      <c r="W1037" s="36">
        <f>RTD("money.excel",,"2413","Price")</f>
        <v>20.25</v>
      </c>
      <c r="X1037" s="67"/>
      <c r="Y1037" s="15">
        <f t="shared" si="218"/>
        <v>20.25</v>
      </c>
      <c r="Z1037" s="3" t="e">
        <f t="shared" si="219"/>
        <v>#DIV/0!</v>
      </c>
      <c r="AA1037" s="174" t="s">
        <v>4710</v>
      </c>
      <c r="AB1037" s="22" t="s">
        <v>5805</v>
      </c>
      <c r="AE1037" s="33">
        <f t="shared" si="220"/>
        <v>0</v>
      </c>
      <c r="AF1037" s="43" t="s">
        <v>2893</v>
      </c>
      <c r="AG1037" s="128"/>
      <c r="AI1037" s="64">
        <f t="shared" si="221"/>
        <v>1.220472440944882E-3</v>
      </c>
      <c r="AJ1037" s="313">
        <f>RTD("money.excel",,$G1037,"PredictVolume")</f>
        <v>155</v>
      </c>
      <c r="AK1037" s="348"/>
    </row>
    <row r="1038" spans="1:37">
      <c r="A1038" s="148" t="s">
        <v>5403</v>
      </c>
      <c r="B1038" s="93">
        <v>-42</v>
      </c>
      <c r="C1038" s="93">
        <v>-27</v>
      </c>
      <c r="D1038" s="93">
        <v>-5</v>
      </c>
      <c r="E1038" s="93">
        <v>-9</v>
      </c>
      <c r="F1038" s="6">
        <v>8.23</v>
      </c>
      <c r="G1038" s="81">
        <v>2415</v>
      </c>
      <c r="H1038" s="8" t="s">
        <v>327</v>
      </c>
      <c r="I1038" s="22" t="s">
        <v>5806</v>
      </c>
      <c r="J1038" s="75">
        <v>53.34</v>
      </c>
      <c r="K1038" s="75">
        <v>1.74</v>
      </c>
      <c r="L1038" s="75">
        <v>8.91</v>
      </c>
      <c r="N1038" s="325">
        <f t="shared" si="222"/>
        <v>63.990000000000009</v>
      </c>
      <c r="O1038" s="27"/>
      <c r="P1038" s="56"/>
      <c r="Q1038" s="26"/>
      <c r="S1038" s="330">
        <v>14.35</v>
      </c>
      <c r="T1038" s="34">
        <v>1.5</v>
      </c>
      <c r="U1038" s="366">
        <f t="shared" si="217"/>
        <v>3.8071065989847719E-2</v>
      </c>
      <c r="V1038" s="97">
        <v>0.66</v>
      </c>
      <c r="W1038" s="36">
        <f>RTD("money.excel",,"2415","Price")</f>
        <v>39.4</v>
      </c>
      <c r="X1038" s="67"/>
      <c r="Y1038" s="15">
        <f t="shared" si="218"/>
        <v>39.4</v>
      </c>
      <c r="Z1038" s="3" t="e">
        <f t="shared" si="219"/>
        <v>#DIV/0!</v>
      </c>
      <c r="AB1038" s="22" t="s">
        <v>5806</v>
      </c>
      <c r="AE1038" s="33">
        <f t="shared" si="220"/>
        <v>0</v>
      </c>
      <c r="AF1038" s="43" t="s">
        <v>5807</v>
      </c>
      <c r="AG1038" s="128"/>
      <c r="AI1038" s="64">
        <f t="shared" si="221"/>
        <v>2.5374999999999998E-3</v>
      </c>
      <c r="AJ1038" s="313">
        <f>RTD("money.excel",,$G1038,"PredictVolume")</f>
        <v>203</v>
      </c>
      <c r="AK1038" s="348"/>
    </row>
    <row r="1039" spans="1:37">
      <c r="A1039" s="132" t="s">
        <v>5808</v>
      </c>
      <c r="B1039" s="93">
        <v>-9</v>
      </c>
      <c r="C1039" s="93">
        <v>-5</v>
      </c>
      <c r="D1039" s="93">
        <v>0</v>
      </c>
      <c r="E1039" s="93">
        <v>17</v>
      </c>
      <c r="F1039" s="58">
        <v>20.260000000000002</v>
      </c>
      <c r="G1039" s="81">
        <v>2420</v>
      </c>
      <c r="H1039" s="8" t="s">
        <v>327</v>
      </c>
      <c r="I1039" s="22" t="s">
        <v>5809</v>
      </c>
      <c r="J1039" s="75">
        <v>52.24</v>
      </c>
      <c r="K1039" s="75">
        <v>2.48</v>
      </c>
      <c r="L1039" s="75">
        <v>1.1200000000000001</v>
      </c>
      <c r="N1039" s="325">
        <f t="shared" si="222"/>
        <v>55.839999999999996</v>
      </c>
      <c r="O1039" s="27"/>
      <c r="P1039" s="56"/>
      <c r="Q1039" s="26"/>
      <c r="S1039" s="330">
        <v>23.33</v>
      </c>
      <c r="T1039" s="34">
        <v>2.5499999999999998</v>
      </c>
      <c r="U1039" s="366">
        <f t="shared" si="217"/>
        <v>5.875576036866359E-2</v>
      </c>
      <c r="V1039" s="97">
        <v>2.9</v>
      </c>
      <c r="W1039" s="13">
        <f>RTD("money.excel",,"2420","Price")</f>
        <v>43.4</v>
      </c>
      <c r="X1039" s="67"/>
      <c r="Y1039" s="15">
        <f t="shared" si="218"/>
        <v>43.4</v>
      </c>
      <c r="Z1039" s="3" t="e">
        <f t="shared" si="219"/>
        <v>#DIV/0!</v>
      </c>
      <c r="AB1039" s="22" t="s">
        <v>5809</v>
      </c>
      <c r="AE1039" s="33">
        <f t="shared" si="220"/>
        <v>0</v>
      </c>
      <c r="AF1039" s="43" t="s">
        <v>2893</v>
      </c>
      <c r="AG1039" s="128"/>
      <c r="AI1039" s="64">
        <f t="shared" si="221"/>
        <v>1.8618421052631578E-3</v>
      </c>
      <c r="AJ1039" s="313">
        <f>RTD("money.excel",,$G1039,"PredictVolume")</f>
        <v>283</v>
      </c>
      <c r="AK1039" s="348"/>
    </row>
    <row r="1040" spans="1:37">
      <c r="A1040" s="148" t="s">
        <v>5810</v>
      </c>
      <c r="B1040" s="82">
        <v>-63</v>
      </c>
      <c r="C1040" s="82">
        <v>-72</v>
      </c>
      <c r="D1040" s="82">
        <v>-8</v>
      </c>
      <c r="E1040" s="81">
        <v>8</v>
      </c>
      <c r="F1040" s="6">
        <v>2.48</v>
      </c>
      <c r="G1040" s="81">
        <v>2421</v>
      </c>
      <c r="H1040" s="8" t="s">
        <v>327</v>
      </c>
      <c r="I1040" s="22" t="s">
        <v>5811</v>
      </c>
      <c r="J1040" s="330">
        <v>48.17</v>
      </c>
      <c r="K1040" s="75">
        <v>22.12</v>
      </c>
      <c r="L1040" s="330">
        <v>8.1199999999999992</v>
      </c>
      <c r="M1040" s="330">
        <v>14.8</v>
      </c>
      <c r="N1040" s="325">
        <f t="shared" si="222"/>
        <v>93.210000000000008</v>
      </c>
      <c r="O1040" s="27" t="s">
        <v>6329</v>
      </c>
      <c r="P1040" s="56" t="s">
        <v>6329</v>
      </c>
      <c r="Q1040" s="26" t="s">
        <v>6327</v>
      </c>
      <c r="R1040" s="309" t="s">
        <v>6219</v>
      </c>
      <c r="S1040" s="330">
        <v>2.4900000000000002</v>
      </c>
      <c r="T1040" s="34">
        <v>2.4</v>
      </c>
      <c r="U1040" s="366">
        <f t="shared" si="217"/>
        <v>5.5684454756380508E-2</v>
      </c>
      <c r="V1040" s="97">
        <v>1.63</v>
      </c>
      <c r="W1040" s="36">
        <f>RTD("money.excel",,"2421","Price")</f>
        <v>43.1</v>
      </c>
      <c r="X1040" s="67"/>
      <c r="Y1040" s="15">
        <f t="shared" si="218"/>
        <v>43.1</v>
      </c>
      <c r="Z1040" s="3" t="e">
        <f t="shared" si="219"/>
        <v>#DIV/0!</v>
      </c>
      <c r="AA1040" s="174" t="s">
        <v>1943</v>
      </c>
      <c r="AB1040" s="22" t="s">
        <v>5811</v>
      </c>
      <c r="AE1040" s="33">
        <f t="shared" si="220"/>
        <v>0</v>
      </c>
      <c r="AF1040" s="122" t="s">
        <v>2793</v>
      </c>
      <c r="AG1040" s="128"/>
      <c r="AI1040" s="64">
        <f t="shared" si="221"/>
        <v>3.2239999999999999E-3</v>
      </c>
      <c r="AJ1040" s="313">
        <f>RTD("money.excel",,$G1040,"PredictVolume")</f>
        <v>806</v>
      </c>
      <c r="AK1040" s="348">
        <v>8.09</v>
      </c>
    </row>
    <row r="1041" spans="1:37">
      <c r="A1041" s="132" t="s">
        <v>5812</v>
      </c>
      <c r="B1041" s="81">
        <v>28</v>
      </c>
      <c r="C1041" s="81">
        <v>29</v>
      </c>
      <c r="D1041" s="81">
        <v>6</v>
      </c>
      <c r="E1041" s="81">
        <v>11</v>
      </c>
      <c r="F1041" s="58">
        <v>29.97</v>
      </c>
      <c r="G1041" s="81">
        <v>2428</v>
      </c>
      <c r="H1041" s="210" t="s">
        <v>327</v>
      </c>
      <c r="I1041" s="22" t="s">
        <v>5813</v>
      </c>
      <c r="J1041" s="330">
        <v>58.2</v>
      </c>
      <c r="K1041" s="75">
        <v>14.82</v>
      </c>
      <c r="L1041" s="75">
        <v>7.89</v>
      </c>
      <c r="M1041" s="330">
        <v>25.61</v>
      </c>
      <c r="N1041" s="325">
        <f t="shared" si="222"/>
        <v>106.52000000000001</v>
      </c>
      <c r="O1041" s="27"/>
      <c r="P1041" s="56"/>
      <c r="Q1041" s="26"/>
      <c r="R1041" s="308" t="s">
        <v>4754</v>
      </c>
      <c r="S1041" s="330">
        <v>0.95</v>
      </c>
      <c r="T1041" s="67">
        <v>5.5</v>
      </c>
      <c r="U1041" s="366">
        <f t="shared" si="217"/>
        <v>4.2635658914728682E-2</v>
      </c>
      <c r="V1041" s="58">
        <v>12.86</v>
      </c>
      <c r="W1041" s="36">
        <f>RTD("money.excel",,"2428","Price")</f>
        <v>129</v>
      </c>
      <c r="X1041" s="67"/>
      <c r="Y1041" s="15">
        <f t="shared" si="218"/>
        <v>129</v>
      </c>
      <c r="Z1041" s="3" t="e">
        <f t="shared" si="219"/>
        <v>#DIV/0!</v>
      </c>
      <c r="AA1041" s="174" t="s">
        <v>4714</v>
      </c>
      <c r="AB1041" s="22" t="s">
        <v>5813</v>
      </c>
      <c r="AE1041" s="33">
        <f t="shared" si="220"/>
        <v>0</v>
      </c>
      <c r="AF1041" s="43" t="s">
        <v>5814</v>
      </c>
      <c r="AG1041" s="128"/>
      <c r="AI1041" s="64">
        <f t="shared" si="221"/>
        <v>1.03125E-3</v>
      </c>
      <c r="AJ1041" s="313">
        <f>RTD("money.excel",,$G1041,"PredictVolume")</f>
        <v>132</v>
      </c>
      <c r="AK1041" s="348"/>
    </row>
    <row r="1042" spans="1:37">
      <c r="A1042" s="148" t="s">
        <v>5439</v>
      </c>
      <c r="B1042" s="93">
        <v>-127</v>
      </c>
      <c r="C1042" s="93">
        <v>-187</v>
      </c>
      <c r="D1042" s="93">
        <v>-1</v>
      </c>
      <c r="E1042" s="93">
        <v>78</v>
      </c>
      <c r="F1042" s="6">
        <v>-8.82</v>
      </c>
      <c r="G1042" s="81">
        <v>2429</v>
      </c>
      <c r="H1042" s="8" t="s">
        <v>327</v>
      </c>
      <c r="I1042" s="22" t="s">
        <v>5815</v>
      </c>
      <c r="J1042" s="75">
        <v>84.32</v>
      </c>
      <c r="K1042" s="75">
        <v>0.95</v>
      </c>
      <c r="N1042" s="325">
        <f t="shared" si="222"/>
        <v>85.27</v>
      </c>
      <c r="O1042" s="27"/>
      <c r="P1042" s="56"/>
      <c r="Q1042" s="26"/>
      <c r="S1042" s="330">
        <v>47.25</v>
      </c>
      <c r="T1042" s="34">
        <v>0</v>
      </c>
      <c r="U1042" s="366" t="e">
        <f t="shared" si="217"/>
        <v>#VALUE!</v>
      </c>
      <c r="V1042" s="97">
        <v>-1.65</v>
      </c>
      <c r="W1042" s="13" t="str">
        <f>RTD("money.excel",,"2429","Price")</f>
        <v>無資料</v>
      </c>
      <c r="X1042" s="67"/>
      <c r="Y1042" s="15" t="e">
        <f t="shared" si="218"/>
        <v>#VALUE!</v>
      </c>
      <c r="Z1042" s="3" t="e">
        <f t="shared" si="219"/>
        <v>#VALUE!</v>
      </c>
      <c r="AB1042" s="22" t="s">
        <v>5815</v>
      </c>
      <c r="AE1042" s="33">
        <f t="shared" si="220"/>
        <v>0</v>
      </c>
      <c r="AF1042" s="43" t="s">
        <v>1101</v>
      </c>
      <c r="AG1042" s="128"/>
      <c r="AI1042" s="64">
        <f t="shared" si="221"/>
        <v>0</v>
      </c>
      <c r="AJ1042" s="313">
        <f>RTD("money.excel",,$G1042,"PredictVolume")</f>
        <v>0</v>
      </c>
      <c r="AK1042" s="348"/>
    </row>
    <row r="1043" spans="1:37">
      <c r="A1043" s="148" t="s">
        <v>5816</v>
      </c>
      <c r="B1043" s="142">
        <v>4868</v>
      </c>
      <c r="C1043" s="93">
        <v>254</v>
      </c>
      <c r="D1043" s="93">
        <v>-14</v>
      </c>
      <c r="E1043" s="93">
        <v>-12</v>
      </c>
      <c r="F1043" s="6">
        <v>1.89</v>
      </c>
      <c r="G1043" s="81">
        <v>2431</v>
      </c>
      <c r="H1043" s="8" t="s">
        <v>327</v>
      </c>
      <c r="I1043" s="22" t="s">
        <v>5817</v>
      </c>
      <c r="J1043" s="75">
        <v>39.020000000000003</v>
      </c>
      <c r="K1043" s="75">
        <v>3.68</v>
      </c>
      <c r="L1043" s="75">
        <v>12.61</v>
      </c>
      <c r="N1043" s="325">
        <f t="shared" si="222"/>
        <v>55.31</v>
      </c>
      <c r="O1043" s="27"/>
      <c r="P1043" s="56"/>
      <c r="Q1043" s="26"/>
      <c r="S1043" s="330">
        <v>36.200000000000003</v>
      </c>
      <c r="T1043" s="34">
        <v>0.25</v>
      </c>
      <c r="U1043" s="366">
        <f t="shared" si="217"/>
        <v>2.2321428571428572E-2</v>
      </c>
      <c r="V1043" s="97">
        <v>0.42</v>
      </c>
      <c r="W1043" s="36">
        <f>RTD("money.excel",,"2431","Price")</f>
        <v>11.2</v>
      </c>
      <c r="X1043" s="67"/>
      <c r="Y1043" s="15">
        <f t="shared" si="218"/>
        <v>11.2</v>
      </c>
      <c r="Z1043" s="3" t="e">
        <f t="shared" si="219"/>
        <v>#DIV/0!</v>
      </c>
      <c r="AB1043" s="22" t="s">
        <v>5817</v>
      </c>
      <c r="AE1043" s="33">
        <f t="shared" si="220"/>
        <v>0</v>
      </c>
      <c r="AF1043" s="43" t="s">
        <v>5818</v>
      </c>
      <c r="AG1043" s="128"/>
      <c r="AI1043" s="64">
        <f t="shared" si="221"/>
        <v>8.7272727272727274E-4</v>
      </c>
      <c r="AJ1043" s="313">
        <f>RTD("money.excel",,$G1043,"PredictVolume")</f>
        <v>96</v>
      </c>
      <c r="AK1043" s="348"/>
    </row>
    <row r="1044" spans="1:37">
      <c r="A1044" s="148" t="s">
        <v>5819</v>
      </c>
      <c r="B1044" s="81">
        <v>155</v>
      </c>
      <c r="C1044" s="81">
        <v>225</v>
      </c>
      <c r="D1044" s="82">
        <v>-1</v>
      </c>
      <c r="E1044" s="81">
        <v>84</v>
      </c>
      <c r="F1044" s="6">
        <v>3.62</v>
      </c>
      <c r="G1044" s="81">
        <v>2440</v>
      </c>
      <c r="H1044" s="8" t="s">
        <v>327</v>
      </c>
      <c r="I1044" s="22" t="s">
        <v>5820</v>
      </c>
      <c r="J1044" s="75">
        <v>68.290000000000006</v>
      </c>
      <c r="K1044" s="75">
        <v>1.07</v>
      </c>
      <c r="N1044" s="325">
        <f t="shared" si="222"/>
        <v>69.36</v>
      </c>
      <c r="O1044" s="27"/>
      <c r="P1044" s="56"/>
      <c r="Q1044" s="26"/>
      <c r="T1044" s="34">
        <v>0</v>
      </c>
      <c r="U1044" s="366">
        <f t="shared" si="217"/>
        <v>0</v>
      </c>
      <c r="V1044" s="58">
        <v>2.06</v>
      </c>
      <c r="W1044" s="36">
        <f>RTD("money.excel",,"2440","Price")</f>
        <v>15</v>
      </c>
      <c r="X1044" s="67"/>
      <c r="Y1044" s="15">
        <f t="shared" si="218"/>
        <v>15</v>
      </c>
      <c r="Z1044" s="3" t="e">
        <f t="shared" si="219"/>
        <v>#DIV/0!</v>
      </c>
      <c r="AB1044" s="22" t="s">
        <v>5820</v>
      </c>
      <c r="AE1044" s="33">
        <f t="shared" si="220"/>
        <v>0</v>
      </c>
      <c r="AF1044" s="43" t="s">
        <v>5821</v>
      </c>
      <c r="AG1044" s="128"/>
      <c r="AI1044" s="64">
        <f t="shared" si="221"/>
        <v>1.014388489208633E-3</v>
      </c>
      <c r="AJ1044" s="313">
        <f>RTD("money.excel",,$G1044,"PredictVolume")</f>
        <v>141</v>
      </c>
      <c r="AK1044" s="348"/>
    </row>
    <row r="1045" spans="1:37">
      <c r="A1045" s="148" t="s">
        <v>5822</v>
      </c>
      <c r="B1045" s="82">
        <v>-69</v>
      </c>
      <c r="C1045" s="82">
        <v>-10</v>
      </c>
      <c r="D1045" s="81">
        <v>18</v>
      </c>
      <c r="E1045" s="81">
        <v>14</v>
      </c>
      <c r="F1045" s="6">
        <v>-3.9</v>
      </c>
      <c r="G1045" s="81">
        <v>2457</v>
      </c>
      <c r="H1045" s="8" t="s">
        <v>327</v>
      </c>
      <c r="I1045" s="22" t="s">
        <v>5823</v>
      </c>
      <c r="J1045" s="75">
        <v>34.14</v>
      </c>
      <c r="K1045" s="330">
        <v>8.6999999999999993</v>
      </c>
      <c r="L1045" s="75">
        <v>42.19</v>
      </c>
      <c r="M1045" s="330">
        <v>18.25</v>
      </c>
      <c r="N1045" s="325">
        <f t="shared" si="222"/>
        <v>103.28</v>
      </c>
      <c r="O1045" s="27"/>
      <c r="P1045" s="56"/>
      <c r="Q1045" s="26"/>
      <c r="R1045" s="308" t="s">
        <v>4754</v>
      </c>
      <c r="S1045" s="330">
        <v>5.33</v>
      </c>
      <c r="T1045" s="34">
        <v>0</v>
      </c>
      <c r="U1045" s="366">
        <f t="shared" si="217"/>
        <v>0</v>
      </c>
      <c r="V1045" s="97">
        <v>-0.82</v>
      </c>
      <c r="W1045" s="36">
        <f>RTD("money.excel",,"2457","Price")</f>
        <v>42.1</v>
      </c>
      <c r="X1045" s="67"/>
      <c r="Y1045" s="15">
        <f t="shared" si="218"/>
        <v>42.1</v>
      </c>
      <c r="Z1045" s="3" t="e">
        <f t="shared" si="219"/>
        <v>#DIV/0!</v>
      </c>
      <c r="AA1045" s="174" t="s">
        <v>4710</v>
      </c>
      <c r="AB1045" s="22" t="s">
        <v>5823</v>
      </c>
      <c r="AE1045" s="33">
        <f t="shared" si="220"/>
        <v>0</v>
      </c>
      <c r="AF1045" s="43" t="s">
        <v>2893</v>
      </c>
      <c r="AG1045" s="128"/>
      <c r="AI1045" s="64">
        <f t="shared" si="221"/>
        <v>1.4576E-2</v>
      </c>
      <c r="AJ1045" s="313">
        <f>RTD("money.excel",,$G1045,"PredictVolume")</f>
        <v>5466</v>
      </c>
      <c r="AK1045" s="348"/>
    </row>
    <row r="1046" spans="1:37">
      <c r="A1046" s="148" t="s">
        <v>5824</v>
      </c>
      <c r="B1046" s="93">
        <v>-5</v>
      </c>
      <c r="C1046" s="93">
        <v>41</v>
      </c>
      <c r="D1046" s="93">
        <v>-2</v>
      </c>
      <c r="E1046" s="93">
        <v>205</v>
      </c>
      <c r="F1046" s="6">
        <v>-0.92</v>
      </c>
      <c r="G1046" s="81">
        <v>2460</v>
      </c>
      <c r="H1046" s="8" t="s">
        <v>327</v>
      </c>
      <c r="I1046" s="22" t="s">
        <v>5825</v>
      </c>
      <c r="J1046" s="75">
        <v>65.2</v>
      </c>
      <c r="K1046" s="75">
        <v>1.61</v>
      </c>
      <c r="L1046" s="75">
        <v>12.51</v>
      </c>
      <c r="N1046" s="325">
        <f t="shared" si="222"/>
        <v>79.320000000000007</v>
      </c>
      <c r="O1046" s="27"/>
      <c r="P1046" s="56"/>
      <c r="Q1046" s="26"/>
      <c r="S1046" s="330">
        <v>26.43</v>
      </c>
      <c r="T1046" s="34">
        <v>0</v>
      </c>
      <c r="U1046" s="366">
        <f t="shared" si="217"/>
        <v>0</v>
      </c>
      <c r="V1046" s="97">
        <v>-0.25</v>
      </c>
      <c r="W1046" s="13">
        <f>RTD("money.excel",,"2460","Price")</f>
        <v>24.5</v>
      </c>
      <c r="X1046" s="67"/>
      <c r="Y1046" s="15">
        <f t="shared" si="218"/>
        <v>24.5</v>
      </c>
      <c r="Z1046" s="3" t="e">
        <f t="shared" si="219"/>
        <v>#DIV/0!</v>
      </c>
      <c r="AA1046" s="174" t="s">
        <v>4710</v>
      </c>
      <c r="AB1046" s="22" t="s">
        <v>5825</v>
      </c>
      <c r="AE1046" s="33">
        <f t="shared" si="220"/>
        <v>0</v>
      </c>
      <c r="AF1046" s="43" t="s">
        <v>2214</v>
      </c>
      <c r="AG1046" s="269"/>
      <c r="AI1046" s="64">
        <f t="shared" si="221"/>
        <v>1.1420118343195267E-3</v>
      </c>
      <c r="AJ1046" s="313">
        <f>RTD("money.excel",,$G1046,"PredictVolume")</f>
        <v>193</v>
      </c>
      <c r="AK1046" s="348"/>
    </row>
    <row r="1047" spans="1:37">
      <c r="A1047" s="148" t="s">
        <v>5266</v>
      </c>
      <c r="B1047" s="81">
        <v>18</v>
      </c>
      <c r="C1047" s="81">
        <v>42</v>
      </c>
      <c r="D1047" s="82">
        <v>-4</v>
      </c>
      <c r="E1047" s="81">
        <v>0</v>
      </c>
      <c r="F1047" s="6">
        <v>3.55</v>
      </c>
      <c r="G1047" s="81">
        <v>2462</v>
      </c>
      <c r="H1047" s="8" t="s">
        <v>327</v>
      </c>
      <c r="I1047" s="22" t="s">
        <v>5826</v>
      </c>
      <c r="J1047" s="75">
        <v>60.42</v>
      </c>
      <c r="K1047" s="75">
        <v>0.26</v>
      </c>
      <c r="L1047" s="75">
        <v>41.73</v>
      </c>
      <c r="N1047" s="325">
        <f t="shared" si="222"/>
        <v>102.41</v>
      </c>
      <c r="O1047" s="27"/>
      <c r="P1047" s="56"/>
      <c r="Q1047" s="26"/>
      <c r="S1047" s="330">
        <v>0</v>
      </c>
      <c r="T1047" s="34">
        <v>0.8</v>
      </c>
      <c r="U1047" s="366">
        <f t="shared" si="217"/>
        <v>2.4960998439937602E-2</v>
      </c>
      <c r="V1047" s="97">
        <v>0.87</v>
      </c>
      <c r="W1047" s="36">
        <f>RTD("money.excel",,"2462","Price")</f>
        <v>32.049999999999997</v>
      </c>
      <c r="X1047" s="67"/>
      <c r="Y1047" s="15">
        <f t="shared" si="218"/>
        <v>32.049999999999997</v>
      </c>
      <c r="Z1047" s="3" t="e">
        <f t="shared" si="219"/>
        <v>#DIV/0!</v>
      </c>
      <c r="AA1047" s="174" t="s">
        <v>4710</v>
      </c>
      <c r="AB1047" s="22" t="s">
        <v>5826</v>
      </c>
      <c r="AE1047" s="33">
        <f t="shared" si="220"/>
        <v>0</v>
      </c>
      <c r="AF1047" s="43" t="s">
        <v>5827</v>
      </c>
      <c r="AG1047" s="128"/>
      <c r="AI1047" s="64">
        <f t="shared" si="221"/>
        <v>7.3971631205673755E-3</v>
      </c>
      <c r="AJ1047" s="313">
        <f>RTD("money.excel",,$G1047,"PredictVolume")</f>
        <v>1043</v>
      </c>
      <c r="AK1047" s="348"/>
    </row>
    <row r="1048" spans="1:37">
      <c r="A1048" s="132" t="s">
        <v>5686</v>
      </c>
      <c r="B1048" s="82">
        <v>-43</v>
      </c>
      <c r="C1048" s="82">
        <v>-53</v>
      </c>
      <c r="D1048" s="81">
        <v>62</v>
      </c>
      <c r="E1048" s="82">
        <v>-16</v>
      </c>
      <c r="F1048" s="58">
        <v>12.54</v>
      </c>
      <c r="G1048" s="81">
        <v>2467</v>
      </c>
      <c r="H1048" s="8" t="s">
        <v>327</v>
      </c>
      <c r="I1048" s="22" t="s">
        <v>5828</v>
      </c>
      <c r="J1048" s="330">
        <v>45.77</v>
      </c>
      <c r="K1048" s="75">
        <v>7.23</v>
      </c>
      <c r="L1048" s="330">
        <v>6.24</v>
      </c>
      <c r="N1048" s="325">
        <f t="shared" si="222"/>
        <v>59.24</v>
      </c>
      <c r="O1048" s="27"/>
      <c r="P1048" s="56"/>
      <c r="Q1048" s="26"/>
      <c r="S1048" s="330">
        <v>4.66</v>
      </c>
      <c r="T1048" s="34">
        <v>2.7</v>
      </c>
      <c r="U1048" s="366">
        <f t="shared" si="217"/>
        <v>5.476673427991887E-2</v>
      </c>
      <c r="V1048" s="97">
        <v>2.94</v>
      </c>
      <c r="W1048" s="36">
        <f>RTD("money.excel",,"2467","Price")</f>
        <v>49.3</v>
      </c>
      <c r="X1048" s="67"/>
      <c r="Y1048" s="15">
        <f t="shared" si="218"/>
        <v>49.3</v>
      </c>
      <c r="Z1048" s="3" t="e">
        <f t="shared" si="219"/>
        <v>#DIV/0!</v>
      </c>
      <c r="AA1048" s="174" t="s">
        <v>4710</v>
      </c>
      <c r="AB1048" s="22" t="s">
        <v>5828</v>
      </c>
      <c r="AE1048" s="33">
        <f t="shared" si="220"/>
        <v>0</v>
      </c>
      <c r="AF1048" s="43" t="s">
        <v>5829</v>
      </c>
      <c r="AG1048" s="128"/>
      <c r="AI1048" s="64">
        <f t="shared" si="221"/>
        <v>8.3892617449664428E-4</v>
      </c>
      <c r="AJ1048" s="313">
        <f>RTD("money.excel",,$G1048,"PredictVolume")</f>
        <v>125</v>
      </c>
      <c r="AK1048" s="348"/>
    </row>
    <row r="1049" spans="1:37">
      <c r="A1049" s="132" t="s">
        <v>5830</v>
      </c>
      <c r="B1049" s="81">
        <v>65</v>
      </c>
      <c r="C1049" s="81">
        <v>50</v>
      </c>
      <c r="D1049" s="81">
        <v>30</v>
      </c>
      <c r="E1049" s="81">
        <v>10</v>
      </c>
      <c r="F1049" s="58">
        <v>16.510000000000002</v>
      </c>
      <c r="G1049" s="81">
        <v>2472</v>
      </c>
      <c r="H1049" s="210" t="s">
        <v>327</v>
      </c>
      <c r="I1049" s="22" t="s">
        <v>5831</v>
      </c>
      <c r="J1049" s="330">
        <v>48.36</v>
      </c>
      <c r="K1049" s="75">
        <v>2.14</v>
      </c>
      <c r="L1049" s="75">
        <v>18.21</v>
      </c>
      <c r="N1049" s="325">
        <f t="shared" si="222"/>
        <v>68.710000000000008</v>
      </c>
      <c r="O1049" s="27"/>
      <c r="P1049" s="56"/>
      <c r="Q1049" s="26"/>
      <c r="S1049" s="330">
        <v>0</v>
      </c>
      <c r="T1049" s="67">
        <v>3</v>
      </c>
      <c r="U1049" s="366">
        <f t="shared" si="217"/>
        <v>4.6875E-2</v>
      </c>
      <c r="V1049" s="97">
        <v>5.2</v>
      </c>
      <c r="W1049" s="36">
        <f>RTD("money.excel",,"2472","Price")</f>
        <v>64</v>
      </c>
      <c r="X1049" s="67"/>
      <c r="Y1049" s="15">
        <f t="shared" si="218"/>
        <v>64</v>
      </c>
      <c r="Z1049" s="3" t="e">
        <f t="shared" si="219"/>
        <v>#DIV/0!</v>
      </c>
      <c r="AA1049" s="174" t="s">
        <v>4714</v>
      </c>
      <c r="AB1049" s="22" t="s">
        <v>5831</v>
      </c>
      <c r="AE1049" s="33">
        <f t="shared" si="220"/>
        <v>0</v>
      </c>
      <c r="AF1049" s="124" t="s">
        <v>2848</v>
      </c>
      <c r="AI1049" s="64">
        <f t="shared" si="221"/>
        <v>2.6100628930817611E-3</v>
      </c>
      <c r="AJ1049" s="313">
        <f>RTD("money.excel",,$G1049,"PredictVolume")</f>
        <v>415</v>
      </c>
    </row>
    <row r="1050" spans="1:37">
      <c r="A1050" s="132" t="s">
        <v>5832</v>
      </c>
      <c r="B1050" s="81">
        <v>184</v>
      </c>
      <c r="C1050" s="81">
        <v>124</v>
      </c>
      <c r="D1050" s="81">
        <v>3</v>
      </c>
      <c r="E1050" s="81">
        <v>19</v>
      </c>
      <c r="F1050" s="58">
        <v>16.170000000000002</v>
      </c>
      <c r="G1050" s="81">
        <v>2476</v>
      </c>
      <c r="H1050" s="8" t="s">
        <v>327</v>
      </c>
      <c r="I1050" s="22" t="s">
        <v>5833</v>
      </c>
      <c r="J1050" s="330">
        <v>45.45</v>
      </c>
      <c r="K1050" s="75">
        <v>10.26</v>
      </c>
      <c r="L1050" s="75">
        <v>24.24</v>
      </c>
      <c r="M1050" s="330">
        <v>11.87</v>
      </c>
      <c r="N1050" s="325">
        <f t="shared" si="222"/>
        <v>91.820000000000007</v>
      </c>
      <c r="O1050" s="27"/>
      <c r="P1050" s="56"/>
      <c r="Q1050" s="26"/>
      <c r="R1050" s="308" t="s">
        <v>4728</v>
      </c>
      <c r="S1050" s="330">
        <v>3.78</v>
      </c>
      <c r="T1050" s="34">
        <v>1.2</v>
      </c>
      <c r="U1050" s="366">
        <f t="shared" si="217"/>
        <v>2.1660649819494584E-2</v>
      </c>
      <c r="V1050" s="97">
        <v>3.45</v>
      </c>
      <c r="W1050" s="13">
        <f>RTD("money.excel",,"2476","Price")</f>
        <v>55.4</v>
      </c>
      <c r="X1050" s="67"/>
      <c r="Y1050" s="15">
        <f t="shared" si="218"/>
        <v>55.4</v>
      </c>
      <c r="Z1050" s="3" t="e">
        <f t="shared" si="219"/>
        <v>#DIV/0!</v>
      </c>
      <c r="AB1050" s="22" t="s">
        <v>5833</v>
      </c>
      <c r="AE1050" s="33">
        <f t="shared" si="220"/>
        <v>0</v>
      </c>
      <c r="AF1050" s="43" t="s">
        <v>3108</v>
      </c>
      <c r="AG1050" s="128"/>
      <c r="AI1050" s="64">
        <f t="shared" si="221"/>
        <v>9.1604278074866319E-3</v>
      </c>
      <c r="AJ1050" s="313">
        <f>RTD("money.excel",,$G1050,"PredictVolume")</f>
        <v>1713</v>
      </c>
      <c r="AK1050" s="348"/>
    </row>
    <row r="1051" spans="1:37">
      <c r="A1051" s="132" t="s">
        <v>5350</v>
      </c>
      <c r="B1051" s="81">
        <v>11</v>
      </c>
      <c r="C1051" s="81">
        <v>68</v>
      </c>
      <c r="D1051" s="81">
        <v>7</v>
      </c>
      <c r="E1051" s="81">
        <v>9</v>
      </c>
      <c r="F1051" s="58">
        <v>20.420000000000002</v>
      </c>
      <c r="G1051" s="81">
        <v>2478</v>
      </c>
      <c r="H1051" s="8" t="s">
        <v>327</v>
      </c>
      <c r="I1051" s="22" t="s">
        <v>5834</v>
      </c>
      <c r="J1051" s="75">
        <v>40.93</v>
      </c>
      <c r="K1051" s="330">
        <v>5.55</v>
      </c>
      <c r="L1051" s="330">
        <v>18.52</v>
      </c>
      <c r="N1051" s="325">
        <f t="shared" si="222"/>
        <v>65</v>
      </c>
      <c r="O1051" s="27"/>
      <c r="P1051" s="56"/>
      <c r="Q1051" s="26"/>
      <c r="S1051" s="330">
        <v>0.13</v>
      </c>
      <c r="T1051" s="67">
        <v>3</v>
      </c>
      <c r="U1051" s="366">
        <f t="shared" si="217"/>
        <v>4.9916805324459232E-2</v>
      </c>
      <c r="V1051" s="97">
        <v>5.04</v>
      </c>
      <c r="W1051" s="36">
        <f>RTD("money.excel",,"2478","Price")</f>
        <v>60.1</v>
      </c>
      <c r="X1051" s="67"/>
      <c r="Y1051" s="15">
        <f t="shared" si="218"/>
        <v>60.1</v>
      </c>
      <c r="Z1051" s="3" t="e">
        <f t="shared" si="219"/>
        <v>#DIV/0!</v>
      </c>
      <c r="AA1051" s="174" t="s">
        <v>4714</v>
      </c>
      <c r="AB1051" s="22" t="s">
        <v>5834</v>
      </c>
      <c r="AE1051" s="33">
        <f t="shared" si="220"/>
        <v>0</v>
      </c>
      <c r="AF1051" s="43" t="s">
        <v>5835</v>
      </c>
      <c r="AG1051" s="128"/>
      <c r="AI1051" s="64">
        <f t="shared" si="221"/>
        <v>8.541666666666667E-4</v>
      </c>
      <c r="AJ1051" s="313">
        <f>RTD("money.excel",,$G1051,"PredictVolume")</f>
        <v>123</v>
      </c>
      <c r="AK1051" s="348"/>
    </row>
    <row r="1052" spans="1:37">
      <c r="A1052" s="148" t="s">
        <v>5537</v>
      </c>
      <c r="B1052" s="93">
        <v>-39</v>
      </c>
      <c r="C1052" s="93">
        <v>344</v>
      </c>
      <c r="D1052" s="93">
        <v>10</v>
      </c>
      <c r="E1052" s="93">
        <v>53</v>
      </c>
      <c r="F1052" s="6">
        <v>2.86</v>
      </c>
      <c r="G1052" s="81">
        <v>2483</v>
      </c>
      <c r="H1052" s="8" t="s">
        <v>327</v>
      </c>
      <c r="I1052" s="22" t="s">
        <v>5836</v>
      </c>
      <c r="J1052" s="75">
        <v>60.44</v>
      </c>
      <c r="K1052" s="75">
        <v>0.24</v>
      </c>
      <c r="L1052" s="75">
        <v>7.43</v>
      </c>
      <c r="N1052" s="325">
        <f t="shared" si="222"/>
        <v>68.11</v>
      </c>
      <c r="O1052" s="27"/>
      <c r="P1052" s="56"/>
      <c r="Q1052" s="26"/>
      <c r="S1052" s="330">
        <v>15.2</v>
      </c>
      <c r="T1052" s="34">
        <v>0.7</v>
      </c>
      <c r="U1052" s="366">
        <f t="shared" si="217"/>
        <v>2.9787234042553189E-2</v>
      </c>
      <c r="V1052" s="97">
        <v>0.76</v>
      </c>
      <c r="W1052" s="13">
        <f>RTD("money.excel",,"2483","Price")</f>
        <v>23.5</v>
      </c>
      <c r="X1052" s="67"/>
      <c r="Y1052" s="15">
        <f t="shared" si="218"/>
        <v>23.5</v>
      </c>
      <c r="Z1052" s="3" t="e">
        <f t="shared" si="219"/>
        <v>#DIV/0!</v>
      </c>
      <c r="AB1052" s="22" t="s">
        <v>5836</v>
      </c>
      <c r="AE1052" s="33">
        <f t="shared" si="220"/>
        <v>0</v>
      </c>
      <c r="AF1052" s="43" t="s">
        <v>5837</v>
      </c>
      <c r="AG1052" s="128"/>
      <c r="AI1052" s="64">
        <f t="shared" si="221"/>
        <v>6.7889908256880732E-4</v>
      </c>
      <c r="AJ1052" s="313">
        <f>RTD("money.excel",,$G1052,"PredictVolume")</f>
        <v>74</v>
      </c>
      <c r="AK1052" s="348"/>
    </row>
    <row r="1053" spans="1:37">
      <c r="A1053" s="148" t="s">
        <v>5830</v>
      </c>
      <c r="B1053" s="93">
        <v>-33</v>
      </c>
      <c r="C1053" s="93">
        <v>-27</v>
      </c>
      <c r="D1053" s="93">
        <v>-6</v>
      </c>
      <c r="E1053" s="93">
        <v>-7</v>
      </c>
      <c r="F1053" s="6">
        <v>9.0399999999999991</v>
      </c>
      <c r="G1053" s="81">
        <v>2484</v>
      </c>
      <c r="H1053" s="8" t="s">
        <v>327</v>
      </c>
      <c r="I1053" s="22" t="s">
        <v>5838</v>
      </c>
      <c r="J1053" s="75">
        <v>22.65</v>
      </c>
      <c r="K1053" s="75">
        <v>6.81</v>
      </c>
      <c r="L1053" s="75">
        <v>16.05</v>
      </c>
      <c r="N1053" s="325">
        <f t="shared" si="222"/>
        <v>45.51</v>
      </c>
      <c r="O1053" s="27"/>
      <c r="P1053" s="56"/>
      <c r="Q1053" s="26"/>
      <c r="S1053" s="330">
        <v>9.4600000000000009</v>
      </c>
      <c r="T1053" s="34">
        <v>1</v>
      </c>
      <c r="U1053" s="366">
        <f t="shared" si="217"/>
        <v>3.1695721077654518E-2</v>
      </c>
      <c r="V1053" s="97">
        <v>1.02</v>
      </c>
      <c r="W1053" s="36">
        <f>RTD("money.excel",,"2484","Price")</f>
        <v>31.55</v>
      </c>
      <c r="X1053" s="67"/>
      <c r="Y1053" s="15">
        <f t="shared" si="218"/>
        <v>31.55</v>
      </c>
      <c r="Z1053" s="3" t="e">
        <f t="shared" si="219"/>
        <v>#DIV/0!</v>
      </c>
      <c r="AB1053" s="22" t="s">
        <v>5838</v>
      </c>
      <c r="AE1053" s="33">
        <f t="shared" si="220"/>
        <v>0</v>
      </c>
      <c r="AF1053" s="43" t="s">
        <v>1957</v>
      </c>
      <c r="AG1053" s="128"/>
      <c r="AI1053" s="64">
        <f t="shared" si="221"/>
        <v>3.3144654088050314E-3</v>
      </c>
      <c r="AJ1053" s="313">
        <f>RTD("money.excel",,$G1053,"PredictVolume")</f>
        <v>527</v>
      </c>
      <c r="AK1053" s="348"/>
    </row>
    <row r="1054" spans="1:37">
      <c r="A1054" s="132" t="s">
        <v>5839</v>
      </c>
      <c r="B1054" s="81">
        <v>43</v>
      </c>
      <c r="C1054" s="81">
        <v>29</v>
      </c>
      <c r="D1054" s="82">
        <v>-16</v>
      </c>
      <c r="E1054" s="82">
        <v>-12</v>
      </c>
      <c r="F1054" s="58">
        <v>22.93</v>
      </c>
      <c r="G1054" s="81">
        <v>2492</v>
      </c>
      <c r="H1054" s="210" t="s">
        <v>327</v>
      </c>
      <c r="I1054" s="22" t="s">
        <v>5840</v>
      </c>
      <c r="J1054" s="75">
        <v>56.05</v>
      </c>
      <c r="K1054" s="330">
        <v>22.69</v>
      </c>
      <c r="L1054" s="75">
        <v>11.83</v>
      </c>
      <c r="N1054" s="325">
        <f t="shared" si="222"/>
        <v>90.57</v>
      </c>
      <c r="O1054" s="27"/>
      <c r="P1054" s="56"/>
      <c r="Q1054" s="26"/>
      <c r="S1054" s="330">
        <v>2.81</v>
      </c>
      <c r="T1054" s="67">
        <v>6.01</v>
      </c>
      <c r="U1054" s="366">
        <f t="shared" si="217"/>
        <v>4.2473498233215549E-2</v>
      </c>
      <c r="V1054" s="58">
        <v>17.829999999999998</v>
      </c>
      <c r="W1054" s="36">
        <f>RTD("money.excel",,"2492","Price")</f>
        <v>141.5</v>
      </c>
      <c r="X1054" s="67"/>
      <c r="Y1054" s="15">
        <f t="shared" si="218"/>
        <v>141.5</v>
      </c>
      <c r="Z1054" s="3" t="e">
        <f t="shared" si="219"/>
        <v>#DIV/0!</v>
      </c>
      <c r="AA1054" s="174" t="s">
        <v>4714</v>
      </c>
      <c r="AB1054" s="22" t="s">
        <v>5840</v>
      </c>
      <c r="AE1054" s="33">
        <f t="shared" si="220"/>
        <v>0</v>
      </c>
      <c r="AF1054" s="124" t="s">
        <v>5841</v>
      </c>
      <c r="AG1054" s="128"/>
      <c r="AI1054" s="64">
        <f t="shared" si="221"/>
        <v>1.9443298969072165E-3</v>
      </c>
      <c r="AJ1054" s="313">
        <f>RTD("money.excel",,$G1054,"PredictVolume")</f>
        <v>943</v>
      </c>
      <c r="AK1054" s="348"/>
    </row>
    <row r="1055" spans="1:37">
      <c r="A1055" s="132" t="s">
        <v>5364</v>
      </c>
      <c r="B1055" s="81">
        <v>42</v>
      </c>
      <c r="C1055" s="81">
        <v>10</v>
      </c>
      <c r="D1055" s="81">
        <v>1</v>
      </c>
      <c r="E1055" s="82">
        <v>-3</v>
      </c>
      <c r="F1055" s="58">
        <v>15.21</v>
      </c>
      <c r="G1055" s="81">
        <v>2493</v>
      </c>
      <c r="H1055" s="8" t="s">
        <v>327</v>
      </c>
      <c r="I1055" s="22" t="s">
        <v>5842</v>
      </c>
      <c r="J1055" s="75">
        <v>30.28</v>
      </c>
      <c r="K1055" s="75">
        <v>6.19</v>
      </c>
      <c r="L1055" s="75">
        <v>8.7100000000000009</v>
      </c>
      <c r="N1055" s="325">
        <f t="shared" si="222"/>
        <v>45.18</v>
      </c>
      <c r="O1055" s="27"/>
      <c r="P1055" s="56"/>
      <c r="Q1055" s="26"/>
      <c r="S1055" s="330">
        <v>0.02</v>
      </c>
      <c r="T1055" s="34">
        <v>2.5</v>
      </c>
      <c r="U1055" s="366">
        <f t="shared" si="217"/>
        <v>6.257822277847308E-2</v>
      </c>
      <c r="V1055" s="97">
        <v>2.7</v>
      </c>
      <c r="W1055" s="36">
        <f>RTD("money.excel",,"2493","Price")</f>
        <v>39.950000000000003</v>
      </c>
      <c r="X1055" s="67"/>
      <c r="Y1055" s="15">
        <f t="shared" si="218"/>
        <v>39.950000000000003</v>
      </c>
      <c r="Z1055" s="3" t="e">
        <f t="shared" si="219"/>
        <v>#DIV/0!</v>
      </c>
      <c r="AA1055" s="174" t="s">
        <v>4710</v>
      </c>
      <c r="AB1055" s="22" t="s">
        <v>5842</v>
      </c>
      <c r="AE1055" s="33">
        <f t="shared" si="220"/>
        <v>0</v>
      </c>
      <c r="AF1055" s="43" t="s">
        <v>5843</v>
      </c>
      <c r="AG1055" s="128"/>
      <c r="AI1055" s="64">
        <f t="shared" si="221"/>
        <v>8.7719298245614037E-4</v>
      </c>
      <c r="AJ1055" s="313">
        <f>RTD("money.excel",,$G1055,"PredictVolume")</f>
        <v>100</v>
      </c>
      <c r="AK1055" s="348"/>
    </row>
    <row r="1056" spans="1:37">
      <c r="A1056" s="132" t="s">
        <v>5844</v>
      </c>
      <c r="B1056" s="82">
        <v>-18</v>
      </c>
      <c r="C1056" s="82">
        <v>-3</v>
      </c>
      <c r="D1056" s="81">
        <v>5</v>
      </c>
      <c r="E1056" s="81">
        <v>9</v>
      </c>
      <c r="F1056" s="58">
        <v>16.420000000000002</v>
      </c>
      <c r="G1056" s="81">
        <v>3003</v>
      </c>
      <c r="H1056" s="8" t="s">
        <v>327</v>
      </c>
      <c r="I1056" s="22" t="s">
        <v>5845</v>
      </c>
      <c r="J1056" s="75">
        <v>55.32</v>
      </c>
      <c r="K1056" s="330">
        <v>6.53</v>
      </c>
      <c r="L1056" s="75">
        <v>11.74</v>
      </c>
      <c r="N1056" s="325">
        <f t="shared" si="222"/>
        <v>73.59</v>
      </c>
      <c r="O1056" s="27"/>
      <c r="P1056" s="56"/>
      <c r="Q1056" s="26"/>
      <c r="S1056" s="330">
        <v>0.15</v>
      </c>
      <c r="T1056" s="34">
        <v>1.2</v>
      </c>
      <c r="U1056" s="366">
        <f t="shared" si="217"/>
        <v>1.4475271411338961E-2</v>
      </c>
      <c r="V1056" s="97">
        <v>2.3199999999999998</v>
      </c>
      <c r="W1056" s="36">
        <f>RTD("money.excel",,"3003","Price")</f>
        <v>82.9</v>
      </c>
      <c r="X1056" s="67"/>
      <c r="Y1056" s="15">
        <f t="shared" si="218"/>
        <v>82.9</v>
      </c>
      <c r="Z1056" s="3" t="e">
        <f t="shared" si="219"/>
        <v>#DIV/0!</v>
      </c>
      <c r="AA1056" s="174" t="s">
        <v>4710</v>
      </c>
      <c r="AB1056" s="22" t="s">
        <v>5845</v>
      </c>
      <c r="AE1056" s="33">
        <f t="shared" si="220"/>
        <v>0</v>
      </c>
      <c r="AF1056" s="43" t="s">
        <v>5846</v>
      </c>
      <c r="AG1056" s="128"/>
      <c r="AI1056" s="64">
        <f t="shared" si="221"/>
        <v>2.7483870967741934E-3</v>
      </c>
      <c r="AJ1056" s="313">
        <f>RTD("money.excel",,$G1056,"PredictVolume")</f>
        <v>426</v>
      </c>
      <c r="AK1056" s="348"/>
    </row>
    <row r="1057" spans="1:37">
      <c r="A1057" s="148" t="s">
        <v>5345</v>
      </c>
      <c r="B1057" s="93">
        <v>-2</v>
      </c>
      <c r="C1057" s="93">
        <v>-1</v>
      </c>
      <c r="D1057" s="93">
        <v>-2</v>
      </c>
      <c r="E1057" s="93">
        <v>38</v>
      </c>
      <c r="F1057" s="6">
        <v>-6.53</v>
      </c>
      <c r="G1057" s="81">
        <v>3011</v>
      </c>
      <c r="H1057" s="8" t="s">
        <v>327</v>
      </c>
      <c r="I1057" s="22" t="s">
        <v>5847</v>
      </c>
      <c r="J1057" s="75">
        <v>33.5</v>
      </c>
      <c r="K1057" s="75">
        <v>1.25</v>
      </c>
      <c r="L1057" s="75">
        <v>14.82</v>
      </c>
      <c r="N1057" s="325">
        <f t="shared" si="222"/>
        <v>49.57</v>
      </c>
      <c r="O1057" s="27"/>
      <c r="P1057" s="56"/>
      <c r="Q1057" s="26"/>
      <c r="S1057" s="330">
        <v>13.38</v>
      </c>
      <c r="T1057" s="34">
        <v>0</v>
      </c>
      <c r="U1057" s="366">
        <f t="shared" si="217"/>
        <v>0</v>
      </c>
      <c r="V1057" s="97">
        <v>-0.8</v>
      </c>
      <c r="W1057" s="36">
        <f>RTD("money.excel",,"3011","Price")</f>
        <v>13.05</v>
      </c>
      <c r="X1057" s="67"/>
      <c r="Y1057" s="15">
        <f t="shared" si="218"/>
        <v>13.05</v>
      </c>
      <c r="Z1057" s="3" t="e">
        <f t="shared" si="219"/>
        <v>#DIV/0!</v>
      </c>
      <c r="AB1057" s="22" t="s">
        <v>5847</v>
      </c>
      <c r="AE1057" s="33">
        <f t="shared" si="220"/>
        <v>0</v>
      </c>
      <c r="AF1057" s="43" t="s">
        <v>5827</v>
      </c>
      <c r="AG1057" s="128"/>
      <c r="AI1057" s="64">
        <f t="shared" si="221"/>
        <v>4.3910714285714289E-2</v>
      </c>
      <c r="AJ1057" s="313">
        <f>RTD("money.excel",,$G1057,"PredictVolume")</f>
        <v>4918</v>
      </c>
      <c r="AK1057" s="348"/>
    </row>
    <row r="1058" spans="1:37">
      <c r="A1058" s="148" t="s">
        <v>5832</v>
      </c>
      <c r="B1058" s="81">
        <v>5</v>
      </c>
      <c r="C1058" s="81">
        <v>70</v>
      </c>
      <c r="D1058" s="81">
        <v>1</v>
      </c>
      <c r="E1058" s="81">
        <v>5</v>
      </c>
      <c r="F1058" s="6">
        <v>4.54</v>
      </c>
      <c r="G1058" s="81">
        <v>3015</v>
      </c>
      <c r="H1058" s="8" t="s">
        <v>327</v>
      </c>
      <c r="I1058" s="22" t="s">
        <v>5848</v>
      </c>
      <c r="J1058" s="75">
        <v>54.32</v>
      </c>
      <c r="K1058" s="330">
        <v>12.24</v>
      </c>
      <c r="L1058" s="75">
        <v>5.84</v>
      </c>
      <c r="N1058" s="325">
        <f t="shared" si="222"/>
        <v>72.400000000000006</v>
      </c>
      <c r="O1058" s="27"/>
      <c r="P1058" s="56"/>
      <c r="Q1058" s="26"/>
      <c r="R1058" s="308" t="s">
        <v>4829</v>
      </c>
      <c r="S1058" s="330">
        <v>0.26</v>
      </c>
      <c r="T1058" s="67">
        <v>3</v>
      </c>
      <c r="U1058" s="366">
        <f t="shared" si="217"/>
        <v>6.8886337543053969E-2</v>
      </c>
      <c r="V1058" s="58">
        <v>3.68</v>
      </c>
      <c r="W1058" s="36">
        <f>RTD("money.excel",,"3015","Price")</f>
        <v>43.55</v>
      </c>
      <c r="X1058" s="67"/>
      <c r="Y1058" s="15">
        <f t="shared" si="218"/>
        <v>43.55</v>
      </c>
      <c r="Z1058" s="3" t="e">
        <f t="shared" si="219"/>
        <v>#DIV/0!</v>
      </c>
      <c r="AA1058" s="174" t="s">
        <v>4714</v>
      </c>
      <c r="AB1058" s="22" t="s">
        <v>5848</v>
      </c>
      <c r="AE1058" s="33">
        <f t="shared" si="220"/>
        <v>0</v>
      </c>
      <c r="AF1058" s="43" t="s">
        <v>2893</v>
      </c>
      <c r="AG1058" s="128"/>
      <c r="AI1058" s="64">
        <f t="shared" si="221"/>
        <v>1.6577540106951871E-3</v>
      </c>
      <c r="AJ1058" s="313">
        <f>RTD("money.excel",,$G1058,"PredictVolume")</f>
        <v>310</v>
      </c>
      <c r="AK1058" s="348"/>
    </row>
    <row r="1059" spans="1:37">
      <c r="A1059" s="148" t="s">
        <v>5849</v>
      </c>
      <c r="B1059" s="81">
        <v>15</v>
      </c>
      <c r="C1059" s="81">
        <v>45</v>
      </c>
      <c r="D1059" s="81">
        <v>21</v>
      </c>
      <c r="E1059" s="81">
        <v>24</v>
      </c>
      <c r="F1059" s="6">
        <v>6.35</v>
      </c>
      <c r="G1059" s="81">
        <v>3021</v>
      </c>
      <c r="H1059" s="8" t="s">
        <v>327</v>
      </c>
      <c r="I1059" s="22" t="s">
        <v>5850</v>
      </c>
      <c r="J1059" s="75">
        <v>65.12</v>
      </c>
      <c r="K1059" s="75">
        <v>2.92</v>
      </c>
      <c r="L1059" s="330">
        <v>6</v>
      </c>
      <c r="N1059" s="325">
        <f t="shared" si="222"/>
        <v>74.040000000000006</v>
      </c>
      <c r="O1059" s="27"/>
      <c r="P1059" s="56"/>
      <c r="Q1059" s="26"/>
      <c r="S1059" s="330">
        <v>7.0000000000000007E-2</v>
      </c>
      <c r="T1059" s="34">
        <v>0.7</v>
      </c>
      <c r="U1059" s="366">
        <f t="shared" si="217"/>
        <v>3.125E-2</v>
      </c>
      <c r="V1059" s="58">
        <v>1.1100000000000001</v>
      </c>
      <c r="W1059" s="36">
        <f>RTD("money.excel",,"3021","Price")</f>
        <v>22.4</v>
      </c>
      <c r="X1059" s="67"/>
      <c r="Y1059" s="15">
        <f t="shared" si="218"/>
        <v>22.4</v>
      </c>
      <c r="Z1059" s="3" t="e">
        <f t="shared" si="219"/>
        <v>#DIV/0!</v>
      </c>
      <c r="AB1059" s="22" t="s">
        <v>5850</v>
      </c>
      <c r="AE1059" s="33">
        <f t="shared" si="220"/>
        <v>0</v>
      </c>
      <c r="AF1059" s="43" t="s">
        <v>2937</v>
      </c>
      <c r="AG1059" s="128"/>
      <c r="AI1059" s="64">
        <f t="shared" si="221"/>
        <v>1.0106382978723404E-3</v>
      </c>
      <c r="AJ1059" s="313">
        <f>RTD("money.excel",,$G1059,"PredictVolume")</f>
        <v>95</v>
      </c>
      <c r="AK1059" s="348"/>
    </row>
    <row r="1060" spans="1:37">
      <c r="A1060" s="132" t="s">
        <v>5851</v>
      </c>
      <c r="B1060" s="81">
        <v>30</v>
      </c>
      <c r="C1060" s="81">
        <v>39</v>
      </c>
      <c r="D1060" s="81">
        <v>23</v>
      </c>
      <c r="E1060" s="81">
        <v>31</v>
      </c>
      <c r="F1060" s="58">
        <v>12.15</v>
      </c>
      <c r="G1060" s="81">
        <v>3023</v>
      </c>
      <c r="H1060" s="8" t="s">
        <v>327</v>
      </c>
      <c r="I1060" s="22" t="s">
        <v>5852</v>
      </c>
      <c r="J1060" s="75">
        <v>55.59</v>
      </c>
      <c r="K1060" s="330">
        <v>55.25</v>
      </c>
      <c r="L1060" s="330">
        <v>0.77</v>
      </c>
      <c r="N1060" s="325">
        <f t="shared" si="222"/>
        <v>111.61</v>
      </c>
      <c r="O1060" s="27"/>
      <c r="P1060" s="56"/>
      <c r="Q1060" s="26"/>
      <c r="S1060" s="330">
        <v>0.01</v>
      </c>
      <c r="T1060" s="67">
        <v>6.3</v>
      </c>
      <c r="U1060" s="366">
        <f t="shared" si="217"/>
        <v>2.3551401869158876E-2</v>
      </c>
      <c r="V1060" s="58">
        <v>9.08</v>
      </c>
      <c r="W1060" s="13">
        <f>RTD("money.excel",,"3023","Price")</f>
        <v>267.5</v>
      </c>
      <c r="X1060" s="67"/>
      <c r="Y1060" s="15">
        <f t="shared" si="218"/>
        <v>267.5</v>
      </c>
      <c r="Z1060" s="3" t="e">
        <f t="shared" si="219"/>
        <v>#DIV/0!</v>
      </c>
      <c r="AA1060" s="174" t="s">
        <v>4714</v>
      </c>
      <c r="AB1060" s="22" t="s">
        <v>5852</v>
      </c>
      <c r="AE1060" s="33">
        <f t="shared" si="220"/>
        <v>0</v>
      </c>
      <c r="AF1060" s="122" t="s">
        <v>5853</v>
      </c>
      <c r="AG1060" s="128"/>
      <c r="AI1060" s="64">
        <f t="shared" si="221"/>
        <v>1.060344827586207E-3</v>
      </c>
      <c r="AJ1060" s="313">
        <f>RTD("money.excel",,$G1060,"PredictVolume")</f>
        <v>246</v>
      </c>
      <c r="AK1060" s="348"/>
    </row>
    <row r="1061" spans="1:37">
      <c r="A1061" s="132" t="s">
        <v>5854</v>
      </c>
      <c r="B1061" s="81">
        <v>55</v>
      </c>
      <c r="C1061" s="81">
        <v>41</v>
      </c>
      <c r="D1061" s="82">
        <v>-14</v>
      </c>
      <c r="E1061" s="82">
        <v>-7</v>
      </c>
      <c r="F1061" s="58">
        <v>13.33</v>
      </c>
      <c r="G1061" s="81">
        <v>3026</v>
      </c>
      <c r="H1061" s="206" t="s">
        <v>327</v>
      </c>
      <c r="I1061" s="22" t="s">
        <v>5855</v>
      </c>
      <c r="J1061" s="75">
        <v>34.14</v>
      </c>
      <c r="K1061" s="330">
        <v>12.79</v>
      </c>
      <c r="L1061" s="75">
        <v>8.26</v>
      </c>
      <c r="N1061" s="325">
        <f t="shared" si="222"/>
        <v>55.19</v>
      </c>
      <c r="O1061" s="27"/>
      <c r="P1061" s="56"/>
      <c r="Q1061" s="26"/>
      <c r="S1061" s="330">
        <v>1.62</v>
      </c>
      <c r="T1061" s="67">
        <v>8</v>
      </c>
      <c r="U1061" s="366">
        <f t="shared" si="217"/>
        <v>6.7226890756302518E-2</v>
      </c>
      <c r="V1061" s="97">
        <v>11.96</v>
      </c>
      <c r="W1061" s="36">
        <f>RTD("money.excel",,"3026","Price")</f>
        <v>119</v>
      </c>
      <c r="X1061" s="67"/>
      <c r="Y1061" s="15">
        <f t="shared" si="218"/>
        <v>119</v>
      </c>
      <c r="Z1061" s="3" t="e">
        <f t="shared" si="219"/>
        <v>#DIV/0!</v>
      </c>
      <c r="AA1061" s="174" t="s">
        <v>4714</v>
      </c>
      <c r="AB1061" s="22" t="s">
        <v>5855</v>
      </c>
      <c r="AE1061" s="33">
        <f t="shared" si="220"/>
        <v>0</v>
      </c>
      <c r="AF1061" s="122" t="s">
        <v>5856</v>
      </c>
      <c r="AG1061" s="128"/>
      <c r="AI1061" s="64">
        <f t="shared" si="221"/>
        <v>2.1772151898734179E-3</v>
      </c>
      <c r="AJ1061" s="313">
        <f>RTD("money.excel",,$G1061,"PredictVolume")</f>
        <v>344</v>
      </c>
      <c r="AK1061" s="348"/>
    </row>
    <row r="1062" spans="1:37">
      <c r="A1062" s="148" t="s">
        <v>5857</v>
      </c>
      <c r="B1062" s="93">
        <v>72</v>
      </c>
      <c r="C1062" s="93">
        <v>144</v>
      </c>
      <c r="D1062" s="93">
        <v>36</v>
      </c>
      <c r="E1062" s="93">
        <v>78</v>
      </c>
      <c r="F1062" s="6">
        <v>7.03</v>
      </c>
      <c r="G1062" s="81">
        <v>3032</v>
      </c>
      <c r="H1062" s="8" t="s">
        <v>327</v>
      </c>
      <c r="I1062" s="22" t="s">
        <v>5858</v>
      </c>
      <c r="J1062" s="75">
        <v>64.33</v>
      </c>
      <c r="K1062" s="75">
        <v>1.66</v>
      </c>
      <c r="L1062" s="75">
        <v>11.86</v>
      </c>
      <c r="N1062" s="325">
        <f t="shared" si="222"/>
        <v>77.849999999999994</v>
      </c>
      <c r="O1062" s="27"/>
      <c r="P1062" s="56"/>
      <c r="Q1062" s="26"/>
      <c r="S1062" s="330">
        <v>29.25</v>
      </c>
      <c r="T1062" s="67">
        <v>3.1</v>
      </c>
      <c r="U1062" s="366">
        <f t="shared" si="217"/>
        <v>0.1</v>
      </c>
      <c r="V1062" s="97">
        <v>4.2</v>
      </c>
      <c r="W1062" s="13">
        <f>RTD("money.excel",,"3032","Price")</f>
        <v>31</v>
      </c>
      <c r="X1062" s="67"/>
      <c r="Y1062" s="15">
        <f t="shared" si="218"/>
        <v>31</v>
      </c>
      <c r="Z1062" s="3" t="e">
        <f t="shared" si="219"/>
        <v>#DIV/0!</v>
      </c>
      <c r="AA1062" s="174" t="s">
        <v>4718</v>
      </c>
      <c r="AB1062" s="22" t="s">
        <v>5858</v>
      </c>
      <c r="AE1062" s="33">
        <f t="shared" si="220"/>
        <v>0</v>
      </c>
      <c r="AF1062" s="43" t="s">
        <v>2893</v>
      </c>
      <c r="AG1062" s="128"/>
      <c r="AI1062" s="64">
        <f t="shared" si="221"/>
        <v>5.3982300884955752E-4</v>
      </c>
      <c r="AJ1062" s="313">
        <f>RTD("money.excel",,$G1062,"PredictVolume")</f>
        <v>61</v>
      </c>
      <c r="AK1062" s="348"/>
    </row>
    <row r="1063" spans="1:37">
      <c r="A1063" s="132" t="s">
        <v>6426</v>
      </c>
      <c r="B1063" s="81">
        <v>154</v>
      </c>
      <c r="C1063" s="81">
        <v>227</v>
      </c>
      <c r="D1063" s="81">
        <v>2</v>
      </c>
      <c r="E1063" s="81">
        <v>40</v>
      </c>
      <c r="F1063" s="58">
        <v>12.6</v>
      </c>
      <c r="G1063" s="81">
        <v>3037</v>
      </c>
      <c r="H1063" s="8" t="s">
        <v>327</v>
      </c>
      <c r="I1063" s="22" t="s">
        <v>3449</v>
      </c>
      <c r="J1063" s="75">
        <v>72.040000000000006</v>
      </c>
      <c r="K1063" s="75">
        <v>52.61</v>
      </c>
      <c r="L1063" s="330">
        <v>7.17</v>
      </c>
      <c r="M1063" s="75">
        <v>15.5</v>
      </c>
      <c r="N1063" s="75">
        <f t="shared" si="222"/>
        <v>147.32</v>
      </c>
      <c r="O1063" s="27"/>
      <c r="P1063" s="56" t="s">
        <v>6427</v>
      </c>
      <c r="Q1063" s="26" t="s">
        <v>6428</v>
      </c>
      <c r="R1063" s="309" t="s">
        <v>6219</v>
      </c>
      <c r="S1063" s="330">
        <v>5.7</v>
      </c>
      <c r="T1063" s="67">
        <v>3.4</v>
      </c>
      <c r="U1063" s="366">
        <f t="shared" si="217"/>
        <v>1.4437367303609342E-2</v>
      </c>
      <c r="V1063" s="58">
        <v>9</v>
      </c>
      <c r="W1063" s="13">
        <f>RTD("money.excel",,"3037","Price")</f>
        <v>235.5</v>
      </c>
      <c r="X1063" s="67"/>
      <c r="Y1063" s="15">
        <f t="shared" si="218"/>
        <v>235.5</v>
      </c>
      <c r="Z1063" s="3" t="e">
        <f t="shared" si="219"/>
        <v>#DIV/0!</v>
      </c>
      <c r="AA1063" s="174" t="s">
        <v>2185</v>
      </c>
      <c r="AB1063" s="22" t="s">
        <v>3449</v>
      </c>
      <c r="AE1063" s="33">
        <f t="shared" si="220"/>
        <v>0</v>
      </c>
      <c r="AF1063" s="122" t="s">
        <v>5859</v>
      </c>
      <c r="AG1063" s="128"/>
      <c r="AI1063" s="64">
        <f t="shared" si="221"/>
        <v>1.7038095238095238E-2</v>
      </c>
      <c r="AJ1063" s="313">
        <f>RTD("money.excel",,$G1063,"PredictVolume")</f>
        <v>25046</v>
      </c>
      <c r="AK1063" s="348">
        <v>8.89</v>
      </c>
    </row>
    <row r="1064" spans="1:37">
      <c r="A1064" s="132" t="s">
        <v>5860</v>
      </c>
      <c r="B1064" s="81">
        <v>147</v>
      </c>
      <c r="C1064" s="81">
        <v>176</v>
      </c>
      <c r="D1064" s="81">
        <v>6</v>
      </c>
      <c r="E1064" s="81">
        <v>22</v>
      </c>
      <c r="F1064" s="58">
        <v>22.88</v>
      </c>
      <c r="G1064" s="81">
        <v>3042</v>
      </c>
      <c r="H1064" s="8" t="s">
        <v>327</v>
      </c>
      <c r="I1064" s="22" t="s">
        <v>5861</v>
      </c>
      <c r="J1064" s="330">
        <v>40.97</v>
      </c>
      <c r="K1064" s="330">
        <v>22.27</v>
      </c>
      <c r="L1064" s="330">
        <v>17.059999999999999</v>
      </c>
      <c r="N1064" s="325">
        <f t="shared" si="222"/>
        <v>80.3</v>
      </c>
      <c r="O1064" s="27"/>
      <c r="P1064" s="56"/>
      <c r="Q1064" s="26"/>
      <c r="S1064" s="330">
        <v>2.57</v>
      </c>
      <c r="T1064" s="67">
        <v>3.8</v>
      </c>
      <c r="U1064" s="366">
        <f t="shared" si="217"/>
        <v>3.8657171922685654E-2</v>
      </c>
      <c r="V1064" s="97">
        <v>7.6</v>
      </c>
      <c r="W1064" s="36">
        <f>RTD("money.excel",,"3042","Price")</f>
        <v>98.3</v>
      </c>
      <c r="X1064" s="67"/>
      <c r="Y1064" s="15">
        <f t="shared" si="218"/>
        <v>98.3</v>
      </c>
      <c r="Z1064" s="3" t="e">
        <f t="shared" si="219"/>
        <v>#DIV/0!</v>
      </c>
      <c r="AA1064" s="174" t="s">
        <v>4714</v>
      </c>
      <c r="AB1064" s="22" t="s">
        <v>5861</v>
      </c>
      <c r="AE1064" s="33">
        <f t="shared" si="220"/>
        <v>0</v>
      </c>
      <c r="AF1064" s="122" t="s">
        <v>1957</v>
      </c>
      <c r="AG1064" s="128"/>
      <c r="AI1064" s="64">
        <f t="shared" si="221"/>
        <v>5.3527508090614887E-3</v>
      </c>
      <c r="AJ1064" s="313">
        <f>RTD("money.excel",,$G1064,"PredictVolume")</f>
        <v>1654</v>
      </c>
      <c r="AK1064" s="348"/>
    </row>
    <row r="1065" spans="1:37">
      <c r="A1065" s="132" t="s">
        <v>5862</v>
      </c>
      <c r="B1065" s="81">
        <v>0</v>
      </c>
      <c r="C1065" s="81">
        <v>5</v>
      </c>
      <c r="D1065" s="81">
        <v>4</v>
      </c>
      <c r="E1065" s="81">
        <v>13</v>
      </c>
      <c r="F1065" s="58">
        <v>10.47</v>
      </c>
      <c r="G1065" s="81">
        <v>3044</v>
      </c>
      <c r="H1065" s="8" t="s">
        <v>327</v>
      </c>
      <c r="I1065" s="22" t="s">
        <v>5863</v>
      </c>
      <c r="J1065" s="75">
        <v>76.78</v>
      </c>
      <c r="K1065" s="75">
        <v>49.53</v>
      </c>
      <c r="L1065" s="330">
        <v>1.03</v>
      </c>
      <c r="N1065" s="325">
        <f t="shared" si="222"/>
        <v>127.34</v>
      </c>
      <c r="O1065" s="27"/>
      <c r="P1065" s="56"/>
      <c r="Q1065" s="26"/>
      <c r="R1065" s="308" t="s">
        <v>4839</v>
      </c>
      <c r="S1065" s="330">
        <v>0.97</v>
      </c>
      <c r="T1065" s="67">
        <v>7.35</v>
      </c>
      <c r="U1065" s="366">
        <f t="shared" si="217"/>
        <v>5.7421874999999997E-2</v>
      </c>
      <c r="V1065" s="58">
        <v>11.73</v>
      </c>
      <c r="W1065" s="13">
        <f>RTD("money.excel",,"3044","Price")</f>
        <v>128</v>
      </c>
      <c r="X1065" s="67"/>
      <c r="Y1065" s="15">
        <f t="shared" si="218"/>
        <v>128</v>
      </c>
      <c r="Z1065" s="3" t="e">
        <f t="shared" si="219"/>
        <v>#DIV/0!</v>
      </c>
      <c r="AA1065" s="174" t="s">
        <v>4714</v>
      </c>
      <c r="AB1065" s="22" t="s">
        <v>5863</v>
      </c>
      <c r="AE1065" s="33">
        <f t="shared" si="220"/>
        <v>0</v>
      </c>
      <c r="AF1065" s="122" t="s">
        <v>1101</v>
      </c>
      <c r="AG1065" s="128"/>
      <c r="AI1065" s="64">
        <f t="shared" si="221"/>
        <v>1.481904761904762E-3</v>
      </c>
      <c r="AJ1065" s="313">
        <f>RTD("money.excel",,$G1065,"PredictVolume")</f>
        <v>778</v>
      </c>
      <c r="AK1065" s="348"/>
    </row>
    <row r="1066" spans="1:37">
      <c r="A1066" s="148" t="s">
        <v>5864</v>
      </c>
      <c r="B1066" s="82">
        <v>-234</v>
      </c>
      <c r="C1066" s="82">
        <v>-171</v>
      </c>
      <c r="D1066" s="82">
        <v>-1</v>
      </c>
      <c r="E1066" s="81">
        <v>9</v>
      </c>
      <c r="F1066" s="6">
        <v>-6.52</v>
      </c>
      <c r="G1066" s="81">
        <v>3058</v>
      </c>
      <c r="H1066" s="8" t="s">
        <v>327</v>
      </c>
      <c r="I1066" s="22" t="s">
        <v>5865</v>
      </c>
      <c r="J1066" s="330">
        <v>23</v>
      </c>
      <c r="K1066" s="75">
        <v>1.91</v>
      </c>
      <c r="L1066" s="330">
        <v>0</v>
      </c>
      <c r="M1066" s="75">
        <v>8.17</v>
      </c>
      <c r="N1066" s="325">
        <f t="shared" si="222"/>
        <v>33.08</v>
      </c>
      <c r="O1066" s="27"/>
      <c r="P1066" s="56"/>
      <c r="Q1066" s="26"/>
      <c r="R1066" s="308" t="s">
        <v>4829</v>
      </c>
      <c r="S1066" s="330">
        <v>2.15</v>
      </c>
      <c r="T1066" s="34">
        <v>0.15</v>
      </c>
      <c r="U1066" s="366">
        <f t="shared" si="217"/>
        <v>1.0714285714285714E-2</v>
      </c>
      <c r="V1066" s="97">
        <v>-1.85</v>
      </c>
      <c r="W1066" s="36">
        <f>RTD("money.excel",,"3058","Price")</f>
        <v>14</v>
      </c>
      <c r="X1066" s="67"/>
      <c r="Y1066" s="15">
        <f t="shared" si="218"/>
        <v>14</v>
      </c>
      <c r="Z1066" s="3" t="e">
        <f t="shared" si="219"/>
        <v>#DIV/0!</v>
      </c>
      <c r="AB1066" s="22" t="s">
        <v>5865</v>
      </c>
      <c r="AE1066" s="33">
        <f t="shared" si="220"/>
        <v>0</v>
      </c>
      <c r="AF1066" s="43" t="s">
        <v>5866</v>
      </c>
      <c r="AG1066" s="128"/>
      <c r="AI1066" s="64">
        <f t="shared" si="221"/>
        <v>1.3997477931904161E-3</v>
      </c>
      <c r="AJ1066" s="313">
        <f>RTD("money.excel",,$G1066,"PredictVolume")</f>
        <v>222</v>
      </c>
      <c r="AK1066" s="348"/>
    </row>
    <row r="1067" spans="1:37">
      <c r="A1067" s="132" t="s">
        <v>5867</v>
      </c>
      <c r="B1067" s="81">
        <v>14</v>
      </c>
      <c r="C1067" s="81">
        <v>17</v>
      </c>
      <c r="D1067" s="82">
        <v>-5</v>
      </c>
      <c r="E1067" s="82">
        <v>-19</v>
      </c>
      <c r="F1067" s="58">
        <v>12.68</v>
      </c>
      <c r="G1067" s="81">
        <v>3078</v>
      </c>
      <c r="H1067" s="8" t="s">
        <v>327</v>
      </c>
      <c r="I1067" s="16" t="s">
        <v>5868</v>
      </c>
      <c r="J1067" s="330">
        <v>37.979999999999997</v>
      </c>
      <c r="K1067" s="330">
        <v>2.66</v>
      </c>
      <c r="L1067" s="330">
        <v>10.7</v>
      </c>
      <c r="N1067" s="325">
        <f t="shared" si="222"/>
        <v>51.34</v>
      </c>
      <c r="O1067" s="27"/>
      <c r="P1067" s="56"/>
      <c r="Q1067" s="26"/>
      <c r="R1067" s="308" t="s">
        <v>4728</v>
      </c>
      <c r="S1067" s="330">
        <v>3.32</v>
      </c>
      <c r="T1067" s="67">
        <v>3.15</v>
      </c>
      <c r="U1067" s="366">
        <f t="shared" si="217"/>
        <v>8.6538461538461536E-2</v>
      </c>
      <c r="V1067" s="97">
        <v>4.9800000000000004</v>
      </c>
      <c r="W1067" s="36">
        <f>RTD("money.excel",,"3078","Price")</f>
        <v>36.4</v>
      </c>
      <c r="X1067" s="67"/>
      <c r="Y1067" s="15">
        <f t="shared" si="218"/>
        <v>36.4</v>
      </c>
      <c r="Z1067" s="3" t="e">
        <f t="shared" si="219"/>
        <v>#DIV/0!</v>
      </c>
      <c r="AA1067" s="174" t="s">
        <v>4714</v>
      </c>
      <c r="AB1067" s="16" t="s">
        <v>5868</v>
      </c>
      <c r="AE1067" s="33">
        <f t="shared" si="220"/>
        <v>0</v>
      </c>
      <c r="AF1067" s="122" t="s">
        <v>2893</v>
      </c>
      <c r="AG1067" s="128"/>
      <c r="AI1067" s="64">
        <f t="shared" si="221"/>
        <v>1.4977973568281939E-3</v>
      </c>
      <c r="AJ1067" s="313">
        <f>RTD("money.excel",,$G1067,"PredictVolume")</f>
        <v>340</v>
      </c>
      <c r="AK1067" s="348"/>
    </row>
    <row r="1068" spans="1:37">
      <c r="A1068" s="148" t="s">
        <v>5869</v>
      </c>
      <c r="B1068" s="82">
        <v>-13</v>
      </c>
      <c r="C1068" s="82">
        <v>-10</v>
      </c>
      <c r="D1068" s="82">
        <v>-4</v>
      </c>
      <c r="E1068" s="81">
        <v>6</v>
      </c>
      <c r="F1068" s="6">
        <v>8.83</v>
      </c>
      <c r="G1068" s="81">
        <v>3090</v>
      </c>
      <c r="H1068" s="8" t="s">
        <v>327</v>
      </c>
      <c r="I1068" s="22" t="s">
        <v>5870</v>
      </c>
      <c r="J1068" s="330">
        <v>26.31</v>
      </c>
      <c r="K1068" s="75">
        <v>9.52</v>
      </c>
      <c r="L1068" s="75">
        <v>8.68</v>
      </c>
      <c r="N1068" s="325">
        <f t="shared" si="222"/>
        <v>44.51</v>
      </c>
      <c r="O1068" s="27"/>
      <c r="P1068" s="56"/>
      <c r="Q1068" s="26"/>
      <c r="S1068" s="330">
        <v>7.0000000000000007E-2</v>
      </c>
      <c r="T1068" s="67">
        <v>3.1</v>
      </c>
      <c r="U1068" s="366">
        <f t="shared" si="217"/>
        <v>5.8380414312617701E-2</v>
      </c>
      <c r="V1068" s="97">
        <v>3.36</v>
      </c>
      <c r="W1068" s="36">
        <f>RTD("money.excel",,"3090","Price")</f>
        <v>53.1</v>
      </c>
      <c r="X1068" s="67"/>
      <c r="Y1068" s="15">
        <f t="shared" si="218"/>
        <v>53.1</v>
      </c>
      <c r="Z1068" s="3" t="e">
        <f t="shared" si="219"/>
        <v>#DIV/0!</v>
      </c>
      <c r="AA1068" s="174" t="s">
        <v>4714</v>
      </c>
      <c r="AB1068" s="22" t="s">
        <v>5870</v>
      </c>
      <c r="AE1068" s="33">
        <f t="shared" si="220"/>
        <v>0</v>
      </c>
      <c r="AF1068" s="43" t="s">
        <v>5871</v>
      </c>
      <c r="AG1068" s="128"/>
      <c r="AI1068" s="64">
        <f t="shared" si="221"/>
        <v>7.977528089887641E-4</v>
      </c>
      <c r="AJ1068" s="313">
        <f>RTD("money.excel",,$G1068,"PredictVolume")</f>
        <v>142</v>
      </c>
      <c r="AK1068" s="348"/>
    </row>
    <row r="1069" spans="1:37">
      <c r="A1069" s="148" t="s">
        <v>5872</v>
      </c>
      <c r="B1069" s="82">
        <v>-96</v>
      </c>
      <c r="C1069" s="82">
        <v>-85</v>
      </c>
      <c r="D1069" s="81">
        <v>0</v>
      </c>
      <c r="E1069" s="81">
        <v>36</v>
      </c>
      <c r="F1069" s="6">
        <v>1.17</v>
      </c>
      <c r="G1069" s="81">
        <v>3092</v>
      </c>
      <c r="H1069" s="8" t="s">
        <v>327</v>
      </c>
      <c r="I1069" s="22" t="s">
        <v>5873</v>
      </c>
      <c r="J1069" s="75">
        <v>32.520000000000003</v>
      </c>
      <c r="K1069" s="330">
        <v>1.07</v>
      </c>
      <c r="L1069" s="75">
        <v>34.61</v>
      </c>
      <c r="M1069" s="330">
        <v>8.6300000000000008</v>
      </c>
      <c r="N1069" s="325">
        <f t="shared" si="222"/>
        <v>76.83</v>
      </c>
      <c r="O1069" s="27"/>
      <c r="P1069" s="56"/>
      <c r="Q1069" s="26"/>
      <c r="R1069" s="308" t="s">
        <v>4728</v>
      </c>
      <c r="S1069" s="330">
        <v>3.5</v>
      </c>
      <c r="T1069" s="34">
        <v>1.38</v>
      </c>
      <c r="U1069" s="366">
        <f t="shared" si="217"/>
        <v>2.3310810810810809E-2</v>
      </c>
      <c r="V1069" s="97">
        <v>-7.0000000000000007E-2</v>
      </c>
      <c r="W1069" s="36">
        <f>RTD("money.excel",,"3092","Price")</f>
        <v>59.2</v>
      </c>
      <c r="X1069" s="67"/>
      <c r="Y1069" s="15">
        <f t="shared" si="218"/>
        <v>59.2</v>
      </c>
      <c r="Z1069" s="3" t="e">
        <f t="shared" si="219"/>
        <v>#DIV/0!</v>
      </c>
      <c r="AA1069" s="174" t="s">
        <v>4710</v>
      </c>
      <c r="AB1069" s="22" t="s">
        <v>5873</v>
      </c>
      <c r="AE1069" s="33">
        <f t="shared" si="220"/>
        <v>0</v>
      </c>
      <c r="AF1069" s="122" t="s">
        <v>2924</v>
      </c>
      <c r="AG1069" s="128"/>
      <c r="AI1069" s="64">
        <f t="shared" si="221"/>
        <v>1.0368364030335862E-2</v>
      </c>
      <c r="AJ1069" s="313">
        <f>RTD("money.excel",,$G1069,"PredictVolume")</f>
        <v>957</v>
      </c>
      <c r="AK1069" s="348"/>
    </row>
    <row r="1070" spans="1:37">
      <c r="A1070" s="148" t="s">
        <v>5624</v>
      </c>
      <c r="B1070" s="81">
        <v>50</v>
      </c>
      <c r="C1070" s="81">
        <v>51</v>
      </c>
      <c r="D1070" s="81">
        <v>12</v>
      </c>
      <c r="E1070" s="81">
        <v>30</v>
      </c>
      <c r="F1070" s="6">
        <v>4.9400000000000004</v>
      </c>
      <c r="G1070" s="81">
        <v>3114</v>
      </c>
      <c r="H1070" s="8" t="s">
        <v>327</v>
      </c>
      <c r="I1070" s="16" t="s">
        <v>5874</v>
      </c>
      <c r="J1070" s="330">
        <v>43.45</v>
      </c>
      <c r="K1070" s="75">
        <v>1.17</v>
      </c>
      <c r="L1070" s="330">
        <v>15.26</v>
      </c>
      <c r="M1070" s="330">
        <v>19.95</v>
      </c>
      <c r="N1070" s="325">
        <f t="shared" si="222"/>
        <v>79.83</v>
      </c>
      <c r="O1070" s="27"/>
      <c r="P1070" s="56"/>
      <c r="Q1070" s="26"/>
      <c r="R1070" s="308" t="s">
        <v>4728</v>
      </c>
      <c r="S1070" s="330">
        <v>0.88</v>
      </c>
      <c r="T1070" s="34">
        <v>1.2</v>
      </c>
      <c r="U1070" s="366">
        <f t="shared" si="217"/>
        <v>4.5283018867924525E-2</v>
      </c>
      <c r="V1070" s="97">
        <v>2.4</v>
      </c>
      <c r="W1070" s="36">
        <f>RTD("money.excel",,"3114","Price")</f>
        <v>26.5</v>
      </c>
      <c r="X1070" s="67"/>
      <c r="Y1070" s="15">
        <f t="shared" si="218"/>
        <v>26.5</v>
      </c>
      <c r="Z1070" s="3" t="e">
        <f t="shared" si="219"/>
        <v>#DIV/0!</v>
      </c>
      <c r="AB1070" s="16" t="s">
        <v>5874</v>
      </c>
      <c r="AE1070" s="33">
        <f t="shared" si="220"/>
        <v>0</v>
      </c>
      <c r="AF1070" s="43" t="s">
        <v>5875</v>
      </c>
      <c r="AG1070" s="128"/>
      <c r="AI1070" s="64">
        <f t="shared" si="221"/>
        <v>2.4196277495769883E-3</v>
      </c>
      <c r="AJ1070" s="313">
        <f>RTD("money.excel",,$G1070,"PredictVolume")</f>
        <v>143</v>
      </c>
      <c r="AK1070" s="348"/>
    </row>
    <row r="1071" spans="1:37">
      <c r="A1071" s="148" t="s">
        <v>5876</v>
      </c>
      <c r="B1071" s="93">
        <v>66</v>
      </c>
      <c r="C1071" s="93">
        <v>53</v>
      </c>
      <c r="D1071" s="93">
        <v>25</v>
      </c>
      <c r="E1071" s="93">
        <v>-35</v>
      </c>
      <c r="F1071" s="6">
        <v>-5.37</v>
      </c>
      <c r="G1071" s="81">
        <v>3115</v>
      </c>
      <c r="H1071" s="8" t="s">
        <v>327</v>
      </c>
      <c r="I1071" s="16" t="s">
        <v>5877</v>
      </c>
      <c r="J1071" s="75">
        <v>71.97</v>
      </c>
      <c r="K1071" s="75">
        <v>3.35</v>
      </c>
      <c r="N1071" s="325">
        <f t="shared" si="222"/>
        <v>75.319999999999993</v>
      </c>
      <c r="O1071" s="27"/>
      <c r="P1071" s="56"/>
      <c r="Q1071" s="26"/>
      <c r="S1071" s="330">
        <v>27.45</v>
      </c>
      <c r="T1071" s="34">
        <v>0</v>
      </c>
      <c r="U1071" s="366">
        <f t="shared" si="217"/>
        <v>0</v>
      </c>
      <c r="V1071" s="97">
        <v>-1.01</v>
      </c>
      <c r="W1071" s="13">
        <f>RTD("money.excel",,"3115","Price")</f>
        <v>12.05</v>
      </c>
      <c r="X1071" s="67"/>
      <c r="Y1071" s="15">
        <f t="shared" si="218"/>
        <v>12.05</v>
      </c>
      <c r="Z1071" s="3" t="e">
        <f t="shared" si="219"/>
        <v>#DIV/0!</v>
      </c>
      <c r="AB1071" s="16" t="s">
        <v>5877</v>
      </c>
      <c r="AE1071" s="33">
        <f t="shared" si="220"/>
        <v>0</v>
      </c>
      <c r="AF1071" s="43" t="s">
        <v>5878</v>
      </c>
      <c r="AG1071" s="128"/>
      <c r="AI1071" s="64">
        <f t="shared" si="221"/>
        <v>1.4874141876430205E-3</v>
      </c>
      <c r="AJ1071" s="313">
        <f>RTD("money.excel",,$G1071,"PredictVolume")</f>
        <v>65</v>
      </c>
      <c r="AK1071" s="348"/>
    </row>
    <row r="1072" spans="1:37">
      <c r="A1072" s="148" t="s">
        <v>5879</v>
      </c>
      <c r="B1072" s="82">
        <v>-508</v>
      </c>
      <c r="C1072" s="81">
        <v>55</v>
      </c>
      <c r="D1072" s="82">
        <v>-58</v>
      </c>
      <c r="E1072" s="81">
        <v>247</v>
      </c>
      <c r="F1072" s="6">
        <v>-35.1</v>
      </c>
      <c r="G1072" s="81">
        <v>3191</v>
      </c>
      <c r="H1072" s="8" t="s">
        <v>327</v>
      </c>
      <c r="I1072" s="16" t="s">
        <v>5880</v>
      </c>
      <c r="J1072" s="330">
        <v>16.21</v>
      </c>
      <c r="K1072" s="75">
        <v>1.4</v>
      </c>
      <c r="N1072" s="325">
        <f t="shared" si="222"/>
        <v>17.61</v>
      </c>
      <c r="O1072" s="27"/>
      <c r="P1072" s="56"/>
      <c r="Q1072" s="26"/>
      <c r="T1072" s="34">
        <v>0</v>
      </c>
      <c r="U1072" s="366">
        <f t="shared" si="217"/>
        <v>0</v>
      </c>
      <c r="V1072" s="97">
        <v>-3.12</v>
      </c>
      <c r="W1072" s="13">
        <f>RTD("money.excel",,"3191","Price")</f>
        <v>10.8</v>
      </c>
      <c r="X1072" s="67"/>
      <c r="Y1072" s="15">
        <f t="shared" si="218"/>
        <v>10.8</v>
      </c>
      <c r="Z1072" s="3" t="e">
        <f t="shared" si="219"/>
        <v>#DIV/0!</v>
      </c>
      <c r="AB1072" s="16" t="s">
        <v>5880</v>
      </c>
      <c r="AE1072" s="33">
        <f t="shared" si="220"/>
        <v>0</v>
      </c>
      <c r="AF1072" s="43" t="s">
        <v>5881</v>
      </c>
      <c r="AG1072" s="128"/>
      <c r="AI1072" s="64">
        <f t="shared" si="221"/>
        <v>1.6958041958041957E-3</v>
      </c>
      <c r="AJ1072" s="313">
        <f>RTD("money.excel",,$G1072,"PredictVolume")</f>
        <v>97</v>
      </c>
      <c r="AK1072" s="348"/>
    </row>
    <row r="1073" spans="1:37">
      <c r="A1073" s="148" t="s">
        <v>5882</v>
      </c>
      <c r="B1073" s="81">
        <v>56</v>
      </c>
      <c r="C1073" s="81">
        <v>196</v>
      </c>
      <c r="D1073" s="81">
        <v>13</v>
      </c>
      <c r="E1073" s="81">
        <v>67</v>
      </c>
      <c r="F1073" s="6">
        <v>5.96</v>
      </c>
      <c r="G1073" s="81">
        <v>3202</v>
      </c>
      <c r="H1073" s="8" t="s">
        <v>327</v>
      </c>
      <c r="I1073" s="16" t="s">
        <v>5883</v>
      </c>
      <c r="J1073" s="330">
        <v>29.41</v>
      </c>
      <c r="K1073" s="75">
        <v>3.81</v>
      </c>
      <c r="L1073" s="330">
        <v>59.48</v>
      </c>
      <c r="N1073" s="325">
        <f t="shared" si="222"/>
        <v>92.699999999999989</v>
      </c>
      <c r="O1073" s="27"/>
      <c r="P1073" s="56"/>
      <c r="Q1073" s="26"/>
      <c r="S1073" s="330">
        <v>0.27</v>
      </c>
      <c r="T1073" s="34">
        <v>0</v>
      </c>
      <c r="U1073" s="366">
        <f t="shared" si="217"/>
        <v>0</v>
      </c>
      <c r="V1073" s="97">
        <v>-1.35</v>
      </c>
      <c r="W1073" s="36">
        <f>RTD("money.excel",,"3202","Price")</f>
        <v>16.600000000000001</v>
      </c>
      <c r="X1073" s="67"/>
      <c r="Y1073" s="15">
        <f t="shared" si="218"/>
        <v>16.600000000000001</v>
      </c>
      <c r="Z1073" s="3" t="e">
        <f t="shared" si="219"/>
        <v>#DIV/0!</v>
      </c>
      <c r="AA1073" s="174" t="s">
        <v>4477</v>
      </c>
      <c r="AB1073" s="16" t="s">
        <v>5883</v>
      </c>
      <c r="AE1073" s="33">
        <f t="shared" si="220"/>
        <v>0</v>
      </c>
      <c r="AF1073" s="43" t="s">
        <v>5884</v>
      </c>
      <c r="AG1073" s="128"/>
      <c r="AI1073" s="64">
        <f t="shared" si="221"/>
        <v>4.2222222222222218E-3</v>
      </c>
      <c r="AJ1073" s="313">
        <f>RTD("money.excel",,$G1073,"PredictVolume")</f>
        <v>494</v>
      </c>
      <c r="AK1073" s="348"/>
    </row>
    <row r="1074" spans="1:37">
      <c r="A1074" s="148" t="s">
        <v>5885</v>
      </c>
      <c r="B1074" s="81">
        <v>1</v>
      </c>
      <c r="C1074" s="81">
        <v>2</v>
      </c>
      <c r="D1074" s="82">
        <v>-9</v>
      </c>
      <c r="E1074" s="82">
        <v>-1</v>
      </c>
      <c r="F1074" s="6">
        <v>3.96</v>
      </c>
      <c r="G1074" s="81">
        <v>3206</v>
      </c>
      <c r="H1074" s="8" t="s">
        <v>327</v>
      </c>
      <c r="I1074" s="16" t="s">
        <v>5886</v>
      </c>
      <c r="J1074" s="330">
        <v>34.19</v>
      </c>
      <c r="K1074" s="75">
        <v>0.54</v>
      </c>
      <c r="L1074" s="75">
        <v>7.4</v>
      </c>
      <c r="N1074" s="325">
        <f t="shared" si="222"/>
        <v>42.129999999999995</v>
      </c>
      <c r="O1074" s="27"/>
      <c r="P1074" s="56"/>
      <c r="Q1074" s="26"/>
      <c r="S1074" s="330">
        <v>0</v>
      </c>
      <c r="T1074" s="34">
        <v>2</v>
      </c>
      <c r="U1074" s="366">
        <f t="shared" si="217"/>
        <v>6.9444444444444448E-2</v>
      </c>
      <c r="V1074" s="97">
        <v>2.92</v>
      </c>
      <c r="W1074" s="36">
        <f>RTD("money.excel",,"3206","Price")</f>
        <v>28.8</v>
      </c>
      <c r="X1074" s="67"/>
      <c r="Y1074" s="15">
        <f t="shared" si="218"/>
        <v>28.8</v>
      </c>
      <c r="Z1074" s="3" t="e">
        <f t="shared" si="219"/>
        <v>#DIV/0!</v>
      </c>
      <c r="AB1074" s="16" t="s">
        <v>5886</v>
      </c>
      <c r="AE1074" s="33">
        <f t="shared" si="220"/>
        <v>0</v>
      </c>
      <c r="AF1074" s="122" t="s">
        <v>2895</v>
      </c>
      <c r="AG1074" s="128"/>
      <c r="AI1074" s="64">
        <f t="shared" si="221"/>
        <v>1.4261460101867571E-3</v>
      </c>
      <c r="AJ1074" s="313">
        <f>RTD("money.excel",,$G1074,"PredictVolume")</f>
        <v>84</v>
      </c>
      <c r="AK1074" s="348"/>
    </row>
    <row r="1075" spans="1:37">
      <c r="A1075" s="148" t="s">
        <v>5887</v>
      </c>
      <c r="B1075" s="93">
        <v>-170</v>
      </c>
      <c r="C1075" s="93">
        <v>-205</v>
      </c>
      <c r="D1075" s="93">
        <v>3</v>
      </c>
      <c r="E1075" s="93">
        <v>-8</v>
      </c>
      <c r="F1075" s="6">
        <v>-0.1</v>
      </c>
      <c r="G1075" s="81">
        <v>3207</v>
      </c>
      <c r="H1075" s="8" t="s">
        <v>327</v>
      </c>
      <c r="I1075" s="16" t="s">
        <v>5888</v>
      </c>
      <c r="J1075" s="75">
        <v>43.48</v>
      </c>
      <c r="K1075" s="75">
        <v>0</v>
      </c>
      <c r="N1075" s="325">
        <f t="shared" si="222"/>
        <v>43.48</v>
      </c>
      <c r="O1075" s="27"/>
      <c r="P1075" s="56"/>
      <c r="Q1075" s="26"/>
      <c r="S1075" s="330">
        <v>16.87</v>
      </c>
      <c r="T1075" s="34">
        <v>0</v>
      </c>
      <c r="U1075" s="366">
        <f t="shared" si="217"/>
        <v>0</v>
      </c>
      <c r="V1075" s="97">
        <v>-0.39</v>
      </c>
      <c r="W1075" s="36">
        <f>RTD("money.excel",,"3207","Price")</f>
        <v>23.45</v>
      </c>
      <c r="X1075" s="67"/>
      <c r="Y1075" s="15">
        <f t="shared" si="218"/>
        <v>23.45</v>
      </c>
      <c r="Z1075" s="3" t="e">
        <f t="shared" si="219"/>
        <v>#DIV/0!</v>
      </c>
      <c r="AB1075" s="16" t="s">
        <v>5888</v>
      </c>
      <c r="AE1075" s="33">
        <f t="shared" si="220"/>
        <v>0</v>
      </c>
      <c r="AF1075" s="43" t="s">
        <v>5889</v>
      </c>
      <c r="AG1075" s="128"/>
      <c r="AI1075" s="64">
        <f t="shared" si="221"/>
        <v>3.5616438356164382E-3</v>
      </c>
      <c r="AJ1075" s="313">
        <f>RTD("money.excel",,$G1075,"PredictVolume")</f>
        <v>156</v>
      </c>
      <c r="AK1075" s="348"/>
    </row>
    <row r="1076" spans="1:37">
      <c r="A1076" s="132" t="s">
        <v>2305</v>
      </c>
      <c r="B1076" s="81">
        <v>8</v>
      </c>
      <c r="C1076" s="81">
        <v>1</v>
      </c>
      <c r="D1076" s="82">
        <v>-12</v>
      </c>
      <c r="E1076" s="81">
        <v>12</v>
      </c>
      <c r="F1076" s="58">
        <v>25.71</v>
      </c>
      <c r="G1076" s="81">
        <v>3217</v>
      </c>
      <c r="H1076" s="8" t="s">
        <v>327</v>
      </c>
      <c r="I1076" s="16" t="s">
        <v>5890</v>
      </c>
      <c r="J1076" s="75">
        <v>45.44</v>
      </c>
      <c r="K1076" s="330">
        <v>14.75</v>
      </c>
      <c r="L1076" s="75">
        <v>19.03</v>
      </c>
      <c r="M1076" s="330">
        <v>12.99</v>
      </c>
      <c r="N1076" s="325">
        <f t="shared" si="222"/>
        <v>92.21</v>
      </c>
      <c r="O1076" s="27"/>
      <c r="P1076" s="56"/>
      <c r="Q1076" s="26"/>
      <c r="R1076" s="309" t="s">
        <v>6219</v>
      </c>
      <c r="S1076" s="330">
        <v>0.96</v>
      </c>
      <c r="T1076" s="67">
        <v>5.6</v>
      </c>
      <c r="U1076" s="366">
        <f t="shared" si="217"/>
        <v>5.6451612903225798E-2</v>
      </c>
      <c r="V1076" s="97">
        <v>7.33</v>
      </c>
      <c r="W1076" s="36">
        <f>RTD("money.excel",,"3217","Price")</f>
        <v>99.2</v>
      </c>
      <c r="X1076" s="67"/>
      <c r="Y1076" s="15">
        <f t="shared" si="218"/>
        <v>99.2</v>
      </c>
      <c r="Z1076" s="3" t="e">
        <f t="shared" si="219"/>
        <v>#DIV/0!</v>
      </c>
      <c r="AA1076" s="174" t="s">
        <v>2185</v>
      </c>
      <c r="AB1076" s="16" t="s">
        <v>5890</v>
      </c>
      <c r="AE1076" s="33">
        <f t="shared" si="220"/>
        <v>0</v>
      </c>
      <c r="AF1076" s="43" t="s">
        <v>5891</v>
      </c>
      <c r="AG1076" s="128"/>
      <c r="AI1076" s="64">
        <f t="shared" si="221"/>
        <v>1.0233074361820201E-2</v>
      </c>
      <c r="AJ1076" s="313">
        <f>RTD("money.excel",,$G1076,"PredictVolume")</f>
        <v>922</v>
      </c>
      <c r="AK1076" s="348">
        <v>28.12</v>
      </c>
    </row>
    <row r="1077" spans="1:37">
      <c r="A1077" s="148" t="s">
        <v>4498</v>
      </c>
      <c r="B1077" s="93">
        <v>-24</v>
      </c>
      <c r="C1077" s="93">
        <v>-33</v>
      </c>
      <c r="D1077" s="93">
        <v>26</v>
      </c>
      <c r="E1077" s="93">
        <v>58</v>
      </c>
      <c r="F1077" s="6">
        <v>-41.06</v>
      </c>
      <c r="G1077" s="81">
        <v>3229</v>
      </c>
      <c r="H1077" s="8" t="s">
        <v>327</v>
      </c>
      <c r="I1077" s="22" t="s">
        <v>5892</v>
      </c>
      <c r="J1077" s="75">
        <v>53.43</v>
      </c>
      <c r="K1077" s="75">
        <v>0.52</v>
      </c>
      <c r="N1077" s="325">
        <f t="shared" si="222"/>
        <v>53.95</v>
      </c>
      <c r="O1077" s="27"/>
      <c r="P1077" s="56"/>
      <c r="Q1077" s="26"/>
      <c r="S1077" s="330">
        <v>32.06</v>
      </c>
      <c r="T1077" s="34">
        <v>0</v>
      </c>
      <c r="U1077" s="366">
        <f t="shared" si="217"/>
        <v>0</v>
      </c>
      <c r="V1077" s="97">
        <v>-2.27</v>
      </c>
      <c r="W1077" s="13">
        <f>RTD("money.excel",,"3229","Price")</f>
        <v>16.899999999999999</v>
      </c>
      <c r="X1077" s="67"/>
      <c r="Y1077" s="15">
        <f t="shared" si="218"/>
        <v>16.899999999999999</v>
      </c>
      <c r="Z1077" s="3" t="e">
        <f t="shared" si="219"/>
        <v>#DIV/0!</v>
      </c>
      <c r="AB1077" s="22" t="s">
        <v>5892</v>
      </c>
      <c r="AE1077" s="33">
        <f t="shared" si="220"/>
        <v>0</v>
      </c>
      <c r="AF1077" s="43" t="s">
        <v>1101</v>
      </c>
      <c r="AG1077" s="128"/>
      <c r="AI1077" s="64">
        <f t="shared" si="221"/>
        <v>2.2459893048128342E-4</v>
      </c>
      <c r="AJ1077" s="313">
        <f>RTD("money.excel",,$G1077,"PredictVolume")</f>
        <v>21</v>
      </c>
      <c r="AK1077" s="348"/>
    </row>
    <row r="1078" spans="1:37">
      <c r="A1078" s="148" t="s">
        <v>5397</v>
      </c>
      <c r="B1078" s="93">
        <v>23</v>
      </c>
      <c r="C1078" s="93">
        <v>37</v>
      </c>
      <c r="D1078" s="93">
        <v>23</v>
      </c>
      <c r="E1078" s="93">
        <v>36</v>
      </c>
      <c r="F1078" s="6">
        <v>6.83</v>
      </c>
      <c r="G1078" s="81">
        <v>3236</v>
      </c>
      <c r="H1078" s="8" t="s">
        <v>327</v>
      </c>
      <c r="I1078" s="16" t="s">
        <v>5893</v>
      </c>
      <c r="J1078" s="75">
        <v>34.159999999999997</v>
      </c>
      <c r="K1078" s="75">
        <v>11.12</v>
      </c>
      <c r="L1078" s="75">
        <v>17.440000000000001</v>
      </c>
      <c r="N1078" s="325">
        <f t="shared" si="222"/>
        <v>62.72</v>
      </c>
      <c r="O1078" s="27"/>
      <c r="P1078" s="56"/>
      <c r="Q1078" s="26"/>
      <c r="S1078" s="330">
        <v>19.739999999999998</v>
      </c>
      <c r="T1078" s="34">
        <v>0.65</v>
      </c>
      <c r="U1078" s="366">
        <f t="shared" si="217"/>
        <v>2.8260869565217391E-2</v>
      </c>
      <c r="V1078" s="97">
        <v>0.8</v>
      </c>
      <c r="W1078" s="36">
        <f>RTD("money.excel",,"3236","Price")</f>
        <v>23</v>
      </c>
      <c r="X1078" s="67"/>
      <c r="Y1078" s="15">
        <f t="shared" si="218"/>
        <v>23</v>
      </c>
      <c r="Z1078" s="3" t="e">
        <f t="shared" si="219"/>
        <v>#DIV/0!</v>
      </c>
      <c r="AA1078" s="174" t="s">
        <v>4710</v>
      </c>
      <c r="AB1078" s="16" t="s">
        <v>5893</v>
      </c>
      <c r="AE1078" s="33">
        <f t="shared" si="220"/>
        <v>0</v>
      </c>
      <c r="AF1078" s="43" t="s">
        <v>2896</v>
      </c>
      <c r="AG1078" s="128"/>
      <c r="AI1078" s="64">
        <f t="shared" si="221"/>
        <v>5.166846071044134E-4</v>
      </c>
      <c r="AJ1078" s="313">
        <f>RTD("money.excel",,$G1078,"PredictVolume")</f>
        <v>48</v>
      </c>
      <c r="AK1078" s="348"/>
    </row>
    <row r="1079" spans="1:37">
      <c r="A1079" s="148" t="s">
        <v>5894</v>
      </c>
      <c r="B1079" s="82">
        <v>-308</v>
      </c>
      <c r="C1079" s="82">
        <v>-628</v>
      </c>
      <c r="D1079" s="82">
        <v>-15</v>
      </c>
      <c r="E1079" s="93">
        <v>17</v>
      </c>
      <c r="F1079" s="6">
        <v>-30.91</v>
      </c>
      <c r="G1079" s="81">
        <v>3276</v>
      </c>
      <c r="H1079" s="8" t="s">
        <v>327</v>
      </c>
      <c r="I1079" s="16" t="s">
        <v>5895</v>
      </c>
      <c r="J1079" s="330">
        <v>70.44</v>
      </c>
      <c r="K1079" s="330">
        <v>0</v>
      </c>
      <c r="L1079" s="330"/>
      <c r="N1079" s="325">
        <f t="shared" si="222"/>
        <v>70.44</v>
      </c>
      <c r="O1079" s="27"/>
      <c r="P1079" s="56"/>
      <c r="Q1079" s="26"/>
      <c r="S1079" s="330">
        <v>45.25</v>
      </c>
      <c r="T1079" s="34">
        <v>0</v>
      </c>
      <c r="U1079" s="366">
        <f t="shared" si="217"/>
        <v>0</v>
      </c>
      <c r="V1079" s="58">
        <v>0.18</v>
      </c>
      <c r="W1079" s="36">
        <f>RTD("money.excel",,"3276","Price")</f>
        <v>16.45</v>
      </c>
      <c r="X1079" s="67"/>
      <c r="Y1079" s="15">
        <f t="shared" si="218"/>
        <v>16.45</v>
      </c>
      <c r="Z1079" s="3" t="e">
        <f t="shared" si="219"/>
        <v>#DIV/0!</v>
      </c>
      <c r="AB1079" s="16" t="s">
        <v>5895</v>
      </c>
      <c r="AE1079" s="33">
        <f t="shared" si="220"/>
        <v>0</v>
      </c>
      <c r="AF1079" s="43" t="s">
        <v>5896</v>
      </c>
      <c r="AG1079" s="128"/>
      <c r="AI1079" s="64">
        <f t="shared" si="221"/>
        <v>2.6972740315638452E-3</v>
      </c>
      <c r="AJ1079" s="313">
        <f>RTD("money.excel",,$G1079,"PredictVolume")</f>
        <v>188</v>
      </c>
      <c r="AK1079" s="348"/>
    </row>
    <row r="1080" spans="1:37">
      <c r="A1080" s="148" t="s">
        <v>5348</v>
      </c>
      <c r="B1080" s="93">
        <v>-356</v>
      </c>
      <c r="C1080" s="93">
        <v>-506</v>
      </c>
      <c r="D1080" s="93">
        <v>-10</v>
      </c>
      <c r="E1080" s="93">
        <v>-10</v>
      </c>
      <c r="F1080" s="6">
        <v>-18.27</v>
      </c>
      <c r="G1080" s="81">
        <v>3288</v>
      </c>
      <c r="H1080" s="8" t="s">
        <v>327</v>
      </c>
      <c r="I1080" s="16" t="s">
        <v>5897</v>
      </c>
      <c r="J1080" s="75">
        <v>64.17</v>
      </c>
      <c r="K1080" s="75">
        <v>1.56</v>
      </c>
      <c r="N1080" s="325">
        <f t="shared" ref="N1080:N1102" si="223">J1080+K1080+L1080+M1080</f>
        <v>65.73</v>
      </c>
      <c r="O1080" s="27"/>
      <c r="P1080" s="56"/>
      <c r="Q1080" s="26"/>
      <c r="S1080" s="330">
        <v>14.29</v>
      </c>
      <c r="T1080" s="34">
        <v>0</v>
      </c>
      <c r="U1080" s="366">
        <f t="shared" si="217"/>
        <v>0</v>
      </c>
      <c r="V1080" s="97">
        <v>-0.35</v>
      </c>
      <c r="W1080" s="13">
        <f>RTD("money.excel",,"3288","Price")</f>
        <v>15.95</v>
      </c>
      <c r="X1080" s="67"/>
      <c r="Y1080" s="15">
        <f t="shared" ref="Y1080:Y1143" si="224">W1080-X1080</f>
        <v>15.95</v>
      </c>
      <c r="Z1080" s="3" t="e">
        <f t="shared" ref="Z1080:Z1143" si="225">Y1080/X1080</f>
        <v>#DIV/0!</v>
      </c>
      <c r="AB1080" s="16" t="s">
        <v>5897</v>
      </c>
      <c r="AE1080" s="33">
        <f t="shared" ref="AE1080:AE1143" si="226">AD1080-AC1080</f>
        <v>0</v>
      </c>
      <c r="AF1080" s="43" t="s">
        <v>5898</v>
      </c>
      <c r="AG1080" s="128"/>
      <c r="AI1080" s="64">
        <f t="shared" si="221"/>
        <v>7.9295154185022026E-4</v>
      </c>
      <c r="AJ1080" s="313">
        <f>RTD("money.excel",,$G1080,"PredictVolume")</f>
        <v>18</v>
      </c>
      <c r="AK1080" s="348"/>
    </row>
    <row r="1081" spans="1:37">
      <c r="A1081" s="132" t="s">
        <v>5899</v>
      </c>
      <c r="B1081" s="93">
        <v>-13</v>
      </c>
      <c r="C1081" s="93">
        <v>-53</v>
      </c>
      <c r="D1081" s="93">
        <v>8</v>
      </c>
      <c r="E1081" s="93">
        <v>33</v>
      </c>
      <c r="F1081" s="6">
        <v>4.03</v>
      </c>
      <c r="G1081" s="81">
        <v>3290</v>
      </c>
      <c r="H1081" s="8" t="s">
        <v>327</v>
      </c>
      <c r="I1081" s="16" t="s">
        <v>5900</v>
      </c>
      <c r="J1081" s="75">
        <v>86.57</v>
      </c>
      <c r="K1081" s="75">
        <v>0.14000000000000001</v>
      </c>
      <c r="L1081" s="75">
        <v>0.36</v>
      </c>
      <c r="N1081" s="325">
        <f t="shared" si="223"/>
        <v>87.07</v>
      </c>
      <c r="O1081" s="27"/>
      <c r="P1081" s="56"/>
      <c r="Q1081" s="26"/>
      <c r="S1081" s="330">
        <v>48.17</v>
      </c>
      <c r="T1081" s="34">
        <v>0.2</v>
      </c>
      <c r="U1081" s="366">
        <f t="shared" si="217"/>
        <v>1.020408163265306E-2</v>
      </c>
      <c r="V1081" s="97">
        <v>0.61</v>
      </c>
      <c r="W1081" s="13">
        <f>RTD("money.excel",,"3290","Price")</f>
        <v>19.600000000000001</v>
      </c>
      <c r="X1081" s="67"/>
      <c r="Y1081" s="15">
        <f t="shared" si="224"/>
        <v>19.600000000000001</v>
      </c>
      <c r="Z1081" s="3" t="e">
        <f t="shared" si="225"/>
        <v>#DIV/0!</v>
      </c>
      <c r="AB1081" s="16" t="s">
        <v>5900</v>
      </c>
      <c r="AE1081" s="33">
        <f t="shared" si="226"/>
        <v>0</v>
      </c>
      <c r="AF1081" s="43" t="s">
        <v>2319</v>
      </c>
      <c r="AG1081" s="128"/>
      <c r="AI1081" s="64">
        <f t="shared" si="221"/>
        <v>4.9145728643216081E-3</v>
      </c>
      <c r="AJ1081" s="313">
        <f>RTD("money.excel",,$G1081,"PredictVolume")</f>
        <v>489</v>
      </c>
      <c r="AK1081" s="348"/>
    </row>
    <row r="1082" spans="1:37">
      <c r="A1082" s="148" t="s">
        <v>5901</v>
      </c>
      <c r="B1082" s="82">
        <v>-225</v>
      </c>
      <c r="C1082" s="81">
        <v>116</v>
      </c>
      <c r="D1082" s="82">
        <v>-19</v>
      </c>
      <c r="E1082" s="81">
        <v>232</v>
      </c>
      <c r="F1082" s="6">
        <v>2.62</v>
      </c>
      <c r="G1082" s="81">
        <v>3294</v>
      </c>
      <c r="H1082" s="8" t="s">
        <v>327</v>
      </c>
      <c r="I1082" s="16" t="s">
        <v>5902</v>
      </c>
      <c r="J1082" s="330">
        <v>65.03</v>
      </c>
      <c r="K1082" s="330">
        <v>7.55</v>
      </c>
      <c r="L1082" s="330">
        <v>24.68</v>
      </c>
      <c r="N1082" s="325">
        <f t="shared" si="223"/>
        <v>97.259999999999991</v>
      </c>
      <c r="O1082" s="27"/>
      <c r="P1082" s="56"/>
      <c r="Q1082" s="26"/>
      <c r="S1082" s="330">
        <v>0.04</v>
      </c>
      <c r="T1082" s="34">
        <v>0.5</v>
      </c>
      <c r="U1082" s="366">
        <f t="shared" ref="U1082:U1145" si="227">T1082/W1082</f>
        <v>2.3529411764705882E-2</v>
      </c>
      <c r="V1082" s="58">
        <v>0.65</v>
      </c>
      <c r="W1082" s="36">
        <f>RTD("money.excel",,"3294","Price")</f>
        <v>21.25</v>
      </c>
      <c r="X1082" s="67"/>
      <c r="Y1082" s="15">
        <f t="shared" si="224"/>
        <v>21.25</v>
      </c>
      <c r="Z1082" s="3" t="e">
        <f t="shared" si="225"/>
        <v>#DIV/0!</v>
      </c>
      <c r="AA1082" s="174" t="s">
        <v>4710</v>
      </c>
      <c r="AB1082" s="16" t="s">
        <v>5902</v>
      </c>
      <c r="AE1082" s="33">
        <f t="shared" si="226"/>
        <v>0</v>
      </c>
      <c r="AF1082" s="43" t="s">
        <v>5903</v>
      </c>
      <c r="AG1082" s="128"/>
      <c r="AI1082" s="64">
        <f t="shared" ref="AI1082:AI1145" si="228">AJ1082/(A1082*10000)</f>
        <v>3.3484848484848484E-3</v>
      </c>
      <c r="AJ1082" s="313">
        <f>RTD("money.excel",,$G1082,"PredictVolume")</f>
        <v>442</v>
      </c>
      <c r="AK1082" s="348"/>
    </row>
    <row r="1083" spans="1:37">
      <c r="A1083" s="148" t="s">
        <v>5904</v>
      </c>
      <c r="B1083" s="93">
        <v>-73</v>
      </c>
      <c r="C1083" s="93">
        <v>-68</v>
      </c>
      <c r="D1083" s="93">
        <v>-19</v>
      </c>
      <c r="E1083" s="93">
        <v>76</v>
      </c>
      <c r="F1083" s="6">
        <v>1.0900000000000001</v>
      </c>
      <c r="G1083" s="81">
        <v>3296</v>
      </c>
      <c r="H1083" s="8" t="s">
        <v>327</v>
      </c>
      <c r="I1083" s="22" t="s">
        <v>5905</v>
      </c>
      <c r="J1083" s="75">
        <v>68.95</v>
      </c>
      <c r="K1083" s="75">
        <v>2.13</v>
      </c>
      <c r="L1083" s="75">
        <v>29.91</v>
      </c>
      <c r="N1083" s="325">
        <f t="shared" si="223"/>
        <v>100.99</v>
      </c>
      <c r="O1083" s="27"/>
      <c r="P1083" s="56"/>
      <c r="Q1083" s="26"/>
      <c r="S1083" s="330">
        <v>18.920000000000002</v>
      </c>
      <c r="T1083" s="34">
        <v>0.23</v>
      </c>
      <c r="U1083" s="366">
        <f t="shared" si="227"/>
        <v>1.3813813813813816E-2</v>
      </c>
      <c r="V1083" s="97">
        <v>0.23</v>
      </c>
      <c r="W1083" s="13">
        <f>RTD("money.excel",,"3296","Price")</f>
        <v>16.649999999999999</v>
      </c>
      <c r="X1083" s="67"/>
      <c r="Y1083" s="15">
        <f t="shared" si="224"/>
        <v>16.649999999999999</v>
      </c>
      <c r="Z1083" s="3" t="e">
        <f t="shared" si="225"/>
        <v>#DIV/0!</v>
      </c>
      <c r="AA1083" s="174" t="s">
        <v>4710</v>
      </c>
      <c r="AB1083" s="22" t="s">
        <v>5905</v>
      </c>
      <c r="AE1083" s="33">
        <f t="shared" si="226"/>
        <v>0</v>
      </c>
      <c r="AF1083" s="43" t="s">
        <v>5906</v>
      </c>
      <c r="AG1083" s="128"/>
      <c r="AI1083" s="64">
        <f t="shared" si="228"/>
        <v>1.1375387797311271E-3</v>
      </c>
      <c r="AJ1083" s="313">
        <f>RTD("money.excel",,$G1083,"PredictVolume")</f>
        <v>110</v>
      </c>
      <c r="AK1083" s="348"/>
    </row>
    <row r="1084" spans="1:37">
      <c r="A1084" s="148" t="s">
        <v>5907</v>
      </c>
      <c r="B1084" s="81">
        <v>48</v>
      </c>
      <c r="C1084" s="81">
        <v>32</v>
      </c>
      <c r="D1084" s="82">
        <v>-34</v>
      </c>
      <c r="E1084" s="82">
        <v>-54</v>
      </c>
      <c r="F1084" s="6">
        <v>-18.809999999999999</v>
      </c>
      <c r="G1084" s="81">
        <v>3308</v>
      </c>
      <c r="H1084" s="8" t="s">
        <v>327</v>
      </c>
      <c r="I1084" s="22" t="s">
        <v>5908</v>
      </c>
      <c r="J1084" s="75">
        <v>78.260000000000005</v>
      </c>
      <c r="K1084" s="330">
        <v>0.14000000000000001</v>
      </c>
      <c r="N1084" s="325">
        <f t="shared" si="223"/>
        <v>78.400000000000006</v>
      </c>
      <c r="O1084" s="27"/>
      <c r="P1084" s="56"/>
      <c r="Q1084" s="26"/>
      <c r="S1084" s="330">
        <v>38.54</v>
      </c>
      <c r="T1084" s="34">
        <v>0</v>
      </c>
      <c r="U1084" s="366">
        <f t="shared" si="227"/>
        <v>0</v>
      </c>
      <c r="V1084" s="58">
        <v>-0.89</v>
      </c>
      <c r="W1084" s="36">
        <f>RTD("money.excel",,"3308","Price")</f>
        <v>14.8</v>
      </c>
      <c r="X1084" s="67"/>
      <c r="Y1084" s="15">
        <f t="shared" si="224"/>
        <v>14.8</v>
      </c>
      <c r="Z1084" s="3" t="e">
        <f t="shared" si="225"/>
        <v>#DIV/0!</v>
      </c>
      <c r="AA1084" s="174" t="s">
        <v>4477</v>
      </c>
      <c r="AB1084" s="22" t="s">
        <v>5909</v>
      </c>
      <c r="AE1084" s="33">
        <f t="shared" si="226"/>
        <v>0</v>
      </c>
      <c r="AF1084" s="43" t="s">
        <v>2893</v>
      </c>
      <c r="AG1084" s="128"/>
      <c r="AI1084" s="64">
        <f t="shared" si="228"/>
        <v>6.1866125760649089E-4</v>
      </c>
      <c r="AJ1084" s="313">
        <f>RTD("money.excel",,$G1084,"PredictVolume")</f>
        <v>61</v>
      </c>
      <c r="AK1084" s="348"/>
    </row>
    <row r="1085" spans="1:37">
      <c r="A1085" s="132" t="s">
        <v>1692</v>
      </c>
      <c r="B1085" s="93">
        <v>-111</v>
      </c>
      <c r="C1085" s="93">
        <v>-105</v>
      </c>
      <c r="D1085" s="93">
        <v>-12</v>
      </c>
      <c r="E1085" s="93">
        <v>-3</v>
      </c>
      <c r="F1085" s="58">
        <v>-3.34</v>
      </c>
      <c r="G1085" s="81">
        <v>3310</v>
      </c>
      <c r="H1085" s="8" t="s">
        <v>327</v>
      </c>
      <c r="I1085" s="16" t="s">
        <v>434</v>
      </c>
      <c r="J1085" s="75">
        <v>77.28</v>
      </c>
      <c r="K1085" s="75">
        <v>0.04</v>
      </c>
      <c r="L1085" s="75">
        <v>22.05</v>
      </c>
      <c r="N1085" s="325">
        <f t="shared" si="223"/>
        <v>99.37</v>
      </c>
      <c r="O1085" s="27"/>
      <c r="P1085" s="56"/>
      <c r="Q1085" s="26"/>
      <c r="S1085" s="330">
        <v>47.34</v>
      </c>
      <c r="T1085" s="34">
        <v>1.5</v>
      </c>
      <c r="U1085" s="366">
        <f t="shared" si="227"/>
        <v>3.5842293906810034E-2</v>
      </c>
      <c r="V1085" s="58">
        <v>0.78</v>
      </c>
      <c r="W1085" s="36">
        <f>RTD("money.excel",,"3310","Price")</f>
        <v>41.85</v>
      </c>
      <c r="X1085" s="67"/>
      <c r="Y1085" s="15">
        <f t="shared" si="224"/>
        <v>41.85</v>
      </c>
      <c r="Z1085" s="3" t="e">
        <f t="shared" si="225"/>
        <v>#DIV/0!</v>
      </c>
      <c r="AB1085" s="16" t="s">
        <v>434</v>
      </c>
      <c r="AE1085" s="33">
        <f t="shared" si="226"/>
        <v>0</v>
      </c>
      <c r="AF1085" s="43" t="s">
        <v>2666</v>
      </c>
      <c r="AG1085" s="128"/>
      <c r="AI1085" s="64">
        <f t="shared" si="228"/>
        <v>3.4462151394422315E-3</v>
      </c>
      <c r="AJ1085" s="313">
        <f>RTD("money.excel",,$G1085,"PredictVolume")</f>
        <v>173</v>
      </c>
      <c r="AK1085" s="348"/>
    </row>
    <row r="1086" spans="1:37">
      <c r="A1086" s="148" t="s">
        <v>3511</v>
      </c>
      <c r="B1086" s="93">
        <v>24</v>
      </c>
      <c r="C1086" s="93">
        <v>8</v>
      </c>
      <c r="D1086" s="93">
        <v>-97</v>
      </c>
      <c r="E1086" s="93">
        <v>-99</v>
      </c>
      <c r="F1086" s="6">
        <v>-24.16</v>
      </c>
      <c r="G1086" s="81">
        <v>3313</v>
      </c>
      <c r="H1086" s="8" t="s">
        <v>327</v>
      </c>
      <c r="I1086" s="16" t="s">
        <v>435</v>
      </c>
      <c r="J1086" s="75">
        <v>57.17</v>
      </c>
      <c r="K1086" s="75">
        <v>8.91</v>
      </c>
      <c r="L1086" s="75">
        <v>0</v>
      </c>
      <c r="N1086" s="325">
        <f t="shared" si="223"/>
        <v>66.08</v>
      </c>
      <c r="O1086" s="27"/>
      <c r="P1086" s="56"/>
      <c r="Q1086" s="26"/>
      <c r="S1086" s="330">
        <v>25.01</v>
      </c>
      <c r="T1086" s="34">
        <v>0</v>
      </c>
      <c r="U1086" s="366">
        <f t="shared" si="227"/>
        <v>0</v>
      </c>
      <c r="V1086" s="97">
        <v>-0.31</v>
      </c>
      <c r="W1086" s="13">
        <f>RTD("money.excel",,"3313","Price")</f>
        <v>11.35</v>
      </c>
      <c r="X1086" s="67"/>
      <c r="Y1086" s="15">
        <f t="shared" si="224"/>
        <v>11.35</v>
      </c>
      <c r="Z1086" s="3" t="e">
        <f t="shared" si="225"/>
        <v>#DIV/0!</v>
      </c>
      <c r="AB1086" s="16" t="s">
        <v>435</v>
      </c>
      <c r="AE1086" s="33">
        <f t="shared" si="226"/>
        <v>0</v>
      </c>
      <c r="AF1086" s="43" t="s">
        <v>2897</v>
      </c>
      <c r="AG1086" s="271"/>
      <c r="AI1086" s="64">
        <f t="shared" si="228"/>
        <v>4.251012145748987E-4</v>
      </c>
      <c r="AJ1086" s="313">
        <f>RTD("money.excel",,$G1086,"PredictVolume")</f>
        <v>42</v>
      </c>
      <c r="AK1086" s="348"/>
    </row>
    <row r="1087" spans="1:37">
      <c r="A1087" s="148" t="s">
        <v>2061</v>
      </c>
      <c r="B1087" s="81">
        <v>71</v>
      </c>
      <c r="C1087" s="81">
        <v>73</v>
      </c>
      <c r="D1087" s="81">
        <v>7</v>
      </c>
      <c r="E1087" s="81">
        <v>13</v>
      </c>
      <c r="F1087" s="6">
        <v>-5.4</v>
      </c>
      <c r="G1087" s="81">
        <v>3321</v>
      </c>
      <c r="H1087" s="8" t="s">
        <v>327</v>
      </c>
      <c r="I1087" s="22" t="s">
        <v>419</v>
      </c>
      <c r="J1087" s="330">
        <v>40.549999999999997</v>
      </c>
      <c r="K1087" s="330">
        <v>0.43</v>
      </c>
      <c r="L1087" s="330"/>
      <c r="N1087" s="325">
        <f t="shared" si="223"/>
        <v>40.98</v>
      </c>
      <c r="O1087" s="27"/>
      <c r="P1087" s="56"/>
      <c r="Q1087" s="26"/>
      <c r="T1087" s="34">
        <v>0</v>
      </c>
      <c r="U1087" s="366">
        <f t="shared" si="227"/>
        <v>0</v>
      </c>
      <c r="V1087" s="97">
        <v>-1.48</v>
      </c>
      <c r="W1087" s="36">
        <f>RTD("money.excel",,"3321","Price")</f>
        <v>12.5</v>
      </c>
      <c r="X1087" s="67"/>
      <c r="Y1087" s="15">
        <f t="shared" si="224"/>
        <v>12.5</v>
      </c>
      <c r="Z1087" s="3" t="e">
        <f t="shared" si="225"/>
        <v>#DIV/0!</v>
      </c>
      <c r="AA1087" s="174" t="s">
        <v>1943</v>
      </c>
      <c r="AB1087" s="22" t="s">
        <v>419</v>
      </c>
      <c r="AE1087" s="33">
        <f t="shared" si="226"/>
        <v>0</v>
      </c>
      <c r="AF1087" s="43" t="s">
        <v>2665</v>
      </c>
      <c r="AG1087" s="128"/>
      <c r="AI1087" s="64">
        <f t="shared" si="228"/>
        <v>6.2179487179487181E-4</v>
      </c>
      <c r="AJ1087" s="313">
        <f>RTD("money.excel",,$G1087,"PredictVolume")</f>
        <v>97</v>
      </c>
      <c r="AK1087" s="348"/>
    </row>
    <row r="1088" spans="1:37">
      <c r="A1088" s="148" t="s">
        <v>2489</v>
      </c>
      <c r="B1088" s="93">
        <v>71</v>
      </c>
      <c r="C1088" s="93">
        <v>111</v>
      </c>
      <c r="D1088" s="93">
        <v>-1</v>
      </c>
      <c r="E1088" s="93">
        <v>18</v>
      </c>
      <c r="F1088" s="6">
        <v>0.59</v>
      </c>
      <c r="G1088" s="81">
        <v>3322</v>
      </c>
      <c r="H1088" s="8" t="s">
        <v>327</v>
      </c>
      <c r="I1088" s="16" t="s">
        <v>436</v>
      </c>
      <c r="J1088" s="75">
        <v>51.76</v>
      </c>
      <c r="K1088" s="75">
        <v>0.03</v>
      </c>
      <c r="L1088" s="75">
        <v>9.52</v>
      </c>
      <c r="N1088" s="325">
        <f t="shared" si="223"/>
        <v>61.31</v>
      </c>
      <c r="O1088" s="27"/>
      <c r="P1088" s="56"/>
      <c r="Q1088" s="26"/>
      <c r="S1088" s="330">
        <v>0</v>
      </c>
      <c r="T1088" s="34">
        <v>0</v>
      </c>
      <c r="U1088" s="366">
        <f t="shared" si="227"/>
        <v>0</v>
      </c>
      <c r="V1088" s="97">
        <v>-0.41</v>
      </c>
      <c r="W1088" s="13">
        <f>RTD("money.excel",,"3322","Price")</f>
        <v>22.7</v>
      </c>
      <c r="X1088" s="67"/>
      <c r="Y1088" s="15">
        <f t="shared" si="224"/>
        <v>22.7</v>
      </c>
      <c r="Z1088" s="3" t="e">
        <f t="shared" si="225"/>
        <v>#DIV/0!</v>
      </c>
      <c r="AB1088" s="16" t="s">
        <v>436</v>
      </c>
      <c r="AE1088" s="33">
        <f t="shared" si="226"/>
        <v>0</v>
      </c>
      <c r="AF1088" s="43" t="s">
        <v>2817</v>
      </c>
      <c r="AG1088" s="128"/>
      <c r="AI1088" s="64">
        <f t="shared" si="228"/>
        <v>2.0263959390862944E-2</v>
      </c>
      <c r="AJ1088" s="313">
        <f>RTD("money.excel",,$G1088,"PredictVolume")</f>
        <v>1996</v>
      </c>
      <c r="AK1088" s="348"/>
    </row>
    <row r="1089" spans="1:37">
      <c r="A1089" s="132" t="s">
        <v>3512</v>
      </c>
      <c r="B1089" s="93">
        <v>19</v>
      </c>
      <c r="C1089" s="93">
        <v>-4</v>
      </c>
      <c r="D1089" s="93">
        <v>8</v>
      </c>
      <c r="E1089" s="93">
        <v>20</v>
      </c>
      <c r="F1089" s="58">
        <v>10.56</v>
      </c>
      <c r="G1089" s="81">
        <v>3332</v>
      </c>
      <c r="H1089" s="8" t="s">
        <v>327</v>
      </c>
      <c r="I1089" s="16" t="s">
        <v>5910</v>
      </c>
      <c r="J1089" s="75">
        <v>86.57</v>
      </c>
      <c r="K1089" s="75">
        <v>0.14000000000000001</v>
      </c>
      <c r="L1089" s="75">
        <v>0.36</v>
      </c>
      <c r="N1089" s="325">
        <f t="shared" si="223"/>
        <v>87.07</v>
      </c>
      <c r="O1089" s="27"/>
      <c r="P1089" s="56"/>
      <c r="Q1089" s="26"/>
      <c r="S1089" s="330">
        <v>48.17</v>
      </c>
      <c r="T1089" s="34">
        <v>1</v>
      </c>
      <c r="U1089" s="366">
        <f t="shared" si="227"/>
        <v>2.5000000000000001E-2</v>
      </c>
      <c r="V1089" s="97">
        <v>2.54</v>
      </c>
      <c r="W1089" s="13">
        <f>RTD("money.excel",,"3332","Price")</f>
        <v>40</v>
      </c>
      <c r="X1089" s="67"/>
      <c r="Y1089" s="15">
        <f t="shared" si="224"/>
        <v>40</v>
      </c>
      <c r="Z1089" s="3" t="e">
        <f t="shared" si="225"/>
        <v>#DIV/0!</v>
      </c>
      <c r="AB1089" s="16" t="s">
        <v>5910</v>
      </c>
      <c r="AE1089" s="33">
        <f t="shared" si="226"/>
        <v>0</v>
      </c>
      <c r="AF1089" s="43" t="s">
        <v>2893</v>
      </c>
      <c r="AG1089" s="128"/>
      <c r="AI1089" s="64">
        <f t="shared" si="228"/>
        <v>4.1580041580041586E-5</v>
      </c>
      <c r="AJ1089" s="313">
        <f>RTD("money.excel",,$G1089,"PredictVolume")</f>
        <v>2</v>
      </c>
      <c r="AK1089" s="348"/>
    </row>
    <row r="1090" spans="1:37">
      <c r="A1090" s="148" t="s">
        <v>6156</v>
      </c>
      <c r="B1090" s="82">
        <v>-38</v>
      </c>
      <c r="C1090" s="82">
        <v>-38</v>
      </c>
      <c r="D1090" s="81">
        <v>15</v>
      </c>
      <c r="E1090" s="81">
        <v>9</v>
      </c>
      <c r="F1090" s="6">
        <v>4.91</v>
      </c>
      <c r="G1090" s="81">
        <v>3338</v>
      </c>
      <c r="H1090" s="8" t="s">
        <v>327</v>
      </c>
      <c r="I1090" s="22" t="s">
        <v>1104</v>
      </c>
      <c r="J1090" s="330">
        <v>21.92</v>
      </c>
      <c r="K1090" s="75">
        <v>3.33</v>
      </c>
      <c r="L1090" s="330">
        <v>22.27</v>
      </c>
      <c r="M1090" s="330">
        <v>20.77</v>
      </c>
      <c r="N1090" s="325">
        <f t="shared" si="223"/>
        <v>68.289999999999992</v>
      </c>
      <c r="O1090" s="27" t="s">
        <v>6158</v>
      </c>
      <c r="P1090" s="56"/>
      <c r="Q1090" s="26"/>
      <c r="R1090" s="308" t="s">
        <v>6153</v>
      </c>
      <c r="S1090" s="330">
        <v>3.27</v>
      </c>
      <c r="T1090" s="34">
        <v>1.8</v>
      </c>
      <c r="U1090" s="366">
        <f t="shared" si="227"/>
        <v>3.3834586466165412E-2</v>
      </c>
      <c r="V1090" s="97">
        <v>1.76</v>
      </c>
      <c r="W1090" s="36">
        <f>RTD("money.excel",,"3338","Price")</f>
        <v>53.2</v>
      </c>
      <c r="X1090" s="67"/>
      <c r="Y1090" s="15">
        <f t="shared" si="224"/>
        <v>53.2</v>
      </c>
      <c r="Z1090" s="3" t="e">
        <f t="shared" si="225"/>
        <v>#DIV/0!</v>
      </c>
      <c r="AA1090" s="174" t="s">
        <v>1943</v>
      </c>
      <c r="AB1090" s="22" t="s">
        <v>1104</v>
      </c>
      <c r="AE1090" s="33">
        <f t="shared" si="226"/>
        <v>0</v>
      </c>
      <c r="AF1090" s="43" t="s">
        <v>3462</v>
      </c>
      <c r="AG1090" s="128"/>
      <c r="AI1090" s="64">
        <f t="shared" si="228"/>
        <v>3.9021615472127425E-3</v>
      </c>
      <c r="AJ1090" s="313">
        <f>RTD("money.excel",,$G1090,"PredictVolume")</f>
        <v>343</v>
      </c>
      <c r="AK1090" s="348">
        <v>21.93</v>
      </c>
    </row>
    <row r="1091" spans="1:37">
      <c r="A1091" s="148" t="s">
        <v>3513</v>
      </c>
      <c r="B1091" s="93">
        <v>-40</v>
      </c>
      <c r="C1091" s="93">
        <v>-38</v>
      </c>
      <c r="D1091" s="93">
        <v>1</v>
      </c>
      <c r="E1091" s="93">
        <v>6</v>
      </c>
      <c r="F1091" s="6">
        <v>-13.21</v>
      </c>
      <c r="G1091" s="81">
        <v>3354</v>
      </c>
      <c r="H1091" s="8" t="s">
        <v>327</v>
      </c>
      <c r="I1091" s="16" t="s">
        <v>5911</v>
      </c>
      <c r="J1091" s="75">
        <v>71.81</v>
      </c>
      <c r="K1091" s="75">
        <v>0.02</v>
      </c>
      <c r="L1091" s="75">
        <v>9.83</v>
      </c>
      <c r="N1091" s="325">
        <f t="shared" si="223"/>
        <v>81.66</v>
      </c>
      <c r="O1091" s="27"/>
      <c r="P1091" s="56"/>
      <c r="Q1091" s="26"/>
      <c r="S1091" s="330">
        <v>39.75</v>
      </c>
      <c r="T1091" s="34">
        <v>0.3</v>
      </c>
      <c r="U1091" s="366">
        <f t="shared" si="227"/>
        <v>1.9230769230769232E-2</v>
      </c>
      <c r="V1091" s="97">
        <v>-0.74</v>
      </c>
      <c r="W1091" s="13">
        <f>RTD("money.excel",,"3354","Price")</f>
        <v>15.6</v>
      </c>
      <c r="X1091" s="67"/>
      <c r="Y1091" s="15">
        <f t="shared" si="224"/>
        <v>15.6</v>
      </c>
      <c r="Z1091" s="3" t="e">
        <f t="shared" si="225"/>
        <v>#DIV/0!</v>
      </c>
      <c r="AB1091" s="16" t="s">
        <v>5911</v>
      </c>
      <c r="AE1091" s="33">
        <f t="shared" si="226"/>
        <v>0</v>
      </c>
      <c r="AF1091" s="43" t="s">
        <v>2898</v>
      </c>
      <c r="AG1091" s="128"/>
      <c r="AI1091" s="64">
        <f t="shared" si="228"/>
        <v>3.4807417974322395E-3</v>
      </c>
      <c r="AJ1091" s="313">
        <f>RTD("money.excel",,$G1091,"PredictVolume")</f>
        <v>244</v>
      </c>
      <c r="AK1091" s="348"/>
    </row>
    <row r="1092" spans="1:37">
      <c r="A1092" s="132" t="s">
        <v>1856</v>
      </c>
      <c r="B1092" s="81">
        <v>54</v>
      </c>
      <c r="C1092" s="81">
        <v>48</v>
      </c>
      <c r="D1092" s="81">
        <v>0</v>
      </c>
      <c r="E1092" s="81">
        <v>35</v>
      </c>
      <c r="F1092" s="58">
        <v>20.7</v>
      </c>
      <c r="G1092" s="81">
        <v>3357</v>
      </c>
      <c r="H1092" s="8" t="s">
        <v>327</v>
      </c>
      <c r="I1092" s="16" t="s">
        <v>3985</v>
      </c>
      <c r="J1092" s="75">
        <v>45.58</v>
      </c>
      <c r="K1092" s="75">
        <v>11.02</v>
      </c>
      <c r="L1092" s="330"/>
      <c r="N1092" s="325">
        <f t="shared" si="223"/>
        <v>56.599999999999994</v>
      </c>
      <c r="O1092" s="27"/>
      <c r="P1092" s="56"/>
      <c r="Q1092" s="26"/>
      <c r="T1092" s="67">
        <v>4.0999999999999996</v>
      </c>
      <c r="U1092" s="366">
        <f t="shared" si="227"/>
        <v>3.4599156118143459E-2</v>
      </c>
      <c r="V1092" s="97">
        <v>10.07</v>
      </c>
      <c r="W1092" s="36">
        <f>RTD("money.excel",,"3357","Price")</f>
        <v>118.5</v>
      </c>
      <c r="X1092" s="67"/>
      <c r="Y1092" s="15">
        <f t="shared" si="224"/>
        <v>118.5</v>
      </c>
      <c r="Z1092" s="3" t="e">
        <f t="shared" si="225"/>
        <v>#DIV/0!</v>
      </c>
      <c r="AA1092" s="174" t="s">
        <v>2185</v>
      </c>
      <c r="AB1092" s="16" t="s">
        <v>3985</v>
      </c>
      <c r="AE1092" s="33">
        <f t="shared" si="226"/>
        <v>0</v>
      </c>
      <c r="AF1092" s="43" t="s">
        <v>3986</v>
      </c>
      <c r="AG1092" s="128"/>
      <c r="AI1092" s="64">
        <f t="shared" si="228"/>
        <v>6.6019417475728158E-4</v>
      </c>
      <c r="AJ1092" s="313">
        <f>RTD("money.excel",,$G1092,"PredictVolume")</f>
        <v>68</v>
      </c>
      <c r="AK1092" s="348"/>
    </row>
    <row r="1093" spans="1:37">
      <c r="A1093" s="132" t="s">
        <v>2309</v>
      </c>
      <c r="B1093" s="82">
        <v>-25</v>
      </c>
      <c r="C1093" s="82">
        <v>-35</v>
      </c>
      <c r="D1093" s="81">
        <v>9</v>
      </c>
      <c r="E1093" s="82">
        <v>-21</v>
      </c>
      <c r="F1093" s="58">
        <v>13.23</v>
      </c>
      <c r="G1093" s="81">
        <v>3376</v>
      </c>
      <c r="H1093" s="8" t="s">
        <v>327</v>
      </c>
      <c r="I1093" s="22" t="s">
        <v>67</v>
      </c>
      <c r="J1093" s="330">
        <v>53.16</v>
      </c>
      <c r="K1093" s="75">
        <v>20.92</v>
      </c>
      <c r="L1093" s="330">
        <v>11.43</v>
      </c>
      <c r="N1093" s="325">
        <f t="shared" si="223"/>
        <v>85.509999999999991</v>
      </c>
      <c r="O1093" s="27"/>
      <c r="P1093" s="56"/>
      <c r="Q1093" s="26"/>
      <c r="S1093" s="330">
        <v>1.89</v>
      </c>
      <c r="T1093" s="67">
        <v>6.98</v>
      </c>
      <c r="U1093" s="366">
        <f t="shared" si="227"/>
        <v>8.2505910165484642E-2</v>
      </c>
      <c r="V1093" s="58">
        <v>7.24</v>
      </c>
      <c r="W1093" s="36">
        <f>RTD("money.excel",,"3376","Price")</f>
        <v>84.6</v>
      </c>
      <c r="X1093" s="67"/>
      <c r="Y1093" s="15">
        <f t="shared" si="224"/>
        <v>84.6</v>
      </c>
      <c r="Z1093" s="3" t="e">
        <f t="shared" si="225"/>
        <v>#DIV/0!</v>
      </c>
      <c r="AA1093" s="174" t="s">
        <v>2185</v>
      </c>
      <c r="AB1093" s="22" t="s">
        <v>67</v>
      </c>
      <c r="AE1093" s="33">
        <f t="shared" si="226"/>
        <v>0</v>
      </c>
      <c r="AF1093" s="122" t="s">
        <v>2926</v>
      </c>
      <c r="AG1093" s="128"/>
      <c r="AI1093" s="64">
        <f t="shared" si="228"/>
        <v>1.4479166666666666E-3</v>
      </c>
      <c r="AJ1093" s="313">
        <f>RTD("money.excel",,$G1093,"PredictVolume")</f>
        <v>278</v>
      </c>
      <c r="AK1093" s="348"/>
    </row>
    <row r="1094" spans="1:37">
      <c r="A1094" s="148" t="s">
        <v>1800</v>
      </c>
      <c r="B1094" s="81">
        <v>3</v>
      </c>
      <c r="C1094" s="82">
        <v>-4</v>
      </c>
      <c r="D1094" s="82">
        <v>-31</v>
      </c>
      <c r="E1094" s="81">
        <v>12</v>
      </c>
      <c r="F1094" s="6">
        <v>6.25</v>
      </c>
      <c r="G1094" s="81">
        <v>3388</v>
      </c>
      <c r="H1094" s="8" t="s">
        <v>327</v>
      </c>
      <c r="I1094" s="16" t="s">
        <v>5912</v>
      </c>
      <c r="J1094" s="330">
        <v>33.86</v>
      </c>
      <c r="K1094" s="330">
        <v>5.58</v>
      </c>
      <c r="L1094" s="330">
        <v>0.75</v>
      </c>
      <c r="N1094" s="325">
        <f t="shared" si="223"/>
        <v>40.19</v>
      </c>
      <c r="O1094" s="27"/>
      <c r="P1094" s="56"/>
      <c r="Q1094" s="26"/>
      <c r="S1094" s="330">
        <v>0</v>
      </c>
      <c r="T1094" s="67">
        <v>4.3</v>
      </c>
      <c r="U1094" s="366">
        <f t="shared" si="227"/>
        <v>4.9255441008018326E-2</v>
      </c>
      <c r="V1094" s="97">
        <v>5.32</v>
      </c>
      <c r="W1094" s="36">
        <f>RTD("money.excel",,"3388","Price")</f>
        <v>87.3</v>
      </c>
      <c r="X1094" s="67"/>
      <c r="Y1094" s="15">
        <f t="shared" si="224"/>
        <v>87.3</v>
      </c>
      <c r="Z1094" s="3" t="e">
        <f t="shared" si="225"/>
        <v>#DIV/0!</v>
      </c>
      <c r="AA1094" s="174" t="s">
        <v>2185</v>
      </c>
      <c r="AB1094" s="16" t="s">
        <v>5912</v>
      </c>
      <c r="AE1094" s="33">
        <f t="shared" si="226"/>
        <v>0</v>
      </c>
      <c r="AF1094" s="43" t="s">
        <v>1911</v>
      </c>
      <c r="AG1094" s="128"/>
      <c r="AI1094" s="64">
        <f t="shared" si="228"/>
        <v>1.727395411605938E-3</v>
      </c>
      <c r="AJ1094" s="313">
        <f>RTD("money.excel",,$G1094,"PredictVolume")</f>
        <v>128</v>
      </c>
      <c r="AK1094" s="348"/>
    </row>
    <row r="1095" spans="1:37">
      <c r="A1095" s="148" t="s">
        <v>2030</v>
      </c>
      <c r="B1095" s="81">
        <v>134</v>
      </c>
      <c r="C1095" s="81">
        <v>156</v>
      </c>
      <c r="D1095" s="81">
        <v>1</v>
      </c>
      <c r="E1095" s="81">
        <v>5</v>
      </c>
      <c r="F1095" s="6">
        <v>6.96</v>
      </c>
      <c r="G1095" s="81">
        <v>3390</v>
      </c>
      <c r="H1095" s="8" t="s">
        <v>327</v>
      </c>
      <c r="I1095" s="16" t="s">
        <v>5913</v>
      </c>
      <c r="J1095" s="75">
        <v>25.35</v>
      </c>
      <c r="K1095" s="75">
        <v>0.67</v>
      </c>
      <c r="L1095" s="75">
        <v>19.309999999999999</v>
      </c>
      <c r="M1095" s="325">
        <v>19.670000000000002</v>
      </c>
      <c r="N1095" s="325">
        <f t="shared" si="223"/>
        <v>65</v>
      </c>
      <c r="O1095" s="27"/>
      <c r="P1095" s="56"/>
      <c r="Q1095" s="26"/>
      <c r="R1095" s="308" t="s">
        <v>4372</v>
      </c>
      <c r="S1095" s="330">
        <v>0.22</v>
      </c>
      <c r="T1095" s="34">
        <v>0.2</v>
      </c>
      <c r="U1095" s="366">
        <f t="shared" si="227"/>
        <v>1.0443864229765015E-2</v>
      </c>
      <c r="V1095" s="97">
        <v>-0.1</v>
      </c>
      <c r="W1095" s="36">
        <f>RTD("money.excel",,"3390","Price")</f>
        <v>19.149999999999999</v>
      </c>
      <c r="X1095" s="67"/>
      <c r="Y1095" s="15">
        <f t="shared" si="224"/>
        <v>19.149999999999999</v>
      </c>
      <c r="Z1095" s="3" t="e">
        <f t="shared" si="225"/>
        <v>#DIV/0!</v>
      </c>
      <c r="AB1095" s="16" t="s">
        <v>5913</v>
      </c>
      <c r="AE1095" s="33">
        <f t="shared" si="226"/>
        <v>0</v>
      </c>
      <c r="AF1095" s="43" t="s">
        <v>2921</v>
      </c>
      <c r="AG1095" s="128"/>
      <c r="AI1095" s="64">
        <f t="shared" si="228"/>
        <v>1.837037037037037E-3</v>
      </c>
      <c r="AJ1095" s="313">
        <f>RTD("money.excel",,$G1095,"PredictVolume")</f>
        <v>124</v>
      </c>
      <c r="AK1095" s="348"/>
    </row>
    <row r="1096" spans="1:37">
      <c r="A1096" s="148" t="s">
        <v>2266</v>
      </c>
      <c r="B1096" s="93">
        <v>-40</v>
      </c>
      <c r="C1096" s="93">
        <v>-27</v>
      </c>
      <c r="D1096" s="93">
        <v>37</v>
      </c>
      <c r="E1096" s="93">
        <v>26</v>
      </c>
      <c r="F1096" s="6">
        <v>-71.66</v>
      </c>
      <c r="G1096" s="81">
        <v>3432</v>
      </c>
      <c r="H1096" s="8" t="s">
        <v>327</v>
      </c>
      <c r="I1096" s="22" t="s">
        <v>420</v>
      </c>
      <c r="J1096" s="75">
        <v>67.209999999999994</v>
      </c>
      <c r="K1096" s="75">
        <v>4.12</v>
      </c>
      <c r="L1096" s="75">
        <v>16.510000000000002</v>
      </c>
      <c r="N1096" s="325">
        <f t="shared" si="223"/>
        <v>87.84</v>
      </c>
      <c r="O1096" s="27"/>
      <c r="P1096" s="56"/>
      <c r="Q1096" s="26"/>
      <c r="S1096" s="330">
        <v>27.24</v>
      </c>
      <c r="T1096" s="34">
        <v>0.25</v>
      </c>
      <c r="U1096" s="366">
        <f t="shared" si="227"/>
        <v>1.7921146953405021E-2</v>
      </c>
      <c r="V1096" s="97">
        <v>0.49</v>
      </c>
      <c r="W1096" s="13">
        <f>RTD("money.excel",,"3432","Price")</f>
        <v>13.95</v>
      </c>
      <c r="X1096" s="67"/>
      <c r="Y1096" s="15">
        <f t="shared" si="224"/>
        <v>13.95</v>
      </c>
      <c r="Z1096" s="3" t="e">
        <f t="shared" si="225"/>
        <v>#DIV/0!</v>
      </c>
      <c r="AB1096" s="22" t="s">
        <v>420</v>
      </c>
      <c r="AE1096" s="33">
        <f t="shared" si="226"/>
        <v>0</v>
      </c>
      <c r="AF1096" s="43" t="s">
        <v>2214</v>
      </c>
      <c r="AG1096" s="269"/>
      <c r="AI1096" s="64">
        <f t="shared" si="228"/>
        <v>9.6096096096096094E-4</v>
      </c>
      <c r="AJ1096" s="313">
        <f>RTD("money.excel",,$G1096,"PredictVolume")</f>
        <v>64</v>
      </c>
      <c r="AK1096" s="348"/>
    </row>
    <row r="1097" spans="1:37">
      <c r="A1097" s="132" t="s">
        <v>3515</v>
      </c>
      <c r="B1097" s="95">
        <v>1577</v>
      </c>
      <c r="C1097" s="95">
        <v>2075</v>
      </c>
      <c r="D1097" s="82">
        <v>-1</v>
      </c>
      <c r="E1097" s="81">
        <v>276</v>
      </c>
      <c r="F1097" s="58">
        <v>22.35</v>
      </c>
      <c r="G1097" s="81">
        <v>3465</v>
      </c>
      <c r="H1097" s="8" t="s">
        <v>327</v>
      </c>
      <c r="I1097" s="16" t="s">
        <v>3514</v>
      </c>
      <c r="J1097" s="330">
        <v>74.77</v>
      </c>
      <c r="K1097" s="75">
        <v>23.98</v>
      </c>
      <c r="L1097" s="330"/>
      <c r="N1097" s="325">
        <f t="shared" si="223"/>
        <v>98.75</v>
      </c>
      <c r="O1097" s="27"/>
      <c r="P1097" s="56"/>
      <c r="Q1097" s="26"/>
      <c r="T1097" s="67">
        <v>4</v>
      </c>
      <c r="U1097" s="366">
        <f t="shared" si="227"/>
        <v>2.5316455696202531E-2</v>
      </c>
      <c r="V1097" s="58">
        <v>11.22</v>
      </c>
      <c r="W1097" s="36">
        <f>RTD("money.excel",,"3465","Price")</f>
        <v>158</v>
      </c>
      <c r="X1097" s="67"/>
      <c r="Y1097" s="15">
        <f t="shared" si="224"/>
        <v>158</v>
      </c>
      <c r="Z1097" s="3" t="e">
        <f t="shared" si="225"/>
        <v>#DIV/0!</v>
      </c>
      <c r="AA1097" s="174" t="s">
        <v>1986</v>
      </c>
      <c r="AB1097" s="16" t="s">
        <v>3514</v>
      </c>
      <c r="AE1097" s="33">
        <f t="shared" si="226"/>
        <v>0</v>
      </c>
      <c r="AF1097" s="43" t="s">
        <v>2922</v>
      </c>
      <c r="AG1097" s="128"/>
      <c r="AI1097" s="64">
        <f t="shared" si="228"/>
        <v>3.1055900621118008E-4</v>
      </c>
      <c r="AJ1097" s="313">
        <f>RTD("money.excel",,$G1097,"PredictVolume")</f>
        <v>10</v>
      </c>
      <c r="AK1097" s="348"/>
    </row>
    <row r="1098" spans="1:37">
      <c r="A1098" s="148" t="s">
        <v>1962</v>
      </c>
      <c r="B1098" s="81">
        <v>97</v>
      </c>
      <c r="C1098" s="81">
        <v>83</v>
      </c>
      <c r="D1098" s="81">
        <v>5</v>
      </c>
      <c r="E1098" s="81">
        <v>85</v>
      </c>
      <c r="F1098" s="6">
        <v>7.73</v>
      </c>
      <c r="G1098" s="81">
        <v>3484</v>
      </c>
      <c r="H1098" s="8" t="s">
        <v>327</v>
      </c>
      <c r="I1098" s="16" t="s">
        <v>437</v>
      </c>
      <c r="J1098" s="330">
        <v>21.4</v>
      </c>
      <c r="K1098" s="330">
        <v>6.96</v>
      </c>
      <c r="L1098" s="75">
        <v>54.91</v>
      </c>
      <c r="N1098" s="325">
        <f t="shared" si="223"/>
        <v>83.27</v>
      </c>
      <c r="O1098" s="27"/>
      <c r="P1098" s="56"/>
      <c r="Q1098" s="26"/>
      <c r="S1098" s="330">
        <v>1.7</v>
      </c>
      <c r="T1098" s="67">
        <v>3.2</v>
      </c>
      <c r="U1098" s="366">
        <f t="shared" si="227"/>
        <v>4.3419267299864318E-2</v>
      </c>
      <c r="V1098" s="97">
        <v>5.2</v>
      </c>
      <c r="W1098" s="36">
        <f>RTD("money.excel",,"3484","Price")</f>
        <v>73.7</v>
      </c>
      <c r="X1098" s="67"/>
      <c r="Y1098" s="15">
        <f t="shared" si="224"/>
        <v>73.7</v>
      </c>
      <c r="Z1098" s="3" t="e">
        <f t="shared" si="225"/>
        <v>#DIV/0!</v>
      </c>
      <c r="AA1098" s="174" t="s">
        <v>2185</v>
      </c>
      <c r="AB1098" s="16" t="s">
        <v>437</v>
      </c>
      <c r="AE1098" s="33">
        <f t="shared" si="226"/>
        <v>0</v>
      </c>
      <c r="AF1098" s="43" t="s">
        <v>3419</v>
      </c>
      <c r="AG1098" s="128"/>
      <c r="AI1098" s="64">
        <f t="shared" si="228"/>
        <v>8.5652797704447638E-3</v>
      </c>
      <c r="AJ1098" s="313">
        <f>RTD("money.excel",,$G1098,"PredictVolume")</f>
        <v>597</v>
      </c>
      <c r="AK1098" s="348"/>
    </row>
    <row r="1099" spans="1:37">
      <c r="A1099" s="148" t="s">
        <v>2550</v>
      </c>
      <c r="B1099" s="93">
        <v>-70</v>
      </c>
      <c r="C1099" s="93">
        <v>-59</v>
      </c>
      <c r="D1099" s="93">
        <v>16</v>
      </c>
      <c r="E1099" s="93">
        <v>20</v>
      </c>
      <c r="F1099" s="6">
        <v>6.27</v>
      </c>
      <c r="G1099" s="81">
        <v>3492</v>
      </c>
      <c r="H1099" s="8" t="s">
        <v>327</v>
      </c>
      <c r="I1099" s="16" t="s">
        <v>438</v>
      </c>
      <c r="J1099" s="75">
        <v>53.21</v>
      </c>
      <c r="K1099" s="75">
        <v>0.14000000000000001</v>
      </c>
      <c r="L1099" s="75">
        <v>12.17</v>
      </c>
      <c r="N1099" s="325">
        <f t="shared" si="223"/>
        <v>65.52</v>
      </c>
      <c r="O1099" s="27"/>
      <c r="P1099" s="56"/>
      <c r="Q1099" s="26"/>
      <c r="S1099" s="330">
        <v>40.67</v>
      </c>
      <c r="T1099" s="34">
        <v>0.8</v>
      </c>
      <c r="U1099" s="366">
        <f t="shared" si="227"/>
        <v>4.3126684636118601E-2</v>
      </c>
      <c r="V1099" s="97">
        <v>0.42</v>
      </c>
      <c r="W1099" s="13">
        <f>RTD("money.excel",,"3492","Price")</f>
        <v>18.55</v>
      </c>
      <c r="X1099" s="67"/>
      <c r="Y1099" s="15">
        <f t="shared" si="224"/>
        <v>18.55</v>
      </c>
      <c r="Z1099" s="3" t="e">
        <f t="shared" si="225"/>
        <v>#DIV/0!</v>
      </c>
      <c r="AB1099" s="16" t="s">
        <v>438</v>
      </c>
      <c r="AE1099" s="33">
        <f t="shared" si="226"/>
        <v>0</v>
      </c>
      <c r="AF1099" s="43" t="s">
        <v>2214</v>
      </c>
      <c r="AG1099" s="128"/>
      <c r="AI1099" s="64">
        <f t="shared" si="228"/>
        <v>9.2957746478873236E-4</v>
      </c>
      <c r="AJ1099" s="313">
        <f>RTD("money.excel",,$G1099,"PredictVolume")</f>
        <v>33</v>
      </c>
      <c r="AK1099" s="348"/>
    </row>
    <row r="1100" spans="1:37">
      <c r="A1100" s="132" t="s">
        <v>1807</v>
      </c>
      <c r="B1100" s="93">
        <v>-22</v>
      </c>
      <c r="C1100" s="93">
        <v>-22</v>
      </c>
      <c r="D1100" s="93">
        <v>-10</v>
      </c>
      <c r="E1100" s="93">
        <v>-29</v>
      </c>
      <c r="F1100" s="58">
        <v>12.19</v>
      </c>
      <c r="G1100" s="81">
        <v>3501</v>
      </c>
      <c r="H1100" s="8" t="s">
        <v>327</v>
      </c>
      <c r="I1100" s="22" t="s">
        <v>5914</v>
      </c>
      <c r="J1100" s="75">
        <v>52.67</v>
      </c>
      <c r="K1100" s="75">
        <v>3.67</v>
      </c>
      <c r="L1100" s="75">
        <v>2.78</v>
      </c>
      <c r="N1100" s="325">
        <f t="shared" si="223"/>
        <v>59.120000000000005</v>
      </c>
      <c r="O1100" s="27"/>
      <c r="P1100" s="56"/>
      <c r="Q1100" s="26"/>
      <c r="S1100" s="330">
        <v>28.36</v>
      </c>
      <c r="T1100" s="34">
        <v>2.5</v>
      </c>
      <c r="U1100" s="366">
        <f t="shared" si="227"/>
        <v>5.3304904051172712E-2</v>
      </c>
      <c r="V1100" s="97">
        <v>3.59</v>
      </c>
      <c r="W1100" s="36">
        <f>RTD("money.excel",,"3501","Price")</f>
        <v>46.9</v>
      </c>
      <c r="X1100" s="67"/>
      <c r="Y1100" s="15">
        <f t="shared" si="224"/>
        <v>46.9</v>
      </c>
      <c r="Z1100" s="3" t="e">
        <f t="shared" si="225"/>
        <v>#DIV/0!</v>
      </c>
      <c r="AB1100" s="22" t="s">
        <v>5914</v>
      </c>
      <c r="AE1100" s="33">
        <f t="shared" si="226"/>
        <v>0</v>
      </c>
      <c r="AF1100" s="124" t="s">
        <v>1925</v>
      </c>
      <c r="AG1100" s="128"/>
      <c r="AI1100" s="64">
        <f t="shared" si="228"/>
        <v>2.3728813559322035E-4</v>
      </c>
      <c r="AJ1100" s="313">
        <f>RTD("money.excel",,$G1100,"PredictVolume")</f>
        <v>28</v>
      </c>
      <c r="AK1100" s="348"/>
    </row>
    <row r="1101" spans="1:37">
      <c r="A1101" s="148" t="s">
        <v>2616</v>
      </c>
      <c r="B1101" s="81">
        <v>56</v>
      </c>
      <c r="C1101" s="81">
        <v>89</v>
      </c>
      <c r="D1101" s="81">
        <v>11</v>
      </c>
      <c r="E1101" s="81">
        <v>192</v>
      </c>
      <c r="F1101" s="6">
        <v>5.95</v>
      </c>
      <c r="G1101" s="81">
        <v>3511</v>
      </c>
      <c r="H1101" s="8" t="s">
        <v>327</v>
      </c>
      <c r="I1101" s="16" t="s">
        <v>5915</v>
      </c>
      <c r="J1101" s="330">
        <v>53.52</v>
      </c>
      <c r="K1101" s="330">
        <v>0.85</v>
      </c>
      <c r="L1101" s="75">
        <v>47.31</v>
      </c>
      <c r="M1101" s="75">
        <v>37.51</v>
      </c>
      <c r="N1101" s="75">
        <f t="shared" si="223"/>
        <v>139.19</v>
      </c>
      <c r="O1101" s="27"/>
      <c r="P1101" s="56"/>
      <c r="Q1101" s="26"/>
      <c r="R1101" s="308" t="s">
        <v>4372</v>
      </c>
      <c r="S1101" s="330">
        <v>1.62</v>
      </c>
      <c r="T1101" s="34">
        <v>0.5</v>
      </c>
      <c r="U1101" s="366">
        <f t="shared" si="227"/>
        <v>1.3550135501355014E-2</v>
      </c>
      <c r="V1101" s="58">
        <v>1.25</v>
      </c>
      <c r="W1101" s="36">
        <f>RTD("money.excel",,"3511","Price")</f>
        <v>36.9</v>
      </c>
      <c r="X1101" s="67"/>
      <c r="Y1101" s="15">
        <f t="shared" si="224"/>
        <v>36.9</v>
      </c>
      <c r="Z1101" s="3" t="e">
        <f t="shared" si="225"/>
        <v>#DIV/0!</v>
      </c>
      <c r="AB1101" s="16" t="s">
        <v>5915</v>
      </c>
      <c r="AE1101" s="33">
        <f t="shared" si="226"/>
        <v>0</v>
      </c>
      <c r="AF1101" s="43" t="s">
        <v>2214</v>
      </c>
      <c r="AG1101" s="128"/>
      <c r="AI1101" s="64">
        <f t="shared" si="228"/>
        <v>1.7125E-3</v>
      </c>
      <c r="AJ1101" s="313">
        <f>RTD("money.excel",,$G1101,"PredictVolume")</f>
        <v>137</v>
      </c>
      <c r="AK1101" s="348"/>
    </row>
    <row r="1102" spans="1:37">
      <c r="A1102" s="148" t="s">
        <v>2659</v>
      </c>
      <c r="B1102" s="82">
        <v>789</v>
      </c>
      <c r="C1102" s="82">
        <v>980</v>
      </c>
      <c r="D1102" s="82">
        <v>-70</v>
      </c>
      <c r="E1102" s="82">
        <v>-67</v>
      </c>
      <c r="F1102" s="6">
        <v>8.42</v>
      </c>
      <c r="G1102" s="81">
        <v>3512</v>
      </c>
      <c r="H1102" s="8" t="s">
        <v>327</v>
      </c>
      <c r="I1102" s="16" t="s">
        <v>1132</v>
      </c>
      <c r="J1102" s="75">
        <v>71.28</v>
      </c>
      <c r="K1102" s="75">
        <v>0.34</v>
      </c>
      <c r="L1102" s="75">
        <v>20.88</v>
      </c>
      <c r="N1102" s="325">
        <f t="shared" si="223"/>
        <v>92.5</v>
      </c>
      <c r="O1102" s="27"/>
      <c r="P1102" s="56"/>
      <c r="Q1102" s="26"/>
      <c r="S1102" s="330">
        <v>0.02</v>
      </c>
      <c r="T1102" s="34">
        <v>2</v>
      </c>
      <c r="U1102" s="366">
        <f t="shared" si="227"/>
        <v>6.1349693251533742E-2</v>
      </c>
      <c r="V1102" s="58">
        <v>2.69</v>
      </c>
      <c r="W1102" s="36">
        <f>RTD("money.excel",,"3512","Price")</f>
        <v>32.6</v>
      </c>
      <c r="X1102" s="67"/>
      <c r="Y1102" s="15">
        <f t="shared" si="224"/>
        <v>32.6</v>
      </c>
      <c r="Z1102" s="3" t="e">
        <f t="shared" si="225"/>
        <v>#DIV/0!</v>
      </c>
      <c r="AB1102" s="16" t="s">
        <v>1132</v>
      </c>
      <c r="AE1102" s="33">
        <f t="shared" si="226"/>
        <v>0</v>
      </c>
      <c r="AF1102" s="43" t="s">
        <v>2923</v>
      </c>
      <c r="AG1102" s="128"/>
      <c r="AI1102" s="64">
        <f t="shared" si="228"/>
        <v>5.0000000000000001E-4</v>
      </c>
      <c r="AJ1102" s="313">
        <f>RTD("money.excel",,$G1102,"PredictVolume")</f>
        <v>42</v>
      </c>
      <c r="AK1102" s="348"/>
    </row>
    <row r="1103" spans="1:37">
      <c r="A1103" s="148" t="s">
        <v>4376</v>
      </c>
      <c r="B1103" s="82">
        <v>-101</v>
      </c>
      <c r="C1103" s="82">
        <v>-76</v>
      </c>
      <c r="D1103" s="81">
        <v>28</v>
      </c>
      <c r="E1103" s="82">
        <v>-1</v>
      </c>
      <c r="F1103" s="6">
        <v>0.55000000000000004</v>
      </c>
      <c r="G1103" s="81">
        <v>3520</v>
      </c>
      <c r="H1103" s="8" t="s">
        <v>327</v>
      </c>
      <c r="I1103" s="16" t="s">
        <v>3517</v>
      </c>
      <c r="J1103" s="330">
        <v>35.700000000000003</v>
      </c>
      <c r="K1103" s="330">
        <v>0.05</v>
      </c>
      <c r="L1103" s="330"/>
      <c r="M1103" s="75">
        <v>34.26</v>
      </c>
      <c r="N1103" s="325">
        <f>K1103+J1103+L1103+M1103</f>
        <v>70.009999999999991</v>
      </c>
      <c r="O1103" s="27"/>
      <c r="P1103" s="56"/>
      <c r="Q1103" s="26"/>
      <c r="T1103" s="34">
        <v>0</v>
      </c>
      <c r="U1103" s="366">
        <f t="shared" si="227"/>
        <v>0</v>
      </c>
      <c r="V1103" s="97">
        <v>-0.08</v>
      </c>
      <c r="W1103" s="36">
        <f>RTD("money.excel",,"3520","Price")</f>
        <v>15.45</v>
      </c>
      <c r="X1103" s="67"/>
      <c r="Y1103" s="15">
        <f t="shared" si="224"/>
        <v>15.45</v>
      </c>
      <c r="Z1103" s="3" t="e">
        <f t="shared" si="225"/>
        <v>#DIV/0!</v>
      </c>
      <c r="AB1103" s="16" t="s">
        <v>3517</v>
      </c>
      <c r="AE1103" s="33">
        <f t="shared" si="226"/>
        <v>0</v>
      </c>
      <c r="AF1103" s="43" t="s">
        <v>2924</v>
      </c>
      <c r="AG1103" s="269"/>
      <c r="AI1103" s="64">
        <f t="shared" si="228"/>
        <v>1.9767441860465114E-3</v>
      </c>
      <c r="AJ1103" s="313">
        <f>RTD("money.excel",,$G1103,"PredictVolume")</f>
        <v>136</v>
      </c>
      <c r="AK1103" s="348"/>
    </row>
    <row r="1104" spans="1:37">
      <c r="A1104" s="132" t="s">
        <v>2571</v>
      </c>
      <c r="B1104" s="81">
        <v>18</v>
      </c>
      <c r="C1104" s="81">
        <v>10</v>
      </c>
      <c r="D1104" s="82">
        <v>-3</v>
      </c>
      <c r="E1104" s="81">
        <v>10</v>
      </c>
      <c r="F1104" s="58">
        <v>26.73</v>
      </c>
      <c r="G1104" s="81">
        <v>3526</v>
      </c>
      <c r="H1104" s="8" t="s">
        <v>327</v>
      </c>
      <c r="I1104" s="16" t="s">
        <v>168</v>
      </c>
      <c r="J1104" s="75">
        <v>35.17</v>
      </c>
      <c r="K1104" s="330">
        <v>13.79</v>
      </c>
      <c r="L1104" s="75">
        <v>19.98</v>
      </c>
      <c r="M1104" s="330">
        <v>28.98</v>
      </c>
      <c r="N1104" s="325">
        <f t="shared" ref="N1104" si="229">J1104+K1104+L1104+M1104</f>
        <v>97.92</v>
      </c>
      <c r="O1104" s="27"/>
      <c r="P1104" s="56"/>
      <c r="Q1104" s="26"/>
      <c r="R1104" s="309" t="s">
        <v>6253</v>
      </c>
      <c r="S1104" s="330">
        <v>2.91</v>
      </c>
      <c r="T1104" s="67">
        <v>9.1300000000000008</v>
      </c>
      <c r="U1104" s="366">
        <f t="shared" si="227"/>
        <v>4.6820512820512826E-2</v>
      </c>
      <c r="V1104" s="97">
        <v>9.74</v>
      </c>
      <c r="W1104" s="36">
        <f>RTD("money.excel",,"3526","Price")</f>
        <v>195</v>
      </c>
      <c r="X1104" s="67"/>
      <c r="Y1104" s="15">
        <f t="shared" si="224"/>
        <v>195</v>
      </c>
      <c r="Z1104" s="3" t="e">
        <f t="shared" si="225"/>
        <v>#DIV/0!</v>
      </c>
      <c r="AA1104" s="174" t="s">
        <v>2185</v>
      </c>
      <c r="AB1104" s="16" t="s">
        <v>168</v>
      </c>
      <c r="AE1104" s="33">
        <f t="shared" si="226"/>
        <v>0</v>
      </c>
      <c r="AF1104" s="122" t="s">
        <v>2214</v>
      </c>
      <c r="AI1104" s="64">
        <f t="shared" si="228"/>
        <v>1.829059829059829E-2</v>
      </c>
      <c r="AJ1104" s="313">
        <f>RTD("money.excel",,$G1104,"PredictVolume")</f>
        <v>1070</v>
      </c>
      <c r="AK1104" s="353">
        <v>19.170000000000002</v>
      </c>
    </row>
    <row r="1105" spans="1:37">
      <c r="A1105" s="132" t="s">
        <v>1927</v>
      </c>
      <c r="B1105" s="81">
        <v>11</v>
      </c>
      <c r="C1105" s="81">
        <v>17</v>
      </c>
      <c r="D1105" s="81">
        <v>10</v>
      </c>
      <c r="E1105" s="81">
        <v>20</v>
      </c>
      <c r="F1105" s="58">
        <v>20.74</v>
      </c>
      <c r="G1105" s="81">
        <v>3533</v>
      </c>
      <c r="H1105" s="8" t="s">
        <v>327</v>
      </c>
      <c r="I1105" s="22" t="s">
        <v>5916</v>
      </c>
      <c r="J1105" s="330">
        <v>57.29</v>
      </c>
      <c r="K1105" s="330">
        <v>40.090000000000003</v>
      </c>
      <c r="L1105" s="75">
        <v>2.67</v>
      </c>
      <c r="N1105" s="325">
        <f t="shared" ref="N1105:N1167" si="230">J1105+K1105+L1105+M1105</f>
        <v>100.05</v>
      </c>
      <c r="O1105" s="27"/>
      <c r="P1105" s="56"/>
      <c r="Q1105" s="26"/>
      <c r="S1105" s="330">
        <v>10.039999999999999</v>
      </c>
      <c r="T1105" s="67">
        <v>13.3</v>
      </c>
      <c r="U1105" s="366">
        <f t="shared" si="227"/>
        <v>1.9850746268656717E-2</v>
      </c>
      <c r="V1105" s="58">
        <v>28.63</v>
      </c>
      <c r="W1105" s="36">
        <f>RTD("money.excel",,"3533","Price")</f>
        <v>670</v>
      </c>
      <c r="X1105" s="67"/>
      <c r="Y1105" s="15">
        <f t="shared" si="224"/>
        <v>670</v>
      </c>
      <c r="Z1105" s="3" t="e">
        <f t="shared" si="225"/>
        <v>#DIV/0!</v>
      </c>
      <c r="AA1105" s="174" t="s">
        <v>2185</v>
      </c>
      <c r="AB1105" s="22" t="s">
        <v>5916</v>
      </c>
      <c r="AE1105" s="33">
        <f t="shared" si="226"/>
        <v>0</v>
      </c>
      <c r="AF1105" s="122" t="s">
        <v>3109</v>
      </c>
      <c r="AG1105" s="128"/>
      <c r="AI1105" s="64">
        <f t="shared" si="228"/>
        <v>4.528301886792453E-3</v>
      </c>
      <c r="AJ1105" s="313">
        <f>RTD("money.excel",,$G1105,"PredictVolume")</f>
        <v>480</v>
      </c>
      <c r="AK1105" s="348"/>
    </row>
    <row r="1106" spans="1:37">
      <c r="A1106" s="148" t="s">
        <v>1980</v>
      </c>
      <c r="B1106" s="81">
        <v>28</v>
      </c>
      <c r="C1106" s="81">
        <v>22</v>
      </c>
      <c r="D1106" s="82">
        <v>-9</v>
      </c>
      <c r="E1106" s="81">
        <v>8</v>
      </c>
      <c r="F1106" s="6">
        <v>8.99</v>
      </c>
      <c r="G1106" s="81">
        <v>3537</v>
      </c>
      <c r="H1106" s="8" t="s">
        <v>327</v>
      </c>
      <c r="I1106" s="16" t="s">
        <v>5917</v>
      </c>
      <c r="J1106" s="75">
        <v>28.79</v>
      </c>
      <c r="K1106" s="75">
        <v>0.28000000000000003</v>
      </c>
      <c r="L1106" s="75">
        <v>5.59</v>
      </c>
      <c r="M1106" s="330">
        <v>19.309999999999999</v>
      </c>
      <c r="N1106" s="325">
        <f t="shared" si="230"/>
        <v>53.97</v>
      </c>
      <c r="O1106" s="27"/>
      <c r="P1106" s="56"/>
      <c r="Q1106" s="26"/>
      <c r="R1106" s="308" t="s">
        <v>4373</v>
      </c>
      <c r="S1106" s="330">
        <v>0</v>
      </c>
      <c r="T1106" s="34">
        <v>2.5</v>
      </c>
      <c r="U1106" s="366">
        <f t="shared" si="227"/>
        <v>6.4516129032258063E-2</v>
      </c>
      <c r="V1106" s="97">
        <v>3.41</v>
      </c>
      <c r="W1106" s="36">
        <f>RTD("money.excel",,"3537","Price")</f>
        <v>38.75</v>
      </c>
      <c r="X1106" s="67"/>
      <c r="Y1106" s="15">
        <f t="shared" si="224"/>
        <v>38.75</v>
      </c>
      <c r="Z1106" s="35" t="e">
        <f t="shared" si="225"/>
        <v>#DIV/0!</v>
      </c>
      <c r="AB1106" s="16" t="s">
        <v>5917</v>
      </c>
      <c r="AE1106" s="33">
        <f t="shared" si="226"/>
        <v>0</v>
      </c>
      <c r="AF1106" s="43" t="s">
        <v>2925</v>
      </c>
      <c r="AG1106" s="128"/>
      <c r="AI1106" s="64">
        <f t="shared" si="228"/>
        <v>8.2649253731343283E-3</v>
      </c>
      <c r="AJ1106" s="313">
        <f>RTD("money.excel",,$G1106,"PredictVolume")</f>
        <v>443</v>
      </c>
      <c r="AK1106" s="348"/>
    </row>
    <row r="1107" spans="1:37">
      <c r="A1107" s="148" t="s">
        <v>1673</v>
      </c>
      <c r="B1107" s="82">
        <v>-60</v>
      </c>
      <c r="C1107" s="82">
        <v>-58</v>
      </c>
      <c r="D1107" s="82">
        <v>-9</v>
      </c>
      <c r="E1107" s="81">
        <v>72</v>
      </c>
      <c r="F1107" s="6">
        <v>1.66</v>
      </c>
      <c r="G1107" s="81">
        <v>3548</v>
      </c>
      <c r="H1107" s="8" t="s">
        <v>327</v>
      </c>
      <c r="I1107" s="16" t="s">
        <v>153</v>
      </c>
      <c r="J1107" s="75">
        <v>29.01</v>
      </c>
      <c r="K1107" s="75">
        <v>6.75</v>
      </c>
      <c r="L1107" s="330">
        <v>41.14</v>
      </c>
      <c r="M1107" s="75">
        <v>21.73</v>
      </c>
      <c r="N1107" s="325">
        <f t="shared" si="230"/>
        <v>98.63000000000001</v>
      </c>
      <c r="O1107" s="27" t="s">
        <v>1735</v>
      </c>
      <c r="P1107" s="56" t="s">
        <v>6347</v>
      </c>
      <c r="Q1107" s="26" t="s">
        <v>6115</v>
      </c>
      <c r="R1107" s="309" t="s">
        <v>4373</v>
      </c>
      <c r="S1107" s="330">
        <v>2.31</v>
      </c>
      <c r="T1107" s="34">
        <v>2.5</v>
      </c>
      <c r="U1107" s="366">
        <f t="shared" si="227"/>
        <v>3.5511363636363633E-2</v>
      </c>
      <c r="V1107" s="97">
        <v>2.6</v>
      </c>
      <c r="W1107" s="36">
        <f>RTD("money.excel",,"3548","Price")</f>
        <v>70.400000000000006</v>
      </c>
      <c r="X1107" s="67"/>
      <c r="Y1107" s="15">
        <f t="shared" si="224"/>
        <v>70.400000000000006</v>
      </c>
      <c r="Z1107" s="3" t="e">
        <f t="shared" si="225"/>
        <v>#DIV/0!</v>
      </c>
      <c r="AA1107" s="174" t="s">
        <v>1943</v>
      </c>
      <c r="AB1107" s="16" t="s">
        <v>153</v>
      </c>
      <c r="AE1107" s="33">
        <f t="shared" si="226"/>
        <v>0</v>
      </c>
      <c r="AF1107" s="122" t="s">
        <v>3415</v>
      </c>
      <c r="AG1107" s="128"/>
      <c r="AI1107" s="64">
        <f t="shared" si="228"/>
        <v>9.9001663893510811E-3</v>
      </c>
      <c r="AJ1107" s="313">
        <f>RTD("money.excel",,$G1107,"PredictVolume")</f>
        <v>595</v>
      </c>
      <c r="AK1107" s="348">
        <v>13.14</v>
      </c>
    </row>
    <row r="1108" spans="1:37">
      <c r="A1108" s="148" t="s">
        <v>3651</v>
      </c>
      <c r="B1108" s="93">
        <v>65</v>
      </c>
      <c r="C1108" s="93">
        <v>26</v>
      </c>
      <c r="D1108" s="93">
        <v>2</v>
      </c>
      <c r="E1108" s="93">
        <v>109</v>
      </c>
      <c r="F1108" s="6">
        <v>2.14</v>
      </c>
      <c r="G1108" s="81">
        <v>3550</v>
      </c>
      <c r="H1108" s="8" t="s">
        <v>327</v>
      </c>
      <c r="I1108" s="22" t="s">
        <v>5918</v>
      </c>
      <c r="J1108" s="75">
        <v>45.02</v>
      </c>
      <c r="K1108" s="75">
        <v>0.99</v>
      </c>
      <c r="L1108" s="75">
        <v>22.08</v>
      </c>
      <c r="N1108" s="325">
        <f t="shared" si="230"/>
        <v>68.09</v>
      </c>
      <c r="O1108" s="27"/>
      <c r="P1108" s="56"/>
      <c r="Q1108" s="26"/>
      <c r="S1108" s="330">
        <v>11.98</v>
      </c>
      <c r="T1108" s="34">
        <v>0.5</v>
      </c>
      <c r="U1108" s="366">
        <f t="shared" si="227"/>
        <v>2.9411764705882353E-2</v>
      </c>
      <c r="V1108" s="97">
        <v>0.94</v>
      </c>
      <c r="W1108" s="36">
        <f>RTD("money.excel",,"3550","Price")</f>
        <v>17</v>
      </c>
      <c r="X1108" s="67"/>
      <c r="Y1108" s="15">
        <f t="shared" si="224"/>
        <v>17</v>
      </c>
      <c r="Z1108" s="3" t="e">
        <f t="shared" si="225"/>
        <v>#DIV/0!</v>
      </c>
      <c r="AB1108" s="22" t="s">
        <v>5918</v>
      </c>
      <c r="AE1108" s="33">
        <f t="shared" si="226"/>
        <v>0</v>
      </c>
      <c r="AF1108" s="43" t="s">
        <v>3110</v>
      </c>
      <c r="AG1108" s="128"/>
      <c r="AI1108" s="64">
        <f t="shared" si="228"/>
        <v>7.7647058823529416E-4</v>
      </c>
      <c r="AJ1108" s="313">
        <f>RTD("money.excel",,$G1108,"PredictVolume")</f>
        <v>66</v>
      </c>
      <c r="AK1108" s="348"/>
    </row>
    <row r="1109" spans="1:37">
      <c r="A1109" s="148" t="s">
        <v>3652</v>
      </c>
      <c r="B1109" s="93">
        <v>107</v>
      </c>
      <c r="C1109" s="93">
        <v>118</v>
      </c>
      <c r="D1109" s="93">
        <v>16</v>
      </c>
      <c r="E1109" s="93">
        <v>169</v>
      </c>
      <c r="F1109" s="6">
        <v>5.13</v>
      </c>
      <c r="G1109" s="81">
        <v>3593</v>
      </c>
      <c r="H1109" s="8" t="s">
        <v>327</v>
      </c>
      <c r="I1109" s="22" t="s">
        <v>5919</v>
      </c>
      <c r="J1109" s="75">
        <v>43.29</v>
      </c>
      <c r="K1109" s="75">
        <v>0.17</v>
      </c>
      <c r="N1109" s="325">
        <f t="shared" si="230"/>
        <v>43.46</v>
      </c>
      <c r="O1109" s="27"/>
      <c r="P1109" s="56"/>
      <c r="Q1109" s="26"/>
      <c r="S1109" s="330">
        <v>13.37</v>
      </c>
      <c r="T1109" s="34">
        <v>0</v>
      </c>
      <c r="U1109" s="366">
        <f t="shared" si="227"/>
        <v>0</v>
      </c>
      <c r="V1109" s="97">
        <v>0.9</v>
      </c>
      <c r="W1109" s="36">
        <f>RTD("money.excel",,"3593","Price")</f>
        <v>15.2</v>
      </c>
      <c r="X1109" s="67"/>
      <c r="Y1109" s="15">
        <f t="shared" si="224"/>
        <v>15.2</v>
      </c>
      <c r="Z1109" s="3" t="e">
        <f t="shared" si="225"/>
        <v>#DIV/0!</v>
      </c>
      <c r="AB1109" s="22" t="s">
        <v>5919</v>
      </c>
      <c r="AE1109" s="33">
        <f t="shared" si="226"/>
        <v>0</v>
      </c>
      <c r="AF1109" s="43" t="s">
        <v>3111</v>
      </c>
      <c r="AG1109" s="27"/>
      <c r="AI1109" s="64">
        <f t="shared" si="228"/>
        <v>3.8709677419354838E-4</v>
      </c>
      <c r="AJ1109" s="313">
        <f>RTD("money.excel",,$G1109,"PredictVolume")</f>
        <v>36</v>
      </c>
      <c r="AK1109" s="108"/>
    </row>
    <row r="1110" spans="1:37">
      <c r="A1110" s="148" t="s">
        <v>2121</v>
      </c>
      <c r="B1110" s="81">
        <v>128</v>
      </c>
      <c r="C1110" s="81">
        <v>120</v>
      </c>
      <c r="D1110" s="82">
        <v>-15</v>
      </c>
      <c r="E1110" s="81">
        <v>5</v>
      </c>
      <c r="F1110" s="6">
        <v>9.5500000000000007</v>
      </c>
      <c r="G1110" s="81">
        <v>3597</v>
      </c>
      <c r="H1110" s="8" t="s">
        <v>327</v>
      </c>
      <c r="I1110" s="16" t="s">
        <v>2078</v>
      </c>
      <c r="J1110" s="330">
        <v>62.42</v>
      </c>
      <c r="K1110" s="330">
        <v>0.3</v>
      </c>
      <c r="L1110" s="330">
        <v>21.64</v>
      </c>
      <c r="N1110" s="325">
        <f t="shared" si="230"/>
        <v>84.36</v>
      </c>
      <c r="O1110" s="27"/>
      <c r="P1110" s="56"/>
      <c r="Q1110" s="26"/>
      <c r="S1110" s="330">
        <v>2.74</v>
      </c>
      <c r="T1110" s="34">
        <v>1.2</v>
      </c>
      <c r="U1110" s="366">
        <f t="shared" si="227"/>
        <v>4.1522491349480967E-2</v>
      </c>
      <c r="V1110" s="58">
        <v>1.79</v>
      </c>
      <c r="W1110" s="36">
        <f>RTD("money.excel",,"3597","Price")</f>
        <v>28.9</v>
      </c>
      <c r="X1110" s="67"/>
      <c r="Y1110" s="15">
        <f t="shared" si="224"/>
        <v>28.9</v>
      </c>
      <c r="Z1110" s="35" t="e">
        <f t="shared" si="225"/>
        <v>#DIV/0!</v>
      </c>
      <c r="AB1110" s="16" t="s">
        <v>2078</v>
      </c>
      <c r="AE1110" s="33">
        <f t="shared" si="226"/>
        <v>0</v>
      </c>
      <c r="AF1110" s="43" t="s">
        <v>2175</v>
      </c>
      <c r="AG1110" s="128"/>
      <c r="AI1110" s="64">
        <f t="shared" si="228"/>
        <v>1.1508951406649615E-3</v>
      </c>
      <c r="AJ1110" s="313">
        <f>RTD("money.excel",,$G1110,"PredictVolume")</f>
        <v>45</v>
      </c>
      <c r="AK1110" s="348"/>
    </row>
    <row r="1111" spans="1:37">
      <c r="A1111" s="148" t="s">
        <v>1793</v>
      </c>
      <c r="B1111" s="81">
        <v>112</v>
      </c>
      <c r="C1111" s="81">
        <v>90</v>
      </c>
      <c r="D1111" s="81">
        <v>13</v>
      </c>
      <c r="E1111" s="81">
        <v>32</v>
      </c>
      <c r="F1111" s="6">
        <v>6.03</v>
      </c>
      <c r="G1111" s="81">
        <v>3605</v>
      </c>
      <c r="H1111" s="8" t="s">
        <v>327</v>
      </c>
      <c r="I1111" s="22" t="s">
        <v>421</v>
      </c>
      <c r="J1111" s="75">
        <v>37.479999999999997</v>
      </c>
      <c r="K1111" s="75">
        <v>9.0399999999999991</v>
      </c>
      <c r="L1111" s="330">
        <v>29.43</v>
      </c>
      <c r="M1111" s="330">
        <v>15.77</v>
      </c>
      <c r="N1111" s="325">
        <f t="shared" ref="N1111" si="231">K1111+J1111+L1111+M1111</f>
        <v>91.719999999999985</v>
      </c>
      <c r="O1111" s="27"/>
      <c r="P1111" s="56"/>
      <c r="Q1111" s="26"/>
      <c r="R1111" s="308" t="s">
        <v>4372</v>
      </c>
      <c r="S1111" s="330">
        <v>2.57</v>
      </c>
      <c r="T1111" s="34">
        <v>0.7</v>
      </c>
      <c r="U1111" s="366">
        <f t="shared" si="227"/>
        <v>1.4522821576763484E-2</v>
      </c>
      <c r="V1111" s="97">
        <v>4.17</v>
      </c>
      <c r="W1111" s="36">
        <f>RTD("money.excel",,"3605","Price")</f>
        <v>48.2</v>
      </c>
      <c r="X1111" s="67"/>
      <c r="Y1111" s="15">
        <f t="shared" si="224"/>
        <v>48.2</v>
      </c>
      <c r="Z1111" s="3" t="e">
        <f t="shared" si="225"/>
        <v>#DIV/0!</v>
      </c>
      <c r="AA1111" s="174" t="s">
        <v>1943</v>
      </c>
      <c r="AB1111" s="22" t="s">
        <v>421</v>
      </c>
      <c r="AE1111" s="33">
        <f t="shared" si="226"/>
        <v>0</v>
      </c>
      <c r="AF1111" s="43" t="s">
        <v>2214</v>
      </c>
      <c r="AG1111" s="128"/>
      <c r="AI1111" s="64">
        <f t="shared" si="228"/>
        <v>1.9604477611940299E-2</v>
      </c>
      <c r="AJ1111" s="313">
        <f>RTD("money.excel",,$G1111,"PredictVolume")</f>
        <v>2627</v>
      </c>
      <c r="AK1111" s="348"/>
    </row>
    <row r="1112" spans="1:37">
      <c r="A1112" s="148" t="s">
        <v>1752</v>
      </c>
      <c r="B1112" s="82">
        <v>-245</v>
      </c>
      <c r="C1112" s="81">
        <v>33</v>
      </c>
      <c r="D1112" s="81">
        <v>1</v>
      </c>
      <c r="E1112" s="81">
        <v>3</v>
      </c>
      <c r="F1112" s="6">
        <v>-16.809999999999999</v>
      </c>
      <c r="G1112" s="81">
        <v>3607</v>
      </c>
      <c r="H1112" s="8" t="s">
        <v>327</v>
      </c>
      <c r="I1112" s="22" t="s">
        <v>247</v>
      </c>
      <c r="J1112" s="75">
        <v>29.04</v>
      </c>
      <c r="K1112" s="75">
        <v>6.38</v>
      </c>
      <c r="L1112" s="75">
        <v>8.2100000000000009</v>
      </c>
      <c r="N1112" s="325">
        <f t="shared" si="230"/>
        <v>43.63</v>
      </c>
      <c r="O1112" s="27"/>
      <c r="P1112" s="56"/>
      <c r="Q1112" s="26"/>
      <c r="S1112" s="330">
        <v>0.09</v>
      </c>
      <c r="T1112" s="34">
        <v>0</v>
      </c>
      <c r="U1112" s="366">
        <f t="shared" si="227"/>
        <v>0</v>
      </c>
      <c r="V1112" s="97">
        <v>-3.32</v>
      </c>
      <c r="W1112" s="36">
        <f>RTD("money.excel",,"3607","Price")</f>
        <v>14</v>
      </c>
      <c r="X1112" s="67"/>
      <c r="Y1112" s="15">
        <f t="shared" si="224"/>
        <v>14</v>
      </c>
      <c r="Z1112" s="3" t="e">
        <f t="shared" si="225"/>
        <v>#DIV/0!</v>
      </c>
      <c r="AB1112" s="22" t="s">
        <v>247</v>
      </c>
      <c r="AE1112" s="33">
        <f t="shared" si="226"/>
        <v>0</v>
      </c>
      <c r="AF1112" s="122" t="s">
        <v>3112</v>
      </c>
      <c r="AG1112" s="128"/>
      <c r="AI1112" s="64">
        <f t="shared" si="228"/>
        <v>2.9917355371900825E-3</v>
      </c>
      <c r="AJ1112" s="313">
        <f>RTD("money.excel",,$G1112,"PredictVolume")</f>
        <v>362</v>
      </c>
      <c r="AK1112" s="348"/>
    </row>
    <row r="1113" spans="1:37">
      <c r="A1113" s="148" t="s">
        <v>3518</v>
      </c>
      <c r="B1113" s="82">
        <v>-776</v>
      </c>
      <c r="C1113" s="96">
        <v>-1147</v>
      </c>
      <c r="D1113" s="81">
        <v>54</v>
      </c>
      <c r="E1113" s="82">
        <v>-6</v>
      </c>
      <c r="F1113" s="6">
        <v>-4.43</v>
      </c>
      <c r="G1113" s="81">
        <v>3609</v>
      </c>
      <c r="H1113" s="8" t="s">
        <v>327</v>
      </c>
      <c r="I1113" s="16" t="s">
        <v>5920</v>
      </c>
      <c r="J1113" s="330">
        <v>52.18</v>
      </c>
      <c r="K1113" s="75">
        <v>1.1499999999999999</v>
      </c>
      <c r="L1113" s="75">
        <v>15.49</v>
      </c>
      <c r="N1113" s="325">
        <f t="shared" si="230"/>
        <v>68.819999999999993</v>
      </c>
      <c r="O1113" s="27"/>
      <c r="P1113" s="56"/>
      <c r="Q1113" s="26"/>
      <c r="S1113" s="330">
        <v>0</v>
      </c>
      <c r="T1113" s="34">
        <v>0</v>
      </c>
      <c r="U1113" s="366">
        <f t="shared" si="227"/>
        <v>0</v>
      </c>
      <c r="V1113" s="58">
        <v>-0.19</v>
      </c>
      <c r="W1113" s="36">
        <f>RTD("money.excel",,"3609","Price")</f>
        <v>56</v>
      </c>
      <c r="X1113" s="67"/>
      <c r="Y1113" s="15">
        <f t="shared" si="224"/>
        <v>56</v>
      </c>
      <c r="Z1113" s="35" t="e">
        <f t="shared" si="225"/>
        <v>#DIV/0!</v>
      </c>
      <c r="AB1113" s="16" t="s">
        <v>5920</v>
      </c>
      <c r="AE1113" s="33">
        <f t="shared" si="226"/>
        <v>0</v>
      </c>
      <c r="AF1113" s="43" t="s">
        <v>2927</v>
      </c>
      <c r="AG1113" s="128"/>
      <c r="AI1113" s="64">
        <f t="shared" si="228"/>
        <v>1.0749185667752444E-3</v>
      </c>
      <c r="AJ1113" s="313">
        <f>RTD("money.excel",,$G1113,"PredictVolume")</f>
        <v>33</v>
      </c>
      <c r="AK1113" s="348"/>
    </row>
    <row r="1114" spans="1:37">
      <c r="A1114" s="132" t="s">
        <v>2042</v>
      </c>
      <c r="B1114" s="81">
        <v>177</v>
      </c>
      <c r="C1114" s="81">
        <v>200</v>
      </c>
      <c r="D1114" s="81">
        <v>1</v>
      </c>
      <c r="E1114" s="81">
        <v>46</v>
      </c>
      <c r="F1114" s="58">
        <v>19.25</v>
      </c>
      <c r="G1114" s="81">
        <v>3624</v>
      </c>
      <c r="H1114" s="8" t="s">
        <v>327</v>
      </c>
      <c r="I1114" s="16" t="s">
        <v>5921</v>
      </c>
      <c r="J1114" s="330">
        <v>54.79</v>
      </c>
      <c r="K1114" s="330">
        <v>52.13</v>
      </c>
      <c r="L1114" s="330">
        <v>23.75</v>
      </c>
      <c r="M1114" s="75">
        <v>42.3</v>
      </c>
      <c r="N1114" s="75">
        <f t="shared" si="230"/>
        <v>172.97000000000003</v>
      </c>
      <c r="O1114" s="27"/>
      <c r="P1114" s="56"/>
      <c r="Q1114" s="26"/>
      <c r="R1114" s="308" t="s">
        <v>4372</v>
      </c>
      <c r="S1114" s="330">
        <v>3.16</v>
      </c>
      <c r="T1114" s="34">
        <v>0.8</v>
      </c>
      <c r="U1114" s="366">
        <f t="shared" si="227"/>
        <v>1.1111111111111112E-2</v>
      </c>
      <c r="V1114" s="58">
        <v>3.21</v>
      </c>
      <c r="W1114" s="13">
        <f>RTD("money.excel",,"3624","Price")</f>
        <v>72</v>
      </c>
      <c r="X1114" s="67"/>
      <c r="Y1114" s="15">
        <f t="shared" si="224"/>
        <v>72</v>
      </c>
      <c r="Z1114" s="35" t="e">
        <f t="shared" si="225"/>
        <v>#DIV/0!</v>
      </c>
      <c r="AA1114" s="174" t="s">
        <v>1943</v>
      </c>
      <c r="AB1114" s="16" t="s">
        <v>5921</v>
      </c>
      <c r="AE1114" s="33">
        <f t="shared" si="226"/>
        <v>0</v>
      </c>
      <c r="AF1114" s="61" t="s">
        <v>2928</v>
      </c>
      <c r="AG1114" s="128"/>
      <c r="AI1114" s="64">
        <f t="shared" si="228"/>
        <v>1.5769230769230768E-2</v>
      </c>
      <c r="AJ1114" s="313">
        <f>RTD("money.excel",,$G1114,"PredictVolume")</f>
        <v>1845</v>
      </c>
      <c r="AK1114" s="348"/>
    </row>
    <row r="1115" spans="1:37">
      <c r="A1115" s="148" t="s">
        <v>1749</v>
      </c>
      <c r="B1115" s="81">
        <v>53</v>
      </c>
      <c r="C1115" s="81">
        <v>24</v>
      </c>
      <c r="D1115" s="81">
        <v>24</v>
      </c>
      <c r="E1115" s="82">
        <v>-41</v>
      </c>
      <c r="F1115" s="6">
        <v>-34.18</v>
      </c>
      <c r="G1115" s="81">
        <v>3631</v>
      </c>
      <c r="H1115" s="8" t="s">
        <v>327</v>
      </c>
      <c r="I1115" s="16" t="s">
        <v>439</v>
      </c>
      <c r="J1115" s="75">
        <v>80.17</v>
      </c>
      <c r="K1115" s="330">
        <v>14.88</v>
      </c>
      <c r="L1115" s="75">
        <v>35.33</v>
      </c>
      <c r="N1115" s="325">
        <f t="shared" si="230"/>
        <v>130.38</v>
      </c>
      <c r="O1115" s="27"/>
      <c r="P1115" s="56"/>
      <c r="Q1115" s="26"/>
      <c r="S1115" s="330">
        <v>0.44</v>
      </c>
      <c r="T1115" s="34">
        <v>0</v>
      </c>
      <c r="U1115" s="366">
        <f t="shared" si="227"/>
        <v>0</v>
      </c>
      <c r="V1115" s="58">
        <v>-0.04</v>
      </c>
      <c r="W1115" s="36">
        <f>RTD("money.excel",,"3631","Price")</f>
        <v>44.65</v>
      </c>
      <c r="X1115" s="67"/>
      <c r="Y1115" s="15">
        <f t="shared" si="224"/>
        <v>44.65</v>
      </c>
      <c r="Z1115" s="35" t="e">
        <f t="shared" si="225"/>
        <v>#DIV/0!</v>
      </c>
      <c r="AB1115" s="16" t="s">
        <v>439</v>
      </c>
      <c r="AE1115" s="33">
        <f t="shared" si="226"/>
        <v>0</v>
      </c>
      <c r="AF1115" s="43" t="s">
        <v>2929</v>
      </c>
      <c r="AG1115" s="128"/>
      <c r="AI1115" s="64">
        <f t="shared" si="228"/>
        <v>2.4449877750611245E-4</v>
      </c>
      <c r="AJ1115" s="313">
        <f>RTD("money.excel",,$G1115,"PredictVolume")</f>
        <v>20</v>
      </c>
      <c r="AK1115" s="348"/>
    </row>
    <row r="1116" spans="1:37">
      <c r="A1116" s="132" t="s">
        <v>2328</v>
      </c>
      <c r="B1116" s="81">
        <v>11</v>
      </c>
      <c r="C1116" s="81">
        <v>27</v>
      </c>
      <c r="D1116" s="81">
        <v>7</v>
      </c>
      <c r="E1116" s="81">
        <v>20</v>
      </c>
      <c r="F1116" s="58">
        <v>17.62</v>
      </c>
      <c r="G1116" s="81">
        <v>3645</v>
      </c>
      <c r="H1116" s="210" t="s">
        <v>327</v>
      </c>
      <c r="I1116" s="22" t="s">
        <v>187</v>
      </c>
      <c r="J1116" s="330">
        <v>36.46</v>
      </c>
      <c r="K1116" s="330">
        <v>13.77</v>
      </c>
      <c r="L1116" s="330">
        <v>9.5500000000000007</v>
      </c>
      <c r="N1116" s="325">
        <f t="shared" si="230"/>
        <v>59.78</v>
      </c>
      <c r="O1116" s="27"/>
      <c r="P1116" s="56"/>
      <c r="Q1116" s="26"/>
      <c r="S1116" s="330">
        <v>0.17</v>
      </c>
      <c r="T1116" s="34">
        <v>1.5</v>
      </c>
      <c r="U1116" s="366">
        <f t="shared" si="227"/>
        <v>3.2051282051282055E-2</v>
      </c>
      <c r="V1116" s="97">
        <v>2.87</v>
      </c>
      <c r="W1116" s="36">
        <f>RTD("money.excel",,"3645","Price")</f>
        <v>46.8</v>
      </c>
      <c r="X1116" s="67"/>
      <c r="Y1116" s="15">
        <f t="shared" si="224"/>
        <v>46.8</v>
      </c>
      <c r="Z1116" s="3" t="e">
        <f t="shared" si="225"/>
        <v>#DIV/0!</v>
      </c>
      <c r="AA1116" s="174" t="s">
        <v>1943</v>
      </c>
      <c r="AB1116" s="22" t="s">
        <v>187</v>
      </c>
      <c r="AE1116" s="33">
        <f t="shared" si="226"/>
        <v>0</v>
      </c>
      <c r="AF1116" s="124" t="s">
        <v>3113</v>
      </c>
      <c r="AG1116" s="128"/>
      <c r="AI1116" s="64">
        <f t="shared" si="228"/>
        <v>3.553846153846154E-3</v>
      </c>
      <c r="AJ1116" s="313">
        <f>RTD("money.excel",,$G1116,"PredictVolume")</f>
        <v>462</v>
      </c>
      <c r="AK1116" s="348"/>
    </row>
    <row r="1117" spans="1:37">
      <c r="A1117" s="132" t="s">
        <v>1889</v>
      </c>
      <c r="B1117" s="93">
        <v>147</v>
      </c>
      <c r="C1117" s="93">
        <v>118</v>
      </c>
      <c r="D1117" s="93">
        <v>-4</v>
      </c>
      <c r="E1117" s="93">
        <v>8.94</v>
      </c>
      <c r="F1117" s="58">
        <v>10.32</v>
      </c>
      <c r="G1117" s="81">
        <v>3646</v>
      </c>
      <c r="H1117" s="8" t="s">
        <v>327</v>
      </c>
      <c r="I1117" s="16" t="s">
        <v>5922</v>
      </c>
      <c r="J1117" s="75">
        <v>30.01</v>
      </c>
      <c r="K1117" s="75">
        <v>6.32</v>
      </c>
      <c r="L1117" s="75">
        <v>14.23</v>
      </c>
      <c r="N1117" s="325">
        <f t="shared" si="230"/>
        <v>50.56</v>
      </c>
      <c r="O1117" s="27"/>
      <c r="P1117" s="56"/>
      <c r="Q1117" s="26"/>
      <c r="S1117" s="330">
        <v>10.99</v>
      </c>
      <c r="T1117" s="34">
        <v>0.92</v>
      </c>
      <c r="U1117" s="366">
        <f t="shared" si="227"/>
        <v>3.4328358208955224E-2</v>
      </c>
      <c r="V1117" s="97">
        <v>1.1599999999999999</v>
      </c>
      <c r="W1117" s="36">
        <f>RTD("money.excel",,"3646","Price")</f>
        <v>26.8</v>
      </c>
      <c r="X1117" s="67"/>
      <c r="Y1117" s="15">
        <f t="shared" si="224"/>
        <v>26.8</v>
      </c>
      <c r="Z1117" s="3" t="e">
        <f t="shared" si="225"/>
        <v>#DIV/0!</v>
      </c>
      <c r="AB1117" s="16" t="s">
        <v>5922</v>
      </c>
      <c r="AE1117" s="33">
        <f t="shared" si="226"/>
        <v>0</v>
      </c>
      <c r="AF1117" s="43" t="s">
        <v>2214</v>
      </c>
      <c r="AG1117" s="128"/>
      <c r="AI1117" s="64">
        <f t="shared" si="228"/>
        <v>2.2137404580152673E-3</v>
      </c>
      <c r="AJ1117" s="313">
        <f>RTD("money.excel",,$G1117,"PredictVolume")</f>
        <v>87</v>
      </c>
      <c r="AK1117" s="348"/>
    </row>
    <row r="1118" spans="1:37">
      <c r="A1118" s="132" t="s">
        <v>1773</v>
      </c>
      <c r="B1118" s="82">
        <v>-15</v>
      </c>
      <c r="C1118" s="81">
        <v>18</v>
      </c>
      <c r="D1118" s="81">
        <v>2</v>
      </c>
      <c r="E1118" s="81">
        <v>10</v>
      </c>
      <c r="F1118" s="58">
        <v>17.25</v>
      </c>
      <c r="G1118" s="81">
        <v>3653</v>
      </c>
      <c r="H1118" s="210" t="s">
        <v>327</v>
      </c>
      <c r="I1118" s="22" t="s">
        <v>422</v>
      </c>
      <c r="J1118" s="330">
        <v>65.790000000000006</v>
      </c>
      <c r="K1118" s="75">
        <v>13.18</v>
      </c>
      <c r="L1118" s="75">
        <v>13.32</v>
      </c>
      <c r="N1118" s="325">
        <f t="shared" si="230"/>
        <v>92.289999999999992</v>
      </c>
      <c r="O1118" s="27"/>
      <c r="P1118" s="56"/>
      <c r="Q1118" s="26"/>
      <c r="S1118" s="330">
        <v>0.35</v>
      </c>
      <c r="T1118" s="67">
        <v>6</v>
      </c>
      <c r="U1118" s="366">
        <f t="shared" si="227"/>
        <v>1.6172506738544475E-2</v>
      </c>
      <c r="V1118" s="58">
        <v>6.82</v>
      </c>
      <c r="W1118" s="36">
        <f>RTD("money.excel",,"3653","Price")</f>
        <v>371</v>
      </c>
      <c r="X1118" s="67"/>
      <c r="Y1118" s="15">
        <f t="shared" si="224"/>
        <v>371</v>
      </c>
      <c r="Z1118" s="3" t="e">
        <f t="shared" si="225"/>
        <v>#DIV/0!</v>
      </c>
      <c r="AA1118" s="174" t="s">
        <v>2185</v>
      </c>
      <c r="AB1118" s="22" t="s">
        <v>422</v>
      </c>
      <c r="AE1118" s="33">
        <f t="shared" si="226"/>
        <v>0</v>
      </c>
      <c r="AF1118" s="43" t="s">
        <v>2923</v>
      </c>
      <c r="AG1118" s="128"/>
      <c r="AI1118" s="64">
        <f t="shared" si="228"/>
        <v>1.2032786885245901E-2</v>
      </c>
      <c r="AJ1118" s="313">
        <f>RTD("money.excel",,$G1118,"PredictVolume")</f>
        <v>1468</v>
      </c>
      <c r="AK1118" s="348"/>
    </row>
    <row r="1119" spans="1:37">
      <c r="A1119" s="132" t="s">
        <v>1913</v>
      </c>
      <c r="B1119" s="81">
        <v>537</v>
      </c>
      <c r="C1119" s="81">
        <v>935</v>
      </c>
      <c r="D1119" s="81">
        <v>13</v>
      </c>
      <c r="E1119" s="81">
        <v>48</v>
      </c>
      <c r="F1119" s="58">
        <v>14.37</v>
      </c>
      <c r="G1119" s="81">
        <v>3679</v>
      </c>
      <c r="H1119" s="210" t="s">
        <v>327</v>
      </c>
      <c r="I1119" s="22" t="s">
        <v>241</v>
      </c>
      <c r="J1119" s="330">
        <v>70.010000000000005</v>
      </c>
      <c r="K1119" s="75">
        <v>14.95</v>
      </c>
      <c r="L1119" s="75">
        <v>10.220000000000001</v>
      </c>
      <c r="N1119" s="325">
        <f t="shared" si="230"/>
        <v>95.18</v>
      </c>
      <c r="O1119" s="27"/>
      <c r="P1119" s="56"/>
      <c r="Q1119" s="26"/>
      <c r="S1119" s="330">
        <v>0.11</v>
      </c>
      <c r="T1119" s="67">
        <v>4</v>
      </c>
      <c r="U1119" s="366">
        <f t="shared" si="227"/>
        <v>4.5351473922902494E-2</v>
      </c>
      <c r="V1119" s="97">
        <v>11.58</v>
      </c>
      <c r="W1119" s="36">
        <f>RTD("money.excel",,"3679","Price")</f>
        <v>88.2</v>
      </c>
      <c r="X1119" s="67"/>
      <c r="Y1119" s="15">
        <f t="shared" si="224"/>
        <v>88.2</v>
      </c>
      <c r="Z1119" s="3" t="e">
        <f t="shared" si="225"/>
        <v>#DIV/0!</v>
      </c>
      <c r="AA1119" s="174" t="s">
        <v>1986</v>
      </c>
      <c r="AB1119" s="22" t="s">
        <v>241</v>
      </c>
      <c r="AE1119" s="33">
        <f t="shared" si="226"/>
        <v>0</v>
      </c>
      <c r="AF1119" s="43" t="s">
        <v>2319</v>
      </c>
      <c r="AG1119" s="128"/>
      <c r="AI1119" s="64">
        <f t="shared" si="228"/>
        <v>5.9199999999999997E-4</v>
      </c>
      <c r="AJ1119" s="313">
        <f>RTD("money.excel",,$G1119,"PredictVolume")</f>
        <v>37</v>
      </c>
      <c r="AK1119" s="348"/>
    </row>
    <row r="1120" spans="1:37">
      <c r="A1120" s="148" t="s">
        <v>1962</v>
      </c>
      <c r="B1120" s="245">
        <v>181780</v>
      </c>
      <c r="C1120" s="95">
        <v>2718</v>
      </c>
      <c r="D1120" s="81">
        <v>13</v>
      </c>
      <c r="E1120" s="81">
        <v>9</v>
      </c>
      <c r="F1120" s="6">
        <v>1.38</v>
      </c>
      <c r="G1120" s="81">
        <v>3689</v>
      </c>
      <c r="H1120" s="8" t="s">
        <v>327</v>
      </c>
      <c r="I1120" s="16" t="s">
        <v>5923</v>
      </c>
      <c r="J1120" s="75">
        <v>16.64</v>
      </c>
      <c r="K1120" s="75">
        <v>4.38</v>
      </c>
      <c r="L1120" s="75">
        <v>18.7</v>
      </c>
      <c r="N1120" s="325">
        <f t="shared" si="230"/>
        <v>39.72</v>
      </c>
      <c r="O1120" s="27"/>
      <c r="P1120" s="56"/>
      <c r="Q1120" s="26"/>
      <c r="S1120" s="330">
        <v>0.05</v>
      </c>
      <c r="T1120" s="34">
        <v>1.3</v>
      </c>
      <c r="U1120" s="366">
        <f t="shared" si="227"/>
        <v>2.8824833702882482E-2</v>
      </c>
      <c r="V1120" s="97">
        <v>1.37</v>
      </c>
      <c r="W1120" s="36">
        <f>RTD("money.excel",,"3689","Price")</f>
        <v>45.1</v>
      </c>
      <c r="X1120" s="67"/>
      <c r="Y1120" s="15">
        <f t="shared" si="224"/>
        <v>45.1</v>
      </c>
      <c r="Z1120" s="3" t="e">
        <f t="shared" si="225"/>
        <v>#DIV/0!</v>
      </c>
      <c r="AB1120" s="16" t="s">
        <v>5923</v>
      </c>
      <c r="AE1120" s="33">
        <f t="shared" si="226"/>
        <v>0</v>
      </c>
      <c r="AF1120" s="43" t="s">
        <v>2214</v>
      </c>
      <c r="AG1120" s="128"/>
      <c r="AI1120" s="64">
        <f t="shared" si="228"/>
        <v>1.5279770444763271E-2</v>
      </c>
      <c r="AJ1120" s="313">
        <f>RTD("money.excel",,$G1120,"PredictVolume")</f>
        <v>1065</v>
      </c>
      <c r="AK1120" s="348"/>
    </row>
    <row r="1121" spans="1:39">
      <c r="A1121" s="148" t="s">
        <v>2901</v>
      </c>
      <c r="B1121" s="81">
        <v>63</v>
      </c>
      <c r="C1121" s="81">
        <v>95</v>
      </c>
      <c r="D1121" s="81">
        <v>9</v>
      </c>
      <c r="E1121" s="81">
        <v>9</v>
      </c>
      <c r="F1121" s="6">
        <v>-0.21</v>
      </c>
      <c r="G1121" s="81">
        <v>3710</v>
      </c>
      <c r="H1121" s="8" t="s">
        <v>327</v>
      </c>
      <c r="I1121" s="16" t="s">
        <v>449</v>
      </c>
      <c r="J1121" s="75">
        <v>30.54</v>
      </c>
      <c r="K1121" s="330">
        <v>2.63</v>
      </c>
      <c r="L1121" s="330">
        <v>0</v>
      </c>
      <c r="N1121" s="325">
        <f t="shared" si="230"/>
        <v>33.17</v>
      </c>
      <c r="O1121" s="27"/>
      <c r="P1121" s="56"/>
      <c r="Q1121" s="26"/>
      <c r="S1121" s="330">
        <v>0</v>
      </c>
      <c r="T1121" s="34">
        <v>0</v>
      </c>
      <c r="U1121" s="366">
        <f t="shared" si="227"/>
        <v>0</v>
      </c>
      <c r="V1121" s="97">
        <v>-0.78</v>
      </c>
      <c r="W1121" s="36">
        <f>RTD("money.excel",,"3710","Price")</f>
        <v>15.4</v>
      </c>
      <c r="X1121" s="67"/>
      <c r="Y1121" s="15">
        <f t="shared" si="224"/>
        <v>15.4</v>
      </c>
      <c r="Z1121" s="3" t="e">
        <f t="shared" si="225"/>
        <v>#DIV/0!</v>
      </c>
      <c r="AA1121" s="174" t="s">
        <v>1943</v>
      </c>
      <c r="AB1121" s="16" t="s">
        <v>449</v>
      </c>
      <c r="AE1121" s="33">
        <f t="shared" si="226"/>
        <v>0</v>
      </c>
      <c r="AF1121" s="43" t="s">
        <v>3413</v>
      </c>
      <c r="AG1121" s="128"/>
      <c r="AI1121" s="64">
        <f t="shared" si="228"/>
        <v>3.3236714975845412E-2</v>
      </c>
      <c r="AJ1121" s="313">
        <f>RTD("money.excel",,$G1121,"PredictVolume")</f>
        <v>6880</v>
      </c>
      <c r="AK1121" s="348"/>
    </row>
    <row r="1122" spans="1:39">
      <c r="A1122" s="148" t="s">
        <v>3568</v>
      </c>
      <c r="B1122" s="82">
        <v>-57</v>
      </c>
      <c r="C1122" s="82">
        <v>-74</v>
      </c>
      <c r="D1122" s="81">
        <v>24</v>
      </c>
      <c r="E1122" s="81">
        <v>126</v>
      </c>
      <c r="F1122" s="6">
        <v>1.42</v>
      </c>
      <c r="G1122" s="81">
        <v>4542</v>
      </c>
      <c r="H1122" s="8" t="s">
        <v>4155</v>
      </c>
      <c r="I1122" s="16" t="s">
        <v>440</v>
      </c>
      <c r="J1122" s="75">
        <v>49.92</v>
      </c>
      <c r="K1122" s="330">
        <v>3.54</v>
      </c>
      <c r="M1122" s="330">
        <v>18.75</v>
      </c>
      <c r="N1122" s="325">
        <f t="shared" si="230"/>
        <v>72.210000000000008</v>
      </c>
      <c r="O1122" s="27" t="s">
        <v>6114</v>
      </c>
      <c r="P1122" s="56"/>
      <c r="Q1122" s="26"/>
      <c r="T1122" s="34">
        <v>1</v>
      </c>
      <c r="U1122" s="366">
        <f t="shared" si="227"/>
        <v>3.8022813688212927E-2</v>
      </c>
      <c r="V1122" s="97">
        <v>0.24</v>
      </c>
      <c r="W1122" s="36">
        <f>RTD("money.excel",,"4542","Price")</f>
        <v>26.3</v>
      </c>
      <c r="X1122" s="67"/>
      <c r="Y1122" s="15">
        <f t="shared" si="224"/>
        <v>26.3</v>
      </c>
      <c r="Z1122" s="3" t="e">
        <f t="shared" si="225"/>
        <v>#DIV/0!</v>
      </c>
      <c r="AB1122" s="16" t="s">
        <v>5924</v>
      </c>
      <c r="AE1122" s="33">
        <f t="shared" si="226"/>
        <v>0</v>
      </c>
      <c r="AF1122" s="43" t="s">
        <v>2810</v>
      </c>
      <c r="AG1122" s="128"/>
      <c r="AI1122" s="64">
        <f t="shared" si="228"/>
        <v>2.1671826625386997E-4</v>
      </c>
      <c r="AJ1122" s="313">
        <f>RTD("money.excel",,$G1122,"PredictVolume")</f>
        <v>7</v>
      </c>
      <c r="AK1122" s="348"/>
    </row>
    <row r="1123" spans="1:39">
      <c r="A1123" s="148" t="s">
        <v>2514</v>
      </c>
      <c r="B1123" s="93">
        <v>136</v>
      </c>
      <c r="C1123" s="93">
        <v>80</v>
      </c>
      <c r="D1123" s="93">
        <v>-35</v>
      </c>
      <c r="E1123" s="93">
        <v>38</v>
      </c>
      <c r="F1123" s="6">
        <v>-6.33</v>
      </c>
      <c r="G1123" s="81">
        <v>4545</v>
      </c>
      <c r="H1123" s="210" t="s">
        <v>327</v>
      </c>
      <c r="I1123" s="22" t="s">
        <v>423</v>
      </c>
      <c r="J1123" s="75">
        <v>76.680000000000007</v>
      </c>
      <c r="K1123" s="75">
        <v>34.659999999999997</v>
      </c>
      <c r="L1123" s="75">
        <v>17.02</v>
      </c>
      <c r="N1123" s="325">
        <f t="shared" si="230"/>
        <v>128.36000000000001</v>
      </c>
      <c r="O1123" s="27"/>
      <c r="P1123" s="56"/>
      <c r="Q1123" s="26"/>
      <c r="S1123" s="330">
        <v>69.86</v>
      </c>
      <c r="T1123" s="34">
        <v>0.55000000000000004</v>
      </c>
      <c r="U1123" s="366">
        <f t="shared" si="227"/>
        <v>1.7886178861788619E-2</v>
      </c>
      <c r="V1123" s="97">
        <v>0.39</v>
      </c>
      <c r="W1123" s="13">
        <f>RTD("money.excel",,"4545","Price")</f>
        <v>30.75</v>
      </c>
      <c r="X1123" s="67"/>
      <c r="Y1123" s="15">
        <f t="shared" si="224"/>
        <v>30.75</v>
      </c>
      <c r="Z1123" s="3" t="e">
        <f t="shared" si="225"/>
        <v>#DIV/0!</v>
      </c>
      <c r="AB1123" s="22" t="s">
        <v>423</v>
      </c>
      <c r="AE1123" s="33">
        <f t="shared" si="226"/>
        <v>0</v>
      </c>
      <c r="AF1123" s="43" t="s">
        <v>3114</v>
      </c>
      <c r="AG1123" s="128"/>
      <c r="AI1123" s="64">
        <f t="shared" si="228"/>
        <v>7.8441558441558444E-3</v>
      </c>
      <c r="AJ1123" s="313">
        <f>RTD("money.excel",,$G1123,"PredictVolume")</f>
        <v>604</v>
      </c>
      <c r="AK1123" s="348"/>
    </row>
    <row r="1124" spans="1:39">
      <c r="A1124" s="148" t="s">
        <v>3653</v>
      </c>
      <c r="B1124" s="82">
        <v>-36</v>
      </c>
      <c r="C1124" s="82">
        <v>-33</v>
      </c>
      <c r="D1124" s="82">
        <v>-54</v>
      </c>
      <c r="E1124" s="82">
        <v>-22</v>
      </c>
      <c r="F1124" s="6">
        <v>6.72</v>
      </c>
      <c r="G1124" s="81">
        <v>4912</v>
      </c>
      <c r="H1124" s="210" t="s">
        <v>327</v>
      </c>
      <c r="I1124" s="22" t="s">
        <v>3765</v>
      </c>
      <c r="J1124" s="75">
        <v>61.2</v>
      </c>
      <c r="K1124" s="75">
        <v>35.840000000000003</v>
      </c>
      <c r="L1124" s="75">
        <v>13.56</v>
      </c>
      <c r="N1124" s="325">
        <f t="shared" si="230"/>
        <v>110.60000000000001</v>
      </c>
      <c r="O1124" s="27"/>
      <c r="P1124" s="56"/>
      <c r="Q1124" s="26"/>
      <c r="S1124" s="330">
        <v>41.01</v>
      </c>
      <c r="T1124" s="34">
        <v>0.93</v>
      </c>
      <c r="U1124" s="366">
        <f t="shared" si="227"/>
        <v>5.6024096385542173E-3</v>
      </c>
      <c r="V1124" s="58">
        <v>9.64</v>
      </c>
      <c r="W1124" s="36">
        <f>RTD("money.excel",,"4912","Price")</f>
        <v>166</v>
      </c>
      <c r="X1124" s="67"/>
      <c r="Y1124" s="15">
        <f t="shared" si="224"/>
        <v>166</v>
      </c>
      <c r="Z1124" s="3" t="e">
        <f t="shared" si="225"/>
        <v>#DIV/0!</v>
      </c>
      <c r="AA1124" s="174" t="s">
        <v>1943</v>
      </c>
      <c r="AB1124" s="22" t="s">
        <v>3765</v>
      </c>
      <c r="AE1124" s="33">
        <f t="shared" si="226"/>
        <v>0</v>
      </c>
      <c r="AF1124" s="43" t="s">
        <v>3108</v>
      </c>
      <c r="AG1124" s="128"/>
      <c r="AI1124" s="64">
        <f t="shared" si="228"/>
        <v>5.3154875717017205E-3</v>
      </c>
      <c r="AJ1124" s="313">
        <f>RTD("money.excel",,$G1124,"PredictVolume")</f>
        <v>278</v>
      </c>
      <c r="AK1124" s="348"/>
    </row>
    <row r="1125" spans="1:39">
      <c r="A1125" s="148" t="s">
        <v>1847</v>
      </c>
      <c r="B1125" s="82">
        <v>-14</v>
      </c>
      <c r="C1125" s="82">
        <v>-16</v>
      </c>
      <c r="D1125" s="81">
        <v>36</v>
      </c>
      <c r="E1125" s="81">
        <v>2</v>
      </c>
      <c r="F1125" s="6">
        <v>3.37</v>
      </c>
      <c r="G1125" s="81">
        <v>4915</v>
      </c>
      <c r="H1125" s="210" t="s">
        <v>327</v>
      </c>
      <c r="I1125" s="22" t="s">
        <v>54</v>
      </c>
      <c r="J1125" s="75">
        <v>63.45</v>
      </c>
      <c r="K1125" s="75">
        <v>60.54</v>
      </c>
      <c r="L1125" s="330">
        <v>6.24</v>
      </c>
      <c r="N1125" s="325">
        <f t="shared" si="230"/>
        <v>130.23000000000002</v>
      </c>
      <c r="O1125" s="27"/>
      <c r="P1125" s="56"/>
      <c r="Q1125" s="26"/>
      <c r="S1125" s="330">
        <v>0.03</v>
      </c>
      <c r="T1125" s="67">
        <v>3</v>
      </c>
      <c r="U1125" s="366">
        <f t="shared" si="227"/>
        <v>5.8365758754863814E-2</v>
      </c>
      <c r="V1125" s="58">
        <v>4.3099999999999996</v>
      </c>
      <c r="W1125" s="13">
        <f>RTD("money.excel",,"4915","Price")</f>
        <v>51.4</v>
      </c>
      <c r="X1125" s="67"/>
      <c r="Y1125" s="15">
        <f t="shared" si="224"/>
        <v>51.4</v>
      </c>
      <c r="Z1125" s="3" t="e">
        <f t="shared" si="225"/>
        <v>#DIV/0!</v>
      </c>
      <c r="AA1125" s="174" t="s">
        <v>2185</v>
      </c>
      <c r="AB1125" s="22" t="s">
        <v>54</v>
      </c>
      <c r="AE1125" s="33">
        <f t="shared" si="226"/>
        <v>0</v>
      </c>
      <c r="AF1125" s="122" t="s">
        <v>3475</v>
      </c>
      <c r="AG1125" s="128"/>
      <c r="AI1125" s="64">
        <f t="shared" si="228"/>
        <v>3.5565410199556542E-3</v>
      </c>
      <c r="AJ1125" s="313">
        <f>RTD("money.excel",,$G1125,"PredictVolume")</f>
        <v>1604</v>
      </c>
      <c r="AK1125" s="348"/>
    </row>
    <row r="1126" spans="1:39">
      <c r="A1126" s="148" t="s">
        <v>1733</v>
      </c>
      <c r="B1126" s="82">
        <v>-16</v>
      </c>
      <c r="C1126" s="82">
        <v>-5</v>
      </c>
      <c r="D1126" s="81">
        <v>0</v>
      </c>
      <c r="E1126" s="81">
        <v>41</v>
      </c>
      <c r="F1126" s="6">
        <v>8.8800000000000008</v>
      </c>
      <c r="G1126" s="81">
        <v>4927</v>
      </c>
      <c r="H1126" s="17" t="s">
        <v>327</v>
      </c>
      <c r="I1126" s="22" t="s">
        <v>478</v>
      </c>
      <c r="J1126" s="75">
        <v>64.66</v>
      </c>
      <c r="K1126" s="330">
        <v>35.32</v>
      </c>
      <c r="L1126" s="75">
        <v>13.44</v>
      </c>
      <c r="M1126" s="75">
        <v>1.57</v>
      </c>
      <c r="N1126" s="325">
        <f t="shared" si="230"/>
        <v>114.98999999999998</v>
      </c>
      <c r="O1126" s="27" t="s">
        <v>6266</v>
      </c>
      <c r="P1126" s="56" t="s">
        <v>6259</v>
      </c>
      <c r="Q1126" s="26" t="s">
        <v>6259</v>
      </c>
      <c r="R1126" s="309" t="s">
        <v>6219</v>
      </c>
      <c r="S1126" s="330">
        <v>2.91</v>
      </c>
      <c r="T1126" s="67">
        <v>3</v>
      </c>
      <c r="U1126" s="366">
        <f t="shared" si="227"/>
        <v>3.1712473572938694E-2</v>
      </c>
      <c r="V1126" s="58">
        <v>5.45</v>
      </c>
      <c r="W1126" s="36">
        <f>RTD("money.excel",,"4927","Price")</f>
        <v>94.6</v>
      </c>
      <c r="X1126" s="67"/>
      <c r="Y1126" s="15">
        <f t="shared" si="224"/>
        <v>94.6</v>
      </c>
      <c r="Z1126" s="3" t="e">
        <f t="shared" si="225"/>
        <v>#DIV/0!</v>
      </c>
      <c r="AA1126" s="174" t="s">
        <v>2185</v>
      </c>
      <c r="AB1126" s="22" t="s">
        <v>478</v>
      </c>
      <c r="AE1126" s="33">
        <f t="shared" si="226"/>
        <v>0</v>
      </c>
      <c r="AF1126" s="43" t="s">
        <v>1101</v>
      </c>
      <c r="AG1126" s="128"/>
      <c r="AI1126" s="64">
        <f t="shared" si="228"/>
        <v>6.6560846560846558E-3</v>
      </c>
      <c r="AJ1126" s="313">
        <f>RTD("money.excel",,$G1126,"PredictVolume")</f>
        <v>1258</v>
      </c>
      <c r="AK1126" s="349">
        <v>15.88</v>
      </c>
      <c r="AM1126" s="262"/>
    </row>
    <row r="1127" spans="1:39">
      <c r="A1127" s="132" t="s">
        <v>1552</v>
      </c>
      <c r="B1127" s="81">
        <v>46</v>
      </c>
      <c r="C1127" s="81">
        <v>54</v>
      </c>
      <c r="D1127" s="81">
        <v>5</v>
      </c>
      <c r="E1127" s="82">
        <v>-2</v>
      </c>
      <c r="F1127" s="58">
        <v>14.33</v>
      </c>
      <c r="G1127" s="81">
        <v>4939</v>
      </c>
      <c r="H1127" s="8" t="s">
        <v>327</v>
      </c>
      <c r="I1127" s="16" t="s">
        <v>441</v>
      </c>
      <c r="J1127" s="330">
        <v>13.79</v>
      </c>
      <c r="K1127" s="75">
        <v>3.7</v>
      </c>
      <c r="L1127" s="330">
        <v>24.15</v>
      </c>
      <c r="M1127" s="75">
        <v>10.09</v>
      </c>
      <c r="N1127" s="325">
        <f t="shared" si="230"/>
        <v>51.730000000000004</v>
      </c>
      <c r="O1127" s="27" t="s">
        <v>6215</v>
      </c>
      <c r="P1127" s="56"/>
      <c r="Q1127" s="26"/>
      <c r="R1127" s="309" t="s">
        <v>4373</v>
      </c>
      <c r="S1127" s="330">
        <v>1.49</v>
      </c>
      <c r="T1127" s="34">
        <v>1.25</v>
      </c>
      <c r="U1127" s="366">
        <f t="shared" si="227"/>
        <v>5.4112554112554112E-2</v>
      </c>
      <c r="V1127" s="97">
        <v>2.0499999999999998</v>
      </c>
      <c r="W1127" s="36">
        <f>RTD("money.excel",,"4939","Price")</f>
        <v>23.1</v>
      </c>
      <c r="X1127" s="67"/>
      <c r="Y1127" s="15">
        <f t="shared" si="224"/>
        <v>23.1</v>
      </c>
      <c r="Z1127" s="3" t="e">
        <f t="shared" si="225"/>
        <v>#DIV/0!</v>
      </c>
      <c r="AA1127" s="174" t="s">
        <v>1943</v>
      </c>
      <c r="AB1127" s="16" t="s">
        <v>441</v>
      </c>
      <c r="AE1127" s="33">
        <f t="shared" si="226"/>
        <v>0</v>
      </c>
      <c r="AF1127" s="43" t="s">
        <v>1102</v>
      </c>
      <c r="AG1127" s="128"/>
      <c r="AI1127" s="64">
        <f t="shared" si="228"/>
        <v>3.279022403258656E-3</v>
      </c>
      <c r="AJ1127" s="313">
        <f>RTD("money.excel",,$G1127,"PredictVolume")</f>
        <v>322</v>
      </c>
      <c r="AK1127" s="348">
        <v>42.83</v>
      </c>
    </row>
    <row r="1128" spans="1:39">
      <c r="A1128" s="148" t="s">
        <v>2381</v>
      </c>
      <c r="B1128" s="82">
        <v>-152</v>
      </c>
      <c r="C1128" s="82">
        <v>-103</v>
      </c>
      <c r="D1128" s="82">
        <v>-14</v>
      </c>
      <c r="E1128" s="82">
        <v>-35</v>
      </c>
      <c r="F1128" s="58">
        <v>-0.33</v>
      </c>
      <c r="G1128" s="81">
        <v>4943</v>
      </c>
      <c r="H1128" s="206" t="s">
        <v>327</v>
      </c>
      <c r="I1128" s="22" t="s">
        <v>58</v>
      </c>
      <c r="J1128" s="330">
        <v>47.32</v>
      </c>
      <c r="K1128" s="75">
        <v>37.950000000000003</v>
      </c>
      <c r="L1128" s="330">
        <v>20.87</v>
      </c>
      <c r="N1128" s="325">
        <f t="shared" si="230"/>
        <v>106.14000000000001</v>
      </c>
      <c r="O1128" s="27"/>
      <c r="P1128" s="56"/>
      <c r="Q1128" s="26"/>
      <c r="S1128" s="330">
        <v>1.47</v>
      </c>
      <c r="T1128" s="34">
        <v>0</v>
      </c>
      <c r="U1128" s="366">
        <f t="shared" si="227"/>
        <v>0</v>
      </c>
      <c r="V1128" s="97">
        <v>-0.99</v>
      </c>
      <c r="W1128" s="36">
        <f>RTD("money.excel",,"4943","Price")</f>
        <v>26.25</v>
      </c>
      <c r="X1128" s="67"/>
      <c r="Y1128" s="15">
        <f t="shared" si="224"/>
        <v>26.25</v>
      </c>
      <c r="Z1128" s="3" t="e">
        <f t="shared" si="225"/>
        <v>#DIV/0!</v>
      </c>
      <c r="AA1128" s="174" t="s">
        <v>1943</v>
      </c>
      <c r="AB1128" s="22" t="s">
        <v>58</v>
      </c>
      <c r="AE1128" s="33">
        <f t="shared" si="226"/>
        <v>0</v>
      </c>
      <c r="AF1128" s="122" t="s">
        <v>3115</v>
      </c>
      <c r="AG1128" s="128"/>
      <c r="AI1128" s="64">
        <f t="shared" si="228"/>
        <v>1.5031847133757962E-3</v>
      </c>
      <c r="AJ1128" s="313">
        <f>RTD("money.excel",,$G1128,"PredictVolume")</f>
        <v>236</v>
      </c>
      <c r="AK1128" s="348"/>
    </row>
    <row r="1129" spans="1:39">
      <c r="A1129" s="148" t="s">
        <v>2559</v>
      </c>
      <c r="B1129" s="82">
        <v>-20</v>
      </c>
      <c r="C1129" s="82">
        <v>-16</v>
      </c>
      <c r="D1129" s="81">
        <v>24</v>
      </c>
      <c r="E1129" s="81">
        <v>40</v>
      </c>
      <c r="F1129" s="6">
        <v>4.47</v>
      </c>
      <c r="G1129" s="81">
        <v>4958</v>
      </c>
      <c r="H1129" s="210" t="s">
        <v>327</v>
      </c>
      <c r="I1129" s="22" t="s">
        <v>27</v>
      </c>
      <c r="J1129" s="330">
        <v>69.47</v>
      </c>
      <c r="K1129" s="330">
        <v>60.62</v>
      </c>
      <c r="L1129" s="330">
        <v>6.27</v>
      </c>
      <c r="N1129" s="325">
        <f t="shared" si="230"/>
        <v>136.36000000000001</v>
      </c>
      <c r="O1129" s="27"/>
      <c r="P1129" s="56"/>
      <c r="Q1129" s="26"/>
      <c r="S1129" s="330">
        <v>0.8</v>
      </c>
      <c r="T1129" s="67">
        <v>4.5</v>
      </c>
      <c r="U1129" s="366">
        <f t="shared" si="227"/>
        <v>4.7669491525423727E-2</v>
      </c>
      <c r="V1129" s="58">
        <v>8.27</v>
      </c>
      <c r="W1129" s="13">
        <f>RTD("money.excel",,"4958","Price")</f>
        <v>94.4</v>
      </c>
      <c r="X1129" s="67"/>
      <c r="Y1129" s="15">
        <f t="shared" si="224"/>
        <v>94.4</v>
      </c>
      <c r="Z1129" s="3" t="e">
        <f t="shared" si="225"/>
        <v>#DIV/0!</v>
      </c>
      <c r="AA1129" s="174" t="s">
        <v>4382</v>
      </c>
      <c r="AB1129" s="22" t="s">
        <v>27</v>
      </c>
      <c r="AE1129" s="33">
        <f t="shared" si="226"/>
        <v>0</v>
      </c>
      <c r="AF1129" s="122" t="s">
        <v>2822</v>
      </c>
      <c r="AG1129" s="128"/>
      <c r="AI1129" s="64">
        <f t="shared" si="228"/>
        <v>1.215417106652587E-3</v>
      </c>
      <c r="AJ1129" s="313">
        <f>RTD("money.excel",,$G1129,"PredictVolume")</f>
        <v>1151</v>
      </c>
      <c r="AK1129" s="348"/>
    </row>
    <row r="1130" spans="1:39">
      <c r="A1130" s="132" t="s">
        <v>1754</v>
      </c>
      <c r="B1130" s="82">
        <v>-3</v>
      </c>
      <c r="C1130" s="81">
        <v>17</v>
      </c>
      <c r="D1130" s="81">
        <v>18</v>
      </c>
      <c r="E1130" s="81">
        <v>46</v>
      </c>
      <c r="F1130" s="58">
        <v>10.4</v>
      </c>
      <c r="G1130" s="81">
        <v>4974</v>
      </c>
      <c r="H1130" s="8" t="s">
        <v>327</v>
      </c>
      <c r="I1130" s="16" t="s">
        <v>5925</v>
      </c>
      <c r="J1130" s="330">
        <v>39.74</v>
      </c>
      <c r="K1130" s="75">
        <v>6.65</v>
      </c>
      <c r="L1130" s="330">
        <v>6.96</v>
      </c>
      <c r="N1130" s="325">
        <f t="shared" si="230"/>
        <v>53.35</v>
      </c>
      <c r="O1130" s="27"/>
      <c r="P1130" s="56"/>
      <c r="Q1130" s="26"/>
      <c r="S1130" s="330">
        <v>0.06</v>
      </c>
      <c r="T1130" s="67">
        <v>3.5</v>
      </c>
      <c r="U1130" s="366">
        <f t="shared" si="227"/>
        <v>6.216696269982238E-2</v>
      </c>
      <c r="V1130" s="97">
        <v>5.16</v>
      </c>
      <c r="W1130" s="36">
        <f>RTD("money.excel",,"4974","Price")</f>
        <v>56.3</v>
      </c>
      <c r="X1130" s="67"/>
      <c r="Y1130" s="15">
        <f t="shared" si="224"/>
        <v>56.3</v>
      </c>
      <c r="Z1130" s="3" t="e">
        <f t="shared" si="225"/>
        <v>#DIV/0!</v>
      </c>
      <c r="AA1130" s="174" t="s">
        <v>2185</v>
      </c>
      <c r="AB1130" s="16" t="s">
        <v>5925</v>
      </c>
      <c r="AE1130" s="33">
        <f t="shared" si="226"/>
        <v>0</v>
      </c>
      <c r="AF1130" s="122" t="s">
        <v>2930</v>
      </c>
      <c r="AG1130" s="128"/>
      <c r="AI1130" s="64">
        <f t="shared" si="228"/>
        <v>1.6827586206896552E-3</v>
      </c>
      <c r="AJ1130" s="313">
        <f>RTD("money.excel",,$G1130,"PredictVolume")</f>
        <v>122</v>
      </c>
      <c r="AK1130" s="348"/>
    </row>
    <row r="1131" spans="1:39">
      <c r="A1131" s="132" t="s">
        <v>1872</v>
      </c>
      <c r="B1131" s="95">
        <v>1554</v>
      </c>
      <c r="C1131" s="95">
        <v>1176</v>
      </c>
      <c r="D1131" s="82">
        <v>-3</v>
      </c>
      <c r="E1131" s="81">
        <v>66</v>
      </c>
      <c r="F1131" s="58">
        <v>16.010000000000002</v>
      </c>
      <c r="G1131" s="81">
        <v>4989</v>
      </c>
      <c r="H1131" s="210" t="s">
        <v>327</v>
      </c>
      <c r="I1131" s="22" t="s">
        <v>4049</v>
      </c>
      <c r="J1131" s="75">
        <v>73.040000000000006</v>
      </c>
      <c r="K1131" s="75">
        <v>3.59</v>
      </c>
      <c r="L1131" s="330">
        <v>12.28</v>
      </c>
      <c r="N1131" s="325">
        <f t="shared" si="230"/>
        <v>88.910000000000011</v>
      </c>
      <c r="O1131" s="27"/>
      <c r="P1131" s="56"/>
      <c r="Q1131" s="26"/>
      <c r="S1131" s="330">
        <v>49.23</v>
      </c>
      <c r="T1131" s="34">
        <v>0.6</v>
      </c>
      <c r="U1131" s="366">
        <f t="shared" si="227"/>
        <v>1.5037593984962405E-2</v>
      </c>
      <c r="V1131" s="58">
        <v>1.83</v>
      </c>
      <c r="W1131" s="36">
        <f>RTD("money.excel",,"4989","Price")</f>
        <v>39.9</v>
      </c>
      <c r="X1131" s="67"/>
      <c r="Y1131" s="15">
        <f t="shared" si="224"/>
        <v>39.9</v>
      </c>
      <c r="Z1131" s="3" t="e">
        <f t="shared" si="225"/>
        <v>#DIV/0!</v>
      </c>
      <c r="AA1131" s="174" t="s">
        <v>1943</v>
      </c>
      <c r="AB1131" s="22" t="s">
        <v>4049</v>
      </c>
      <c r="AE1131" s="33">
        <f t="shared" si="226"/>
        <v>0</v>
      </c>
      <c r="AF1131" s="122" t="s">
        <v>4050</v>
      </c>
      <c r="AG1131" s="128"/>
      <c r="AI1131" s="64">
        <f t="shared" si="228"/>
        <v>2.5686274509803923E-3</v>
      </c>
      <c r="AJ1131" s="313">
        <f>RTD("money.excel",,$G1131,"PredictVolume")</f>
        <v>393</v>
      </c>
      <c r="AK1131" s="348"/>
    </row>
    <row r="1132" spans="1:39">
      <c r="A1132" s="148" t="s">
        <v>1926</v>
      </c>
      <c r="B1132" s="82">
        <v>-60</v>
      </c>
      <c r="C1132" s="82">
        <v>-50</v>
      </c>
      <c r="D1132" s="82">
        <v>-16</v>
      </c>
      <c r="E1132" s="82">
        <v>-17</v>
      </c>
      <c r="F1132" s="6">
        <v>8.89</v>
      </c>
      <c r="G1132" s="81">
        <v>4999</v>
      </c>
      <c r="H1132" s="8" t="s">
        <v>327</v>
      </c>
      <c r="I1132" s="22" t="s">
        <v>5926</v>
      </c>
      <c r="J1132" s="75">
        <v>30.59</v>
      </c>
      <c r="K1132" s="330">
        <v>4.1500000000000004</v>
      </c>
      <c r="L1132" s="330">
        <v>7.18</v>
      </c>
      <c r="M1132" s="330">
        <v>19.149999999999999</v>
      </c>
      <c r="N1132" s="325">
        <f t="shared" si="230"/>
        <v>61.07</v>
      </c>
      <c r="O1132" s="27"/>
      <c r="P1132" s="56"/>
      <c r="Q1132" s="26"/>
      <c r="R1132" s="308" t="s">
        <v>4372</v>
      </c>
      <c r="S1132" s="330">
        <v>0.99</v>
      </c>
      <c r="T1132" s="67">
        <v>3</v>
      </c>
      <c r="U1132" s="366">
        <f t="shared" si="227"/>
        <v>7.6433121019108277E-2</v>
      </c>
      <c r="V1132" s="97">
        <v>3.49</v>
      </c>
      <c r="W1132" s="36">
        <f>RTD("money.excel",,"4999","Price")</f>
        <v>39.25</v>
      </c>
      <c r="X1132" s="67"/>
      <c r="Y1132" s="15">
        <f t="shared" si="224"/>
        <v>39.25</v>
      </c>
      <c r="Z1132" s="35" t="e">
        <f t="shared" si="225"/>
        <v>#DIV/0!</v>
      </c>
      <c r="AA1132" s="174" t="s">
        <v>1986</v>
      </c>
      <c r="AB1132" s="22" t="s">
        <v>5926</v>
      </c>
      <c r="AE1132" s="33">
        <f t="shared" si="226"/>
        <v>0</v>
      </c>
      <c r="AF1132" s="43" t="s">
        <v>3116</v>
      </c>
      <c r="AG1132" s="128"/>
      <c r="AI1132" s="64">
        <f t="shared" si="228"/>
        <v>6.5860215053763444E-4</v>
      </c>
      <c r="AJ1132" s="313">
        <f>RTD("money.excel",,$G1132,"PredictVolume")</f>
        <v>49</v>
      </c>
      <c r="AK1132" s="348"/>
    </row>
    <row r="1133" spans="1:39">
      <c r="A1133" s="148" t="s">
        <v>2631</v>
      </c>
      <c r="B1133" s="82">
        <v>-32</v>
      </c>
      <c r="C1133" s="82">
        <v>17</v>
      </c>
      <c r="D1133" s="82">
        <v>-45</v>
      </c>
      <c r="E1133" s="81">
        <v>655</v>
      </c>
      <c r="F1133" s="75">
        <v>-152.59</v>
      </c>
      <c r="G1133" s="81">
        <v>5227</v>
      </c>
      <c r="H1133" s="8" t="s">
        <v>327</v>
      </c>
      <c r="I1133" s="16" t="s">
        <v>442</v>
      </c>
      <c r="J1133" s="330">
        <v>26.95</v>
      </c>
      <c r="K1133" s="75">
        <v>21.41</v>
      </c>
      <c r="N1133" s="325">
        <f t="shared" si="230"/>
        <v>48.36</v>
      </c>
      <c r="O1133" s="27"/>
      <c r="P1133" s="56"/>
      <c r="Q1133" s="26"/>
      <c r="T1133" s="34">
        <v>0</v>
      </c>
      <c r="U1133" s="366">
        <f t="shared" si="227"/>
        <v>0</v>
      </c>
      <c r="V1133" s="97">
        <v>-4.83</v>
      </c>
      <c r="W1133" s="36">
        <f>RTD("money.excel",,"5227","Price")</f>
        <v>89.5</v>
      </c>
      <c r="X1133" s="67"/>
      <c r="Y1133" s="15">
        <f t="shared" si="224"/>
        <v>89.5</v>
      </c>
      <c r="Z1133" s="3" t="e">
        <f t="shared" si="225"/>
        <v>#DIV/0!</v>
      </c>
      <c r="AA1133" s="174" t="s">
        <v>1943</v>
      </c>
      <c r="AB1133" s="16" t="s">
        <v>442</v>
      </c>
      <c r="AE1133" s="33">
        <f t="shared" si="226"/>
        <v>0</v>
      </c>
      <c r="AF1133" s="61" t="s">
        <v>2808</v>
      </c>
      <c r="AG1133" s="128"/>
      <c r="AI1133" s="64">
        <f t="shared" si="228"/>
        <v>1.9131249999999999E-2</v>
      </c>
      <c r="AJ1133" s="313">
        <f>RTD("money.excel",,$G1133,"PredictVolume")</f>
        <v>3061</v>
      </c>
      <c r="AK1133" s="348"/>
    </row>
    <row r="1134" spans="1:39">
      <c r="A1134" s="132" t="s">
        <v>2165</v>
      </c>
      <c r="B1134" s="81">
        <v>142</v>
      </c>
      <c r="C1134" s="81">
        <v>201</v>
      </c>
      <c r="D1134" s="82">
        <v>-8</v>
      </c>
      <c r="E1134" s="81">
        <v>25</v>
      </c>
      <c r="F1134" s="58">
        <v>13.96</v>
      </c>
      <c r="G1134" s="81">
        <v>5291</v>
      </c>
      <c r="H1134" s="8" t="s">
        <v>327</v>
      </c>
      <c r="I1134" s="16" t="s">
        <v>443</v>
      </c>
      <c r="J1134" s="330">
        <v>19.61</v>
      </c>
      <c r="K1134" s="330">
        <v>5.01</v>
      </c>
      <c r="L1134" s="75">
        <v>45.11</v>
      </c>
      <c r="M1134" s="75">
        <v>15.63</v>
      </c>
      <c r="N1134" s="325">
        <f t="shared" si="230"/>
        <v>85.359999999999985</v>
      </c>
      <c r="O1134" s="27"/>
      <c r="P1134" s="56"/>
      <c r="Q1134" s="26"/>
      <c r="R1134" s="308" t="s">
        <v>4372</v>
      </c>
      <c r="S1134" s="330">
        <v>0.28000000000000003</v>
      </c>
      <c r="T1134" s="34">
        <v>1.1000000000000001</v>
      </c>
      <c r="U1134" s="366">
        <f t="shared" si="227"/>
        <v>2.8947368421052635E-2</v>
      </c>
      <c r="V1134" s="97">
        <v>1.86</v>
      </c>
      <c r="W1134" s="36">
        <f>RTD("money.excel",,"5291","Price")</f>
        <v>38</v>
      </c>
      <c r="X1134" s="67"/>
      <c r="Y1134" s="15">
        <f t="shared" si="224"/>
        <v>38</v>
      </c>
      <c r="Z1134" s="3" t="e">
        <f t="shared" si="225"/>
        <v>#DIV/0!</v>
      </c>
      <c r="AA1134" s="174" t="s">
        <v>1943</v>
      </c>
      <c r="AB1134" s="16" t="s">
        <v>443</v>
      </c>
      <c r="AE1134" s="33">
        <f t="shared" si="226"/>
        <v>0</v>
      </c>
      <c r="AF1134" s="323" t="s">
        <v>2794</v>
      </c>
      <c r="AG1134" s="128"/>
      <c r="AI1134" s="64">
        <f t="shared" si="228"/>
        <v>6.0204081632653063E-3</v>
      </c>
      <c r="AJ1134" s="313">
        <f>RTD("money.excel",,$G1134,"PredictVolume")</f>
        <v>236</v>
      </c>
      <c r="AK1134" s="348"/>
    </row>
    <row r="1135" spans="1:39">
      <c r="A1135" s="148" t="s">
        <v>2118</v>
      </c>
      <c r="B1135" s="81">
        <v>123</v>
      </c>
      <c r="C1135" s="81">
        <v>101</v>
      </c>
      <c r="D1135" s="82">
        <v>-12</v>
      </c>
      <c r="E1135" s="81">
        <v>82</v>
      </c>
      <c r="F1135" s="6">
        <v>0.15</v>
      </c>
      <c r="G1135" s="81">
        <v>5309</v>
      </c>
      <c r="H1135" s="8" t="s">
        <v>327</v>
      </c>
      <c r="I1135" s="16" t="s">
        <v>444</v>
      </c>
      <c r="J1135" s="330">
        <v>25.14</v>
      </c>
      <c r="K1135" s="330">
        <v>9.6999999999999993</v>
      </c>
      <c r="L1135" s="330"/>
      <c r="N1135" s="325">
        <f t="shared" si="230"/>
        <v>34.840000000000003</v>
      </c>
      <c r="O1135" s="27"/>
      <c r="P1135" s="56"/>
      <c r="Q1135" s="26"/>
      <c r="T1135" s="34">
        <v>0</v>
      </c>
      <c r="U1135" s="366">
        <f t="shared" si="227"/>
        <v>0</v>
      </c>
      <c r="V1135" s="97">
        <v>-0.32</v>
      </c>
      <c r="W1135" s="36">
        <f>RTD("money.excel",,"5309","Price")</f>
        <v>38.15</v>
      </c>
      <c r="X1135" s="67"/>
      <c r="Y1135" s="15">
        <f t="shared" si="224"/>
        <v>38.15</v>
      </c>
      <c r="Z1135" s="3" t="e">
        <f t="shared" si="225"/>
        <v>#DIV/0!</v>
      </c>
      <c r="AA1135" s="174" t="s">
        <v>1943</v>
      </c>
      <c r="AB1135" s="16" t="s">
        <v>444</v>
      </c>
      <c r="AE1135" s="33">
        <f t="shared" si="226"/>
        <v>0</v>
      </c>
      <c r="AF1135" s="43" t="s">
        <v>2847</v>
      </c>
      <c r="AG1135" s="128"/>
      <c r="AI1135" s="64">
        <f t="shared" si="228"/>
        <v>7.1493506493506493E-3</v>
      </c>
      <c r="AJ1135" s="313">
        <f>RTD("money.excel",,$G1135,"PredictVolume")</f>
        <v>1101</v>
      </c>
      <c r="AK1135" s="348"/>
    </row>
    <row r="1136" spans="1:39">
      <c r="A1136" s="148" t="s">
        <v>3520</v>
      </c>
      <c r="B1136" s="82">
        <v>-303</v>
      </c>
      <c r="C1136" s="82">
        <v>-126</v>
      </c>
      <c r="D1136" s="81">
        <v>15</v>
      </c>
      <c r="E1136" s="81">
        <v>40</v>
      </c>
      <c r="F1136" s="6">
        <v>-1.1000000000000001</v>
      </c>
      <c r="G1136" s="81">
        <v>5321</v>
      </c>
      <c r="H1136" s="8" t="s">
        <v>327</v>
      </c>
      <c r="I1136" s="16" t="s">
        <v>5927</v>
      </c>
      <c r="J1136" s="330">
        <v>50.84</v>
      </c>
      <c r="K1136" s="75">
        <v>0.08</v>
      </c>
      <c r="L1136" s="75">
        <v>27.73</v>
      </c>
      <c r="N1136" s="325">
        <f t="shared" si="230"/>
        <v>78.650000000000006</v>
      </c>
      <c r="O1136" s="27"/>
      <c r="P1136" s="56"/>
      <c r="Q1136" s="26"/>
      <c r="S1136" s="330">
        <v>0</v>
      </c>
      <c r="T1136" s="34">
        <v>0</v>
      </c>
      <c r="U1136" s="366">
        <f t="shared" si="227"/>
        <v>0</v>
      </c>
      <c r="V1136" s="97">
        <v>-3.75</v>
      </c>
      <c r="W1136" s="13">
        <f>RTD("money.excel",,"5321","Price")</f>
        <v>137.5</v>
      </c>
      <c r="X1136" s="67"/>
      <c r="Y1136" s="15">
        <f t="shared" si="224"/>
        <v>137.5</v>
      </c>
      <c r="Z1136" s="3" t="e">
        <f t="shared" si="225"/>
        <v>#DIV/0!</v>
      </c>
      <c r="AB1136" s="16" t="s">
        <v>5927</v>
      </c>
      <c r="AE1136" s="33">
        <f t="shared" si="226"/>
        <v>0</v>
      </c>
      <c r="AF1136" s="43" t="s">
        <v>2931</v>
      </c>
      <c r="AG1136" s="269"/>
      <c r="AI1136" s="64">
        <f t="shared" si="228"/>
        <v>4.882857142857143E-2</v>
      </c>
      <c r="AJ1136" s="313">
        <f>RTD("money.excel",,$G1136,"PredictVolume")</f>
        <v>1709</v>
      </c>
      <c r="AK1136" s="348"/>
    </row>
    <row r="1137" spans="1:37">
      <c r="A1137" s="148" t="s">
        <v>1810</v>
      </c>
      <c r="B1137" s="93">
        <v>123</v>
      </c>
      <c r="C1137" s="93">
        <v>96</v>
      </c>
      <c r="D1137" s="93">
        <v>-10</v>
      </c>
      <c r="E1137" s="93">
        <v>14</v>
      </c>
      <c r="F1137" s="6">
        <v>-0.28999999999999998</v>
      </c>
      <c r="G1137" s="81">
        <v>5328</v>
      </c>
      <c r="H1137" s="8" t="s">
        <v>327</v>
      </c>
      <c r="I1137" s="16" t="s">
        <v>445</v>
      </c>
      <c r="J1137" s="75">
        <v>48.91</v>
      </c>
      <c r="K1137" s="75">
        <v>1.8</v>
      </c>
      <c r="L1137" s="75">
        <v>0</v>
      </c>
      <c r="N1137" s="325">
        <f t="shared" si="230"/>
        <v>50.709999999999994</v>
      </c>
      <c r="O1137" s="27"/>
      <c r="P1137" s="56"/>
      <c r="Q1137" s="26"/>
      <c r="S1137" s="330">
        <v>37.61</v>
      </c>
      <c r="T1137" s="34">
        <v>0</v>
      </c>
      <c r="U1137" s="366">
        <f t="shared" si="227"/>
        <v>0</v>
      </c>
      <c r="V1137" s="97">
        <v>0.12</v>
      </c>
      <c r="W1137" s="36">
        <f>RTD("money.excel",,"5328","Price")</f>
        <v>12.3</v>
      </c>
      <c r="X1137" s="67"/>
      <c r="Y1137" s="15">
        <f t="shared" si="224"/>
        <v>12.3</v>
      </c>
      <c r="Z1137" s="3" t="e">
        <f t="shared" si="225"/>
        <v>#DIV/0!</v>
      </c>
      <c r="AB1137" s="16" t="s">
        <v>445</v>
      </c>
      <c r="AE1137" s="33">
        <f t="shared" si="226"/>
        <v>0</v>
      </c>
      <c r="AF1137" s="43" t="s">
        <v>2932</v>
      </c>
      <c r="AG1137" s="128"/>
      <c r="AI1137" s="64">
        <f t="shared" si="228"/>
        <v>1.1744186046511629E-3</v>
      </c>
      <c r="AJ1137" s="313">
        <f>RTD("money.excel",,$G1137,"PredictVolume")</f>
        <v>202</v>
      </c>
      <c r="AK1137" s="348"/>
    </row>
    <row r="1138" spans="1:37">
      <c r="A1138" s="148" t="s">
        <v>1815</v>
      </c>
      <c r="B1138" s="82">
        <v>-32</v>
      </c>
      <c r="C1138" s="82">
        <v>-34</v>
      </c>
      <c r="D1138" s="82">
        <v>-1</v>
      </c>
      <c r="E1138" s="82">
        <v>-7</v>
      </c>
      <c r="F1138" s="6">
        <v>7.39</v>
      </c>
      <c r="G1138" s="81">
        <v>5340</v>
      </c>
      <c r="H1138" s="8" t="s">
        <v>327</v>
      </c>
      <c r="I1138" s="16" t="s">
        <v>446</v>
      </c>
      <c r="J1138" s="330">
        <v>67.5</v>
      </c>
      <c r="K1138" s="75">
        <v>49.97</v>
      </c>
      <c r="L1138" s="330"/>
      <c r="N1138" s="325">
        <f t="shared" si="230"/>
        <v>117.47</v>
      </c>
      <c r="O1138" s="27"/>
      <c r="P1138" s="56"/>
      <c r="Q1138" s="26"/>
      <c r="S1138" s="330">
        <v>49.3</v>
      </c>
      <c r="T1138" s="34">
        <v>0</v>
      </c>
      <c r="U1138" s="366">
        <f t="shared" si="227"/>
        <v>0</v>
      </c>
      <c r="V1138" s="58">
        <v>0.49</v>
      </c>
      <c r="W1138" s="13">
        <f>RTD("money.excel",,"5340","Price")</f>
        <v>33.15</v>
      </c>
      <c r="X1138" s="67"/>
      <c r="Y1138" s="15">
        <f t="shared" si="224"/>
        <v>33.15</v>
      </c>
      <c r="Z1138" s="3" t="e">
        <f t="shared" si="225"/>
        <v>#DIV/0!</v>
      </c>
      <c r="AA1138" s="174" t="s">
        <v>1943</v>
      </c>
      <c r="AB1138" s="16" t="s">
        <v>446</v>
      </c>
      <c r="AE1138" s="33">
        <f t="shared" si="226"/>
        <v>0</v>
      </c>
      <c r="AF1138" s="43" t="s">
        <v>2933</v>
      </c>
      <c r="AG1138" s="128"/>
      <c r="AI1138" s="64">
        <f t="shared" si="228"/>
        <v>1.443298969072165E-4</v>
      </c>
      <c r="AJ1138" s="313">
        <f>RTD("money.excel",,$G1138,"PredictVolume")</f>
        <v>28</v>
      </c>
      <c r="AK1138" s="348"/>
    </row>
    <row r="1139" spans="1:37">
      <c r="A1139" s="148" t="s">
        <v>3521</v>
      </c>
      <c r="B1139" s="93">
        <v>-19</v>
      </c>
      <c r="C1139" s="93">
        <v>-20</v>
      </c>
      <c r="D1139" s="93">
        <v>75</v>
      </c>
      <c r="E1139" s="142">
        <v>2521</v>
      </c>
      <c r="F1139" s="6">
        <v>-99.99</v>
      </c>
      <c r="G1139" s="81">
        <v>5345</v>
      </c>
      <c r="H1139" s="8" t="s">
        <v>327</v>
      </c>
      <c r="I1139" s="16" t="s">
        <v>447</v>
      </c>
      <c r="J1139" s="75">
        <v>46.21</v>
      </c>
      <c r="K1139" s="75">
        <v>0.19</v>
      </c>
      <c r="N1139" s="325">
        <f t="shared" si="230"/>
        <v>46.4</v>
      </c>
      <c r="O1139" s="27"/>
      <c r="P1139" s="56"/>
      <c r="Q1139" s="26"/>
      <c r="S1139" s="330">
        <v>27.25</v>
      </c>
      <c r="T1139" s="34">
        <v>0</v>
      </c>
      <c r="U1139" s="366">
        <f t="shared" si="227"/>
        <v>0</v>
      </c>
      <c r="V1139" s="97">
        <v>-3.34</v>
      </c>
      <c r="W1139" s="36">
        <f>RTD("money.excel",,"5345","Price")</f>
        <v>5.85</v>
      </c>
      <c r="X1139" s="67"/>
      <c r="Y1139" s="15">
        <f t="shared" si="224"/>
        <v>5.85</v>
      </c>
      <c r="Z1139" s="3" t="e">
        <f t="shared" si="225"/>
        <v>#DIV/0!</v>
      </c>
      <c r="AB1139" s="16" t="s">
        <v>447</v>
      </c>
      <c r="AE1139" s="33">
        <f t="shared" si="226"/>
        <v>0</v>
      </c>
      <c r="AF1139" s="43" t="s">
        <v>448</v>
      </c>
      <c r="AG1139" s="128"/>
      <c r="AI1139" s="64">
        <f t="shared" si="228"/>
        <v>8.4210526315789476E-5</v>
      </c>
      <c r="AJ1139" s="313">
        <f>RTD("money.excel",,$G1139,"PredictVolume")</f>
        <v>4</v>
      </c>
      <c r="AK1139" s="348"/>
    </row>
    <row r="1140" spans="1:37">
      <c r="A1140" s="148" t="s">
        <v>2029</v>
      </c>
      <c r="B1140" s="93">
        <v>-52</v>
      </c>
      <c r="C1140" s="93">
        <v>-6</v>
      </c>
      <c r="D1140" s="93">
        <v>-6</v>
      </c>
      <c r="E1140" s="93">
        <v>-22</v>
      </c>
      <c r="F1140" s="6">
        <v>-14.74</v>
      </c>
      <c r="G1140" s="81">
        <v>5355</v>
      </c>
      <c r="H1140" s="8" t="s">
        <v>327</v>
      </c>
      <c r="I1140" s="16" t="s">
        <v>5928</v>
      </c>
      <c r="J1140" s="75">
        <v>56.21</v>
      </c>
      <c r="K1140" s="75">
        <v>0.66</v>
      </c>
      <c r="L1140" s="75">
        <v>0</v>
      </c>
      <c r="N1140" s="325">
        <f t="shared" si="230"/>
        <v>56.87</v>
      </c>
      <c r="O1140" s="27"/>
      <c r="P1140" s="56"/>
      <c r="Q1140" s="26"/>
      <c r="S1140" s="330">
        <v>13.01</v>
      </c>
      <c r="T1140" s="34">
        <v>0</v>
      </c>
      <c r="U1140" s="366">
        <f t="shared" si="227"/>
        <v>0</v>
      </c>
      <c r="V1140" s="97">
        <v>0.08</v>
      </c>
      <c r="W1140" s="13">
        <f>RTD("money.excel",,"5355","Price")</f>
        <v>6.59</v>
      </c>
      <c r="X1140" s="67"/>
      <c r="Y1140" s="15">
        <f t="shared" si="224"/>
        <v>6.59</v>
      </c>
      <c r="Z1140" s="3" t="e">
        <f t="shared" si="225"/>
        <v>#DIV/0!</v>
      </c>
      <c r="AB1140" s="16" t="s">
        <v>5928</v>
      </c>
      <c r="AE1140" s="33">
        <f t="shared" si="226"/>
        <v>0</v>
      </c>
      <c r="AF1140" s="43" t="s">
        <v>2934</v>
      </c>
      <c r="AG1140" s="125"/>
      <c r="AI1140" s="64">
        <f t="shared" si="228"/>
        <v>3.3734939759036143E-4</v>
      </c>
      <c r="AJ1140" s="313">
        <f>RTD("money.excel",,$G1140,"PredictVolume")</f>
        <v>56</v>
      </c>
      <c r="AK1140" s="83"/>
    </row>
    <row r="1141" spans="1:37">
      <c r="A1141" s="148" t="s">
        <v>2394</v>
      </c>
      <c r="B1141" s="93" t="s">
        <v>1657</v>
      </c>
      <c r="C1141" s="93" t="s">
        <v>1658</v>
      </c>
      <c r="D1141" s="93" t="s">
        <v>1659</v>
      </c>
      <c r="E1141" s="93" t="s">
        <v>1660</v>
      </c>
      <c r="F1141" s="6">
        <v>1.67</v>
      </c>
      <c r="G1141" s="81">
        <v>5381</v>
      </c>
      <c r="H1141" s="8" t="s">
        <v>327</v>
      </c>
      <c r="I1141" s="16" t="s">
        <v>5929</v>
      </c>
      <c r="J1141" s="75">
        <v>61.93</v>
      </c>
      <c r="K1141" s="75">
        <v>0.86</v>
      </c>
      <c r="N1141" s="325">
        <f t="shared" si="230"/>
        <v>62.79</v>
      </c>
      <c r="O1141" s="27"/>
      <c r="P1141" s="56"/>
      <c r="Q1141" s="26"/>
      <c r="S1141" s="330">
        <v>15.35</v>
      </c>
      <c r="T1141" s="34">
        <v>0</v>
      </c>
      <c r="U1141" s="366">
        <f t="shared" si="227"/>
        <v>0</v>
      </c>
      <c r="V1141" s="97">
        <v>0.02</v>
      </c>
      <c r="W1141" s="13">
        <f>RTD("money.excel",,"5381","Price")</f>
        <v>5.92</v>
      </c>
      <c r="X1141" s="67"/>
      <c r="Y1141" s="15">
        <f t="shared" si="224"/>
        <v>5.92</v>
      </c>
      <c r="Z1141" s="3" t="e">
        <f t="shared" si="225"/>
        <v>#DIV/0!</v>
      </c>
      <c r="AB1141" s="16" t="s">
        <v>5929</v>
      </c>
      <c r="AE1141" s="33">
        <f t="shared" si="226"/>
        <v>0</v>
      </c>
      <c r="AF1141" s="43" t="s">
        <v>2935</v>
      </c>
      <c r="AG1141" s="128"/>
      <c r="AI1141" s="64">
        <f t="shared" si="228"/>
        <v>1.4444444444444444E-4</v>
      </c>
      <c r="AJ1141" s="313">
        <f>RTD("money.excel",,$G1141,"PredictVolume")</f>
        <v>26</v>
      </c>
      <c r="AK1141" s="348"/>
    </row>
    <row r="1142" spans="1:37">
      <c r="A1142" s="132" t="s">
        <v>3652</v>
      </c>
      <c r="B1142" s="81">
        <v>37</v>
      </c>
      <c r="C1142" s="81">
        <v>39</v>
      </c>
      <c r="D1142" s="81">
        <v>5</v>
      </c>
      <c r="E1142" s="81">
        <v>73</v>
      </c>
      <c r="F1142" s="58">
        <v>16.350000000000001</v>
      </c>
      <c r="G1142" s="81">
        <v>5439</v>
      </c>
      <c r="H1142" s="8" t="s">
        <v>327</v>
      </c>
      <c r="I1142" s="173" t="s">
        <v>91</v>
      </c>
      <c r="J1142" s="330">
        <v>28.95</v>
      </c>
      <c r="K1142" s="330">
        <v>8.1</v>
      </c>
      <c r="L1142" s="330">
        <v>22.97</v>
      </c>
      <c r="N1142" s="325">
        <f t="shared" si="230"/>
        <v>60.019999999999996</v>
      </c>
      <c r="O1142" s="27"/>
      <c r="P1142" s="56"/>
      <c r="Q1142" s="26"/>
      <c r="S1142" s="330">
        <v>1.42</v>
      </c>
      <c r="T1142" s="199">
        <v>2.5</v>
      </c>
      <c r="U1142" s="366">
        <f t="shared" si="227"/>
        <v>4.8355899419729204E-2</v>
      </c>
      <c r="V1142" s="97">
        <v>4.1100000000000003</v>
      </c>
      <c r="W1142" s="36">
        <f>RTD("money.excel",,"5439","Price")</f>
        <v>51.7</v>
      </c>
      <c r="X1142" s="67"/>
      <c r="Y1142" s="15">
        <f t="shared" si="224"/>
        <v>51.7</v>
      </c>
      <c r="Z1142" s="3" t="e">
        <f t="shared" si="225"/>
        <v>#DIV/0!</v>
      </c>
      <c r="AA1142" s="174" t="s">
        <v>1943</v>
      </c>
      <c r="AB1142" s="16" t="s">
        <v>91</v>
      </c>
      <c r="AE1142" s="33">
        <f t="shared" si="226"/>
        <v>0</v>
      </c>
      <c r="AF1142" s="122" t="s">
        <v>1101</v>
      </c>
      <c r="AG1142" s="128"/>
      <c r="AI1142" s="64">
        <f t="shared" si="228"/>
        <v>2.0537634408602152E-3</v>
      </c>
      <c r="AJ1142" s="313">
        <f>RTD("money.excel",,$G1142,"PredictVolume")</f>
        <v>191</v>
      </c>
      <c r="AK1142" s="348"/>
    </row>
    <row r="1143" spans="1:37">
      <c r="A1143" s="132" t="s">
        <v>1819</v>
      </c>
      <c r="B1143" s="81">
        <v>16</v>
      </c>
      <c r="C1143" s="81">
        <v>13</v>
      </c>
      <c r="D1143" s="81">
        <v>26</v>
      </c>
      <c r="E1143" s="81">
        <v>28</v>
      </c>
      <c r="F1143" s="58">
        <v>12.07</v>
      </c>
      <c r="G1143" s="81">
        <v>5457</v>
      </c>
      <c r="H1143" s="210" t="s">
        <v>327</v>
      </c>
      <c r="I1143" s="16" t="s">
        <v>191</v>
      </c>
      <c r="J1143" s="330">
        <v>64.56</v>
      </c>
      <c r="K1143" s="330">
        <v>42.49</v>
      </c>
      <c r="L1143" s="330">
        <v>19.41</v>
      </c>
      <c r="N1143" s="325">
        <f t="shared" si="230"/>
        <v>126.46000000000001</v>
      </c>
      <c r="O1143" s="27"/>
      <c r="P1143" s="56"/>
      <c r="Q1143" s="26"/>
      <c r="S1143" s="330">
        <v>6.82</v>
      </c>
      <c r="T1143" s="34">
        <v>2.1</v>
      </c>
      <c r="U1143" s="366">
        <f t="shared" si="227"/>
        <v>3.6713286713286712E-2</v>
      </c>
      <c r="V1143" s="58">
        <v>4.37</v>
      </c>
      <c r="W1143" s="13">
        <f>RTD("money.excel",,"5457","Price")</f>
        <v>57.2</v>
      </c>
      <c r="X1143" s="67"/>
      <c r="Y1143" s="15">
        <f t="shared" si="224"/>
        <v>57.2</v>
      </c>
      <c r="Z1143" s="3" t="e">
        <f t="shared" si="225"/>
        <v>#DIV/0!</v>
      </c>
      <c r="AA1143" s="174" t="s">
        <v>1943</v>
      </c>
      <c r="AB1143" s="16" t="s">
        <v>191</v>
      </c>
      <c r="AE1143" s="33">
        <f t="shared" si="226"/>
        <v>0</v>
      </c>
      <c r="AF1143" s="124" t="s">
        <v>3063</v>
      </c>
      <c r="AG1143" s="43"/>
      <c r="AI1143" s="64">
        <f t="shared" si="228"/>
        <v>1.5869822485207099E-2</v>
      </c>
      <c r="AJ1143" s="313">
        <f>RTD("money.excel",,$G1143,"PredictVolume")</f>
        <v>2682</v>
      </c>
      <c r="AK1143" s="348"/>
    </row>
    <row r="1144" spans="1:37">
      <c r="A1144" s="148" t="s">
        <v>3522</v>
      </c>
      <c r="B1144" s="93">
        <v>-101</v>
      </c>
      <c r="C1144" s="93">
        <v>-94</v>
      </c>
      <c r="D1144" s="93">
        <v>-11</v>
      </c>
      <c r="E1144" s="93">
        <v>-24</v>
      </c>
      <c r="F1144" s="6">
        <v>0.64</v>
      </c>
      <c r="G1144" s="81">
        <v>5460</v>
      </c>
      <c r="H1144" s="8" t="s">
        <v>327</v>
      </c>
      <c r="I1144" s="16" t="s">
        <v>5930</v>
      </c>
      <c r="J1144" s="75">
        <v>37.69</v>
      </c>
      <c r="K1144" s="75">
        <v>0.01</v>
      </c>
      <c r="L1144" s="75">
        <v>1.63</v>
      </c>
      <c r="N1144" s="325">
        <f t="shared" si="230"/>
        <v>39.33</v>
      </c>
      <c r="O1144" s="27"/>
      <c r="P1144" s="56"/>
      <c r="Q1144" s="26"/>
      <c r="S1144" s="330">
        <v>15.51</v>
      </c>
      <c r="T1144" s="34">
        <v>0.1</v>
      </c>
      <c r="U1144" s="366">
        <f t="shared" si="227"/>
        <v>8.4388185654008449E-3</v>
      </c>
      <c r="V1144" s="97">
        <v>0.02</v>
      </c>
      <c r="W1144" s="36">
        <f>RTD("money.excel",,"5460","Price")</f>
        <v>11.85</v>
      </c>
      <c r="X1144" s="67"/>
      <c r="Y1144" s="15">
        <f t="shared" ref="Y1144:Y1208" si="232">W1144-X1144</f>
        <v>11.85</v>
      </c>
      <c r="Z1144" s="3" t="e">
        <f t="shared" ref="Z1144:Z1208" si="233">Y1144/X1144</f>
        <v>#DIV/0!</v>
      </c>
      <c r="AB1144" s="16" t="s">
        <v>5930</v>
      </c>
      <c r="AE1144" s="33">
        <f t="shared" ref="AE1144:AE1208" si="234">AD1144-AC1144</f>
        <v>0</v>
      </c>
      <c r="AF1144" s="43" t="s">
        <v>2936</v>
      </c>
      <c r="AG1144" s="128"/>
      <c r="AI1144" s="64">
        <f t="shared" si="228"/>
        <v>1.0620915032679738E-3</v>
      </c>
      <c r="AJ1144" s="313">
        <f>RTD("money.excel",,$G1144,"PredictVolume")</f>
        <v>65</v>
      </c>
      <c r="AK1144" s="348"/>
    </row>
    <row r="1145" spans="1:37">
      <c r="A1145" s="148" t="s">
        <v>3523</v>
      </c>
      <c r="B1145" s="93">
        <v>-308</v>
      </c>
      <c r="C1145" s="208">
        <v>-3515</v>
      </c>
      <c r="D1145" s="93">
        <v>-14</v>
      </c>
      <c r="E1145" s="93">
        <v>43</v>
      </c>
      <c r="F1145" s="6">
        <v>-13.52</v>
      </c>
      <c r="G1145" s="81">
        <v>5464</v>
      </c>
      <c r="H1145" s="8" t="s">
        <v>327</v>
      </c>
      <c r="I1145" s="16" t="s">
        <v>450</v>
      </c>
      <c r="J1145" s="75">
        <v>62.69</v>
      </c>
      <c r="K1145" s="75">
        <v>0.85</v>
      </c>
      <c r="L1145" s="75">
        <v>7.91</v>
      </c>
      <c r="N1145" s="325">
        <f t="shared" si="230"/>
        <v>71.45</v>
      </c>
      <c r="O1145" s="27"/>
      <c r="P1145" s="56"/>
      <c r="Q1145" s="26"/>
      <c r="S1145" s="330">
        <v>25.93</v>
      </c>
      <c r="T1145" s="34">
        <v>0</v>
      </c>
      <c r="U1145" s="366">
        <f t="shared" si="227"/>
        <v>0</v>
      </c>
      <c r="V1145" s="97">
        <v>-2.3199999999999998</v>
      </c>
      <c r="W1145" s="13">
        <f>RTD("money.excel",,"5464","Price")</f>
        <v>23.25</v>
      </c>
      <c r="X1145" s="67"/>
      <c r="Y1145" s="15">
        <f t="shared" si="232"/>
        <v>23.25</v>
      </c>
      <c r="Z1145" s="3" t="e">
        <f t="shared" si="233"/>
        <v>#DIV/0!</v>
      </c>
      <c r="AB1145" s="16" t="s">
        <v>450</v>
      </c>
      <c r="AE1145" s="33">
        <f t="shared" si="234"/>
        <v>0</v>
      </c>
      <c r="AF1145" s="43" t="s">
        <v>1101</v>
      </c>
      <c r="AG1145" s="128"/>
      <c r="AI1145" s="64">
        <f t="shared" si="228"/>
        <v>1.3642756680731364E-3</v>
      </c>
      <c r="AJ1145" s="313">
        <f>RTD("money.excel",,$G1145,"PredictVolume")</f>
        <v>97</v>
      </c>
      <c r="AK1145" s="348"/>
    </row>
    <row r="1146" spans="1:37">
      <c r="A1146" s="132" t="s">
        <v>2239</v>
      </c>
      <c r="B1146" s="81">
        <v>440</v>
      </c>
      <c r="C1146" s="81">
        <v>178</v>
      </c>
      <c r="D1146" s="81">
        <v>0</v>
      </c>
      <c r="E1146" s="81">
        <v>14</v>
      </c>
      <c r="F1146" s="58">
        <v>11.43</v>
      </c>
      <c r="G1146" s="81">
        <v>5469</v>
      </c>
      <c r="H1146" s="210" t="s">
        <v>327</v>
      </c>
      <c r="I1146" s="22" t="s">
        <v>251</v>
      </c>
      <c r="J1146" s="330">
        <v>64.959999999999994</v>
      </c>
      <c r="K1146" s="75">
        <v>13.22</v>
      </c>
      <c r="L1146" s="330">
        <v>13.88</v>
      </c>
      <c r="N1146" s="325">
        <f t="shared" si="230"/>
        <v>92.059999999999988</v>
      </c>
      <c r="O1146" s="27"/>
      <c r="P1146" s="56"/>
      <c r="Q1146" s="26"/>
      <c r="S1146" s="330">
        <v>0.04</v>
      </c>
      <c r="T1146" s="34">
        <v>2.2000000000000002</v>
      </c>
      <c r="U1146" s="366">
        <f t="shared" ref="U1146:U1209" si="235">T1146/W1146</f>
        <v>5.2256532066508314E-2</v>
      </c>
      <c r="V1146" s="58">
        <v>7.19</v>
      </c>
      <c r="W1146" s="36">
        <f>RTD("money.excel",,"5469","Price")</f>
        <v>42.1</v>
      </c>
      <c r="X1146" s="67"/>
      <c r="Y1146" s="15">
        <f t="shared" si="232"/>
        <v>42.1</v>
      </c>
      <c r="Z1146" s="35" t="e">
        <f t="shared" si="233"/>
        <v>#DIV/0!</v>
      </c>
      <c r="AA1146" s="174" t="s">
        <v>1943</v>
      </c>
      <c r="AB1146" s="22" t="s">
        <v>251</v>
      </c>
      <c r="AE1146" s="33">
        <f t="shared" si="234"/>
        <v>0</v>
      </c>
      <c r="AF1146" s="122" t="s">
        <v>3117</v>
      </c>
      <c r="AI1146" s="64">
        <f t="shared" ref="AI1146:AI1209" si="236">AJ1146/(A1146*10000)</f>
        <v>1E-3</v>
      </c>
      <c r="AJ1146" s="313">
        <f>RTD("money.excel",,$G1146,"PredictVolume")</f>
        <v>528</v>
      </c>
    </row>
    <row r="1147" spans="1:37">
      <c r="A1147" s="132" t="s">
        <v>1636</v>
      </c>
      <c r="B1147" s="81">
        <v>228</v>
      </c>
      <c r="C1147" s="81">
        <v>403</v>
      </c>
      <c r="D1147" s="81">
        <v>10</v>
      </c>
      <c r="E1147" s="81">
        <v>256</v>
      </c>
      <c r="F1147" s="58">
        <v>24.99</v>
      </c>
      <c r="G1147" s="81">
        <v>5475</v>
      </c>
      <c r="H1147" s="8" t="s">
        <v>327</v>
      </c>
      <c r="I1147" s="16" t="s">
        <v>451</v>
      </c>
      <c r="J1147" s="75">
        <v>13.71</v>
      </c>
      <c r="K1147" s="330">
        <v>0.39</v>
      </c>
      <c r="L1147" s="330"/>
      <c r="N1147" s="325">
        <f t="shared" si="230"/>
        <v>14.100000000000001</v>
      </c>
      <c r="O1147" s="27"/>
      <c r="P1147" s="56"/>
      <c r="Q1147" s="26"/>
      <c r="T1147" s="34">
        <v>0</v>
      </c>
      <c r="U1147" s="366">
        <f t="shared" si="235"/>
        <v>0</v>
      </c>
      <c r="V1147" s="97">
        <v>2.3199999999999998</v>
      </c>
      <c r="W1147" s="36">
        <f>RTD("money.excel",,"5475","Price")</f>
        <v>22</v>
      </c>
      <c r="X1147" s="67"/>
      <c r="Y1147" s="15">
        <f t="shared" si="232"/>
        <v>22</v>
      </c>
      <c r="Z1147" s="3" t="e">
        <f t="shared" si="233"/>
        <v>#DIV/0!</v>
      </c>
      <c r="AB1147" s="16" t="s">
        <v>451</v>
      </c>
      <c r="AE1147" s="33">
        <f t="shared" si="234"/>
        <v>0</v>
      </c>
      <c r="AF1147" s="43" t="s">
        <v>1114</v>
      </c>
      <c r="AG1147" s="125"/>
      <c r="AI1147" s="64">
        <f t="shared" si="236"/>
        <v>9.6377952755905508E-2</v>
      </c>
      <c r="AJ1147" s="313">
        <f>RTD("money.excel",,$G1147,"PredictVolume")</f>
        <v>12240</v>
      </c>
      <c r="AK1147" s="83"/>
    </row>
    <row r="1148" spans="1:37">
      <c r="A1148" s="148" t="s">
        <v>3509</v>
      </c>
      <c r="B1148" s="93">
        <v>-78</v>
      </c>
      <c r="C1148" s="93">
        <v>-23</v>
      </c>
      <c r="D1148" s="93">
        <v>-9</v>
      </c>
      <c r="E1148" s="93">
        <v>8</v>
      </c>
      <c r="F1148" s="6">
        <v>-4.42</v>
      </c>
      <c r="G1148" s="81">
        <v>5488</v>
      </c>
      <c r="H1148" s="8" t="s">
        <v>327</v>
      </c>
      <c r="I1148" s="16" t="s">
        <v>452</v>
      </c>
      <c r="J1148" s="75">
        <v>53.69</v>
      </c>
      <c r="K1148" s="75">
        <v>0</v>
      </c>
      <c r="L1148" s="75">
        <v>38.83</v>
      </c>
      <c r="N1148" s="325">
        <f t="shared" si="230"/>
        <v>92.52</v>
      </c>
      <c r="O1148" s="27"/>
      <c r="P1148" s="56"/>
      <c r="Q1148" s="26"/>
      <c r="S1148" s="330">
        <v>16.89</v>
      </c>
      <c r="T1148" s="34">
        <v>0</v>
      </c>
      <c r="U1148" s="366">
        <f t="shared" si="235"/>
        <v>0</v>
      </c>
      <c r="V1148" s="97">
        <v>-0.32</v>
      </c>
      <c r="W1148" s="13">
        <f>RTD("money.excel",,"5488","Price")</f>
        <v>8.18</v>
      </c>
      <c r="X1148" s="67"/>
      <c r="Y1148" s="15">
        <f t="shared" si="232"/>
        <v>8.18</v>
      </c>
      <c r="Z1148" s="3" t="e">
        <f t="shared" si="233"/>
        <v>#DIV/0!</v>
      </c>
      <c r="AB1148" s="16" t="s">
        <v>452</v>
      </c>
      <c r="AE1148" s="33">
        <f t="shared" si="234"/>
        <v>0</v>
      </c>
      <c r="AF1148" s="43" t="s">
        <v>2937</v>
      </c>
      <c r="AI1148" s="64">
        <f t="shared" si="236"/>
        <v>7.7510917030567685E-4</v>
      </c>
      <c r="AJ1148" s="313">
        <f>RTD("money.excel",,$G1148,"PredictVolume")</f>
        <v>71</v>
      </c>
    </row>
    <row r="1149" spans="1:37">
      <c r="A1149" s="148" t="s">
        <v>1733</v>
      </c>
      <c r="B1149" s="81">
        <v>31</v>
      </c>
      <c r="C1149" s="81">
        <v>362</v>
      </c>
      <c r="D1149" s="82">
        <v>-10</v>
      </c>
      <c r="E1149" s="81">
        <v>5</v>
      </c>
      <c r="F1149" s="6">
        <v>4.3099999999999996</v>
      </c>
      <c r="G1149" s="81">
        <v>5498</v>
      </c>
      <c r="H1149" s="8" t="s">
        <v>327</v>
      </c>
      <c r="I1149" s="16" t="s">
        <v>453</v>
      </c>
      <c r="J1149" s="330">
        <v>42.57</v>
      </c>
      <c r="K1149" s="330">
        <v>0.95</v>
      </c>
      <c r="L1149" s="75">
        <v>12.91</v>
      </c>
      <c r="N1149" s="325">
        <f t="shared" si="230"/>
        <v>56.430000000000007</v>
      </c>
      <c r="O1149" s="27"/>
      <c r="P1149" s="56"/>
      <c r="Q1149" s="26"/>
      <c r="S1149" s="330">
        <v>0.37</v>
      </c>
      <c r="T1149" s="34">
        <v>0.6</v>
      </c>
      <c r="U1149" s="366">
        <f t="shared" si="235"/>
        <v>4.7808764940239036E-2</v>
      </c>
      <c r="V1149" s="97">
        <v>0.53</v>
      </c>
      <c r="W1149" s="36">
        <f>RTD("money.excel",,"5498","Price")</f>
        <v>12.55</v>
      </c>
      <c r="X1149" s="67"/>
      <c r="Y1149" s="15">
        <f t="shared" si="232"/>
        <v>12.55</v>
      </c>
      <c r="Z1149" s="3" t="e">
        <f t="shared" si="233"/>
        <v>#DIV/0!</v>
      </c>
      <c r="AA1149" s="174" t="s">
        <v>1943</v>
      </c>
      <c r="AB1149" s="16" t="s">
        <v>453</v>
      </c>
      <c r="AE1149" s="33">
        <f t="shared" si="234"/>
        <v>0</v>
      </c>
      <c r="AF1149" s="43" t="s">
        <v>454</v>
      </c>
      <c r="AG1149" s="128"/>
      <c r="AI1149" s="64">
        <f t="shared" si="236"/>
        <v>2.3068783068783067E-3</v>
      </c>
      <c r="AJ1149" s="313">
        <f>RTD("money.excel",,$G1149,"PredictVolume")</f>
        <v>436</v>
      </c>
      <c r="AK1149" s="348"/>
    </row>
    <row r="1150" spans="1:37">
      <c r="A1150" s="148" t="s">
        <v>1958</v>
      </c>
      <c r="B1150" s="93">
        <v>-26</v>
      </c>
      <c r="C1150" s="93">
        <v>-35</v>
      </c>
      <c r="D1150" s="93">
        <v>-3</v>
      </c>
      <c r="E1150" s="93">
        <v>-4</v>
      </c>
      <c r="F1150" s="6">
        <v>4.3</v>
      </c>
      <c r="G1150" s="81">
        <v>6108</v>
      </c>
      <c r="H1150" s="8" t="s">
        <v>327</v>
      </c>
      <c r="I1150" s="22" t="s">
        <v>5931</v>
      </c>
      <c r="J1150" s="330">
        <v>41.2</v>
      </c>
      <c r="K1150" s="330">
        <v>9.23</v>
      </c>
      <c r="L1150" s="330">
        <v>10.24</v>
      </c>
      <c r="N1150" s="325">
        <f t="shared" si="230"/>
        <v>60.670000000000009</v>
      </c>
      <c r="O1150" s="27"/>
      <c r="P1150" s="56"/>
      <c r="Q1150" s="26"/>
      <c r="S1150" s="330">
        <v>13.48</v>
      </c>
      <c r="T1150" s="34">
        <v>0.5</v>
      </c>
      <c r="U1150" s="366">
        <f t="shared" si="235"/>
        <v>2.5000000000000001E-2</v>
      </c>
      <c r="V1150" s="97">
        <v>-0.52</v>
      </c>
      <c r="W1150" s="36">
        <f>RTD("money.excel",,"6108","Price")</f>
        <v>20</v>
      </c>
      <c r="X1150" s="67"/>
      <c r="Y1150" s="15">
        <f t="shared" si="232"/>
        <v>20</v>
      </c>
      <c r="Z1150" s="35" t="e">
        <f t="shared" si="233"/>
        <v>#DIV/0!</v>
      </c>
      <c r="AA1150" s="174" t="s">
        <v>1943</v>
      </c>
      <c r="AB1150" s="22" t="s">
        <v>5931</v>
      </c>
      <c r="AE1150" s="33">
        <f t="shared" si="234"/>
        <v>0</v>
      </c>
      <c r="AF1150" s="43" t="s">
        <v>3118</v>
      </c>
      <c r="AG1150" s="269"/>
      <c r="AI1150" s="64">
        <f t="shared" si="236"/>
        <v>2.4905660377358492E-3</v>
      </c>
      <c r="AJ1150" s="313">
        <f>RTD("money.excel",,$G1150,"PredictVolume")</f>
        <v>396</v>
      </c>
      <c r="AK1150" s="348"/>
    </row>
    <row r="1151" spans="1:37">
      <c r="A1151" s="148" t="s">
        <v>3524</v>
      </c>
      <c r="B1151" s="93">
        <v>-95</v>
      </c>
      <c r="C1151" s="93">
        <v>-61</v>
      </c>
      <c r="D1151" s="93">
        <v>-5</v>
      </c>
      <c r="E1151" s="93">
        <v>51</v>
      </c>
      <c r="F1151" s="6">
        <v>5.85</v>
      </c>
      <c r="G1151" s="81">
        <v>6114</v>
      </c>
      <c r="H1151" s="8" t="s">
        <v>327</v>
      </c>
      <c r="I1151" s="16" t="s">
        <v>5932</v>
      </c>
      <c r="J1151" s="75">
        <v>75.040000000000006</v>
      </c>
      <c r="K1151" s="75">
        <v>0.16</v>
      </c>
      <c r="L1151" s="75">
        <v>8.51</v>
      </c>
      <c r="N1151" s="325">
        <f t="shared" si="230"/>
        <v>83.710000000000008</v>
      </c>
      <c r="O1151" s="27"/>
      <c r="P1151" s="56"/>
      <c r="Q1151" s="26"/>
      <c r="S1151" s="330">
        <v>55.84</v>
      </c>
      <c r="T1151" s="34">
        <v>0.7</v>
      </c>
      <c r="U1151" s="366">
        <f t="shared" si="235"/>
        <v>3.1042128603104211E-2</v>
      </c>
      <c r="V1151" s="97">
        <v>0.53</v>
      </c>
      <c r="W1151" s="13">
        <f>RTD("money.excel",,"6114","Price")</f>
        <v>22.55</v>
      </c>
      <c r="X1151" s="67"/>
      <c r="Y1151" s="15">
        <f t="shared" si="232"/>
        <v>22.55</v>
      </c>
      <c r="Z1151" s="3" t="e">
        <f t="shared" si="233"/>
        <v>#DIV/0!</v>
      </c>
      <c r="AB1151" s="16" t="s">
        <v>5932</v>
      </c>
      <c r="AE1151" s="33">
        <f t="shared" si="234"/>
        <v>0</v>
      </c>
      <c r="AF1151" s="43" t="s">
        <v>2938</v>
      </c>
      <c r="AG1151" s="128"/>
      <c r="AI1151" s="64">
        <f t="shared" si="236"/>
        <v>1.5034168564920273E-3</v>
      </c>
      <c r="AJ1151" s="313">
        <f>RTD("money.excel",,$G1151,"PredictVolume")</f>
        <v>66</v>
      </c>
      <c r="AK1151" s="348"/>
    </row>
    <row r="1152" spans="1:37">
      <c r="A1152" s="132" t="s">
        <v>2267</v>
      </c>
      <c r="B1152" s="93">
        <v>-27</v>
      </c>
      <c r="C1152" s="93">
        <v>24</v>
      </c>
      <c r="D1152" s="93">
        <v>-1</v>
      </c>
      <c r="E1152" s="93">
        <v>36</v>
      </c>
      <c r="F1152" s="58">
        <v>13.64</v>
      </c>
      <c r="G1152" s="81">
        <v>6115</v>
      </c>
      <c r="H1152" s="8" t="s">
        <v>327</v>
      </c>
      <c r="I1152" s="22" t="s">
        <v>426</v>
      </c>
      <c r="J1152" s="75">
        <v>70.290000000000006</v>
      </c>
      <c r="K1152" s="75">
        <v>13.83</v>
      </c>
      <c r="L1152" s="75">
        <v>0.11</v>
      </c>
      <c r="N1152" s="325">
        <f t="shared" si="230"/>
        <v>84.23</v>
      </c>
      <c r="O1152" s="27"/>
      <c r="P1152" s="56"/>
      <c r="Q1152" s="26"/>
      <c r="S1152" s="330">
        <v>12.82</v>
      </c>
      <c r="T1152" s="34">
        <v>2.8</v>
      </c>
      <c r="U1152" s="366">
        <f t="shared" si="235"/>
        <v>6.5497076023391804E-2</v>
      </c>
      <c r="V1152" s="97">
        <v>2.58</v>
      </c>
      <c r="W1152" s="13">
        <f>RTD("money.excel",,"6115","Price")</f>
        <v>42.75</v>
      </c>
      <c r="X1152" s="67"/>
      <c r="Y1152" s="15">
        <f t="shared" si="232"/>
        <v>42.75</v>
      </c>
      <c r="Z1152" s="35" t="e">
        <f t="shared" si="233"/>
        <v>#DIV/0!</v>
      </c>
      <c r="AA1152" s="174" t="s">
        <v>1943</v>
      </c>
      <c r="AB1152" s="22" t="s">
        <v>426</v>
      </c>
      <c r="AE1152" s="33">
        <f t="shared" si="234"/>
        <v>0</v>
      </c>
      <c r="AF1152" s="43" t="s">
        <v>3119</v>
      </c>
      <c r="AG1152" s="128"/>
      <c r="AI1152" s="64">
        <f t="shared" si="236"/>
        <v>4.3315508021390373E-4</v>
      </c>
      <c r="AJ1152" s="313">
        <f>RTD("money.excel",,$G1152,"PredictVolume")</f>
        <v>81</v>
      </c>
      <c r="AK1152" s="348"/>
    </row>
    <row r="1153" spans="1:37">
      <c r="A1153" s="132" t="s">
        <v>1945</v>
      </c>
      <c r="B1153" s="93">
        <v>21</v>
      </c>
      <c r="C1153" s="93">
        <v>48</v>
      </c>
      <c r="D1153" s="93">
        <v>2</v>
      </c>
      <c r="E1153" s="93">
        <v>64</v>
      </c>
      <c r="F1153" s="58">
        <v>14.49</v>
      </c>
      <c r="G1153" s="81">
        <v>6124</v>
      </c>
      <c r="H1153" s="8" t="s">
        <v>327</v>
      </c>
      <c r="I1153" s="16" t="s">
        <v>455</v>
      </c>
      <c r="J1153" s="75">
        <v>93.57</v>
      </c>
      <c r="K1153" s="75">
        <v>36.58</v>
      </c>
      <c r="L1153" s="75">
        <v>0.74</v>
      </c>
      <c r="N1153" s="325">
        <f t="shared" si="230"/>
        <v>130.88999999999999</v>
      </c>
      <c r="O1153" s="27"/>
      <c r="P1153" s="56"/>
      <c r="Q1153" s="26"/>
      <c r="S1153" s="330">
        <v>21.92</v>
      </c>
      <c r="T1153" s="34">
        <v>0</v>
      </c>
      <c r="U1153" s="366">
        <f t="shared" si="235"/>
        <v>0</v>
      </c>
      <c r="V1153" s="97">
        <v>1.5</v>
      </c>
      <c r="W1153" s="13">
        <f>RTD("money.excel",,"6124","Price")</f>
        <v>25</v>
      </c>
      <c r="X1153" s="67"/>
      <c r="Y1153" s="15">
        <f t="shared" si="232"/>
        <v>25</v>
      </c>
      <c r="Z1153" s="3" t="e">
        <f t="shared" si="233"/>
        <v>#DIV/0!</v>
      </c>
      <c r="AB1153" s="16" t="s">
        <v>455</v>
      </c>
      <c r="AE1153" s="33">
        <f t="shared" si="234"/>
        <v>0</v>
      </c>
      <c r="AF1153" s="43" t="s">
        <v>2939</v>
      </c>
      <c r="AG1153" s="128"/>
      <c r="AI1153" s="64">
        <f t="shared" si="236"/>
        <v>5.4945054945054943E-6</v>
      </c>
      <c r="AJ1153" s="313">
        <f>RTD("money.excel",,$G1153,"PredictVolume")</f>
        <v>1</v>
      </c>
      <c r="AK1153" s="348"/>
    </row>
    <row r="1154" spans="1:37">
      <c r="A1154" s="132" t="s">
        <v>1859</v>
      </c>
      <c r="B1154" s="81">
        <v>65</v>
      </c>
      <c r="C1154" s="81">
        <v>130</v>
      </c>
      <c r="D1154" s="81">
        <v>14</v>
      </c>
      <c r="E1154" s="81">
        <v>90</v>
      </c>
      <c r="F1154" s="58">
        <v>12.05</v>
      </c>
      <c r="G1154" s="81">
        <v>6126</v>
      </c>
      <c r="H1154" s="8" t="s">
        <v>327</v>
      </c>
      <c r="I1154" s="16" t="s">
        <v>456</v>
      </c>
      <c r="J1154" s="75">
        <v>43.42</v>
      </c>
      <c r="K1154" s="75">
        <v>4.8600000000000003</v>
      </c>
      <c r="L1154" s="75">
        <v>21.84</v>
      </c>
      <c r="N1154" s="325">
        <f t="shared" si="230"/>
        <v>70.12</v>
      </c>
      <c r="O1154" s="27"/>
      <c r="P1154" s="56"/>
      <c r="Q1154" s="26"/>
      <c r="S1154" s="330">
        <v>1.92</v>
      </c>
      <c r="T1154" s="34">
        <v>1.4</v>
      </c>
      <c r="U1154" s="366">
        <f t="shared" si="235"/>
        <v>5.5445544554455439E-2</v>
      </c>
      <c r="V1154" s="97">
        <v>2.02</v>
      </c>
      <c r="W1154" s="36">
        <f>RTD("money.excel",,"6126","Price")</f>
        <v>25.25</v>
      </c>
      <c r="X1154" s="67"/>
      <c r="Y1154" s="15">
        <f t="shared" si="232"/>
        <v>25.25</v>
      </c>
      <c r="Z1154" s="3" t="e">
        <f t="shared" si="233"/>
        <v>#DIV/0!</v>
      </c>
      <c r="AB1154" s="16" t="s">
        <v>456</v>
      </c>
      <c r="AE1154" s="33">
        <f t="shared" si="234"/>
        <v>0</v>
      </c>
      <c r="AF1154" s="43" t="s">
        <v>2214</v>
      </c>
      <c r="AG1154" s="128"/>
      <c r="AI1154" s="64">
        <f t="shared" si="236"/>
        <v>2.8253968253968255E-3</v>
      </c>
      <c r="AJ1154" s="313">
        <f>RTD("money.excel",,$G1154,"PredictVolume")</f>
        <v>356</v>
      </c>
      <c r="AK1154" s="348"/>
    </row>
    <row r="1155" spans="1:37">
      <c r="A1155" s="148" t="s">
        <v>1881</v>
      </c>
      <c r="B1155" s="81">
        <v>51</v>
      </c>
      <c r="C1155" s="81">
        <v>113</v>
      </c>
      <c r="D1155" s="82">
        <v>-1</v>
      </c>
      <c r="E1155" s="81">
        <v>14</v>
      </c>
      <c r="F1155" s="6">
        <v>2.98</v>
      </c>
      <c r="G1155" s="81">
        <v>6127</v>
      </c>
      <c r="H1155" s="8" t="s">
        <v>327</v>
      </c>
      <c r="I1155" s="16" t="s">
        <v>341</v>
      </c>
      <c r="J1155" s="330">
        <v>20.65</v>
      </c>
      <c r="K1155" s="330">
        <v>0.27</v>
      </c>
      <c r="L1155" s="330">
        <v>34.93</v>
      </c>
      <c r="N1155" s="325">
        <f t="shared" si="230"/>
        <v>55.849999999999994</v>
      </c>
      <c r="O1155" s="27"/>
      <c r="P1155" s="56"/>
      <c r="Q1155" s="26"/>
      <c r="S1155" s="330">
        <v>3.62</v>
      </c>
      <c r="T1155" s="34">
        <v>0</v>
      </c>
      <c r="U1155" s="366">
        <f t="shared" si="235"/>
        <v>0</v>
      </c>
      <c r="V1155" s="58">
        <v>-0.95</v>
      </c>
      <c r="W1155" s="36">
        <f>RTD("money.excel",,"6127","Price")</f>
        <v>26</v>
      </c>
      <c r="X1155" s="67"/>
      <c r="Y1155" s="15">
        <f t="shared" si="232"/>
        <v>26</v>
      </c>
      <c r="Z1155" s="3" t="e">
        <f t="shared" si="233"/>
        <v>#DIV/0!</v>
      </c>
      <c r="AA1155" s="174" t="s">
        <v>1943</v>
      </c>
      <c r="AB1155" s="16" t="s">
        <v>341</v>
      </c>
      <c r="AE1155" s="33">
        <f t="shared" si="234"/>
        <v>0</v>
      </c>
      <c r="AF1155" s="43" t="s">
        <v>2825</v>
      </c>
      <c r="AG1155" s="128"/>
      <c r="AI1155" s="64">
        <f t="shared" si="236"/>
        <v>2.0925925925925925E-3</v>
      </c>
      <c r="AJ1155" s="313">
        <f>RTD("money.excel",,$G1155,"PredictVolume")</f>
        <v>226</v>
      </c>
      <c r="AK1155" s="348"/>
    </row>
    <row r="1156" spans="1:37">
      <c r="A1156" s="148" t="s">
        <v>2042</v>
      </c>
      <c r="B1156" s="93">
        <v>-64</v>
      </c>
      <c r="C1156" s="93">
        <v>-383</v>
      </c>
      <c r="D1156" s="93">
        <v>3</v>
      </c>
      <c r="E1156" s="93">
        <v>50</v>
      </c>
      <c r="F1156" s="6">
        <v>-3.42</v>
      </c>
      <c r="G1156" s="81">
        <v>6133</v>
      </c>
      <c r="H1156" s="8" t="s">
        <v>327</v>
      </c>
      <c r="I1156" s="22" t="s">
        <v>5933</v>
      </c>
      <c r="J1156" s="75">
        <v>73.680000000000007</v>
      </c>
      <c r="K1156" s="75">
        <v>4.95</v>
      </c>
      <c r="L1156" s="75">
        <v>19.04</v>
      </c>
      <c r="N1156" s="325">
        <f t="shared" si="230"/>
        <v>97.670000000000016</v>
      </c>
      <c r="O1156" s="27"/>
      <c r="P1156" s="56"/>
      <c r="Q1156" s="26"/>
      <c r="S1156" s="330">
        <v>16.29</v>
      </c>
      <c r="T1156" s="34">
        <v>0</v>
      </c>
      <c r="U1156" s="366">
        <f t="shared" si="235"/>
        <v>0</v>
      </c>
      <c r="V1156" s="97">
        <v>0.02</v>
      </c>
      <c r="W1156" s="13">
        <f>RTD("money.excel",,"6133","Price")</f>
        <v>9.1999999999999993</v>
      </c>
      <c r="X1156" s="67"/>
      <c r="Y1156" s="15">
        <f t="shared" si="232"/>
        <v>9.1999999999999993</v>
      </c>
      <c r="Z1156" s="35" t="e">
        <f t="shared" si="233"/>
        <v>#DIV/0!</v>
      </c>
      <c r="AB1156" s="22" t="s">
        <v>5933</v>
      </c>
      <c r="AE1156" s="33">
        <f t="shared" si="234"/>
        <v>0</v>
      </c>
      <c r="AF1156" s="43" t="s">
        <v>2924</v>
      </c>
      <c r="AG1156" s="128"/>
      <c r="AI1156" s="64">
        <f t="shared" si="236"/>
        <v>7.1794871794871799E-4</v>
      </c>
      <c r="AJ1156" s="313">
        <f>RTD("money.excel",,$G1156,"PredictVolume")</f>
        <v>84</v>
      </c>
      <c r="AK1156" s="348"/>
    </row>
    <row r="1157" spans="1:37">
      <c r="A1157" s="148" t="s">
        <v>1753</v>
      </c>
      <c r="B1157" s="81">
        <v>424</v>
      </c>
      <c r="C1157" s="81">
        <v>62</v>
      </c>
      <c r="D1157" s="81">
        <v>46</v>
      </c>
      <c r="E1157" s="81">
        <v>45</v>
      </c>
      <c r="F1157" s="6">
        <v>-1.52</v>
      </c>
      <c r="G1157" s="81">
        <v>6134</v>
      </c>
      <c r="H1157" s="8" t="s">
        <v>327</v>
      </c>
      <c r="I1157" s="16" t="s">
        <v>5934</v>
      </c>
      <c r="J1157" s="75">
        <v>56.48</v>
      </c>
      <c r="K1157" s="75">
        <v>22.47</v>
      </c>
      <c r="L1157" s="75">
        <v>0.79</v>
      </c>
      <c r="N1157" s="325">
        <f t="shared" si="230"/>
        <v>79.739999999999995</v>
      </c>
      <c r="O1157" s="27"/>
      <c r="P1157" s="56"/>
      <c r="Q1157" s="26"/>
      <c r="S1157" s="330">
        <v>0</v>
      </c>
      <c r="T1157" s="34">
        <v>0</v>
      </c>
      <c r="U1157" s="366">
        <f t="shared" si="235"/>
        <v>0</v>
      </c>
      <c r="V1157" s="58">
        <v>0.32</v>
      </c>
      <c r="W1157" s="36">
        <f>RTD("money.excel",,"6134","Price")</f>
        <v>24.1</v>
      </c>
      <c r="X1157" s="67"/>
      <c r="Y1157" s="15">
        <f t="shared" si="232"/>
        <v>24.1</v>
      </c>
      <c r="Z1157" s="3" t="e">
        <f t="shared" si="233"/>
        <v>#DIV/0!</v>
      </c>
      <c r="AB1157" s="16" t="s">
        <v>5934</v>
      </c>
      <c r="AE1157" s="33">
        <f t="shared" si="234"/>
        <v>0</v>
      </c>
      <c r="AF1157" s="43" t="s">
        <v>2894</v>
      </c>
      <c r="AG1157" s="125"/>
      <c r="AI1157" s="64">
        <f t="shared" si="236"/>
        <v>1.1597796143250688E-2</v>
      </c>
      <c r="AJ1157" s="313">
        <f>RTD("money.excel",,$G1157,"PredictVolume")</f>
        <v>842</v>
      </c>
      <c r="AK1157" s="83"/>
    </row>
    <row r="1158" spans="1:37">
      <c r="A1158" s="148" t="s">
        <v>1873</v>
      </c>
      <c r="B1158" s="81">
        <v>543</v>
      </c>
      <c r="C1158" s="81">
        <v>44</v>
      </c>
      <c r="D1158" s="82">
        <v>-27</v>
      </c>
      <c r="E1158" s="82">
        <v>-25</v>
      </c>
      <c r="F1158" s="6">
        <v>9.1300000000000008</v>
      </c>
      <c r="G1158" s="81">
        <v>6141</v>
      </c>
      <c r="H1158" s="8" t="s">
        <v>327</v>
      </c>
      <c r="I1158" s="22" t="s">
        <v>427</v>
      </c>
      <c r="J1158" s="330">
        <v>54.93</v>
      </c>
      <c r="K1158" s="75">
        <v>2.92</v>
      </c>
      <c r="L1158" s="75">
        <v>30.72</v>
      </c>
      <c r="N1158" s="325">
        <f t="shared" si="230"/>
        <v>88.57</v>
      </c>
      <c r="O1158" s="27"/>
      <c r="P1158" s="56"/>
      <c r="Q1158" s="26"/>
      <c r="S1158" s="330">
        <v>16.690000000000001</v>
      </c>
      <c r="T1158" s="34">
        <v>0.5</v>
      </c>
      <c r="U1158" s="366">
        <f t="shared" si="235"/>
        <v>1.8018018018018018E-2</v>
      </c>
      <c r="V1158" s="97">
        <v>2.67</v>
      </c>
      <c r="W1158" s="36">
        <f>RTD("money.excel",,"6141","Price")</f>
        <v>27.75</v>
      </c>
      <c r="X1158" s="67"/>
      <c r="Y1158" s="15">
        <f t="shared" si="232"/>
        <v>27.75</v>
      </c>
      <c r="Z1158" s="3" t="e">
        <f t="shared" si="233"/>
        <v>#DIV/0!</v>
      </c>
      <c r="AA1158" s="174" t="s">
        <v>1943</v>
      </c>
      <c r="AB1158" s="22" t="s">
        <v>427</v>
      </c>
      <c r="AE1158" s="33">
        <f t="shared" si="234"/>
        <v>0</v>
      </c>
      <c r="AF1158" s="43" t="s">
        <v>1101</v>
      </c>
      <c r="AG1158" s="128"/>
      <c r="AI1158" s="64">
        <f t="shared" si="236"/>
        <v>3.2031250000000001E-4</v>
      </c>
      <c r="AJ1158" s="313">
        <f>RTD("money.excel",,$G1158,"PredictVolume")</f>
        <v>41</v>
      </c>
      <c r="AK1158" s="348"/>
    </row>
    <row r="1159" spans="1:37">
      <c r="A1159" s="148" t="s">
        <v>2047</v>
      </c>
      <c r="B1159" s="82">
        <v>-139</v>
      </c>
      <c r="C1159" s="82">
        <v>-176</v>
      </c>
      <c r="D1159" s="81">
        <v>5</v>
      </c>
      <c r="E1159" s="82">
        <v>-18</v>
      </c>
      <c r="F1159" s="6">
        <v>-1.94</v>
      </c>
      <c r="G1159" s="81">
        <v>6153</v>
      </c>
      <c r="H1159" s="210" t="s">
        <v>327</v>
      </c>
      <c r="I1159" s="22" t="s">
        <v>5935</v>
      </c>
      <c r="J1159" s="330">
        <v>38.51</v>
      </c>
      <c r="K1159" s="75">
        <v>9.89</v>
      </c>
      <c r="L1159" s="330">
        <v>13.94</v>
      </c>
      <c r="M1159" s="330">
        <v>26.97</v>
      </c>
      <c r="N1159" s="325">
        <f t="shared" si="230"/>
        <v>89.31</v>
      </c>
      <c r="O1159" s="27"/>
      <c r="P1159" s="56"/>
      <c r="Q1159" s="26"/>
      <c r="R1159" s="308" t="s">
        <v>6054</v>
      </c>
      <c r="S1159" s="330">
        <v>3.04</v>
      </c>
      <c r="T1159" s="34">
        <v>0.25</v>
      </c>
      <c r="U1159" s="366">
        <f t="shared" si="235"/>
        <v>1.0893246187363835E-2</v>
      </c>
      <c r="V1159" s="97">
        <v>0.22</v>
      </c>
      <c r="W1159" s="36">
        <f>RTD("money.excel",,"6153","Price")</f>
        <v>22.95</v>
      </c>
      <c r="X1159" s="67"/>
      <c r="Y1159" s="15">
        <f t="shared" si="232"/>
        <v>22.95</v>
      </c>
      <c r="Z1159" s="3" t="e">
        <f t="shared" si="233"/>
        <v>#DIV/0!</v>
      </c>
      <c r="AA1159" s="174" t="s">
        <v>1943</v>
      </c>
      <c r="AB1159" s="22" t="s">
        <v>5935</v>
      </c>
      <c r="AE1159" s="33">
        <f t="shared" si="234"/>
        <v>0</v>
      </c>
      <c r="AF1159" s="122" t="s">
        <v>2921</v>
      </c>
      <c r="AG1159" s="128"/>
      <c r="AI1159" s="64">
        <f t="shared" si="236"/>
        <v>1.685251798561151E-3</v>
      </c>
      <c r="AJ1159" s="313">
        <f>RTD("money.excel",,$G1159,"PredictVolume")</f>
        <v>937</v>
      </c>
      <c r="AK1159" s="348"/>
    </row>
    <row r="1160" spans="1:37">
      <c r="A1160" s="148" t="s">
        <v>2624</v>
      </c>
      <c r="B1160" s="82">
        <v>-36</v>
      </c>
      <c r="C1160" s="82">
        <v>-36</v>
      </c>
      <c r="D1160" s="81">
        <v>13</v>
      </c>
      <c r="E1160" s="82">
        <v>-4</v>
      </c>
      <c r="F1160" s="6">
        <v>7.4</v>
      </c>
      <c r="G1160" s="81">
        <v>6155</v>
      </c>
      <c r="H1160" s="8" t="s">
        <v>327</v>
      </c>
      <c r="I1160" s="22" t="s">
        <v>349</v>
      </c>
      <c r="J1160" s="330">
        <v>65.8</v>
      </c>
      <c r="K1160" s="75">
        <v>2.54</v>
      </c>
      <c r="L1160" s="330">
        <v>8.42</v>
      </c>
      <c r="N1160" s="325">
        <f t="shared" si="230"/>
        <v>76.760000000000005</v>
      </c>
      <c r="O1160" s="27"/>
      <c r="P1160" s="56"/>
      <c r="Q1160" s="26"/>
      <c r="S1160" s="330">
        <v>26.38</v>
      </c>
      <c r="T1160" s="34">
        <v>0.75</v>
      </c>
      <c r="U1160" s="366">
        <f t="shared" si="235"/>
        <v>3.325942350332594E-2</v>
      </c>
      <c r="V1160" s="97">
        <v>0.39</v>
      </c>
      <c r="W1160" s="36">
        <f>RTD("money.excel",,"6155","Price")</f>
        <v>22.55</v>
      </c>
      <c r="X1160" s="67"/>
      <c r="Y1160" s="15">
        <f t="shared" si="232"/>
        <v>22.55</v>
      </c>
      <c r="Z1160" s="3" t="e">
        <f t="shared" si="233"/>
        <v>#DIV/0!</v>
      </c>
      <c r="AA1160" s="174" t="s">
        <v>1943</v>
      </c>
      <c r="AB1160" s="22" t="s">
        <v>349</v>
      </c>
      <c r="AE1160" s="33">
        <f t="shared" si="234"/>
        <v>0</v>
      </c>
      <c r="AF1160" s="43" t="s">
        <v>2896</v>
      </c>
      <c r="AG1160" s="128"/>
      <c r="AI1160" s="64">
        <f t="shared" si="236"/>
        <v>9.7926267281105996E-4</v>
      </c>
      <c r="AJ1160" s="313">
        <f>RTD("money.excel",,$G1160,"PredictVolume")</f>
        <v>85</v>
      </c>
      <c r="AK1160" s="348"/>
    </row>
    <row r="1161" spans="1:37">
      <c r="A1161" s="148" t="s">
        <v>1652</v>
      </c>
      <c r="B1161" s="93">
        <v>131</v>
      </c>
      <c r="C1161" s="93">
        <v>126</v>
      </c>
      <c r="D1161" s="93">
        <v>-1</v>
      </c>
      <c r="E1161" s="93">
        <v>31</v>
      </c>
      <c r="F1161" s="6">
        <v>4.8099999999999996</v>
      </c>
      <c r="G1161" s="81">
        <v>6156</v>
      </c>
      <c r="H1161" s="8" t="s">
        <v>327</v>
      </c>
      <c r="I1161" s="16" t="s">
        <v>460</v>
      </c>
      <c r="J1161" s="75">
        <v>52.74</v>
      </c>
      <c r="K1161" s="75">
        <v>6.18</v>
      </c>
      <c r="L1161" s="75">
        <v>28.83</v>
      </c>
      <c r="N1161" s="325">
        <f t="shared" si="230"/>
        <v>87.75</v>
      </c>
      <c r="O1161" s="27"/>
      <c r="P1161" s="56"/>
      <c r="Q1161" s="26"/>
      <c r="S1161" s="330">
        <v>18.489999999999998</v>
      </c>
      <c r="T1161" s="34">
        <v>0.5</v>
      </c>
      <c r="U1161" s="366">
        <f t="shared" si="235"/>
        <v>2.5445292620865142E-2</v>
      </c>
      <c r="V1161" s="97">
        <v>1.32</v>
      </c>
      <c r="W1161" s="13">
        <f>RTD("money.excel",,"6156","Price")</f>
        <v>19.649999999999999</v>
      </c>
      <c r="X1161" s="67"/>
      <c r="Y1161" s="15">
        <f t="shared" si="232"/>
        <v>19.649999999999999</v>
      </c>
      <c r="Z1161" s="3" t="e">
        <f t="shared" si="233"/>
        <v>#DIV/0!</v>
      </c>
      <c r="AB1161" s="16" t="s">
        <v>460</v>
      </c>
      <c r="AE1161" s="33">
        <f t="shared" si="234"/>
        <v>0</v>
      </c>
      <c r="AF1161" s="43" t="s">
        <v>2940</v>
      </c>
      <c r="AG1161" s="128"/>
      <c r="AI1161" s="64">
        <f t="shared" si="236"/>
        <v>4.4099378881987577E-3</v>
      </c>
      <c r="AJ1161" s="313">
        <f>RTD("money.excel",,$G1161,"PredictVolume")</f>
        <v>355</v>
      </c>
      <c r="AK1161" s="348"/>
    </row>
    <row r="1162" spans="1:37">
      <c r="A1162" s="148" t="s">
        <v>3525</v>
      </c>
      <c r="B1162" s="93">
        <v>-91</v>
      </c>
      <c r="C1162" s="93">
        <v>49</v>
      </c>
      <c r="D1162" s="93">
        <v>6</v>
      </c>
      <c r="E1162" s="93">
        <v>-12</v>
      </c>
      <c r="F1162" s="6">
        <v>-0.65</v>
      </c>
      <c r="G1162" s="81">
        <v>6158</v>
      </c>
      <c r="H1162" s="8" t="s">
        <v>327</v>
      </c>
      <c r="I1162" s="16" t="s">
        <v>5936</v>
      </c>
      <c r="J1162" s="75">
        <v>40.130000000000003</v>
      </c>
      <c r="K1162" s="75">
        <v>3.77</v>
      </c>
      <c r="L1162" s="75">
        <v>23.63</v>
      </c>
      <c r="N1162" s="325">
        <f t="shared" si="230"/>
        <v>67.53</v>
      </c>
      <c r="O1162" s="27"/>
      <c r="P1162" s="56"/>
      <c r="Q1162" s="26"/>
      <c r="S1162" s="330">
        <v>16.27</v>
      </c>
      <c r="T1162" s="34">
        <v>0.5</v>
      </c>
      <c r="U1162" s="366">
        <f t="shared" si="235"/>
        <v>1.3513513513513514E-2</v>
      </c>
      <c r="V1162" s="97">
        <v>3.64</v>
      </c>
      <c r="W1162" s="36">
        <f>RTD("money.excel",,"6158","Price")</f>
        <v>37</v>
      </c>
      <c r="X1162" s="67"/>
      <c r="Y1162" s="15">
        <f t="shared" si="232"/>
        <v>37</v>
      </c>
      <c r="Z1162" s="3" t="e">
        <f t="shared" si="233"/>
        <v>#DIV/0!</v>
      </c>
      <c r="AB1162" s="16" t="s">
        <v>5936</v>
      </c>
      <c r="AE1162" s="33">
        <f t="shared" si="234"/>
        <v>0</v>
      </c>
      <c r="AF1162" s="43" t="s">
        <v>2214</v>
      </c>
      <c r="AG1162" s="128"/>
      <c r="AI1162" s="64">
        <f t="shared" si="236"/>
        <v>1.3333333333333334E-2</v>
      </c>
      <c r="AJ1162" s="313">
        <f>RTD("money.excel",,$G1162,"PredictVolume")</f>
        <v>716</v>
      </c>
      <c r="AK1162" s="348"/>
    </row>
    <row r="1163" spans="1:37">
      <c r="A1163" s="148" t="s">
        <v>2493</v>
      </c>
      <c r="B1163" s="81">
        <v>448</v>
      </c>
      <c r="C1163" s="81">
        <v>413</v>
      </c>
      <c r="D1163" s="81">
        <v>9</v>
      </c>
      <c r="E1163" s="235">
        <v>25106</v>
      </c>
      <c r="F1163" s="6">
        <v>3.48</v>
      </c>
      <c r="G1163" s="81">
        <v>6165</v>
      </c>
      <c r="H1163" s="8" t="s">
        <v>327</v>
      </c>
      <c r="I1163" s="22" t="s">
        <v>3958</v>
      </c>
      <c r="J1163" s="330">
        <v>5.26</v>
      </c>
      <c r="K1163" s="330">
        <v>1.36</v>
      </c>
      <c r="L1163" s="330">
        <v>7.8</v>
      </c>
      <c r="N1163" s="325">
        <f t="shared" si="230"/>
        <v>14.42</v>
      </c>
      <c r="O1163" s="27"/>
      <c r="P1163" s="56"/>
      <c r="Q1163" s="26"/>
      <c r="S1163" s="330">
        <v>6.71</v>
      </c>
      <c r="T1163" s="34">
        <v>0</v>
      </c>
      <c r="U1163" s="366">
        <f t="shared" si="235"/>
        <v>0</v>
      </c>
      <c r="V1163" s="97">
        <v>1.54</v>
      </c>
      <c r="W1163" s="36">
        <f>RTD("money.excel",,"6165","Price")</f>
        <v>32.200000000000003</v>
      </c>
      <c r="X1163" s="67"/>
      <c r="Y1163" s="15">
        <f t="shared" si="232"/>
        <v>32.200000000000003</v>
      </c>
      <c r="Z1163" s="3" t="e">
        <f t="shared" si="233"/>
        <v>#DIV/0!</v>
      </c>
      <c r="AA1163" s="174" t="s">
        <v>1943</v>
      </c>
      <c r="AB1163" s="22" t="s">
        <v>3958</v>
      </c>
      <c r="AE1163" s="33">
        <f t="shared" si="234"/>
        <v>0</v>
      </c>
      <c r="AF1163" s="43" t="s">
        <v>4024</v>
      </c>
      <c r="AG1163" s="128"/>
      <c r="AI1163" s="64">
        <f t="shared" si="236"/>
        <v>3.5526315789473684E-3</v>
      </c>
      <c r="AJ1163" s="313">
        <f>RTD("money.excel",,$G1163,"PredictVolume")</f>
        <v>189</v>
      </c>
      <c r="AK1163" s="348"/>
    </row>
    <row r="1164" spans="1:37">
      <c r="A1164" s="132" t="s">
        <v>1810</v>
      </c>
      <c r="B1164" s="81">
        <v>195</v>
      </c>
      <c r="C1164" s="81">
        <v>30</v>
      </c>
      <c r="D1164" s="82">
        <v>-1</v>
      </c>
      <c r="E1164" s="81">
        <v>24</v>
      </c>
      <c r="F1164" s="58">
        <v>16.79</v>
      </c>
      <c r="G1164" s="81">
        <v>6173</v>
      </c>
      <c r="H1164" s="210" t="s">
        <v>327</v>
      </c>
      <c r="I1164" s="16" t="s">
        <v>93</v>
      </c>
      <c r="J1164" s="330">
        <v>45.86</v>
      </c>
      <c r="K1164" s="330">
        <v>2.66</v>
      </c>
      <c r="L1164" s="330">
        <v>16.91</v>
      </c>
      <c r="N1164" s="325">
        <f t="shared" si="230"/>
        <v>65.429999999999993</v>
      </c>
      <c r="O1164" s="27"/>
      <c r="P1164" s="56"/>
      <c r="Q1164" s="26"/>
      <c r="S1164" s="330">
        <v>0.17</v>
      </c>
      <c r="T1164" s="34">
        <v>2</v>
      </c>
      <c r="U1164" s="366">
        <f t="shared" si="235"/>
        <v>3.6832412523020261E-2</v>
      </c>
      <c r="V1164" s="97">
        <v>5.63</v>
      </c>
      <c r="W1164" s="36">
        <f>RTD("money.excel",,"6173","Price")</f>
        <v>54.3</v>
      </c>
      <c r="X1164" s="67"/>
      <c r="Y1164" s="15">
        <f t="shared" si="232"/>
        <v>54.3</v>
      </c>
      <c r="Z1164" s="3" t="e">
        <f t="shared" si="233"/>
        <v>#DIV/0!</v>
      </c>
      <c r="AA1164" s="174" t="s">
        <v>1943</v>
      </c>
      <c r="AB1164" s="16" t="s">
        <v>93</v>
      </c>
      <c r="AE1164" s="33">
        <f t="shared" si="234"/>
        <v>0</v>
      </c>
      <c r="AF1164" s="122" t="s">
        <v>1964</v>
      </c>
      <c r="AG1164" s="128"/>
      <c r="AI1164" s="64">
        <f t="shared" si="236"/>
        <v>8.8372093023255814E-4</v>
      </c>
      <c r="AJ1164" s="313">
        <f>RTD("money.excel",,$G1164,"PredictVolume")</f>
        <v>152</v>
      </c>
      <c r="AK1164" s="348"/>
    </row>
    <row r="1165" spans="1:37">
      <c r="A1165" s="148" t="s">
        <v>3526</v>
      </c>
      <c r="B1165" s="93">
        <v>-31</v>
      </c>
      <c r="C1165" s="93">
        <v>195</v>
      </c>
      <c r="D1165" s="93">
        <v>23</v>
      </c>
      <c r="E1165" s="93">
        <v>10</v>
      </c>
      <c r="F1165" s="6">
        <v>0.71</v>
      </c>
      <c r="G1165" s="81">
        <v>6174</v>
      </c>
      <c r="H1165" s="8" t="s">
        <v>327</v>
      </c>
      <c r="I1165" s="16" t="s">
        <v>461</v>
      </c>
      <c r="J1165" s="75">
        <v>67.33</v>
      </c>
      <c r="K1165" s="75">
        <v>1.85</v>
      </c>
      <c r="L1165" s="75">
        <v>5.26</v>
      </c>
      <c r="N1165" s="325">
        <f t="shared" si="230"/>
        <v>74.44</v>
      </c>
      <c r="O1165" s="27"/>
      <c r="P1165" s="56"/>
      <c r="Q1165" s="26"/>
      <c r="S1165" s="330">
        <v>39.520000000000003</v>
      </c>
      <c r="T1165" s="34">
        <v>0</v>
      </c>
      <c r="U1165" s="366">
        <f t="shared" si="235"/>
        <v>0</v>
      </c>
      <c r="V1165" s="97">
        <v>0.03</v>
      </c>
      <c r="W1165" s="13">
        <f>RTD("money.excel",,"6174","Price")</f>
        <v>28</v>
      </c>
      <c r="X1165" s="67"/>
      <c r="Y1165" s="15">
        <f t="shared" si="232"/>
        <v>28</v>
      </c>
      <c r="Z1165" s="3" t="e">
        <f t="shared" si="233"/>
        <v>#DIV/0!</v>
      </c>
      <c r="AB1165" s="16" t="s">
        <v>461</v>
      </c>
      <c r="AE1165" s="33">
        <f t="shared" si="234"/>
        <v>0</v>
      </c>
      <c r="AF1165" s="43" t="s">
        <v>1957</v>
      </c>
      <c r="AG1165" s="269"/>
      <c r="AI1165" s="64">
        <f t="shared" si="236"/>
        <v>5.5999999999999995E-4</v>
      </c>
      <c r="AJ1165" s="313">
        <f>RTD("money.excel",,$G1165,"PredictVolume")</f>
        <v>28</v>
      </c>
      <c r="AK1165" s="348"/>
    </row>
    <row r="1166" spans="1:37">
      <c r="A1166" s="132" t="s">
        <v>1767</v>
      </c>
      <c r="B1166" s="81">
        <v>128</v>
      </c>
      <c r="C1166" s="81">
        <v>72</v>
      </c>
      <c r="D1166" s="81">
        <v>6</v>
      </c>
      <c r="E1166" s="81">
        <v>21</v>
      </c>
      <c r="F1166" s="58">
        <v>13.37</v>
      </c>
      <c r="G1166" s="81">
        <v>6175</v>
      </c>
      <c r="H1166" s="210" t="s">
        <v>327</v>
      </c>
      <c r="I1166" s="16" t="s">
        <v>5937</v>
      </c>
      <c r="J1166" s="75">
        <v>61.94</v>
      </c>
      <c r="K1166" s="75">
        <v>19.57</v>
      </c>
      <c r="L1166" s="330">
        <v>10.14</v>
      </c>
      <c r="N1166" s="325">
        <f t="shared" si="230"/>
        <v>91.649999999999991</v>
      </c>
      <c r="O1166" s="27"/>
      <c r="P1166" s="56"/>
      <c r="Q1166" s="26"/>
      <c r="S1166" s="330">
        <v>0.99</v>
      </c>
      <c r="T1166" s="34">
        <v>1.08</v>
      </c>
      <c r="U1166" s="366">
        <f t="shared" si="235"/>
        <v>2.5174825174825177E-2</v>
      </c>
      <c r="V1166" s="97">
        <v>2.0099999999999998</v>
      </c>
      <c r="W1166" s="36">
        <f>RTD("money.excel",,"6175","Price")</f>
        <v>42.9</v>
      </c>
      <c r="X1166" s="67"/>
      <c r="Y1166" s="15">
        <f t="shared" si="232"/>
        <v>42.9</v>
      </c>
      <c r="Z1166" s="3" t="e">
        <f t="shared" si="233"/>
        <v>#DIV/0!</v>
      </c>
      <c r="AA1166" s="174" t="s">
        <v>1943</v>
      </c>
      <c r="AB1166" s="16" t="s">
        <v>5937</v>
      </c>
      <c r="AE1166" s="33">
        <f t="shared" si="234"/>
        <v>0</v>
      </c>
      <c r="AF1166" s="124" t="s">
        <v>2813</v>
      </c>
      <c r="AG1166" s="269"/>
      <c r="AI1166" s="64">
        <f t="shared" si="236"/>
        <v>1.9779411764705881E-3</v>
      </c>
      <c r="AJ1166" s="313">
        <f>RTD("money.excel",,$G1166,"PredictVolume")</f>
        <v>269</v>
      </c>
      <c r="AK1166" s="348"/>
    </row>
    <row r="1167" spans="1:37">
      <c r="A1167" s="148" t="s">
        <v>2076</v>
      </c>
      <c r="B1167" s="93">
        <v>-113</v>
      </c>
      <c r="C1167" s="93">
        <v>-125</v>
      </c>
      <c r="D1167" s="93">
        <v>24</v>
      </c>
      <c r="E1167" s="93">
        <v>-5</v>
      </c>
      <c r="F1167" s="58">
        <v>-1.7</v>
      </c>
      <c r="G1167" s="81">
        <v>6185</v>
      </c>
      <c r="H1167" s="8" t="s">
        <v>327</v>
      </c>
      <c r="I1167" s="16" t="s">
        <v>462</v>
      </c>
      <c r="J1167" s="75">
        <v>41.09</v>
      </c>
      <c r="K1167" s="75">
        <v>3.62</v>
      </c>
      <c r="L1167" s="75">
        <v>3.75</v>
      </c>
      <c r="N1167" s="325">
        <f t="shared" si="230"/>
        <v>48.46</v>
      </c>
      <c r="O1167" s="27"/>
      <c r="P1167" s="56"/>
      <c r="Q1167" s="26"/>
      <c r="S1167" s="330">
        <v>12.86</v>
      </c>
      <c r="T1167" s="34">
        <v>0</v>
      </c>
      <c r="U1167" s="366">
        <f t="shared" si="235"/>
        <v>0</v>
      </c>
      <c r="V1167" s="97">
        <v>-0.6</v>
      </c>
      <c r="W1167" s="36">
        <f>RTD("money.excel",,"6185","Price")</f>
        <v>13.95</v>
      </c>
      <c r="X1167" s="67"/>
      <c r="Y1167" s="15">
        <f t="shared" si="232"/>
        <v>13.95</v>
      </c>
      <c r="Z1167" s="3" t="e">
        <f t="shared" si="233"/>
        <v>#DIV/0!</v>
      </c>
      <c r="AB1167" s="16" t="s">
        <v>462</v>
      </c>
      <c r="AE1167" s="33">
        <f t="shared" si="234"/>
        <v>0</v>
      </c>
      <c r="AF1167" s="43" t="s">
        <v>2214</v>
      </c>
      <c r="AG1167" s="128"/>
      <c r="AI1167" s="64">
        <f t="shared" si="236"/>
        <v>4.1610738255033553E-3</v>
      </c>
      <c r="AJ1167" s="313">
        <f>RTD("money.excel",,$G1167,"PredictVolume")</f>
        <v>620</v>
      </c>
      <c r="AK1167" s="348"/>
    </row>
    <row r="1168" spans="1:37">
      <c r="A1168" s="148" t="s">
        <v>1982</v>
      </c>
      <c r="B1168" s="81">
        <v>98</v>
      </c>
      <c r="C1168" s="81">
        <v>142</v>
      </c>
      <c r="D1168" s="81">
        <v>-10</v>
      </c>
      <c r="E1168" s="81">
        <v>10</v>
      </c>
      <c r="F1168" s="6">
        <v>9.32</v>
      </c>
      <c r="G1168" s="81">
        <v>6191</v>
      </c>
      <c r="H1168" s="210" t="s">
        <v>327</v>
      </c>
      <c r="I1168" s="22" t="s">
        <v>252</v>
      </c>
      <c r="J1168" s="330">
        <v>56.97</v>
      </c>
      <c r="K1168" s="75">
        <v>5.72</v>
      </c>
      <c r="L1168" s="75">
        <v>20.190000000000001</v>
      </c>
      <c r="N1168" s="325">
        <f t="shared" ref="N1168:N1223" si="237">J1168+K1168+L1168+M1168</f>
        <v>82.88</v>
      </c>
      <c r="O1168" s="27"/>
      <c r="P1168" s="56"/>
      <c r="Q1168" s="26"/>
      <c r="S1168" s="330">
        <v>0.75</v>
      </c>
      <c r="T1168" s="34">
        <v>0.5</v>
      </c>
      <c r="U1168" s="366">
        <f t="shared" si="235"/>
        <v>1.4641288433382138E-2</v>
      </c>
      <c r="V1168" s="97">
        <v>3.42</v>
      </c>
      <c r="W1168" s="36">
        <f>RTD("money.excel",,"6191","Price")</f>
        <v>34.15</v>
      </c>
      <c r="X1168" s="67"/>
      <c r="Y1168" s="15">
        <f t="shared" si="232"/>
        <v>34.15</v>
      </c>
      <c r="Z1168" s="3" t="e">
        <f t="shared" si="233"/>
        <v>#DIV/0!</v>
      </c>
      <c r="AA1168" s="174" t="s">
        <v>1943</v>
      </c>
      <c r="AB1168" s="22" t="s">
        <v>252</v>
      </c>
      <c r="AE1168" s="33">
        <f t="shared" si="234"/>
        <v>0</v>
      </c>
      <c r="AF1168" s="122" t="s">
        <v>2539</v>
      </c>
      <c r="AG1168" s="128"/>
      <c r="AI1168" s="64">
        <f t="shared" si="236"/>
        <v>1.5300970873786408E-3</v>
      </c>
      <c r="AJ1168" s="313">
        <f>RTD("money.excel",,$G1168,"PredictVolume")</f>
        <v>788</v>
      </c>
      <c r="AK1168" s="348"/>
    </row>
    <row r="1169" spans="1:37">
      <c r="A1169" s="132" t="s">
        <v>2497</v>
      </c>
      <c r="B1169" s="93">
        <v>18</v>
      </c>
      <c r="C1169" s="93">
        <v>47</v>
      </c>
      <c r="D1169" s="93">
        <v>-6</v>
      </c>
      <c r="E1169" s="93">
        <v>79</v>
      </c>
      <c r="F1169" s="58">
        <v>14.94</v>
      </c>
      <c r="G1169" s="81">
        <v>6194</v>
      </c>
      <c r="H1169" s="8" t="s">
        <v>327</v>
      </c>
      <c r="I1169" s="16" t="s">
        <v>463</v>
      </c>
      <c r="J1169" s="75">
        <v>61.9</v>
      </c>
      <c r="K1169" s="75">
        <v>3.39</v>
      </c>
      <c r="L1169" s="75">
        <v>9.4499999999999993</v>
      </c>
      <c r="N1169" s="325">
        <f t="shared" si="237"/>
        <v>74.739999999999995</v>
      </c>
      <c r="O1169" s="27"/>
      <c r="P1169" s="56"/>
      <c r="Q1169" s="26"/>
      <c r="S1169" s="330">
        <v>15.76</v>
      </c>
      <c r="T1169" s="34">
        <v>1.5</v>
      </c>
      <c r="U1169" s="366">
        <f t="shared" si="235"/>
        <v>6.0851926977687633E-2</v>
      </c>
      <c r="V1169" s="97">
        <v>2.4</v>
      </c>
      <c r="W1169" s="13">
        <f>RTD("money.excel",,"6194","Price")</f>
        <v>24.65</v>
      </c>
      <c r="X1169" s="67"/>
      <c r="Y1169" s="15">
        <f t="shared" si="232"/>
        <v>24.65</v>
      </c>
      <c r="Z1169" s="3" t="e">
        <f t="shared" si="233"/>
        <v>#DIV/0!</v>
      </c>
      <c r="AB1169" s="16" t="s">
        <v>463</v>
      </c>
      <c r="AE1169" s="33">
        <f t="shared" si="234"/>
        <v>0</v>
      </c>
      <c r="AF1169" s="43" t="s">
        <v>1101</v>
      </c>
      <c r="AG1169" s="128"/>
      <c r="AI1169" s="64">
        <f t="shared" si="236"/>
        <v>4.4999999999999999E-4</v>
      </c>
      <c r="AJ1169" s="313">
        <f>RTD("money.excel",,$G1169,"PredictVolume")</f>
        <v>27</v>
      </c>
      <c r="AK1169" s="348"/>
    </row>
    <row r="1170" spans="1:37">
      <c r="A1170" s="132" t="s">
        <v>1773</v>
      </c>
      <c r="B1170" s="81">
        <v>38</v>
      </c>
      <c r="C1170" s="81">
        <v>108</v>
      </c>
      <c r="D1170" s="82">
        <v>-4</v>
      </c>
      <c r="E1170" s="82">
        <v>-11</v>
      </c>
      <c r="F1170" s="58">
        <v>10.56</v>
      </c>
      <c r="G1170" s="81">
        <v>6197</v>
      </c>
      <c r="H1170" s="8" t="s">
        <v>327</v>
      </c>
      <c r="I1170" s="22" t="s">
        <v>428</v>
      </c>
      <c r="J1170" s="75">
        <v>42.31</v>
      </c>
      <c r="K1170" s="75">
        <v>8.64</v>
      </c>
      <c r="L1170" s="75">
        <v>10.210000000000001</v>
      </c>
      <c r="N1170" s="325">
        <f t="shared" si="237"/>
        <v>61.160000000000004</v>
      </c>
      <c r="O1170" s="27"/>
      <c r="P1170" s="56"/>
      <c r="Q1170" s="26"/>
      <c r="S1170" s="330">
        <v>0.12</v>
      </c>
      <c r="T1170" s="34">
        <v>2.9</v>
      </c>
      <c r="U1170" s="366">
        <f t="shared" si="235"/>
        <v>6.799531066822978E-2</v>
      </c>
      <c r="V1170" s="97">
        <v>2.13</v>
      </c>
      <c r="W1170" s="36">
        <f>RTD("money.excel",,"6197","Price")</f>
        <v>42.65</v>
      </c>
      <c r="X1170" s="67"/>
      <c r="Y1170" s="15">
        <f t="shared" si="232"/>
        <v>42.65</v>
      </c>
      <c r="Z1170" s="3" t="e">
        <f t="shared" si="233"/>
        <v>#DIV/0!</v>
      </c>
      <c r="AB1170" s="22" t="s">
        <v>428</v>
      </c>
      <c r="AE1170" s="33">
        <f t="shared" si="234"/>
        <v>0</v>
      </c>
      <c r="AF1170" s="43" t="s">
        <v>3072</v>
      </c>
      <c r="AG1170" s="128"/>
      <c r="AI1170" s="64">
        <f t="shared" si="236"/>
        <v>3.8196721311475408E-3</v>
      </c>
      <c r="AJ1170" s="313">
        <f>RTD("money.excel",,$G1170,"PredictVolume")</f>
        <v>466</v>
      </c>
      <c r="AK1170" s="348"/>
    </row>
    <row r="1171" spans="1:37">
      <c r="A1171" s="132" t="s">
        <v>2616</v>
      </c>
      <c r="B1171" s="81">
        <v>77</v>
      </c>
      <c r="C1171" s="81">
        <v>115</v>
      </c>
      <c r="D1171" s="82">
        <v>-43</v>
      </c>
      <c r="E1171" s="81">
        <v>76</v>
      </c>
      <c r="F1171" s="58">
        <v>23.06</v>
      </c>
      <c r="G1171" s="81">
        <v>6203</v>
      </c>
      <c r="H1171" s="8" t="s">
        <v>327</v>
      </c>
      <c r="I1171" s="16" t="s">
        <v>464</v>
      </c>
      <c r="J1171" s="330">
        <v>55.31</v>
      </c>
      <c r="K1171" s="330">
        <v>2.88</v>
      </c>
      <c r="L1171" s="75">
        <v>17.100000000000001</v>
      </c>
      <c r="N1171" s="325">
        <f t="shared" si="237"/>
        <v>75.290000000000006</v>
      </c>
      <c r="O1171" s="27"/>
      <c r="P1171" s="56"/>
      <c r="Q1171" s="26"/>
      <c r="S1171" s="330">
        <v>0.21</v>
      </c>
      <c r="T1171" s="67">
        <v>5</v>
      </c>
      <c r="U1171" s="366">
        <f t="shared" si="235"/>
        <v>7.9113924050632903E-2</v>
      </c>
      <c r="V1171" s="58">
        <v>7.64</v>
      </c>
      <c r="W1171" s="36">
        <f>RTD("money.excel",,"6203","Price")</f>
        <v>63.2</v>
      </c>
      <c r="X1171" s="67"/>
      <c r="Y1171" s="15">
        <f t="shared" si="232"/>
        <v>63.2</v>
      </c>
      <c r="Z1171" s="3" t="e">
        <f t="shared" si="233"/>
        <v>#DIV/0!</v>
      </c>
      <c r="AA1171" s="174" t="s">
        <v>1986</v>
      </c>
      <c r="AB1171" s="16" t="s">
        <v>464</v>
      </c>
      <c r="AE1171" s="33">
        <f t="shared" si="234"/>
        <v>0</v>
      </c>
      <c r="AF1171" s="43" t="s">
        <v>2893</v>
      </c>
      <c r="AG1171" s="128"/>
      <c r="AI1171" s="64">
        <f t="shared" si="236"/>
        <v>1.4075000000000001E-2</v>
      </c>
      <c r="AJ1171" s="313">
        <f>RTD("money.excel",,$G1171,"PredictVolume")</f>
        <v>1126</v>
      </c>
      <c r="AK1171" s="348"/>
    </row>
    <row r="1172" spans="1:37">
      <c r="A1172" s="148" t="s">
        <v>2649</v>
      </c>
      <c r="B1172" s="95">
        <v>4877</v>
      </c>
      <c r="C1172" s="81">
        <v>795</v>
      </c>
      <c r="D1172" s="81">
        <v>7</v>
      </c>
      <c r="E1172" s="81">
        <v>46</v>
      </c>
      <c r="F1172" s="6">
        <v>6.95</v>
      </c>
      <c r="G1172" s="81">
        <v>6204</v>
      </c>
      <c r="H1172" s="8" t="s">
        <v>327</v>
      </c>
      <c r="I1172" s="16" t="s">
        <v>5938</v>
      </c>
      <c r="J1172" s="75">
        <v>66.44</v>
      </c>
      <c r="K1172" s="330">
        <v>0.1</v>
      </c>
      <c r="L1172" s="330">
        <v>16.59</v>
      </c>
      <c r="N1172" s="325">
        <f t="shared" si="237"/>
        <v>83.13</v>
      </c>
      <c r="O1172" s="27"/>
      <c r="P1172" s="56"/>
      <c r="Q1172" s="26"/>
      <c r="S1172" s="330">
        <v>0.63</v>
      </c>
      <c r="T1172" s="67">
        <v>15</v>
      </c>
      <c r="U1172" s="366">
        <f t="shared" si="235"/>
        <v>0.21216407355021216</v>
      </c>
      <c r="V1172" s="58">
        <v>12.27</v>
      </c>
      <c r="W1172" s="36">
        <f>RTD("money.excel",,"6204","Price")</f>
        <v>70.7</v>
      </c>
      <c r="X1172" s="67"/>
      <c r="Y1172" s="15">
        <f t="shared" si="232"/>
        <v>70.7</v>
      </c>
      <c r="Z1172" s="3" t="e">
        <f t="shared" si="233"/>
        <v>#DIV/0!</v>
      </c>
      <c r="AA1172" s="174" t="s">
        <v>1986</v>
      </c>
      <c r="AB1172" s="16" t="s">
        <v>5938</v>
      </c>
      <c r="AE1172" s="33">
        <f t="shared" si="234"/>
        <v>0</v>
      </c>
      <c r="AF1172" s="43" t="s">
        <v>2941</v>
      </c>
      <c r="AG1172" s="128"/>
      <c r="AI1172" s="64">
        <f t="shared" si="236"/>
        <v>6.0606060606060606E-3</v>
      </c>
      <c r="AJ1172" s="313">
        <f>RTD("money.excel",,$G1172,"PredictVolume")</f>
        <v>140</v>
      </c>
      <c r="AK1172" s="348"/>
    </row>
    <row r="1173" spans="1:37">
      <c r="A1173" s="148" t="s">
        <v>3586</v>
      </c>
      <c r="B1173" s="82">
        <v>-12</v>
      </c>
      <c r="C1173" s="82">
        <v>-15</v>
      </c>
      <c r="D1173" s="81">
        <v>35</v>
      </c>
      <c r="E1173" s="81">
        <v>32</v>
      </c>
      <c r="F1173" s="6">
        <v>9.85</v>
      </c>
      <c r="G1173" s="81">
        <v>6205</v>
      </c>
      <c r="H1173" s="8" t="s">
        <v>327</v>
      </c>
      <c r="I1173" s="22" t="s">
        <v>429</v>
      </c>
      <c r="J1173" s="330">
        <v>47.7</v>
      </c>
      <c r="K1173" s="75">
        <v>5.77</v>
      </c>
      <c r="L1173" s="75">
        <v>54.11</v>
      </c>
      <c r="M1173" s="330">
        <v>13.37</v>
      </c>
      <c r="N1173" s="325">
        <f t="shared" si="237"/>
        <v>120.95</v>
      </c>
      <c r="O1173" s="27" t="s">
        <v>1735</v>
      </c>
      <c r="P1173" s="56"/>
      <c r="Q1173" s="26"/>
      <c r="R1173" s="309" t="s">
        <v>6253</v>
      </c>
      <c r="S1173" s="330">
        <v>4.26</v>
      </c>
      <c r="T1173" s="34">
        <v>1.5</v>
      </c>
      <c r="U1173" s="366">
        <f t="shared" si="235"/>
        <v>1.7241379310344827E-2</v>
      </c>
      <c r="V1173" s="97">
        <v>1.79</v>
      </c>
      <c r="W1173" s="36">
        <f>RTD("money.excel",,"6205","Price")</f>
        <v>87</v>
      </c>
      <c r="X1173" s="67"/>
      <c r="Y1173" s="15">
        <f t="shared" si="232"/>
        <v>87</v>
      </c>
      <c r="Z1173" s="3" t="e">
        <f t="shared" si="233"/>
        <v>#DIV/0!</v>
      </c>
      <c r="AA1173" s="174" t="s">
        <v>1943</v>
      </c>
      <c r="AB1173" s="22" t="s">
        <v>429</v>
      </c>
      <c r="AE1173" s="33">
        <f t="shared" si="234"/>
        <v>0</v>
      </c>
      <c r="AF1173" s="61" t="s">
        <v>2214</v>
      </c>
      <c r="AG1173" s="128"/>
      <c r="AI1173" s="64">
        <f t="shared" si="236"/>
        <v>3.4675159235668787E-2</v>
      </c>
      <c r="AJ1173" s="313">
        <f>RTD("money.excel",,$G1173,"PredictVolume")</f>
        <v>2722</v>
      </c>
      <c r="AK1173" s="348">
        <v>34.89</v>
      </c>
    </row>
    <row r="1174" spans="1:37">
      <c r="A1174" s="148" t="s">
        <v>2733</v>
      </c>
      <c r="B1174" s="81">
        <v>70</v>
      </c>
      <c r="C1174" s="81">
        <v>146</v>
      </c>
      <c r="D1174" s="82">
        <v>-25</v>
      </c>
      <c r="E1174" s="81">
        <v>46</v>
      </c>
      <c r="F1174" s="6">
        <v>9.15</v>
      </c>
      <c r="G1174" s="81">
        <v>6207</v>
      </c>
      <c r="H1174" s="8" t="s">
        <v>327</v>
      </c>
      <c r="I1174" s="16" t="s">
        <v>340</v>
      </c>
      <c r="J1174" s="75">
        <v>21.06</v>
      </c>
      <c r="K1174" s="330">
        <v>2.12</v>
      </c>
      <c r="L1174" s="75">
        <v>8</v>
      </c>
      <c r="N1174" s="325">
        <f t="shared" si="237"/>
        <v>31.18</v>
      </c>
      <c r="O1174" s="27"/>
      <c r="P1174" s="56"/>
      <c r="Q1174" s="26"/>
      <c r="S1174" s="330">
        <v>0</v>
      </c>
      <c r="T1174" s="34">
        <v>1.5</v>
      </c>
      <c r="U1174" s="366">
        <f t="shared" si="235"/>
        <v>4.4378698224852076E-2</v>
      </c>
      <c r="V1174" s="97">
        <v>1.55</v>
      </c>
      <c r="W1174" s="36">
        <f>RTD("money.excel",,"6207","Price")</f>
        <v>33.799999999999997</v>
      </c>
      <c r="X1174" s="67"/>
      <c r="Y1174" s="15">
        <f t="shared" si="232"/>
        <v>33.799999999999997</v>
      </c>
      <c r="Z1174" s="3" t="e">
        <f t="shared" si="233"/>
        <v>#DIV/0!</v>
      </c>
      <c r="AA1174" s="174" t="s">
        <v>1943</v>
      </c>
      <c r="AB1174" s="16" t="s">
        <v>340</v>
      </c>
      <c r="AE1174" s="33">
        <f t="shared" si="234"/>
        <v>0</v>
      </c>
      <c r="AF1174" s="43" t="s">
        <v>2820</v>
      </c>
      <c r="AG1174" s="128"/>
      <c r="AI1174" s="64">
        <f t="shared" si="236"/>
        <v>4.4934445768772344E-3</v>
      </c>
      <c r="AJ1174" s="313">
        <f>RTD("money.excel",,$G1174,"PredictVolume")</f>
        <v>377</v>
      </c>
      <c r="AK1174" s="348"/>
    </row>
    <row r="1175" spans="1:37">
      <c r="A1175" s="132" t="s">
        <v>1807</v>
      </c>
      <c r="B1175" s="81">
        <v>22</v>
      </c>
      <c r="C1175" s="82">
        <v>-8</v>
      </c>
      <c r="D1175" s="81">
        <v>40</v>
      </c>
      <c r="E1175" s="81">
        <v>91</v>
      </c>
      <c r="F1175" s="58">
        <v>10.31</v>
      </c>
      <c r="G1175" s="81">
        <v>6208</v>
      </c>
      <c r="H1175" s="8" t="s">
        <v>327</v>
      </c>
      <c r="I1175" s="16" t="s">
        <v>5939</v>
      </c>
      <c r="J1175" s="75">
        <v>38.71</v>
      </c>
      <c r="K1175" s="330">
        <v>0.38</v>
      </c>
      <c r="L1175" s="330">
        <v>25.14</v>
      </c>
      <c r="N1175" s="325">
        <f t="shared" si="237"/>
        <v>64.23</v>
      </c>
      <c r="O1175" s="27"/>
      <c r="P1175" s="56"/>
      <c r="Q1175" s="26"/>
      <c r="S1175" s="330">
        <v>1.19</v>
      </c>
      <c r="T1175" s="34">
        <v>2</v>
      </c>
      <c r="U1175" s="366">
        <f t="shared" si="235"/>
        <v>3.6429872495446269E-2</v>
      </c>
      <c r="V1175" s="97">
        <v>2.86</v>
      </c>
      <c r="W1175" s="36">
        <f>RTD("money.excel",,"6208","Price")</f>
        <v>54.9</v>
      </c>
      <c r="X1175" s="67"/>
      <c r="Y1175" s="15">
        <f t="shared" si="232"/>
        <v>54.9</v>
      </c>
      <c r="Z1175" s="3" t="e">
        <f t="shared" si="233"/>
        <v>#DIV/0!</v>
      </c>
      <c r="AB1175" s="16" t="s">
        <v>5939</v>
      </c>
      <c r="AE1175" s="33">
        <f t="shared" si="234"/>
        <v>0</v>
      </c>
      <c r="AF1175" s="43" t="s">
        <v>3479</v>
      </c>
      <c r="AG1175" s="128"/>
      <c r="AI1175" s="64">
        <f t="shared" si="236"/>
        <v>7.4745762711864406E-3</v>
      </c>
      <c r="AJ1175" s="313">
        <f>RTD("money.excel",,$G1175,"PredictVolume")</f>
        <v>882</v>
      </c>
      <c r="AK1175" s="348"/>
    </row>
    <row r="1176" spans="1:37">
      <c r="A1176" s="132" t="s">
        <v>3520</v>
      </c>
      <c r="B1176" s="82">
        <v>-7</v>
      </c>
      <c r="C1176" s="82">
        <v>-11</v>
      </c>
      <c r="D1176" s="81">
        <v>2</v>
      </c>
      <c r="E1176" s="81">
        <v>23</v>
      </c>
      <c r="F1176" s="58">
        <v>15.14</v>
      </c>
      <c r="G1176" s="81">
        <v>6210</v>
      </c>
      <c r="H1176" s="8" t="s">
        <v>327</v>
      </c>
      <c r="I1176" s="16" t="s">
        <v>466</v>
      </c>
      <c r="J1176" s="75">
        <v>43.19</v>
      </c>
      <c r="K1176" s="330">
        <v>0.08</v>
      </c>
      <c r="L1176" s="330">
        <v>1.06</v>
      </c>
      <c r="N1176" s="325">
        <f t="shared" si="237"/>
        <v>44.33</v>
      </c>
      <c r="O1176" s="27"/>
      <c r="P1176" s="56"/>
      <c r="Q1176" s="26"/>
      <c r="S1176" s="330">
        <v>0</v>
      </c>
      <c r="T1176" s="67">
        <v>3</v>
      </c>
      <c r="U1176" s="366">
        <f t="shared" si="235"/>
        <v>7.1684587813620068E-2</v>
      </c>
      <c r="V1176" s="97">
        <v>3.08</v>
      </c>
      <c r="W1176" s="36">
        <f>RTD("money.excel",,"6210","Price")</f>
        <v>41.85</v>
      </c>
      <c r="X1176" s="67"/>
      <c r="Y1176" s="15">
        <f t="shared" si="232"/>
        <v>41.85</v>
      </c>
      <c r="Z1176" s="3" t="e">
        <f t="shared" si="233"/>
        <v>#DIV/0!</v>
      </c>
      <c r="AA1176" s="174" t="s">
        <v>1986</v>
      </c>
      <c r="AB1176" s="16" t="s">
        <v>466</v>
      </c>
      <c r="AE1176" s="33">
        <f t="shared" si="234"/>
        <v>0</v>
      </c>
      <c r="AF1176" s="43" t="s">
        <v>1101</v>
      </c>
      <c r="AG1176" s="128"/>
      <c r="AI1176" s="64">
        <f t="shared" si="236"/>
        <v>1.9142857142857143E-3</v>
      </c>
      <c r="AJ1176" s="313">
        <f>RTD("money.excel",,$G1176,"PredictVolume")</f>
        <v>67</v>
      </c>
      <c r="AK1176" s="348"/>
    </row>
    <row r="1177" spans="1:37">
      <c r="A1177" s="132" t="s">
        <v>4196</v>
      </c>
      <c r="B1177" s="81">
        <v>20</v>
      </c>
      <c r="C1177" s="81">
        <v>20</v>
      </c>
      <c r="D1177" s="81">
        <v>7</v>
      </c>
      <c r="E1177" s="81">
        <v>60</v>
      </c>
      <c r="F1177" s="58">
        <v>12.91</v>
      </c>
      <c r="G1177" s="81">
        <v>6213</v>
      </c>
      <c r="H1177" s="206" t="s">
        <v>327</v>
      </c>
      <c r="I1177" s="22" t="s">
        <v>64</v>
      </c>
      <c r="J1177" s="75">
        <v>72.2</v>
      </c>
      <c r="K1177" s="75">
        <v>13.98</v>
      </c>
      <c r="L1177" s="330">
        <v>5.23</v>
      </c>
      <c r="N1177" s="325">
        <f t="shared" si="237"/>
        <v>91.410000000000011</v>
      </c>
      <c r="O1177" s="27"/>
      <c r="P1177" s="56"/>
      <c r="Q1177" s="26"/>
      <c r="S1177" s="330">
        <v>9.64</v>
      </c>
      <c r="T1177" s="67">
        <v>5</v>
      </c>
      <c r="U1177" s="366">
        <f t="shared" si="235"/>
        <v>4.1666666666666664E-2</v>
      </c>
      <c r="V1177" s="58">
        <v>8.83</v>
      </c>
      <c r="W1177" s="36">
        <f>RTD("money.excel",,"6213","Price")</f>
        <v>120</v>
      </c>
      <c r="X1177" s="67"/>
      <c r="Y1177" s="15">
        <f t="shared" si="232"/>
        <v>120</v>
      </c>
      <c r="Z1177" s="3" t="e">
        <f t="shared" si="233"/>
        <v>#DIV/0!</v>
      </c>
      <c r="AA1177" s="174" t="s">
        <v>2185</v>
      </c>
      <c r="AB1177" s="22" t="s">
        <v>64</v>
      </c>
      <c r="AE1177" s="33">
        <f t="shared" si="234"/>
        <v>0</v>
      </c>
      <c r="AF1177" s="122" t="s">
        <v>4027</v>
      </c>
      <c r="AG1177" s="26"/>
      <c r="AI1177" s="64">
        <f t="shared" si="236"/>
        <v>4.6892950391644907E-3</v>
      </c>
      <c r="AJ1177" s="313">
        <f>RTD("money.excel",,$G1177,"PredictVolume")</f>
        <v>1796</v>
      </c>
      <c r="AK1177" s="108"/>
    </row>
    <row r="1178" spans="1:37">
      <c r="A1178" s="148" t="s">
        <v>1548</v>
      </c>
      <c r="B1178" s="82">
        <v>-52</v>
      </c>
      <c r="C1178" s="82">
        <v>-33</v>
      </c>
      <c r="D1178" s="81">
        <v>14</v>
      </c>
      <c r="E1178" s="81">
        <v>56</v>
      </c>
      <c r="F1178" s="6">
        <v>3.55</v>
      </c>
      <c r="G1178" s="81">
        <v>6217</v>
      </c>
      <c r="H1178" s="8" t="s">
        <v>327</v>
      </c>
      <c r="I1178" s="16" t="s">
        <v>162</v>
      </c>
      <c r="J1178" s="330">
        <v>10.8</v>
      </c>
      <c r="K1178" s="330">
        <v>1.66</v>
      </c>
      <c r="L1178" s="75">
        <v>27.46</v>
      </c>
      <c r="N1178" s="325">
        <f t="shared" si="237"/>
        <v>39.92</v>
      </c>
      <c r="O1178" s="27"/>
      <c r="P1178" s="56"/>
      <c r="Q1178" s="26"/>
      <c r="S1178" s="330">
        <v>0.97</v>
      </c>
      <c r="T1178" s="34">
        <v>1.05</v>
      </c>
      <c r="U1178" s="366">
        <f t="shared" si="235"/>
        <v>2.1190716448032294E-2</v>
      </c>
      <c r="V1178" s="97">
        <v>1.48</v>
      </c>
      <c r="W1178" s="36">
        <f>RTD("money.excel",,"6217","Price")</f>
        <v>49.55</v>
      </c>
      <c r="X1178" s="67"/>
      <c r="Y1178" s="15">
        <f t="shared" si="232"/>
        <v>49.55</v>
      </c>
      <c r="Z1178" s="3" t="e">
        <f t="shared" si="233"/>
        <v>#DIV/0!</v>
      </c>
      <c r="AB1178" s="16" t="s">
        <v>162</v>
      </c>
      <c r="AE1178" s="33">
        <f t="shared" si="234"/>
        <v>0</v>
      </c>
      <c r="AF1178" s="122" t="s">
        <v>2824</v>
      </c>
      <c r="AG1178" s="269"/>
      <c r="AI1178" s="64">
        <f t="shared" si="236"/>
        <v>1.8267477203647416E-2</v>
      </c>
      <c r="AJ1178" s="313">
        <f>RTD("money.excel",,$G1178,"PredictVolume")</f>
        <v>1202</v>
      </c>
      <c r="AK1178" s="348"/>
    </row>
    <row r="1179" spans="1:37">
      <c r="A1179" s="148" t="s">
        <v>1866</v>
      </c>
      <c r="B1179" s="81">
        <v>25</v>
      </c>
      <c r="C1179" s="81">
        <v>24</v>
      </c>
      <c r="D1179" s="81">
        <v>10</v>
      </c>
      <c r="E1179" s="82">
        <v>-10</v>
      </c>
      <c r="F1179" s="6">
        <v>3.79</v>
      </c>
      <c r="G1179" s="81">
        <v>6220</v>
      </c>
      <c r="H1179" s="8" t="s">
        <v>327</v>
      </c>
      <c r="I1179" s="16" t="s">
        <v>5940</v>
      </c>
      <c r="J1179" s="75">
        <v>44.07</v>
      </c>
      <c r="K1179" s="75">
        <v>3.24</v>
      </c>
      <c r="L1179" s="330">
        <v>14.4</v>
      </c>
      <c r="N1179" s="325">
        <f t="shared" si="237"/>
        <v>61.71</v>
      </c>
      <c r="O1179" s="27"/>
      <c r="P1179" s="56"/>
      <c r="Q1179" s="26"/>
      <c r="S1179" s="330">
        <v>2.0499999999999998</v>
      </c>
      <c r="T1179" s="34">
        <v>1</v>
      </c>
      <c r="U1179" s="366">
        <f t="shared" si="235"/>
        <v>4.3290043290043288E-2</v>
      </c>
      <c r="V1179" s="97">
        <v>2.4300000000000002</v>
      </c>
      <c r="W1179" s="36">
        <f>RTD("money.excel",,"6220","Price")</f>
        <v>23.1</v>
      </c>
      <c r="X1179" s="67"/>
      <c r="Y1179" s="15">
        <f t="shared" si="232"/>
        <v>23.1</v>
      </c>
      <c r="Z1179" s="3" t="e">
        <f t="shared" si="233"/>
        <v>#DIV/0!</v>
      </c>
      <c r="AA1179" s="174" t="s">
        <v>1943</v>
      </c>
      <c r="AB1179" s="16" t="s">
        <v>5940</v>
      </c>
      <c r="AE1179" s="33">
        <f t="shared" si="234"/>
        <v>0</v>
      </c>
      <c r="AF1179" s="122" t="s">
        <v>2937</v>
      </c>
      <c r="AG1179" s="128"/>
      <c r="AI1179" s="64">
        <f t="shared" si="236"/>
        <v>6.8702290076335878E-4</v>
      </c>
      <c r="AJ1179" s="313">
        <f>RTD("money.excel",,$G1179,"PredictVolume")</f>
        <v>90</v>
      </c>
      <c r="AK1179" s="348"/>
    </row>
    <row r="1180" spans="1:37">
      <c r="A1180" s="132" t="s">
        <v>1921</v>
      </c>
      <c r="B1180" s="81">
        <v>57</v>
      </c>
      <c r="C1180" s="81">
        <v>80</v>
      </c>
      <c r="D1180" s="82">
        <v>-6</v>
      </c>
      <c r="E1180" s="81">
        <v>110</v>
      </c>
      <c r="F1180" s="58">
        <v>22.71</v>
      </c>
      <c r="G1180" s="81">
        <v>6224</v>
      </c>
      <c r="H1180" s="210" t="s">
        <v>327</v>
      </c>
      <c r="I1180" s="22" t="s">
        <v>244</v>
      </c>
      <c r="J1180" s="75">
        <v>27.11</v>
      </c>
      <c r="K1180" s="330">
        <v>10.68</v>
      </c>
      <c r="L1180" s="330">
        <v>18.329999999999998</v>
      </c>
      <c r="N1180" s="325">
        <f t="shared" si="237"/>
        <v>56.12</v>
      </c>
      <c r="O1180" s="27"/>
      <c r="P1180" s="56"/>
      <c r="Q1180" s="26"/>
      <c r="S1180" s="330">
        <v>3.11</v>
      </c>
      <c r="T1180" s="67">
        <v>4.25</v>
      </c>
      <c r="U1180" s="366">
        <f t="shared" si="235"/>
        <v>4.1666666666666664E-2</v>
      </c>
      <c r="V1180" s="97">
        <v>6.39</v>
      </c>
      <c r="W1180" s="36">
        <f>RTD("money.excel",,"6224","Price")</f>
        <v>102</v>
      </c>
      <c r="X1180" s="67"/>
      <c r="Y1180" s="15">
        <f t="shared" si="232"/>
        <v>102</v>
      </c>
      <c r="Z1180" s="3" t="e">
        <f t="shared" si="233"/>
        <v>#DIV/0!</v>
      </c>
      <c r="AA1180" s="174" t="s">
        <v>2185</v>
      </c>
      <c r="AB1180" s="22" t="s">
        <v>244</v>
      </c>
      <c r="AE1180" s="33">
        <f t="shared" si="234"/>
        <v>0</v>
      </c>
      <c r="AF1180" s="124" t="s">
        <v>3797</v>
      </c>
      <c r="AG1180" s="128"/>
      <c r="AI1180" s="64">
        <f t="shared" si="236"/>
        <v>4.0537383177570094E-3</v>
      </c>
      <c r="AJ1180" s="313">
        <f>RTD("money.excel",,$G1180,"PredictVolume")</f>
        <v>347</v>
      </c>
      <c r="AK1180" s="348"/>
    </row>
    <row r="1181" spans="1:37">
      <c r="A1181" s="148" t="s">
        <v>2784</v>
      </c>
      <c r="B1181" s="82">
        <v>-96</v>
      </c>
      <c r="C1181" s="82">
        <v>-74</v>
      </c>
      <c r="D1181" s="82">
        <v>-8</v>
      </c>
      <c r="E1181" s="81">
        <v>31</v>
      </c>
      <c r="F1181" s="6">
        <v>1.02</v>
      </c>
      <c r="G1181" s="81">
        <v>6251</v>
      </c>
      <c r="H1181" s="210" t="s">
        <v>327</v>
      </c>
      <c r="I1181" s="22" t="s">
        <v>430</v>
      </c>
      <c r="J1181" s="330">
        <v>21.4</v>
      </c>
      <c r="K1181" s="75">
        <v>9.16</v>
      </c>
      <c r="L1181" s="330">
        <v>20.49</v>
      </c>
      <c r="N1181" s="325">
        <f t="shared" si="237"/>
        <v>51.05</v>
      </c>
      <c r="O1181" s="27"/>
      <c r="P1181" s="56"/>
      <c r="Q1181" s="26"/>
      <c r="S1181" s="330">
        <v>0.34</v>
      </c>
      <c r="T1181" s="34">
        <v>0.4</v>
      </c>
      <c r="U1181" s="366">
        <f t="shared" si="235"/>
        <v>1.8223234624145788E-2</v>
      </c>
      <c r="V1181" s="97">
        <v>0.54</v>
      </c>
      <c r="W1181" s="36">
        <f>RTD("money.excel",,"6251","Price")</f>
        <v>21.95</v>
      </c>
      <c r="X1181" s="67"/>
      <c r="Y1181" s="15">
        <f t="shared" si="232"/>
        <v>21.95</v>
      </c>
      <c r="Z1181" s="3" t="e">
        <f t="shared" si="233"/>
        <v>#DIV/0!</v>
      </c>
      <c r="AA1181" s="174" t="s">
        <v>1943</v>
      </c>
      <c r="AB1181" s="22" t="s">
        <v>430</v>
      </c>
      <c r="AE1181" s="33">
        <f t="shared" si="234"/>
        <v>0</v>
      </c>
      <c r="AF1181" s="43" t="s">
        <v>1101</v>
      </c>
      <c r="AG1181" s="128"/>
      <c r="AI1181" s="64">
        <f t="shared" si="236"/>
        <v>1.6750902527075812E-2</v>
      </c>
      <c r="AJ1181" s="313">
        <f>RTD("money.excel",,$G1181,"PredictVolume")</f>
        <v>4640</v>
      </c>
      <c r="AK1181" s="348"/>
    </row>
    <row r="1182" spans="1:37">
      <c r="A1182" s="148" t="s">
        <v>3527</v>
      </c>
      <c r="B1182" s="93">
        <v>-104</v>
      </c>
      <c r="C1182" s="93">
        <v>83</v>
      </c>
      <c r="D1182" s="93">
        <v>10</v>
      </c>
      <c r="E1182" s="93">
        <v>5</v>
      </c>
      <c r="F1182" s="6">
        <v>-5.04</v>
      </c>
      <c r="G1182" s="81">
        <v>6259</v>
      </c>
      <c r="H1182" s="8" t="s">
        <v>327</v>
      </c>
      <c r="I1182" s="16" t="s">
        <v>5941</v>
      </c>
      <c r="J1182" s="75">
        <v>66.77</v>
      </c>
      <c r="K1182" s="75">
        <v>53.82</v>
      </c>
      <c r="N1182" s="325">
        <f t="shared" si="237"/>
        <v>120.59</v>
      </c>
      <c r="O1182" s="27"/>
      <c r="P1182" s="56"/>
      <c r="Q1182" s="26"/>
      <c r="S1182" s="330">
        <v>19.34</v>
      </c>
      <c r="T1182" s="34">
        <v>0</v>
      </c>
      <c r="U1182" s="366">
        <f t="shared" si="235"/>
        <v>0</v>
      </c>
      <c r="V1182" s="58">
        <v>0.13</v>
      </c>
      <c r="W1182" s="13">
        <f>RTD("money.excel",,"6259","Price")</f>
        <v>36.549999999999997</v>
      </c>
      <c r="X1182" s="67"/>
      <c r="Y1182" s="15">
        <f t="shared" si="232"/>
        <v>36.549999999999997</v>
      </c>
      <c r="Z1182" s="3" t="e">
        <f t="shared" si="233"/>
        <v>#DIV/0!</v>
      </c>
      <c r="AB1182" s="16" t="s">
        <v>5941</v>
      </c>
      <c r="AE1182" s="33">
        <f t="shared" si="234"/>
        <v>0</v>
      </c>
      <c r="AF1182" s="43" t="s">
        <v>2942</v>
      </c>
      <c r="AG1182" s="128"/>
      <c r="AI1182" s="64">
        <f t="shared" si="236"/>
        <v>1.4580645161290323E-2</v>
      </c>
      <c r="AJ1182" s="313">
        <f>RTD("money.excel",,$G1182,"PredictVolume")</f>
        <v>226</v>
      </c>
      <c r="AK1182" s="348"/>
    </row>
    <row r="1183" spans="1:37">
      <c r="A1183" s="148" t="s">
        <v>1959</v>
      </c>
      <c r="B1183" s="82">
        <v>-10</v>
      </c>
      <c r="C1183" s="82">
        <v>-15</v>
      </c>
      <c r="D1183" s="81">
        <v>7</v>
      </c>
      <c r="E1183" s="81">
        <v>29</v>
      </c>
      <c r="F1183" s="6">
        <v>7.54</v>
      </c>
      <c r="G1183" s="81">
        <v>6266</v>
      </c>
      <c r="H1183" s="8" t="s">
        <v>327</v>
      </c>
      <c r="I1183" s="16" t="s">
        <v>467</v>
      </c>
      <c r="J1183" s="75">
        <v>30.69</v>
      </c>
      <c r="K1183" s="75">
        <v>2.86</v>
      </c>
      <c r="L1183" s="330">
        <v>17.8</v>
      </c>
      <c r="M1183" s="75">
        <v>16.11</v>
      </c>
      <c r="N1183" s="325">
        <f t="shared" si="237"/>
        <v>67.460000000000008</v>
      </c>
      <c r="O1183" s="27" t="s">
        <v>6162</v>
      </c>
      <c r="P1183" s="56"/>
      <c r="Q1183" s="26"/>
      <c r="R1183" s="308" t="s">
        <v>4373</v>
      </c>
      <c r="S1183" s="330">
        <v>1.5</v>
      </c>
      <c r="T1183" s="34">
        <v>1.38</v>
      </c>
      <c r="U1183" s="366">
        <f t="shared" si="235"/>
        <v>5.2975047984644912E-2</v>
      </c>
      <c r="V1183" s="97">
        <v>1.33</v>
      </c>
      <c r="W1183" s="36">
        <f>RTD("money.excel",,"6266","Price")</f>
        <v>26.05</v>
      </c>
      <c r="X1183" s="67"/>
      <c r="Y1183" s="15">
        <f t="shared" si="232"/>
        <v>26.05</v>
      </c>
      <c r="Z1183" s="3" t="e">
        <f t="shared" si="233"/>
        <v>#DIV/0!</v>
      </c>
      <c r="AB1183" s="16" t="s">
        <v>467</v>
      </c>
      <c r="AE1183" s="33">
        <f t="shared" si="234"/>
        <v>0</v>
      </c>
      <c r="AF1183" s="43" t="s">
        <v>2943</v>
      </c>
      <c r="AG1183" s="128"/>
      <c r="AI1183" s="64">
        <f t="shared" si="236"/>
        <v>1.0794117647058824E-2</v>
      </c>
      <c r="AJ1183" s="313">
        <f>RTD("money.excel",,$G1183,"PredictVolume")</f>
        <v>1101</v>
      </c>
      <c r="AK1183" s="348">
        <v>53.54</v>
      </c>
    </row>
    <row r="1184" spans="1:37">
      <c r="A1184" s="148" t="s">
        <v>4272</v>
      </c>
      <c r="B1184" s="82">
        <v>-28</v>
      </c>
      <c r="C1184" s="82">
        <v>-33</v>
      </c>
      <c r="D1184" s="81">
        <v>5</v>
      </c>
      <c r="E1184" s="81">
        <v>5</v>
      </c>
      <c r="F1184" s="6">
        <v>5.01</v>
      </c>
      <c r="G1184" s="81">
        <v>6269</v>
      </c>
      <c r="H1184" s="210" t="s">
        <v>327</v>
      </c>
      <c r="I1184" s="22" t="s">
        <v>52</v>
      </c>
      <c r="J1184" s="330">
        <v>46.56</v>
      </c>
      <c r="K1184" s="330">
        <v>24.85</v>
      </c>
      <c r="L1184" s="75">
        <v>14.03</v>
      </c>
      <c r="N1184" s="325">
        <f t="shared" si="237"/>
        <v>85.44</v>
      </c>
      <c r="O1184" s="27"/>
      <c r="P1184" s="56"/>
      <c r="Q1184" s="26"/>
      <c r="S1184" s="330">
        <v>1.78</v>
      </c>
      <c r="T1184" s="67">
        <v>5.12</v>
      </c>
      <c r="U1184" s="366">
        <f t="shared" si="235"/>
        <v>5.4179894179894182E-2</v>
      </c>
      <c r="V1184" s="97">
        <v>7.68</v>
      </c>
      <c r="W1184" s="36">
        <f>RTD("money.excel",,"6269","Price")</f>
        <v>94.5</v>
      </c>
      <c r="X1184" s="67"/>
      <c r="Y1184" s="15">
        <f t="shared" si="232"/>
        <v>94.5</v>
      </c>
      <c r="Z1184" s="3" t="e">
        <f t="shared" si="233"/>
        <v>#DIV/0!</v>
      </c>
      <c r="AA1184" s="174" t="s">
        <v>2185</v>
      </c>
      <c r="AB1184" s="22" t="s">
        <v>52</v>
      </c>
      <c r="AE1184" s="33">
        <f t="shared" si="234"/>
        <v>0</v>
      </c>
      <c r="AF1184" s="122" t="s">
        <v>2921</v>
      </c>
      <c r="AG1184" s="128"/>
      <c r="AI1184" s="64">
        <f t="shared" si="236"/>
        <v>1.735042735042735E-3</v>
      </c>
      <c r="AJ1184" s="313">
        <f>RTD("money.excel",,$G1184,"PredictVolume")</f>
        <v>609</v>
      </c>
      <c r="AK1184" s="348"/>
    </row>
    <row r="1185" spans="1:37">
      <c r="A1185" s="148" t="s">
        <v>2209</v>
      </c>
      <c r="B1185" s="82">
        <v>-19</v>
      </c>
      <c r="C1185" s="82">
        <v>-15</v>
      </c>
      <c r="D1185" s="81">
        <v>2</v>
      </c>
      <c r="E1185" s="82">
        <v>-5</v>
      </c>
      <c r="F1185" s="6">
        <v>9.98</v>
      </c>
      <c r="G1185" s="81">
        <v>6274</v>
      </c>
      <c r="H1185" s="8" t="s">
        <v>327</v>
      </c>
      <c r="I1185" s="16" t="s">
        <v>3836</v>
      </c>
      <c r="J1185" s="330">
        <v>66.14</v>
      </c>
      <c r="K1185" s="330">
        <v>52.43</v>
      </c>
      <c r="L1185" s="330">
        <v>3.92</v>
      </c>
      <c r="N1185" s="325">
        <f t="shared" si="237"/>
        <v>122.49</v>
      </c>
      <c r="O1185" s="27"/>
      <c r="P1185" s="56"/>
      <c r="Q1185" s="26"/>
      <c r="S1185" s="330">
        <v>0.04</v>
      </c>
      <c r="T1185" s="67">
        <v>4.8</v>
      </c>
      <c r="U1185" s="366">
        <f t="shared" si="235"/>
        <v>5.8751529987760093E-2</v>
      </c>
      <c r="V1185" s="58">
        <v>6.36</v>
      </c>
      <c r="W1185" s="13">
        <f>RTD("money.excel",,"6274","Price")</f>
        <v>81.7</v>
      </c>
      <c r="X1185" s="67"/>
      <c r="Y1185" s="15">
        <f t="shared" si="232"/>
        <v>81.7</v>
      </c>
      <c r="Z1185" s="3" t="e">
        <f t="shared" si="233"/>
        <v>#DIV/0!</v>
      </c>
      <c r="AA1185" s="174" t="s">
        <v>2185</v>
      </c>
      <c r="AB1185" s="16" t="s">
        <v>3836</v>
      </c>
      <c r="AE1185" s="33">
        <f t="shared" si="234"/>
        <v>0</v>
      </c>
      <c r="AF1185" s="122" t="s">
        <v>4027</v>
      </c>
      <c r="AG1185" s="128"/>
      <c r="AI1185" s="64">
        <f t="shared" si="236"/>
        <v>6.9888059701492533E-3</v>
      </c>
      <c r="AJ1185" s="313">
        <f>RTD("money.excel",,$G1185,"PredictVolume")</f>
        <v>1873</v>
      </c>
      <c r="AK1185" s="348"/>
    </row>
    <row r="1186" spans="1:37">
      <c r="A1186" s="132" t="s">
        <v>2458</v>
      </c>
      <c r="B1186" s="81">
        <v>118</v>
      </c>
      <c r="C1186" s="81">
        <v>115</v>
      </c>
      <c r="D1186" s="81">
        <v>5</v>
      </c>
      <c r="E1186" s="81">
        <v>16</v>
      </c>
      <c r="F1186" s="58">
        <v>20.75</v>
      </c>
      <c r="G1186" s="81">
        <v>6279</v>
      </c>
      <c r="H1186" s="8" t="s">
        <v>327</v>
      </c>
      <c r="I1186" s="16" t="s">
        <v>5942</v>
      </c>
      <c r="J1186" s="330">
        <v>46.53</v>
      </c>
      <c r="K1186" s="75">
        <v>17.239999999999998</v>
      </c>
      <c r="L1186" s="330">
        <v>11.52</v>
      </c>
      <c r="M1186" s="75">
        <v>22.88</v>
      </c>
      <c r="N1186" s="325">
        <f t="shared" si="237"/>
        <v>98.169999999999987</v>
      </c>
      <c r="O1186" s="27"/>
      <c r="P1186" s="56"/>
      <c r="Q1186" s="26"/>
      <c r="R1186" s="308" t="s">
        <v>4373</v>
      </c>
      <c r="S1186" s="330">
        <v>1.18</v>
      </c>
      <c r="T1186" s="67">
        <v>4</v>
      </c>
      <c r="U1186" s="366">
        <f t="shared" si="235"/>
        <v>3.3472803347280332E-2</v>
      </c>
      <c r="V1186" s="97">
        <v>8.6</v>
      </c>
      <c r="W1186" s="36">
        <f>RTD("money.excel",,"6279","Price")</f>
        <v>119.5</v>
      </c>
      <c r="X1186" s="67"/>
      <c r="Y1186" s="15">
        <f t="shared" si="232"/>
        <v>119.5</v>
      </c>
      <c r="Z1186" s="3" t="e">
        <f t="shared" si="233"/>
        <v>#DIV/0!</v>
      </c>
      <c r="AA1186" s="174" t="s">
        <v>2185</v>
      </c>
      <c r="AB1186" s="16" t="s">
        <v>5942</v>
      </c>
      <c r="AE1186" s="33">
        <f t="shared" si="234"/>
        <v>0</v>
      </c>
      <c r="AF1186" s="122" t="s">
        <v>2672</v>
      </c>
      <c r="AG1186" s="128"/>
      <c r="AI1186" s="64">
        <f t="shared" si="236"/>
        <v>1.4142427281845537E-3</v>
      </c>
      <c r="AJ1186" s="313">
        <f>RTD("money.excel",,$G1186,"PredictVolume")</f>
        <v>141</v>
      </c>
      <c r="AK1186" s="348"/>
    </row>
    <row r="1187" spans="1:37">
      <c r="A1187" s="148" t="s">
        <v>2520</v>
      </c>
      <c r="B1187" s="82">
        <v>-1</v>
      </c>
      <c r="C1187" s="81">
        <v>118</v>
      </c>
      <c r="D1187" s="82">
        <v>-6</v>
      </c>
      <c r="E1187" s="81">
        <v>11</v>
      </c>
      <c r="F1187" s="6">
        <v>2.62</v>
      </c>
      <c r="G1187" s="81">
        <v>6282</v>
      </c>
      <c r="H1187" s="210" t="s">
        <v>327</v>
      </c>
      <c r="I1187" s="23" t="s">
        <v>255</v>
      </c>
      <c r="J1187" s="75">
        <v>41.47</v>
      </c>
      <c r="K1187" s="75">
        <v>11.95</v>
      </c>
      <c r="L1187" s="75">
        <v>10.86</v>
      </c>
      <c r="N1187" s="325">
        <f t="shared" si="237"/>
        <v>64.28</v>
      </c>
      <c r="O1187" s="27"/>
      <c r="P1187" s="56"/>
      <c r="Q1187" s="26"/>
      <c r="S1187" s="330">
        <v>0.32</v>
      </c>
      <c r="T1187" s="34">
        <v>1.1000000000000001</v>
      </c>
      <c r="U1187" s="366">
        <f t="shared" si="235"/>
        <v>3.1654676258992806E-2</v>
      </c>
      <c r="V1187" s="97">
        <v>2.54</v>
      </c>
      <c r="W1187" s="36">
        <f>RTD("money.excel",,"6282","Price")</f>
        <v>34.75</v>
      </c>
      <c r="X1187" s="67"/>
      <c r="Y1187" s="15">
        <f t="shared" si="232"/>
        <v>34.75</v>
      </c>
      <c r="Z1187" s="3" t="e">
        <f t="shared" si="233"/>
        <v>#DIV/0!</v>
      </c>
      <c r="AA1187" s="174" t="s">
        <v>1943</v>
      </c>
      <c r="AB1187" s="23" t="s">
        <v>255</v>
      </c>
      <c r="AE1187" s="33">
        <f t="shared" si="234"/>
        <v>0</v>
      </c>
      <c r="AF1187" s="124" t="s">
        <v>3792</v>
      </c>
      <c r="AG1187" s="227"/>
      <c r="AI1187" s="64">
        <f t="shared" si="236"/>
        <v>1.3571705426356589E-2</v>
      </c>
      <c r="AJ1187" s="313">
        <f>RTD("money.excel",,$G1187,"PredictVolume")</f>
        <v>7003</v>
      </c>
      <c r="AK1187" s="348"/>
    </row>
    <row r="1188" spans="1:37">
      <c r="A1188" s="132" t="s">
        <v>2326</v>
      </c>
      <c r="B1188" s="81">
        <v>49</v>
      </c>
      <c r="C1188" s="81">
        <v>37</v>
      </c>
      <c r="D1188" s="81">
        <v>3</v>
      </c>
      <c r="E1188" s="81">
        <v>3</v>
      </c>
      <c r="F1188" s="58">
        <v>10.32</v>
      </c>
      <c r="G1188" s="81">
        <v>6284</v>
      </c>
      <c r="H1188" s="8" t="s">
        <v>327</v>
      </c>
      <c r="I1188" s="16" t="s">
        <v>305</v>
      </c>
      <c r="J1188" s="330">
        <v>44.98</v>
      </c>
      <c r="K1188" s="75">
        <v>3.23</v>
      </c>
      <c r="L1188" s="75">
        <v>21.17</v>
      </c>
      <c r="M1188" s="330">
        <v>36.08</v>
      </c>
      <c r="N1188" s="325">
        <f t="shared" si="237"/>
        <v>105.46</v>
      </c>
      <c r="O1188" s="27"/>
      <c r="P1188" s="56"/>
      <c r="Q1188" s="26"/>
      <c r="R1188" s="308" t="s">
        <v>4374</v>
      </c>
      <c r="S1188" s="330">
        <v>3.19</v>
      </c>
      <c r="T1188" s="34">
        <v>1</v>
      </c>
      <c r="U1188" s="366">
        <f t="shared" si="235"/>
        <v>1.7605633802816902E-2</v>
      </c>
      <c r="V1188" s="97">
        <v>3.64</v>
      </c>
      <c r="W1188" s="36">
        <f>RTD("money.excel",,"6284","Price")</f>
        <v>56.8</v>
      </c>
      <c r="X1188" s="67"/>
      <c r="Y1188" s="15">
        <f t="shared" si="232"/>
        <v>56.8</v>
      </c>
      <c r="Z1188" s="3" t="e">
        <f t="shared" si="233"/>
        <v>#DIV/0!</v>
      </c>
      <c r="AA1188" s="174" t="s">
        <v>4378</v>
      </c>
      <c r="AB1188" s="16" t="s">
        <v>305</v>
      </c>
      <c r="AE1188" s="33">
        <f t="shared" si="234"/>
        <v>0</v>
      </c>
      <c r="AF1188" s="372" t="s">
        <v>4365</v>
      </c>
      <c r="AG1188" s="128"/>
      <c r="AI1188" s="64">
        <f t="shared" si="236"/>
        <v>2.3642857142857142E-3</v>
      </c>
      <c r="AJ1188" s="313">
        <f>RTD("money.excel",,$G1188,"PredictVolume")</f>
        <v>331</v>
      </c>
      <c r="AK1188" s="348"/>
    </row>
    <row r="1189" spans="1:37">
      <c r="A1189" s="148" t="s">
        <v>1799</v>
      </c>
      <c r="B1189" s="82">
        <v>-18</v>
      </c>
      <c r="C1189" s="82">
        <v>-33</v>
      </c>
      <c r="D1189" s="82">
        <v>-6</v>
      </c>
      <c r="E1189" s="81">
        <v>9</v>
      </c>
      <c r="F1189" s="6">
        <v>6.46</v>
      </c>
      <c r="G1189" s="81">
        <v>6290</v>
      </c>
      <c r="H1189" s="8" t="s">
        <v>327</v>
      </c>
      <c r="I1189" s="16" t="s">
        <v>172</v>
      </c>
      <c r="J1189" s="330">
        <v>18.8</v>
      </c>
      <c r="K1189" s="75">
        <v>1.97</v>
      </c>
      <c r="L1189" s="75">
        <v>23.95</v>
      </c>
      <c r="N1189" s="325">
        <f t="shared" si="237"/>
        <v>44.72</v>
      </c>
      <c r="O1189" s="27"/>
      <c r="P1189" s="56"/>
      <c r="Q1189" s="26"/>
      <c r="R1189" s="308" t="s">
        <v>4374</v>
      </c>
      <c r="S1189" s="330">
        <v>8.77</v>
      </c>
      <c r="T1189" s="67">
        <v>3.5</v>
      </c>
      <c r="U1189" s="366">
        <f t="shared" si="235"/>
        <v>6.9582504970178927E-2</v>
      </c>
      <c r="V1189" s="97">
        <v>4.03</v>
      </c>
      <c r="W1189" s="36">
        <f>RTD("money.excel",,"6290","Price")</f>
        <v>50.3</v>
      </c>
      <c r="X1189" s="67"/>
      <c r="Y1189" s="15">
        <f t="shared" si="232"/>
        <v>50.3</v>
      </c>
      <c r="Z1189" s="3" t="e">
        <f t="shared" si="233"/>
        <v>#DIV/0!</v>
      </c>
      <c r="AA1189" s="174" t="s">
        <v>4391</v>
      </c>
      <c r="AB1189" s="16" t="s">
        <v>172</v>
      </c>
      <c r="AE1189" s="33">
        <f t="shared" si="234"/>
        <v>0</v>
      </c>
      <c r="AF1189" s="122" t="s">
        <v>4191</v>
      </c>
      <c r="AG1189" s="128"/>
      <c r="AI1189" s="64">
        <f t="shared" si="236"/>
        <v>1.5034013605442177E-3</v>
      </c>
      <c r="AJ1189" s="313">
        <f>RTD("money.excel",,$G1189,"PredictVolume")</f>
        <v>221</v>
      </c>
      <c r="AK1189" s="348"/>
    </row>
    <row r="1190" spans="1:37">
      <c r="A1190" s="132" t="s">
        <v>2215</v>
      </c>
      <c r="B1190" s="82">
        <v>-55</v>
      </c>
      <c r="C1190" s="82">
        <v>-28</v>
      </c>
      <c r="D1190" s="81">
        <v>36</v>
      </c>
      <c r="E1190" s="81">
        <v>-18</v>
      </c>
      <c r="F1190" s="58">
        <v>12.26</v>
      </c>
      <c r="G1190" s="81">
        <v>6292</v>
      </c>
      <c r="H1190" s="8" t="s">
        <v>327</v>
      </c>
      <c r="I1190" s="16" t="s">
        <v>468</v>
      </c>
      <c r="J1190" s="330">
        <v>55.49</v>
      </c>
      <c r="K1190" s="330">
        <v>0.5</v>
      </c>
      <c r="L1190" s="330">
        <v>2.08</v>
      </c>
      <c r="N1190" s="325">
        <f t="shared" si="237"/>
        <v>58.07</v>
      </c>
      <c r="O1190" s="27"/>
      <c r="P1190" s="56"/>
      <c r="Q1190" s="26"/>
      <c r="S1190" s="330">
        <v>0.38</v>
      </c>
      <c r="T1190" s="34">
        <v>2.7</v>
      </c>
      <c r="U1190" s="366">
        <f t="shared" si="235"/>
        <v>5.7569296375266532E-2</v>
      </c>
      <c r="V1190" s="97">
        <v>3.1</v>
      </c>
      <c r="W1190" s="36">
        <f>RTD("money.excel",,"6292","Price")</f>
        <v>46.9</v>
      </c>
      <c r="X1190" s="67"/>
      <c r="Y1190" s="15">
        <f t="shared" si="232"/>
        <v>46.9</v>
      </c>
      <c r="Z1190" s="3" t="e">
        <f t="shared" si="233"/>
        <v>#DIV/0!</v>
      </c>
      <c r="AB1190" s="16" t="s">
        <v>468</v>
      </c>
      <c r="AE1190" s="33">
        <f t="shared" si="234"/>
        <v>0</v>
      </c>
      <c r="AF1190" s="43" t="s">
        <v>2944</v>
      </c>
      <c r="AG1190" s="128"/>
      <c r="AI1190" s="64">
        <f t="shared" si="236"/>
        <v>3.176972281449893E-3</v>
      </c>
      <c r="AJ1190" s="313">
        <f>RTD("money.excel",,$G1190,"PredictVolume")</f>
        <v>149</v>
      </c>
      <c r="AK1190" s="348"/>
    </row>
    <row r="1191" spans="1:37">
      <c r="A1191" s="148" t="s">
        <v>4030</v>
      </c>
      <c r="B1191" s="81">
        <v>51</v>
      </c>
      <c r="C1191" s="81">
        <v>39</v>
      </c>
      <c r="D1191" s="81">
        <v>10</v>
      </c>
      <c r="E1191" s="81">
        <v>3</v>
      </c>
      <c r="F1191" s="6">
        <v>8.24</v>
      </c>
      <c r="G1191" s="81">
        <v>6412</v>
      </c>
      <c r="H1191" s="210" t="s">
        <v>327</v>
      </c>
      <c r="I1191" s="22" t="s">
        <v>60</v>
      </c>
      <c r="J1191" s="330">
        <v>80.790000000000006</v>
      </c>
      <c r="K1191" s="330">
        <v>13.51</v>
      </c>
      <c r="L1191" s="330">
        <v>0.57999999999999996</v>
      </c>
      <c r="N1191" s="325">
        <f t="shared" si="237"/>
        <v>94.88000000000001</v>
      </c>
      <c r="O1191" s="27"/>
      <c r="P1191" s="56"/>
      <c r="Q1191" s="26"/>
      <c r="S1191" s="330">
        <v>0.18</v>
      </c>
      <c r="T1191" s="67">
        <v>4</v>
      </c>
      <c r="U1191" s="366">
        <f t="shared" si="235"/>
        <v>4.7619047619047616E-2</v>
      </c>
      <c r="V1191" s="58">
        <v>6.56</v>
      </c>
      <c r="W1191" s="36">
        <f>RTD("money.excel",,"6412","Price")</f>
        <v>84</v>
      </c>
      <c r="X1191" s="67"/>
      <c r="Y1191" s="15">
        <f t="shared" si="232"/>
        <v>84</v>
      </c>
      <c r="Z1191" s="3" t="e">
        <f t="shared" si="233"/>
        <v>#DIV/0!</v>
      </c>
      <c r="AA1191" s="174" t="s">
        <v>2185</v>
      </c>
      <c r="AB1191" s="22" t="s">
        <v>60</v>
      </c>
      <c r="AE1191" s="33">
        <f t="shared" si="234"/>
        <v>0</v>
      </c>
      <c r="AF1191" s="122" t="s">
        <v>3070</v>
      </c>
      <c r="AG1191" s="128"/>
      <c r="AI1191" s="64">
        <f t="shared" si="236"/>
        <v>1.5892857142857143E-3</v>
      </c>
      <c r="AJ1191" s="313">
        <f>RTD("money.excel",,$G1191,"PredictVolume")</f>
        <v>623</v>
      </c>
      <c r="AK1191" s="348"/>
    </row>
    <row r="1192" spans="1:37">
      <c r="A1192" s="148" t="s">
        <v>3529</v>
      </c>
      <c r="B1192" s="82">
        <v>-225</v>
      </c>
      <c r="C1192" s="82">
        <v>-186</v>
      </c>
      <c r="D1192" s="81">
        <v>19</v>
      </c>
      <c r="E1192" s="81">
        <v>43</v>
      </c>
      <c r="F1192" s="6">
        <v>-2.15</v>
      </c>
      <c r="G1192" s="81">
        <v>6418</v>
      </c>
      <c r="H1192" s="8" t="s">
        <v>327</v>
      </c>
      <c r="I1192" s="16" t="s">
        <v>3528</v>
      </c>
      <c r="J1192" s="330">
        <v>41.44</v>
      </c>
      <c r="K1192" s="75">
        <v>0.93</v>
      </c>
      <c r="L1192" s="330">
        <v>13.26</v>
      </c>
      <c r="M1192" s="330">
        <v>24.12</v>
      </c>
      <c r="N1192" s="325">
        <f t="shared" si="237"/>
        <v>79.75</v>
      </c>
      <c r="O1192" s="27"/>
      <c r="P1192" s="56"/>
      <c r="Q1192" s="26"/>
      <c r="R1192" s="308" t="s">
        <v>4372</v>
      </c>
      <c r="S1192" s="330">
        <v>0.32</v>
      </c>
      <c r="T1192" s="34">
        <v>0.2</v>
      </c>
      <c r="U1192" s="366">
        <f t="shared" si="235"/>
        <v>1.0050251256281409E-2</v>
      </c>
      <c r="V1192" s="97">
        <v>-0.73</v>
      </c>
      <c r="W1192" s="36">
        <f>RTD("money.excel",,"6418","Price")</f>
        <v>19.899999999999999</v>
      </c>
      <c r="X1192" s="67"/>
      <c r="Y1192" s="15">
        <f t="shared" si="232"/>
        <v>19.899999999999999</v>
      </c>
      <c r="Z1192" s="3" t="e">
        <f t="shared" si="233"/>
        <v>#DIV/0!</v>
      </c>
      <c r="AB1192" s="16" t="s">
        <v>3528</v>
      </c>
      <c r="AE1192" s="33">
        <f t="shared" si="234"/>
        <v>0</v>
      </c>
      <c r="AF1192" s="43" t="s">
        <v>2214</v>
      </c>
      <c r="AG1192" s="128"/>
      <c r="AI1192" s="64">
        <f t="shared" si="236"/>
        <v>1.7101449275362319E-3</v>
      </c>
      <c r="AJ1192" s="313">
        <f>RTD("money.excel",,$G1192,"PredictVolume")</f>
        <v>59</v>
      </c>
      <c r="AK1192" s="348"/>
    </row>
    <row r="1193" spans="1:37">
      <c r="A1193" s="132" t="s">
        <v>3518</v>
      </c>
      <c r="B1193" s="81">
        <v>26</v>
      </c>
      <c r="C1193" s="81">
        <v>32</v>
      </c>
      <c r="D1193" s="81">
        <v>5</v>
      </c>
      <c r="E1193" s="81">
        <v>13</v>
      </c>
      <c r="F1193" s="58">
        <v>10.119999999999999</v>
      </c>
      <c r="G1193" s="81">
        <v>6432</v>
      </c>
      <c r="H1193" s="8" t="s">
        <v>327</v>
      </c>
      <c r="I1193" s="16" t="s">
        <v>469</v>
      </c>
      <c r="J1193" s="75">
        <v>20.92</v>
      </c>
      <c r="K1193" s="330">
        <v>1.26</v>
      </c>
      <c r="L1193" s="75">
        <v>12.41</v>
      </c>
      <c r="M1193" s="330">
        <v>20.420000000000002</v>
      </c>
      <c r="N1193" s="325">
        <f t="shared" si="237"/>
        <v>55.010000000000005</v>
      </c>
      <c r="O1193" s="27"/>
      <c r="P1193" s="56"/>
      <c r="Q1193" s="26"/>
      <c r="R1193" s="308" t="s">
        <v>6061</v>
      </c>
      <c r="S1193" s="330">
        <v>0.48</v>
      </c>
      <c r="T1193" s="34">
        <v>1.57</v>
      </c>
      <c r="U1193" s="366">
        <f t="shared" si="235"/>
        <v>4.2547425474254746E-2</v>
      </c>
      <c r="V1193" s="97">
        <v>3.1</v>
      </c>
      <c r="W1193" s="36">
        <f>RTD("money.excel",,"6432","Price")</f>
        <v>36.9</v>
      </c>
      <c r="X1193" s="67"/>
      <c r="Y1193" s="15">
        <f t="shared" si="232"/>
        <v>36.9</v>
      </c>
      <c r="Z1193" s="3" t="e">
        <f t="shared" si="233"/>
        <v>#DIV/0!</v>
      </c>
      <c r="AA1193" s="174" t="s">
        <v>1943</v>
      </c>
      <c r="AB1193" s="16" t="s">
        <v>469</v>
      </c>
      <c r="AE1193" s="33">
        <f t="shared" si="234"/>
        <v>0</v>
      </c>
      <c r="AF1193" s="43" t="s">
        <v>2896</v>
      </c>
      <c r="AG1193" s="128"/>
      <c r="AI1193" s="64">
        <f t="shared" si="236"/>
        <v>7.8175895765472312E-4</v>
      </c>
      <c r="AJ1193" s="313">
        <f>RTD("money.excel",,$G1193,"PredictVolume")</f>
        <v>24</v>
      </c>
      <c r="AK1193" s="348"/>
    </row>
    <row r="1194" spans="1:37">
      <c r="A1194" s="132" t="s">
        <v>2362</v>
      </c>
      <c r="B1194" s="81">
        <v>237</v>
      </c>
      <c r="C1194" s="81">
        <v>257</v>
      </c>
      <c r="D1194" s="81">
        <v>19</v>
      </c>
      <c r="E1194" s="81">
        <v>28</v>
      </c>
      <c r="F1194" s="58">
        <v>12.66</v>
      </c>
      <c r="G1194" s="81">
        <v>6449</v>
      </c>
      <c r="H1194" s="8" t="s">
        <v>327</v>
      </c>
      <c r="I1194" s="22" t="s">
        <v>5943</v>
      </c>
      <c r="J1194" s="75">
        <v>60.8</v>
      </c>
      <c r="K1194" s="330">
        <v>1.28</v>
      </c>
      <c r="L1194" s="75">
        <v>22.64</v>
      </c>
      <c r="N1194" s="325">
        <f t="shared" si="237"/>
        <v>84.72</v>
      </c>
      <c r="O1194" s="27"/>
      <c r="P1194" s="56"/>
      <c r="Q1194" s="26"/>
      <c r="S1194" s="330">
        <v>0.87</v>
      </c>
      <c r="T1194" s="34">
        <v>1</v>
      </c>
      <c r="U1194" s="366">
        <f t="shared" si="235"/>
        <v>1.7699115044247787E-2</v>
      </c>
      <c r="V1194" s="97">
        <v>3.1</v>
      </c>
      <c r="W1194" s="36">
        <f>RTD("money.excel",,"6449","Price")</f>
        <v>56.5</v>
      </c>
      <c r="X1194" s="67"/>
      <c r="Y1194" s="15">
        <f t="shared" si="232"/>
        <v>56.5</v>
      </c>
      <c r="Z1194" s="3" t="e">
        <f t="shared" si="233"/>
        <v>#DIV/0!</v>
      </c>
      <c r="AA1194" s="174" t="s">
        <v>1943</v>
      </c>
      <c r="AB1194" s="22" t="s">
        <v>5943</v>
      </c>
      <c r="AE1194" s="33">
        <f t="shared" si="234"/>
        <v>0</v>
      </c>
      <c r="AF1194" s="43" t="s">
        <v>2848</v>
      </c>
      <c r="AG1194" s="128"/>
      <c r="AI1194" s="64">
        <f t="shared" si="236"/>
        <v>4.6153846153846153E-4</v>
      </c>
      <c r="AJ1194" s="313">
        <f>RTD("money.excel",,$G1194,"PredictVolume")</f>
        <v>39</v>
      </c>
      <c r="AK1194" s="348"/>
    </row>
    <row r="1195" spans="1:37">
      <c r="A1195" s="132" t="s">
        <v>2344</v>
      </c>
      <c r="B1195" s="82">
        <v>-66</v>
      </c>
      <c r="C1195" s="82">
        <v>-67</v>
      </c>
      <c r="D1195" s="82">
        <v>-7</v>
      </c>
      <c r="E1195" s="82">
        <v>-16</v>
      </c>
      <c r="F1195" s="58">
        <v>16.88</v>
      </c>
      <c r="G1195" s="81">
        <v>6538</v>
      </c>
      <c r="H1195" s="8" t="s">
        <v>327</v>
      </c>
      <c r="I1195" s="16" t="s">
        <v>470</v>
      </c>
      <c r="J1195" s="75">
        <v>12.82</v>
      </c>
      <c r="K1195" s="75">
        <v>4.8899999999999997</v>
      </c>
      <c r="L1195" s="75">
        <v>37.14</v>
      </c>
      <c r="M1195" s="75">
        <v>13.47</v>
      </c>
      <c r="N1195" s="325">
        <f t="shared" si="237"/>
        <v>68.320000000000007</v>
      </c>
      <c r="O1195" s="27" t="s">
        <v>6115</v>
      </c>
      <c r="P1195" s="56"/>
      <c r="Q1195" s="26"/>
      <c r="R1195" s="308" t="s">
        <v>6122</v>
      </c>
      <c r="S1195" s="330">
        <v>3.71</v>
      </c>
      <c r="T1195" s="67">
        <v>7</v>
      </c>
      <c r="U1195" s="366">
        <f t="shared" si="235"/>
        <v>7.8037904124860641E-2</v>
      </c>
      <c r="V1195" s="97">
        <v>5.16</v>
      </c>
      <c r="W1195" s="36">
        <f>RTD("money.excel",,"6538","Price")</f>
        <v>89.7</v>
      </c>
      <c r="X1195" s="67"/>
      <c r="Y1195" s="15">
        <f t="shared" si="232"/>
        <v>89.7</v>
      </c>
      <c r="Z1195" s="3" t="e">
        <f t="shared" si="233"/>
        <v>#DIV/0!</v>
      </c>
      <c r="AA1195" s="174" t="s">
        <v>2185</v>
      </c>
      <c r="AB1195" s="16" t="s">
        <v>470</v>
      </c>
      <c r="AE1195" s="33">
        <f t="shared" si="234"/>
        <v>0</v>
      </c>
      <c r="AF1195" s="43" t="s">
        <v>1935</v>
      </c>
      <c r="AG1195" s="128"/>
      <c r="AI1195" s="64">
        <f t="shared" si="236"/>
        <v>3.2975871313672923E-3</v>
      </c>
      <c r="AJ1195" s="313">
        <f>RTD("money.excel",,$G1195,"PredictVolume")</f>
        <v>123</v>
      </c>
      <c r="AK1195" s="348">
        <v>15.8</v>
      </c>
    </row>
    <row r="1196" spans="1:37">
      <c r="A1196" s="132" t="s">
        <v>3638</v>
      </c>
      <c r="B1196" s="81">
        <v>108</v>
      </c>
      <c r="C1196" s="81">
        <v>119</v>
      </c>
      <c r="D1196" s="82">
        <v>-11</v>
      </c>
      <c r="E1196" s="81">
        <v>27</v>
      </c>
      <c r="F1196" s="58">
        <v>32.6</v>
      </c>
      <c r="G1196" s="81">
        <v>6642</v>
      </c>
      <c r="H1196" s="8" t="s">
        <v>327</v>
      </c>
      <c r="I1196" s="16" t="s">
        <v>1875</v>
      </c>
      <c r="J1196" s="75">
        <v>49.93</v>
      </c>
      <c r="K1196" s="330">
        <v>3.18</v>
      </c>
      <c r="L1196" s="75">
        <v>25.36</v>
      </c>
      <c r="N1196" s="325">
        <f t="shared" si="237"/>
        <v>78.47</v>
      </c>
      <c r="O1196" s="27"/>
      <c r="P1196" s="56"/>
      <c r="Q1196" s="26"/>
      <c r="S1196" s="330">
        <v>0</v>
      </c>
      <c r="T1196" s="34">
        <v>1.8</v>
      </c>
      <c r="U1196" s="366">
        <f t="shared" si="235"/>
        <v>2.6548672566371685E-2</v>
      </c>
      <c r="V1196" s="97">
        <v>3.78</v>
      </c>
      <c r="W1196" s="36">
        <f>RTD("money.excel",,"6642","Price")</f>
        <v>67.8</v>
      </c>
      <c r="X1196" s="67"/>
      <c r="Y1196" s="15">
        <f t="shared" si="232"/>
        <v>67.8</v>
      </c>
      <c r="Z1196" s="3" t="e">
        <f t="shared" si="233"/>
        <v>#DIV/0!</v>
      </c>
      <c r="AA1196" s="174" t="s">
        <v>1943</v>
      </c>
      <c r="AB1196" s="16" t="s">
        <v>1875</v>
      </c>
      <c r="AE1196" s="33">
        <f t="shared" si="234"/>
        <v>0</v>
      </c>
      <c r="AF1196" s="43" t="s">
        <v>3798</v>
      </c>
      <c r="AG1196" s="128"/>
      <c r="AI1196" s="64">
        <f t="shared" si="236"/>
        <v>2.6737967914438503E-4</v>
      </c>
      <c r="AJ1196" s="313">
        <f>RTD("money.excel",,$G1196,"PredictVolume")</f>
        <v>10</v>
      </c>
      <c r="AK1196" s="348"/>
    </row>
    <row r="1197" spans="1:37">
      <c r="A1197" s="132" t="s">
        <v>3567</v>
      </c>
      <c r="B1197" s="82">
        <v>-1</v>
      </c>
      <c r="C1197" s="81">
        <v>4</v>
      </c>
      <c r="D1197" s="81">
        <v>1</v>
      </c>
      <c r="E1197" s="81">
        <v>21</v>
      </c>
      <c r="F1197" s="58">
        <v>23.35</v>
      </c>
      <c r="G1197" s="81">
        <v>6664</v>
      </c>
      <c r="H1197" s="8" t="s">
        <v>327</v>
      </c>
      <c r="I1197" s="16" t="s">
        <v>1133</v>
      </c>
      <c r="J1197" s="75">
        <v>45.17</v>
      </c>
      <c r="K1197" s="75">
        <v>1.1599999999999999</v>
      </c>
      <c r="L1197" s="75">
        <v>9.49</v>
      </c>
      <c r="M1197" s="75">
        <v>27.62</v>
      </c>
      <c r="N1197" s="325">
        <f t="shared" si="237"/>
        <v>83.44</v>
      </c>
      <c r="O1197" s="27"/>
      <c r="P1197" s="56"/>
      <c r="Q1197" s="26"/>
      <c r="R1197" s="308" t="s">
        <v>4373</v>
      </c>
      <c r="S1197" s="330">
        <v>0.18</v>
      </c>
      <c r="T1197" s="67">
        <v>4.3</v>
      </c>
      <c r="U1197" s="366">
        <f t="shared" si="235"/>
        <v>4.8314606741573035E-2</v>
      </c>
      <c r="V1197" s="97">
        <v>5.59</v>
      </c>
      <c r="W1197" s="36">
        <f>RTD("money.excel",,"6664","Price")</f>
        <v>89</v>
      </c>
      <c r="X1197" s="67"/>
      <c r="Y1197" s="15">
        <f t="shared" si="232"/>
        <v>89</v>
      </c>
      <c r="Z1197" s="3" t="e">
        <f t="shared" si="233"/>
        <v>#DIV/0!</v>
      </c>
      <c r="AA1197" s="174" t="s">
        <v>2185</v>
      </c>
      <c r="AB1197" s="16" t="s">
        <v>1133</v>
      </c>
      <c r="AE1197" s="33">
        <f t="shared" si="234"/>
        <v>0</v>
      </c>
      <c r="AF1197" s="43" t="s">
        <v>2810</v>
      </c>
      <c r="AG1197" s="128"/>
      <c r="AI1197" s="64">
        <f t="shared" si="236"/>
        <v>3.2909090909090909E-3</v>
      </c>
      <c r="AJ1197" s="313">
        <f>RTD("money.excel",,$G1197,"PredictVolume")</f>
        <v>181</v>
      </c>
      <c r="AK1197" s="348"/>
    </row>
    <row r="1198" spans="1:37">
      <c r="A1198" s="132" t="s">
        <v>2494</v>
      </c>
      <c r="B1198" s="81">
        <v>117</v>
      </c>
      <c r="C1198" s="81">
        <v>137</v>
      </c>
      <c r="D1198" s="81">
        <v>1</v>
      </c>
      <c r="E1198" s="81">
        <v>81</v>
      </c>
      <c r="F1198" s="58">
        <v>17.5</v>
      </c>
      <c r="G1198" s="81">
        <v>6672</v>
      </c>
      <c r="H1198" s="8" t="s">
        <v>327</v>
      </c>
      <c r="I1198" s="22" t="s">
        <v>1582</v>
      </c>
      <c r="J1198" s="330">
        <v>33.119999999999997</v>
      </c>
      <c r="K1198" s="330">
        <v>31.98</v>
      </c>
      <c r="L1198" s="330">
        <v>29.97</v>
      </c>
      <c r="N1198" s="325">
        <f t="shared" si="237"/>
        <v>95.07</v>
      </c>
      <c r="O1198" s="27"/>
      <c r="P1198" s="56"/>
      <c r="Q1198" s="26"/>
      <c r="S1198" s="330">
        <v>1.27</v>
      </c>
      <c r="T1198" s="67">
        <v>3.2</v>
      </c>
      <c r="U1198" s="366">
        <f t="shared" si="235"/>
        <v>2.8070175438596492E-2</v>
      </c>
      <c r="V1198" s="97">
        <v>8.9600000000000009</v>
      </c>
      <c r="W1198" s="36">
        <f>RTD("money.excel",,"6672","Price")</f>
        <v>114</v>
      </c>
      <c r="X1198" s="67"/>
      <c r="Y1198" s="15">
        <f t="shared" si="232"/>
        <v>114</v>
      </c>
      <c r="Z1198" s="3" t="e">
        <f t="shared" si="233"/>
        <v>#DIV/0!</v>
      </c>
      <c r="AA1198" s="174" t="s">
        <v>2185</v>
      </c>
      <c r="AB1198" s="22" t="s">
        <v>1582</v>
      </c>
      <c r="AE1198" s="33">
        <f t="shared" si="234"/>
        <v>0</v>
      </c>
      <c r="AF1198" s="43" t="s">
        <v>4027</v>
      </c>
      <c r="AG1198" s="128"/>
      <c r="AI1198" s="64">
        <f t="shared" si="236"/>
        <v>4.2097902097902101E-3</v>
      </c>
      <c r="AJ1198" s="313">
        <f>RTD("money.excel",,$G1198,"PredictVolume")</f>
        <v>301</v>
      </c>
      <c r="AK1198" s="348"/>
    </row>
    <row r="1199" spans="1:37">
      <c r="A1199" s="148" t="s">
        <v>1654</v>
      </c>
      <c r="B1199" s="82">
        <v>-32</v>
      </c>
      <c r="C1199" s="82">
        <v>-39</v>
      </c>
      <c r="D1199" s="82">
        <v>-9</v>
      </c>
      <c r="E1199" s="81">
        <v>7</v>
      </c>
      <c r="F1199" s="6">
        <v>9.8699999999999992</v>
      </c>
      <c r="G1199" s="81">
        <v>6715</v>
      </c>
      <c r="H1199" s="8" t="s">
        <v>327</v>
      </c>
      <c r="I1199" s="22" t="s">
        <v>2242</v>
      </c>
      <c r="J1199" s="75">
        <v>74.17</v>
      </c>
      <c r="K1199" s="330">
        <v>1.67</v>
      </c>
      <c r="L1199" s="330">
        <v>17.23</v>
      </c>
      <c r="M1199" s="330">
        <v>55.52</v>
      </c>
      <c r="N1199" s="75">
        <f t="shared" si="237"/>
        <v>148.59</v>
      </c>
      <c r="O1199" s="27" t="s">
        <v>1581</v>
      </c>
      <c r="P1199" s="56" t="s">
        <v>1735</v>
      </c>
      <c r="Q1199" s="26" t="s">
        <v>1735</v>
      </c>
      <c r="R1199" s="308" t="s">
        <v>6304</v>
      </c>
      <c r="S1199" s="330">
        <v>0.24</v>
      </c>
      <c r="T1199" s="34">
        <v>2.5</v>
      </c>
      <c r="U1199" s="366">
        <f t="shared" si="235"/>
        <v>2.4630541871921183E-2</v>
      </c>
      <c r="V1199" s="58">
        <v>3.51</v>
      </c>
      <c r="W1199" s="36">
        <f>RTD("money.excel",,"6715","Price")</f>
        <v>101.5</v>
      </c>
      <c r="X1199" s="67"/>
      <c r="Y1199" s="15">
        <f t="shared" si="232"/>
        <v>101.5</v>
      </c>
      <c r="Z1199" s="3" t="e">
        <f t="shared" si="233"/>
        <v>#DIV/0!</v>
      </c>
      <c r="AA1199" s="174" t="s">
        <v>1943</v>
      </c>
      <c r="AB1199" s="22" t="s">
        <v>2242</v>
      </c>
      <c r="AE1199" s="33">
        <f t="shared" si="234"/>
        <v>0</v>
      </c>
      <c r="AF1199" s="124" t="s">
        <v>2243</v>
      </c>
      <c r="AG1199" s="128"/>
      <c r="AI1199" s="64">
        <f t="shared" si="236"/>
        <v>3.6363636363636361E-4</v>
      </c>
      <c r="AJ1199" s="313">
        <f>RTD("money.excel",,$G1199,"PredictVolume")</f>
        <v>22</v>
      </c>
      <c r="AK1199" s="348">
        <v>2.11</v>
      </c>
    </row>
    <row r="1200" spans="1:37">
      <c r="A1200" s="132" t="s">
        <v>1907</v>
      </c>
      <c r="B1200" s="81">
        <v>103</v>
      </c>
      <c r="C1200" s="81">
        <v>57</v>
      </c>
      <c r="D1200" s="81">
        <v>54</v>
      </c>
      <c r="E1200" s="81">
        <v>19</v>
      </c>
      <c r="F1200" s="58">
        <v>15.15</v>
      </c>
      <c r="G1200" s="81">
        <v>6727</v>
      </c>
      <c r="H1200" s="8" t="s">
        <v>327</v>
      </c>
      <c r="I1200" s="16" t="s">
        <v>2529</v>
      </c>
      <c r="J1200" s="330">
        <v>7.38</v>
      </c>
      <c r="K1200" s="75">
        <v>5.17</v>
      </c>
      <c r="L1200" s="330"/>
      <c r="M1200" s="330">
        <v>19.05</v>
      </c>
      <c r="N1200" s="325">
        <f t="shared" si="237"/>
        <v>31.6</v>
      </c>
      <c r="O1200" s="27" t="s">
        <v>6174</v>
      </c>
      <c r="P1200" s="56"/>
      <c r="Q1200" s="26"/>
      <c r="R1200" s="309" t="s">
        <v>6163</v>
      </c>
      <c r="S1200" s="330">
        <v>0.7</v>
      </c>
      <c r="T1200" s="34">
        <v>2.5</v>
      </c>
      <c r="U1200" s="366">
        <f t="shared" si="235"/>
        <v>3.3288948069241014E-2</v>
      </c>
      <c r="V1200" s="97">
        <v>6.45</v>
      </c>
      <c r="W1200" s="36">
        <f>RTD("money.excel",,"6727","Price")</f>
        <v>75.099999999999994</v>
      </c>
      <c r="X1200" s="67"/>
      <c r="Y1200" s="15">
        <f t="shared" si="232"/>
        <v>75.099999999999994</v>
      </c>
      <c r="Z1200" s="3" t="e">
        <f t="shared" si="233"/>
        <v>#DIV/0!</v>
      </c>
      <c r="AA1200" s="174" t="s">
        <v>1943</v>
      </c>
      <c r="AB1200" s="16" t="s">
        <v>2529</v>
      </c>
      <c r="AE1200" s="33">
        <f t="shared" si="234"/>
        <v>0</v>
      </c>
      <c r="AF1200" s="43" t="s">
        <v>2810</v>
      </c>
      <c r="AG1200" s="128"/>
      <c r="AI1200" s="64">
        <f t="shared" si="236"/>
        <v>2.2336448598130842E-2</v>
      </c>
      <c r="AJ1200" s="313">
        <f>RTD("money.excel",,$G1200,"PredictVolume")</f>
        <v>478</v>
      </c>
      <c r="AK1200" s="348">
        <v>33.619999999999997</v>
      </c>
    </row>
    <row r="1201" spans="1:37">
      <c r="A1201" s="132" t="s">
        <v>4337</v>
      </c>
      <c r="B1201" s="81">
        <v>116</v>
      </c>
      <c r="C1201" s="81">
        <v>100</v>
      </c>
      <c r="D1201" s="81">
        <v>0</v>
      </c>
      <c r="E1201" s="81">
        <v>32</v>
      </c>
      <c r="F1201" s="58">
        <v>13.23</v>
      </c>
      <c r="G1201" s="81">
        <v>6761</v>
      </c>
      <c r="H1201" s="8" t="s">
        <v>327</v>
      </c>
      <c r="I1201" s="16" t="s">
        <v>4320</v>
      </c>
      <c r="J1201" s="330">
        <v>45.93</v>
      </c>
      <c r="K1201" s="75">
        <v>1.54</v>
      </c>
      <c r="M1201" s="330">
        <v>39.71</v>
      </c>
      <c r="N1201" s="325">
        <f t="shared" si="237"/>
        <v>87.18</v>
      </c>
      <c r="O1201" s="27"/>
      <c r="P1201" s="56"/>
      <c r="Q1201" s="26"/>
      <c r="T1201" s="67">
        <v>3.2</v>
      </c>
      <c r="U1201" s="366">
        <f t="shared" si="235"/>
        <v>2.735042735042735E-2</v>
      </c>
      <c r="V1201" s="97">
        <v>7.98</v>
      </c>
      <c r="W1201" s="36">
        <f>RTD("money.excel",,"6761","Price")</f>
        <v>117</v>
      </c>
      <c r="X1201" s="67"/>
      <c r="Y1201" s="15">
        <f t="shared" si="232"/>
        <v>117</v>
      </c>
      <c r="Z1201" s="3" t="e">
        <f t="shared" si="233"/>
        <v>#DIV/0!</v>
      </c>
      <c r="AA1201" s="174" t="s">
        <v>1986</v>
      </c>
      <c r="AB1201" s="16" t="s">
        <v>4320</v>
      </c>
      <c r="AE1201" s="33">
        <f t="shared" si="234"/>
        <v>0</v>
      </c>
      <c r="AF1201" s="43" t="s">
        <v>4321</v>
      </c>
      <c r="AG1201" s="128"/>
      <c r="AI1201" s="64">
        <f t="shared" si="236"/>
        <v>2.9707112970711299E-3</v>
      </c>
      <c r="AJ1201" s="313">
        <f>RTD("money.excel",,$G1201,"PredictVolume")</f>
        <v>71</v>
      </c>
      <c r="AK1201" s="348"/>
    </row>
    <row r="1202" spans="1:37">
      <c r="A1202" s="132" t="s">
        <v>3823</v>
      </c>
      <c r="B1202" s="81">
        <v>278</v>
      </c>
      <c r="C1202" s="81">
        <v>223</v>
      </c>
      <c r="D1202" s="82">
        <v>-1</v>
      </c>
      <c r="E1202" s="81">
        <v>130</v>
      </c>
      <c r="F1202" s="58">
        <v>27.09</v>
      </c>
      <c r="G1202" s="81">
        <v>6781</v>
      </c>
      <c r="H1202" s="8" t="s">
        <v>327</v>
      </c>
      <c r="I1202" s="22" t="s">
        <v>3818</v>
      </c>
      <c r="J1202" s="330">
        <v>79.290000000000006</v>
      </c>
      <c r="K1202" s="75">
        <v>81.45</v>
      </c>
      <c r="L1202" s="330">
        <v>3.18</v>
      </c>
      <c r="M1202" s="330">
        <v>60.04</v>
      </c>
      <c r="N1202" s="75">
        <f t="shared" si="237"/>
        <v>223.96</v>
      </c>
      <c r="O1202" s="27"/>
      <c r="P1202" s="56"/>
      <c r="Q1202" s="26"/>
      <c r="R1202" s="308" t="s">
        <v>6089</v>
      </c>
      <c r="S1202" s="330">
        <v>1.33</v>
      </c>
      <c r="T1202" s="67">
        <v>5.3</v>
      </c>
      <c r="U1202" s="366">
        <f t="shared" si="235"/>
        <v>4.2399999999999998E-3</v>
      </c>
      <c r="V1202" s="58">
        <v>28.89</v>
      </c>
      <c r="W1202" s="157">
        <f>RTD("money.excel",,"6781","Price")</f>
        <v>1250</v>
      </c>
      <c r="X1202" s="67"/>
      <c r="Y1202" s="143">
        <f t="shared" si="232"/>
        <v>1250</v>
      </c>
      <c r="Z1202" s="3" t="e">
        <f t="shared" si="233"/>
        <v>#DIV/0!</v>
      </c>
      <c r="AA1202" s="174" t="s">
        <v>2185</v>
      </c>
      <c r="AB1202" s="22" t="s">
        <v>3818</v>
      </c>
      <c r="AE1202" s="33">
        <f t="shared" si="234"/>
        <v>0</v>
      </c>
      <c r="AF1202" s="43" t="s">
        <v>3824</v>
      </c>
      <c r="AG1202" s="128"/>
      <c r="AI1202" s="64">
        <f t="shared" si="236"/>
        <v>1.4941451990632321E-2</v>
      </c>
      <c r="AJ1202" s="313">
        <f>RTD("money.excel",,$G1202,"PredictVolume")</f>
        <v>1276</v>
      </c>
      <c r="AK1202" s="348"/>
    </row>
    <row r="1203" spans="1:37">
      <c r="A1203" s="148" t="s">
        <v>2505</v>
      </c>
      <c r="B1203" s="82">
        <v>-198</v>
      </c>
      <c r="C1203" s="82">
        <v>-159</v>
      </c>
      <c r="D1203" s="81">
        <v>96</v>
      </c>
      <c r="E1203" s="82">
        <v>-67</v>
      </c>
      <c r="F1203" s="6">
        <v>-24.23</v>
      </c>
      <c r="G1203" s="81">
        <v>8038</v>
      </c>
      <c r="H1203" s="8" t="s">
        <v>327</v>
      </c>
      <c r="I1203" s="24" t="s">
        <v>259</v>
      </c>
      <c r="J1203" s="330">
        <v>24.16</v>
      </c>
      <c r="K1203" s="75">
        <v>2.33</v>
      </c>
      <c r="N1203" s="325">
        <f t="shared" si="237"/>
        <v>26.490000000000002</v>
      </c>
      <c r="O1203" s="27"/>
      <c r="P1203" s="56"/>
      <c r="Q1203" s="26"/>
      <c r="T1203" s="34">
        <v>0</v>
      </c>
      <c r="U1203" s="366">
        <f t="shared" si="235"/>
        <v>0</v>
      </c>
      <c r="V1203" s="97">
        <v>-1</v>
      </c>
      <c r="W1203" s="36">
        <f>RTD("money.excel",,"8038","Price")</f>
        <v>38.1</v>
      </c>
      <c r="X1203" s="67"/>
      <c r="Y1203" s="15">
        <f t="shared" si="232"/>
        <v>38.1</v>
      </c>
      <c r="Z1203" s="3" t="e">
        <f t="shared" si="233"/>
        <v>#DIV/0!</v>
      </c>
      <c r="AA1203" s="174" t="s">
        <v>1943</v>
      </c>
      <c r="AB1203" s="24" t="s">
        <v>259</v>
      </c>
      <c r="AE1203" s="33">
        <f t="shared" si="234"/>
        <v>0</v>
      </c>
      <c r="AF1203" s="124" t="s">
        <v>2808</v>
      </c>
      <c r="AG1203" s="128"/>
      <c r="AI1203" s="64">
        <f t="shared" si="236"/>
        <v>2.8929765886287623E-3</v>
      </c>
      <c r="AJ1203" s="313">
        <f>RTD("money.excel",,$G1203,"PredictVolume")</f>
        <v>173</v>
      </c>
      <c r="AK1203" s="348"/>
    </row>
    <row r="1204" spans="1:37">
      <c r="A1204" s="148" t="s">
        <v>1953</v>
      </c>
      <c r="B1204" s="82">
        <v>-6</v>
      </c>
      <c r="C1204" s="81">
        <v>88</v>
      </c>
      <c r="D1204" s="81">
        <v>11</v>
      </c>
      <c r="E1204" s="81">
        <v>38</v>
      </c>
      <c r="F1204" s="6">
        <v>9.74</v>
      </c>
      <c r="G1204" s="81">
        <v>8039</v>
      </c>
      <c r="H1204" s="8" t="s">
        <v>327</v>
      </c>
      <c r="I1204" s="22" t="s">
        <v>5944</v>
      </c>
      <c r="J1204" s="330">
        <v>63.93</v>
      </c>
      <c r="K1204" s="75">
        <v>19.989999999999998</v>
      </c>
      <c r="L1204" s="75">
        <v>6.44</v>
      </c>
      <c r="N1204" s="325">
        <f t="shared" si="237"/>
        <v>90.36</v>
      </c>
      <c r="O1204" s="27"/>
      <c r="P1204" s="56"/>
      <c r="Q1204" s="26"/>
      <c r="S1204" s="330">
        <v>0.17</v>
      </c>
      <c r="T1204" s="34">
        <v>2.5</v>
      </c>
      <c r="U1204" s="366">
        <f t="shared" si="235"/>
        <v>5.6369785794813977E-2</v>
      </c>
      <c r="V1204" s="97">
        <v>3.7</v>
      </c>
      <c r="W1204" s="36">
        <f>RTD("money.excel",,"8039","Price")</f>
        <v>44.35</v>
      </c>
      <c r="X1204" s="67"/>
      <c r="Y1204" s="15">
        <f t="shared" si="232"/>
        <v>44.35</v>
      </c>
      <c r="Z1204" s="3" t="e">
        <f t="shared" si="233"/>
        <v>#DIV/0!</v>
      </c>
      <c r="AA1204" s="174" t="s">
        <v>1943</v>
      </c>
      <c r="AB1204" s="22" t="s">
        <v>5944</v>
      </c>
      <c r="AE1204" s="33">
        <f t="shared" si="234"/>
        <v>0</v>
      </c>
      <c r="AF1204" s="124" t="s">
        <v>2294</v>
      </c>
      <c r="AG1204" s="128"/>
      <c r="AI1204" s="64">
        <f t="shared" si="236"/>
        <v>3.0239234449760764E-3</v>
      </c>
      <c r="AJ1204" s="313">
        <f>RTD("money.excel",,$G1204,"PredictVolume")</f>
        <v>632</v>
      </c>
      <c r="AK1204" s="348"/>
    </row>
    <row r="1205" spans="1:37">
      <c r="A1205" s="148" t="s">
        <v>1570</v>
      </c>
      <c r="B1205" s="81">
        <v>254</v>
      </c>
      <c r="C1205" s="95">
        <v>2329</v>
      </c>
      <c r="D1205" s="82">
        <v>-1</v>
      </c>
      <c r="E1205" s="81">
        <v>35</v>
      </c>
      <c r="F1205" s="6">
        <v>4.6900000000000004</v>
      </c>
      <c r="G1205" s="81">
        <v>8042</v>
      </c>
      <c r="H1205" s="8" t="s">
        <v>327</v>
      </c>
      <c r="I1205" s="16" t="s">
        <v>5945</v>
      </c>
      <c r="J1205" s="75">
        <v>55.77</v>
      </c>
      <c r="K1205" s="330">
        <v>5.67</v>
      </c>
      <c r="L1205" s="330">
        <v>3.37</v>
      </c>
      <c r="N1205" s="325">
        <f t="shared" si="237"/>
        <v>64.81</v>
      </c>
      <c r="O1205" s="27"/>
      <c r="P1205" s="56"/>
      <c r="Q1205" s="26"/>
      <c r="S1205" s="330">
        <v>0</v>
      </c>
      <c r="T1205" s="34">
        <v>0.3</v>
      </c>
      <c r="U1205" s="366">
        <f t="shared" si="235"/>
        <v>7.1428571428571426E-3</v>
      </c>
      <c r="V1205" s="58">
        <v>0.09</v>
      </c>
      <c r="W1205" s="36">
        <f>RTD("money.excel",,"8042","Price")</f>
        <v>42</v>
      </c>
      <c r="X1205" s="67"/>
      <c r="Y1205" s="15">
        <f t="shared" si="232"/>
        <v>42</v>
      </c>
      <c r="Z1205" s="3" t="e">
        <f t="shared" si="233"/>
        <v>#DIV/0!</v>
      </c>
      <c r="AA1205" s="174" t="s">
        <v>1943</v>
      </c>
      <c r="AB1205" s="16" t="s">
        <v>5945</v>
      </c>
      <c r="AE1205" s="33">
        <f t="shared" si="234"/>
        <v>0</v>
      </c>
      <c r="AF1205" s="122" t="s">
        <v>2848</v>
      </c>
      <c r="AG1205" s="269"/>
      <c r="AI1205" s="64">
        <f t="shared" si="236"/>
        <v>3.2000000000000003E-4</v>
      </c>
      <c r="AJ1205" s="313">
        <f>RTD("money.excel",,$G1205,"PredictVolume")</f>
        <v>40</v>
      </c>
      <c r="AK1205" s="348"/>
    </row>
    <row r="1206" spans="1:37">
      <c r="A1206" s="148" t="s">
        <v>3519</v>
      </c>
      <c r="B1206" s="82">
        <v>-81</v>
      </c>
      <c r="C1206" s="82">
        <v>-41</v>
      </c>
      <c r="D1206" s="82">
        <v>-39</v>
      </c>
      <c r="E1206" s="82">
        <v>-15</v>
      </c>
      <c r="F1206" s="6">
        <v>1.1399999999999999</v>
      </c>
      <c r="G1206" s="81">
        <v>8043</v>
      </c>
      <c r="H1206" s="8" t="s">
        <v>327</v>
      </c>
      <c r="I1206" s="16" t="s">
        <v>5946</v>
      </c>
      <c r="J1206" s="75">
        <v>56.79</v>
      </c>
      <c r="K1206" s="330">
        <v>0.31</v>
      </c>
      <c r="L1206" s="75">
        <v>12.85</v>
      </c>
      <c r="N1206" s="325">
        <f t="shared" si="237"/>
        <v>69.95</v>
      </c>
      <c r="O1206" s="27"/>
      <c r="P1206" s="56"/>
      <c r="Q1206" s="26"/>
      <c r="S1206" s="330">
        <v>0.62</v>
      </c>
      <c r="T1206" s="34">
        <v>0.2</v>
      </c>
      <c r="U1206" s="366">
        <f t="shared" si="235"/>
        <v>7.7821011673151761E-3</v>
      </c>
      <c r="V1206" s="58">
        <v>0.37</v>
      </c>
      <c r="W1206" s="36">
        <f>RTD("money.excel",,"8043","Price")</f>
        <v>25.7</v>
      </c>
      <c r="X1206" s="67"/>
      <c r="Y1206" s="15">
        <f t="shared" si="232"/>
        <v>25.7</v>
      </c>
      <c r="Z1206" s="3" t="e">
        <f t="shared" si="233"/>
        <v>#DIV/0!</v>
      </c>
      <c r="AB1206" s="16" t="s">
        <v>5946</v>
      </c>
      <c r="AE1206" s="33">
        <f t="shared" si="234"/>
        <v>0</v>
      </c>
      <c r="AF1206" s="43" t="s">
        <v>2945</v>
      </c>
      <c r="AG1206" s="128"/>
      <c r="AI1206" s="64">
        <f t="shared" si="236"/>
        <v>6.1326658322903625E-4</v>
      </c>
      <c r="AJ1206" s="313">
        <f>RTD("money.excel",,$G1206,"PredictVolume")</f>
        <v>49</v>
      </c>
      <c r="AK1206" s="348"/>
    </row>
    <row r="1207" spans="1:37">
      <c r="A1207" s="132" t="s">
        <v>1861</v>
      </c>
      <c r="B1207" s="95">
        <v>1089</v>
      </c>
      <c r="C1207" s="95">
        <v>5659</v>
      </c>
      <c r="D1207" s="81">
        <v>7</v>
      </c>
      <c r="E1207" s="81">
        <v>40</v>
      </c>
      <c r="F1207" s="58">
        <v>10.67</v>
      </c>
      <c r="G1207" s="81">
        <v>8046</v>
      </c>
      <c r="H1207" s="8" t="s">
        <v>327</v>
      </c>
      <c r="I1207" s="22" t="s">
        <v>294</v>
      </c>
      <c r="J1207" s="330">
        <v>81.680000000000007</v>
      </c>
      <c r="K1207" s="330">
        <v>14.59</v>
      </c>
      <c r="L1207" s="330">
        <v>6.31</v>
      </c>
      <c r="N1207" s="325">
        <f t="shared" si="237"/>
        <v>102.58000000000001</v>
      </c>
      <c r="O1207" s="27"/>
      <c r="P1207" s="56"/>
      <c r="Q1207" s="26"/>
      <c r="S1207" s="330">
        <v>0.73</v>
      </c>
      <c r="T1207" s="67">
        <v>3.4</v>
      </c>
      <c r="U1207" s="366">
        <f t="shared" si="235"/>
        <v>6.9529652351738242E-3</v>
      </c>
      <c r="V1207" s="58">
        <v>5.67</v>
      </c>
      <c r="W1207" s="36">
        <f>RTD("money.excel",,"8046","Price")</f>
        <v>489</v>
      </c>
      <c r="X1207" s="67"/>
      <c r="Y1207" s="15">
        <f t="shared" si="232"/>
        <v>489</v>
      </c>
      <c r="Z1207" s="3" t="e">
        <f t="shared" si="233"/>
        <v>#DIV/0!</v>
      </c>
      <c r="AA1207" s="174" t="s">
        <v>2185</v>
      </c>
      <c r="AB1207" s="22" t="s">
        <v>294</v>
      </c>
      <c r="AE1207" s="33">
        <f t="shared" si="234"/>
        <v>0</v>
      </c>
      <c r="AF1207" s="122" t="s">
        <v>2823</v>
      </c>
      <c r="AG1207" s="128"/>
      <c r="AI1207" s="64">
        <f t="shared" si="236"/>
        <v>5.1904024767801859E-3</v>
      </c>
      <c r="AJ1207" s="313">
        <f>RTD("money.excel",,$G1207,"PredictVolume")</f>
        <v>3353</v>
      </c>
      <c r="AK1207" s="348"/>
    </row>
    <row r="1208" spans="1:37">
      <c r="A1208" s="148" t="s">
        <v>2676</v>
      </c>
      <c r="B1208" s="93">
        <v>-59</v>
      </c>
      <c r="C1208" s="93">
        <v>-53</v>
      </c>
      <c r="D1208" s="93">
        <v>-18</v>
      </c>
      <c r="E1208" s="93">
        <v>13</v>
      </c>
      <c r="F1208" s="6">
        <v>5.57</v>
      </c>
      <c r="G1208" s="81">
        <v>8071</v>
      </c>
      <c r="H1208" s="8" t="s">
        <v>327</v>
      </c>
      <c r="I1208" s="16" t="s">
        <v>3530</v>
      </c>
      <c r="J1208" s="75">
        <v>45.66</v>
      </c>
      <c r="K1208" s="75">
        <v>4.0599999999999996</v>
      </c>
      <c r="L1208" s="75">
        <v>22.5</v>
      </c>
      <c r="N1208" s="325">
        <f t="shared" si="237"/>
        <v>72.22</v>
      </c>
      <c r="O1208" s="27"/>
      <c r="P1208" s="56"/>
      <c r="Q1208" s="26"/>
      <c r="S1208" s="330">
        <v>16.46</v>
      </c>
      <c r="T1208" s="34">
        <v>0.5</v>
      </c>
      <c r="U1208" s="366">
        <f t="shared" si="235"/>
        <v>2.9585798816568049E-2</v>
      </c>
      <c r="V1208" s="97">
        <v>0.28000000000000003</v>
      </c>
      <c r="W1208" s="36">
        <f>RTD("money.excel",,"8071","Price")</f>
        <v>16.899999999999999</v>
      </c>
      <c r="X1208" s="67"/>
      <c r="Y1208" s="15">
        <f t="shared" si="232"/>
        <v>16.899999999999999</v>
      </c>
      <c r="Z1208" s="3" t="e">
        <f t="shared" si="233"/>
        <v>#DIV/0!</v>
      </c>
      <c r="AB1208" s="16" t="s">
        <v>3530</v>
      </c>
      <c r="AE1208" s="33">
        <f t="shared" si="234"/>
        <v>0</v>
      </c>
      <c r="AF1208" s="43" t="s">
        <v>2946</v>
      </c>
      <c r="AG1208" s="128"/>
      <c r="AI1208" s="64">
        <f t="shared" si="236"/>
        <v>2.3737957610789978E-2</v>
      </c>
      <c r="AJ1208" s="313">
        <f>RTD("money.excel",,$G1208,"PredictVolume")</f>
        <v>1232</v>
      </c>
      <c r="AK1208" s="348"/>
    </row>
    <row r="1209" spans="1:37">
      <c r="A1209" s="148" t="s">
        <v>3531</v>
      </c>
      <c r="B1209" s="82">
        <v>-69</v>
      </c>
      <c r="C1209" s="82">
        <v>-81</v>
      </c>
      <c r="D1209" s="82">
        <v>-8</v>
      </c>
      <c r="E1209" s="82">
        <v>-3</v>
      </c>
      <c r="F1209" s="6">
        <v>1.8</v>
      </c>
      <c r="G1209" s="81">
        <v>8074</v>
      </c>
      <c r="H1209" s="8" t="s">
        <v>327</v>
      </c>
      <c r="I1209" s="16" t="s">
        <v>471</v>
      </c>
      <c r="J1209" s="75">
        <v>40.950000000000003</v>
      </c>
      <c r="K1209" s="330">
        <v>2.94</v>
      </c>
      <c r="L1209" s="75">
        <v>2.99</v>
      </c>
      <c r="N1209" s="325">
        <f t="shared" si="237"/>
        <v>46.88</v>
      </c>
      <c r="O1209" s="27"/>
      <c r="P1209" s="56"/>
      <c r="Q1209" s="26"/>
      <c r="S1209" s="330">
        <v>14.58</v>
      </c>
      <c r="T1209" s="34">
        <v>1</v>
      </c>
      <c r="U1209" s="366">
        <f t="shared" si="235"/>
        <v>4.9504950495049507E-2</v>
      </c>
      <c r="V1209" s="97">
        <v>0.92</v>
      </c>
      <c r="W1209" s="36">
        <f>RTD("money.excel",,"8074","Price")</f>
        <v>20.2</v>
      </c>
      <c r="X1209" s="67"/>
      <c r="Y1209" s="15">
        <f t="shared" ref="Y1209:Y1223" si="238">W1209-X1209</f>
        <v>20.2</v>
      </c>
      <c r="Z1209" s="3" t="e">
        <f t="shared" ref="Z1209:Z1223" si="239">Y1209/X1209</f>
        <v>#DIV/0!</v>
      </c>
      <c r="AA1209" s="174" t="s">
        <v>1943</v>
      </c>
      <c r="AB1209" s="16" t="s">
        <v>471</v>
      </c>
      <c r="AE1209" s="33">
        <f t="shared" ref="AE1209:AE1223" si="240">AD1209-AC1209</f>
        <v>0</v>
      </c>
      <c r="AF1209" s="43" t="s">
        <v>2947</v>
      </c>
      <c r="AG1209" s="128"/>
      <c r="AI1209" s="64">
        <f t="shared" si="236"/>
        <v>4.0183696900114802E-4</v>
      </c>
      <c r="AJ1209" s="313">
        <f>RTD("money.excel",,$G1209,"PredictVolume")</f>
        <v>35</v>
      </c>
      <c r="AK1209" s="348"/>
    </row>
    <row r="1210" spans="1:37">
      <c r="A1210" s="148" t="s">
        <v>3532</v>
      </c>
      <c r="B1210" s="93">
        <v>-99</v>
      </c>
      <c r="C1210" s="93">
        <v>-5</v>
      </c>
      <c r="D1210" s="93">
        <v>-31</v>
      </c>
      <c r="E1210" s="142">
        <v>2355</v>
      </c>
      <c r="F1210" s="75">
        <v>-288.55</v>
      </c>
      <c r="G1210" s="81">
        <v>8080</v>
      </c>
      <c r="H1210" s="8" t="s">
        <v>327</v>
      </c>
      <c r="I1210" s="16" t="s">
        <v>3533</v>
      </c>
      <c r="J1210" s="75">
        <v>31.6</v>
      </c>
      <c r="K1210" s="75">
        <v>0.03</v>
      </c>
      <c r="N1210" s="325">
        <f t="shared" si="237"/>
        <v>31.630000000000003</v>
      </c>
      <c r="O1210" s="27"/>
      <c r="P1210" s="56"/>
      <c r="Q1210" s="26"/>
      <c r="S1210" s="330">
        <v>12.59</v>
      </c>
      <c r="T1210" s="34">
        <v>0</v>
      </c>
      <c r="U1210" s="366">
        <f t="shared" ref="U1210:U1223" si="241">T1210/W1210</f>
        <v>0</v>
      </c>
      <c r="V1210" s="97"/>
      <c r="W1210" s="36">
        <f>RTD("money.excel",,"8080","Price")</f>
        <v>16.899999999999999</v>
      </c>
      <c r="X1210" s="67"/>
      <c r="Y1210" s="15">
        <f t="shared" si="238"/>
        <v>16.899999999999999</v>
      </c>
      <c r="Z1210" s="3" t="e">
        <f t="shared" si="239"/>
        <v>#DIV/0!</v>
      </c>
      <c r="AB1210" s="16" t="s">
        <v>3533</v>
      </c>
      <c r="AE1210" s="33">
        <f t="shared" si="240"/>
        <v>0</v>
      </c>
      <c r="AF1210" s="43" t="s">
        <v>2948</v>
      </c>
      <c r="AG1210" s="128"/>
      <c r="AI1210" s="64">
        <f t="shared" ref="AI1210:AI1223" si="242">AJ1210/(A1210*10000)</f>
        <v>9.6774193548387097E-4</v>
      </c>
      <c r="AJ1210" s="313">
        <f>RTD("money.excel",,$G1210,"PredictVolume")</f>
        <v>39</v>
      </c>
      <c r="AK1210" s="348"/>
    </row>
    <row r="1211" spans="1:37">
      <c r="A1211" s="132" t="s">
        <v>3508</v>
      </c>
      <c r="B1211" s="82">
        <v>-51</v>
      </c>
      <c r="C1211" s="81">
        <v>-44</v>
      </c>
      <c r="D1211" s="82">
        <v>-6</v>
      </c>
      <c r="E1211" s="81">
        <v>-35</v>
      </c>
      <c r="F1211" s="58">
        <v>15.88</v>
      </c>
      <c r="G1211" s="81">
        <v>8091</v>
      </c>
      <c r="H1211" s="151" t="s">
        <v>327</v>
      </c>
      <c r="I1211" s="16" t="s">
        <v>174</v>
      </c>
      <c r="J1211" s="330">
        <v>39.630000000000003</v>
      </c>
      <c r="K1211" s="330">
        <v>4.72</v>
      </c>
      <c r="L1211" s="75">
        <v>6.31</v>
      </c>
      <c r="N1211" s="325">
        <f t="shared" si="237"/>
        <v>50.660000000000004</v>
      </c>
      <c r="O1211" s="27"/>
      <c r="P1211" s="56"/>
      <c r="Q1211" s="26"/>
      <c r="S1211" s="330">
        <v>9.75</v>
      </c>
      <c r="T1211" s="34">
        <v>2.6</v>
      </c>
      <c r="U1211" s="366">
        <f t="shared" si="241"/>
        <v>2.8888888888888891E-2</v>
      </c>
      <c r="V1211" s="97">
        <v>4.03</v>
      </c>
      <c r="W1211" s="36">
        <f>RTD("money.excel",,"8091","Price")</f>
        <v>90</v>
      </c>
      <c r="X1211" s="67"/>
      <c r="Y1211" s="15">
        <f t="shared" si="238"/>
        <v>90</v>
      </c>
      <c r="Z1211" s="3" t="e">
        <f t="shared" si="239"/>
        <v>#DIV/0!</v>
      </c>
      <c r="AA1211" s="174" t="s">
        <v>1943</v>
      </c>
      <c r="AB1211" s="16" t="s">
        <v>174</v>
      </c>
      <c r="AE1211" s="33">
        <f t="shared" si="240"/>
        <v>0</v>
      </c>
      <c r="AF1211" s="123" t="s">
        <v>2949</v>
      </c>
      <c r="AG1211" s="128"/>
      <c r="AI1211" s="64">
        <f t="shared" si="242"/>
        <v>3.0907079646017705E-2</v>
      </c>
      <c r="AJ1211" s="313">
        <f>RTD("money.excel",,$G1211,"PredictVolume")</f>
        <v>1397</v>
      </c>
      <c r="AK1211" s="348"/>
    </row>
    <row r="1212" spans="1:37">
      <c r="A1212" s="148" t="s">
        <v>3534</v>
      </c>
      <c r="B1212" s="93">
        <v>108</v>
      </c>
      <c r="C1212" s="93">
        <v>99</v>
      </c>
      <c r="D1212" s="93">
        <v>-3</v>
      </c>
      <c r="E1212" s="93">
        <v>52</v>
      </c>
      <c r="F1212" s="6">
        <v>-4.6500000000000004</v>
      </c>
      <c r="G1212" s="81">
        <v>8093</v>
      </c>
      <c r="H1212" s="8" t="s">
        <v>327</v>
      </c>
      <c r="I1212" s="16" t="s">
        <v>5947</v>
      </c>
      <c r="J1212" s="75">
        <v>52.19</v>
      </c>
      <c r="K1212" s="75">
        <v>0.01</v>
      </c>
      <c r="N1212" s="325">
        <f t="shared" si="237"/>
        <v>52.199999999999996</v>
      </c>
      <c r="O1212" s="27"/>
      <c r="P1212" s="56"/>
      <c r="Q1212" s="26"/>
      <c r="S1212" s="330">
        <v>28.23</v>
      </c>
      <c r="T1212" s="34">
        <v>0</v>
      </c>
      <c r="U1212" s="366">
        <f t="shared" si="241"/>
        <v>0</v>
      </c>
      <c r="V1212" s="97">
        <v>0.31</v>
      </c>
      <c r="W1212" s="13">
        <f>RTD("money.excel",,"8093","Price")</f>
        <v>8</v>
      </c>
      <c r="X1212" s="67"/>
      <c r="Y1212" s="15">
        <f t="shared" si="238"/>
        <v>8</v>
      </c>
      <c r="Z1212" s="3" t="e">
        <f t="shared" si="239"/>
        <v>#DIV/0!</v>
      </c>
      <c r="AB1212" s="16" t="s">
        <v>5947</v>
      </c>
      <c r="AE1212" s="33">
        <f t="shared" si="240"/>
        <v>0</v>
      </c>
      <c r="AF1212" s="43" t="s">
        <v>2950</v>
      </c>
      <c r="AG1212" s="128"/>
      <c r="AI1212" s="64">
        <f t="shared" si="242"/>
        <v>4.0498442367601246E-4</v>
      </c>
      <c r="AJ1212" s="313">
        <f>RTD("money.excel",,$G1212,"PredictVolume")</f>
        <v>26</v>
      </c>
      <c r="AK1212" s="348"/>
    </row>
    <row r="1213" spans="1:37">
      <c r="A1213" s="132" t="s">
        <v>3557</v>
      </c>
      <c r="B1213" s="81">
        <v>38</v>
      </c>
      <c r="C1213" s="81">
        <v>42</v>
      </c>
      <c r="D1213" s="82">
        <v>-11</v>
      </c>
      <c r="E1213" s="82">
        <v>-8</v>
      </c>
      <c r="F1213" s="58">
        <v>11.05</v>
      </c>
      <c r="G1213" s="81">
        <v>8103</v>
      </c>
      <c r="H1213" s="8" t="s">
        <v>327</v>
      </c>
      <c r="I1213" s="22" t="s">
        <v>431</v>
      </c>
      <c r="J1213" s="330">
        <v>32.979999999999997</v>
      </c>
      <c r="K1213" s="330">
        <v>7.45</v>
      </c>
      <c r="L1213" s="330">
        <v>21.11</v>
      </c>
      <c r="N1213" s="325">
        <f t="shared" si="237"/>
        <v>61.54</v>
      </c>
      <c r="O1213" s="27"/>
      <c r="P1213" s="56"/>
      <c r="Q1213" s="26"/>
      <c r="S1213" s="330">
        <v>0.45</v>
      </c>
      <c r="T1213" s="34">
        <v>1.4</v>
      </c>
      <c r="U1213" s="366">
        <f t="shared" si="241"/>
        <v>3.0368763557483729E-2</v>
      </c>
      <c r="V1213" s="97">
        <v>2.69</v>
      </c>
      <c r="W1213" s="36">
        <f>RTD("money.excel",,"8103","Price")</f>
        <v>46.1</v>
      </c>
      <c r="X1213" s="67"/>
      <c r="Y1213" s="15">
        <f t="shared" si="238"/>
        <v>46.1</v>
      </c>
      <c r="Z1213" s="3" t="e">
        <f t="shared" si="239"/>
        <v>#DIV/0!</v>
      </c>
      <c r="AB1213" s="22" t="s">
        <v>431</v>
      </c>
      <c r="AE1213" s="33">
        <f t="shared" si="240"/>
        <v>0</v>
      </c>
      <c r="AF1213" s="43" t="s">
        <v>2214</v>
      </c>
      <c r="AG1213" s="128"/>
      <c r="AI1213" s="64">
        <f t="shared" si="242"/>
        <v>5.8607594936708864E-3</v>
      </c>
      <c r="AJ1213" s="313">
        <f>RTD("money.excel",,$G1213,"PredictVolume")</f>
        <v>463</v>
      </c>
      <c r="AK1213" s="348"/>
    </row>
    <row r="1214" spans="1:37">
      <c r="A1214" s="132" t="s">
        <v>2177</v>
      </c>
      <c r="B1214" s="81">
        <v>31</v>
      </c>
      <c r="C1214" s="81">
        <v>38</v>
      </c>
      <c r="D1214" s="81">
        <v>2</v>
      </c>
      <c r="E1214" s="81">
        <v>16</v>
      </c>
      <c r="F1214" s="58">
        <v>36.28</v>
      </c>
      <c r="G1214" s="81">
        <v>8109</v>
      </c>
      <c r="H1214" s="8" t="s">
        <v>327</v>
      </c>
      <c r="I1214" s="16" t="s">
        <v>472</v>
      </c>
      <c r="J1214" s="75">
        <v>36.71</v>
      </c>
      <c r="K1214" s="330">
        <v>1.93</v>
      </c>
      <c r="L1214" s="330">
        <v>0.83</v>
      </c>
      <c r="N1214" s="325">
        <f t="shared" si="237"/>
        <v>39.47</v>
      </c>
      <c r="O1214" s="27"/>
      <c r="P1214" s="56"/>
      <c r="Q1214" s="26"/>
      <c r="S1214" s="330">
        <v>0</v>
      </c>
      <c r="T1214" s="67">
        <v>3.5</v>
      </c>
      <c r="U1214" s="366">
        <f t="shared" si="241"/>
        <v>4.755434782608696E-2</v>
      </c>
      <c r="V1214" s="97">
        <v>5.03</v>
      </c>
      <c r="W1214" s="36">
        <f>RTD("money.excel",,"8109","Price")</f>
        <v>73.599999999999994</v>
      </c>
      <c r="X1214" s="67"/>
      <c r="Y1214" s="15">
        <f t="shared" si="238"/>
        <v>73.599999999999994</v>
      </c>
      <c r="Z1214" s="3" t="e">
        <f t="shared" si="239"/>
        <v>#DIV/0!</v>
      </c>
      <c r="AA1214" s="174" t="s">
        <v>2185</v>
      </c>
      <c r="AB1214" s="16" t="s">
        <v>472</v>
      </c>
      <c r="AE1214" s="33">
        <f t="shared" si="240"/>
        <v>0</v>
      </c>
      <c r="AF1214" s="43" t="s">
        <v>2950</v>
      </c>
      <c r="AG1214" s="128"/>
      <c r="AI1214" s="64">
        <f t="shared" si="242"/>
        <v>2.1907216494845361E-4</v>
      </c>
      <c r="AJ1214" s="313">
        <f>RTD("money.excel",,$G1214,"PredictVolume")</f>
        <v>17</v>
      </c>
      <c r="AK1214" s="348"/>
    </row>
    <row r="1215" spans="1:37">
      <c r="A1215" s="148" t="s">
        <v>3535</v>
      </c>
      <c r="B1215" s="93">
        <v>161</v>
      </c>
      <c r="C1215" s="93">
        <v>317</v>
      </c>
      <c r="D1215" s="93">
        <v>15</v>
      </c>
      <c r="E1215" s="93">
        <v>35</v>
      </c>
      <c r="F1215" s="6">
        <v>5.27</v>
      </c>
      <c r="G1215" s="81">
        <v>8121</v>
      </c>
      <c r="H1215" s="8" t="s">
        <v>327</v>
      </c>
      <c r="I1215" s="16" t="s">
        <v>473</v>
      </c>
      <c r="J1215" s="75">
        <v>50.84</v>
      </c>
      <c r="K1215" s="75">
        <v>0.7</v>
      </c>
      <c r="N1215" s="325">
        <f t="shared" si="237"/>
        <v>51.540000000000006</v>
      </c>
      <c r="O1215" s="27"/>
      <c r="P1215" s="56"/>
      <c r="Q1215" s="26"/>
      <c r="S1215" s="330">
        <v>27.85</v>
      </c>
      <c r="T1215" s="34">
        <v>0</v>
      </c>
      <c r="U1215" s="366">
        <f t="shared" si="241"/>
        <v>0</v>
      </c>
      <c r="V1215" s="97">
        <v>0.18</v>
      </c>
      <c r="W1215" s="13">
        <f>RTD("money.excel",,"8121","Price")</f>
        <v>35.200000000000003</v>
      </c>
      <c r="X1215" s="67"/>
      <c r="Y1215" s="15">
        <f t="shared" si="238"/>
        <v>35.200000000000003</v>
      </c>
      <c r="Z1215" s="3" t="e">
        <f t="shared" si="239"/>
        <v>#DIV/0!</v>
      </c>
      <c r="AB1215" s="16" t="s">
        <v>473</v>
      </c>
      <c r="AE1215" s="33">
        <f t="shared" si="240"/>
        <v>0</v>
      </c>
      <c r="AF1215" s="43" t="s">
        <v>2951</v>
      </c>
      <c r="AG1215" s="128"/>
      <c r="AI1215" s="64">
        <f t="shared" si="242"/>
        <v>4.4371584699453553E-3</v>
      </c>
      <c r="AJ1215" s="313">
        <f>RTD("money.excel",,$G1215,"PredictVolume")</f>
        <v>812</v>
      </c>
      <c r="AK1215" s="348"/>
    </row>
    <row r="1216" spans="1:37">
      <c r="A1216" s="148" t="s">
        <v>6205</v>
      </c>
      <c r="B1216" s="81">
        <v>81</v>
      </c>
      <c r="C1216" s="81">
        <v>228</v>
      </c>
      <c r="D1216" s="82">
        <v>-17</v>
      </c>
      <c r="E1216" s="82">
        <v>-5</v>
      </c>
      <c r="F1216" s="6">
        <v>7.67</v>
      </c>
      <c r="G1216" s="81">
        <v>8147</v>
      </c>
      <c r="H1216" s="8" t="s">
        <v>327</v>
      </c>
      <c r="I1216" s="16" t="s">
        <v>5948</v>
      </c>
      <c r="J1216" s="330">
        <v>30.76</v>
      </c>
      <c r="K1216" s="75">
        <v>5.58</v>
      </c>
      <c r="L1216" s="330">
        <v>13.32</v>
      </c>
      <c r="M1216" s="330">
        <v>23.81</v>
      </c>
      <c r="N1216" s="325">
        <f t="shared" si="237"/>
        <v>73.47</v>
      </c>
      <c r="O1216" s="27" t="s">
        <v>6206</v>
      </c>
      <c r="P1216" s="56"/>
      <c r="Q1216" s="26"/>
      <c r="R1216" s="309" t="s">
        <v>4373</v>
      </c>
      <c r="S1216" s="330">
        <v>0.49</v>
      </c>
      <c r="T1216" s="34">
        <v>0.5</v>
      </c>
      <c r="U1216" s="366">
        <f t="shared" si="241"/>
        <v>7.9239302694136295E-3</v>
      </c>
      <c r="V1216" s="97">
        <v>0.96</v>
      </c>
      <c r="W1216" s="36">
        <f>RTD("money.excel",,"8147","Price")</f>
        <v>63.1</v>
      </c>
      <c r="X1216" s="67"/>
      <c r="Y1216" s="15">
        <f t="shared" si="238"/>
        <v>63.1</v>
      </c>
      <c r="Z1216" s="3" t="e">
        <f t="shared" si="239"/>
        <v>#DIV/0!</v>
      </c>
      <c r="AA1216" s="174" t="s">
        <v>1943</v>
      </c>
      <c r="AB1216" s="16" t="s">
        <v>5948</v>
      </c>
      <c r="AE1216" s="33">
        <f t="shared" si="240"/>
        <v>0</v>
      </c>
      <c r="AF1216" s="43" t="s">
        <v>2214</v>
      </c>
      <c r="AG1216" s="128"/>
      <c r="AI1216" s="64">
        <f t="shared" si="242"/>
        <v>2.9126213592233011E-3</v>
      </c>
      <c r="AJ1216" s="313">
        <f>RTD("money.excel",,$G1216,"PredictVolume")</f>
        <v>90</v>
      </c>
      <c r="AK1216" s="348">
        <v>14.85</v>
      </c>
    </row>
    <row r="1217" spans="1:37">
      <c r="A1217" s="132" t="s">
        <v>1838</v>
      </c>
      <c r="B1217" s="82">
        <v>-42</v>
      </c>
      <c r="C1217" s="82">
        <v>-44</v>
      </c>
      <c r="D1217" s="82">
        <v>-8</v>
      </c>
      <c r="E1217" s="81">
        <v>64</v>
      </c>
      <c r="F1217" s="58">
        <v>14.35</v>
      </c>
      <c r="G1217" s="81">
        <v>8155</v>
      </c>
      <c r="H1217" s="8" t="s">
        <v>327</v>
      </c>
      <c r="I1217" s="16" t="s">
        <v>95</v>
      </c>
      <c r="J1217" s="330">
        <v>42.85</v>
      </c>
      <c r="K1217" s="75">
        <v>26.54</v>
      </c>
      <c r="L1217" s="330">
        <v>17.829999999999998</v>
      </c>
      <c r="M1217" s="330">
        <v>28.34</v>
      </c>
      <c r="N1217" s="325">
        <f t="shared" si="237"/>
        <v>115.56</v>
      </c>
      <c r="O1217" s="27"/>
      <c r="P1217" s="56"/>
      <c r="Q1217" s="26"/>
      <c r="R1217" s="309" t="s">
        <v>6219</v>
      </c>
      <c r="S1217" s="330">
        <v>2.54</v>
      </c>
      <c r="T1217" s="67">
        <v>7</v>
      </c>
      <c r="U1217" s="366">
        <f t="shared" si="241"/>
        <v>3.6269430051813469E-2</v>
      </c>
      <c r="V1217" s="97">
        <v>6.99</v>
      </c>
      <c r="W1217" s="36">
        <f>RTD("money.excel",,"8155","Price")</f>
        <v>193</v>
      </c>
      <c r="X1217" s="67"/>
      <c r="Y1217" s="15">
        <f t="shared" si="238"/>
        <v>193</v>
      </c>
      <c r="Z1217" s="3" t="e">
        <f t="shared" si="239"/>
        <v>#DIV/0!</v>
      </c>
      <c r="AA1217" s="174" t="s">
        <v>2185</v>
      </c>
      <c r="AB1217" s="16" t="s">
        <v>95</v>
      </c>
      <c r="AE1217" s="33">
        <f t="shared" si="240"/>
        <v>0</v>
      </c>
      <c r="AF1217" s="123" t="s">
        <v>1106</v>
      </c>
      <c r="AG1217" s="128"/>
      <c r="AI1217" s="64">
        <f t="shared" si="242"/>
        <v>0.11692771084337347</v>
      </c>
      <c r="AJ1217" s="313">
        <f>RTD("money.excel",,$G1217,"PredictVolume")</f>
        <v>5823</v>
      </c>
      <c r="AK1217" s="348">
        <v>29.74</v>
      </c>
    </row>
    <row r="1218" spans="1:37">
      <c r="A1218" s="148" t="s">
        <v>1960</v>
      </c>
      <c r="B1218" s="82">
        <v>-14</v>
      </c>
      <c r="C1218" s="82">
        <v>-24</v>
      </c>
      <c r="D1218" s="82">
        <v>-1</v>
      </c>
      <c r="E1218" s="81">
        <v>1</v>
      </c>
      <c r="F1218" s="6">
        <v>6.3</v>
      </c>
      <c r="G1218" s="81">
        <v>8182</v>
      </c>
      <c r="H1218" s="8" t="s">
        <v>327</v>
      </c>
      <c r="I1218" s="16" t="s">
        <v>474</v>
      </c>
      <c r="J1218" s="75">
        <v>64.239999999999995</v>
      </c>
      <c r="K1218" s="330">
        <v>51.75</v>
      </c>
      <c r="L1218" s="75">
        <v>11.29</v>
      </c>
      <c r="N1218" s="325">
        <f t="shared" si="237"/>
        <v>127.28</v>
      </c>
      <c r="O1218" s="27"/>
      <c r="P1218" s="56"/>
      <c r="Q1218" s="26"/>
      <c r="S1218" s="330">
        <v>55.2</v>
      </c>
      <c r="T1218" s="34">
        <v>1.5</v>
      </c>
      <c r="U1218" s="366">
        <f t="shared" si="241"/>
        <v>3.073770491803279E-2</v>
      </c>
      <c r="V1218" s="58">
        <v>2.08</v>
      </c>
      <c r="W1218" s="13">
        <f>RTD("money.excel",,"8182","Price")</f>
        <v>48.8</v>
      </c>
      <c r="X1218" s="67"/>
      <c r="Y1218" s="15">
        <f t="shared" si="238"/>
        <v>48.8</v>
      </c>
      <c r="Z1218" s="3" t="e">
        <f t="shared" si="239"/>
        <v>#DIV/0!</v>
      </c>
      <c r="AA1218" s="174" t="s">
        <v>1943</v>
      </c>
      <c r="AB1218" s="16" t="s">
        <v>474</v>
      </c>
      <c r="AE1218" s="33">
        <f t="shared" si="240"/>
        <v>0</v>
      </c>
      <c r="AF1218" s="43" t="s">
        <v>1475</v>
      </c>
      <c r="AG1218" s="128"/>
      <c r="AI1218" s="64">
        <f t="shared" si="242"/>
        <v>1.4205607476635515E-3</v>
      </c>
      <c r="AJ1218" s="313">
        <f>RTD("money.excel",,$G1218,"PredictVolume")</f>
        <v>152</v>
      </c>
      <c r="AK1218" s="348"/>
    </row>
    <row r="1219" spans="1:37">
      <c r="A1219" s="148" t="s">
        <v>1839</v>
      </c>
      <c r="B1219" s="82">
        <v>-15</v>
      </c>
      <c r="C1219" s="81">
        <v>64</v>
      </c>
      <c r="D1219" s="82">
        <v>-2</v>
      </c>
      <c r="E1219" s="81">
        <v>21</v>
      </c>
      <c r="F1219" s="6">
        <v>8.6</v>
      </c>
      <c r="G1219" s="81">
        <v>8213</v>
      </c>
      <c r="H1219" s="8" t="s">
        <v>327</v>
      </c>
      <c r="I1219" s="22" t="s">
        <v>114</v>
      </c>
      <c r="J1219" s="75">
        <v>34.56</v>
      </c>
      <c r="K1219" s="75">
        <v>21.05</v>
      </c>
      <c r="L1219" s="330">
        <v>9</v>
      </c>
      <c r="N1219" s="325">
        <f t="shared" si="237"/>
        <v>64.61</v>
      </c>
      <c r="O1219" s="27"/>
      <c r="P1219" s="56"/>
      <c r="Q1219" s="26"/>
      <c r="S1219" s="330">
        <v>0.16</v>
      </c>
      <c r="T1219" s="67">
        <v>3.5</v>
      </c>
      <c r="U1219" s="366">
        <f t="shared" si="241"/>
        <v>7.113821138211382E-2</v>
      </c>
      <c r="V1219" s="97">
        <v>6.1</v>
      </c>
      <c r="W1219" s="36">
        <f>RTD("money.excel",,"8213","Price")</f>
        <v>49.2</v>
      </c>
      <c r="X1219" s="67"/>
      <c r="Y1219" s="15">
        <f t="shared" si="238"/>
        <v>49.2</v>
      </c>
      <c r="Z1219" s="3" t="e">
        <f t="shared" si="239"/>
        <v>#DIV/0!</v>
      </c>
      <c r="AA1219" s="174" t="s">
        <v>1986</v>
      </c>
      <c r="AB1219" s="22" t="s">
        <v>114</v>
      </c>
      <c r="AE1219" s="33">
        <f t="shared" si="240"/>
        <v>0</v>
      </c>
      <c r="AF1219" s="122" t="s">
        <v>3071</v>
      </c>
      <c r="AG1219" s="128"/>
      <c r="AI1219" s="64">
        <f t="shared" si="242"/>
        <v>3.0553505535055349E-3</v>
      </c>
      <c r="AJ1219" s="313">
        <f>RTD("money.excel",,$G1219,"PredictVolume")</f>
        <v>828</v>
      </c>
      <c r="AK1219" s="348"/>
    </row>
    <row r="1220" spans="1:37">
      <c r="A1220" s="148" t="s">
        <v>1636</v>
      </c>
      <c r="B1220" s="82">
        <v>-24</v>
      </c>
      <c r="C1220" s="82">
        <v>-43</v>
      </c>
      <c r="D1220" s="82">
        <v>-1</v>
      </c>
      <c r="E1220" s="82">
        <v>-7</v>
      </c>
      <c r="F1220" s="6">
        <v>4.79</v>
      </c>
      <c r="G1220" s="81">
        <v>8249</v>
      </c>
      <c r="H1220" s="8" t="s">
        <v>327</v>
      </c>
      <c r="I1220" s="22" t="s">
        <v>432</v>
      </c>
      <c r="J1220" s="75">
        <v>34.229999999999997</v>
      </c>
      <c r="K1220" s="75">
        <v>7.87</v>
      </c>
      <c r="L1220" s="75">
        <v>4.92</v>
      </c>
      <c r="N1220" s="325">
        <f t="shared" si="237"/>
        <v>47.019999999999996</v>
      </c>
      <c r="O1220" s="27"/>
      <c r="P1220" s="56"/>
      <c r="Q1220" s="26"/>
      <c r="S1220" s="330">
        <v>0.01</v>
      </c>
      <c r="T1220" s="34">
        <v>1.3</v>
      </c>
      <c r="U1220" s="366">
        <f t="shared" si="241"/>
        <v>5.7395143487858728E-2</v>
      </c>
      <c r="V1220" s="97">
        <v>1.5</v>
      </c>
      <c r="W1220" s="36">
        <f>RTD("money.excel",,"8249","Price")</f>
        <v>22.65</v>
      </c>
      <c r="X1220" s="67"/>
      <c r="Y1220" s="15">
        <f t="shared" si="238"/>
        <v>22.65</v>
      </c>
      <c r="Z1220" s="3" t="e">
        <f t="shared" si="239"/>
        <v>#DIV/0!</v>
      </c>
      <c r="AA1220" s="174" t="s">
        <v>1943</v>
      </c>
      <c r="AB1220" s="22" t="s">
        <v>432</v>
      </c>
      <c r="AE1220" s="33">
        <f t="shared" si="240"/>
        <v>0</v>
      </c>
      <c r="AF1220" s="43" t="s">
        <v>2930</v>
      </c>
      <c r="AG1220" s="128"/>
      <c r="AI1220" s="64">
        <f t="shared" si="242"/>
        <v>2.283464566929134E-4</v>
      </c>
      <c r="AJ1220" s="313">
        <f>RTD("money.excel",,$G1220,"PredictVolume")</f>
        <v>29</v>
      </c>
      <c r="AK1220" s="348"/>
    </row>
    <row r="1221" spans="1:37">
      <c r="A1221" s="132" t="s">
        <v>1950</v>
      </c>
      <c r="B1221" s="95">
        <v>1945</v>
      </c>
      <c r="C1221" s="95">
        <v>3975</v>
      </c>
      <c r="D1221" s="82">
        <v>-2</v>
      </c>
      <c r="E1221" s="81">
        <v>69</v>
      </c>
      <c r="F1221" s="58">
        <v>12.16</v>
      </c>
      <c r="G1221" s="81">
        <v>8289</v>
      </c>
      <c r="H1221" s="8" t="s">
        <v>327</v>
      </c>
      <c r="I1221" s="16" t="s">
        <v>5949</v>
      </c>
      <c r="J1221" s="75">
        <v>36.42</v>
      </c>
      <c r="K1221" s="330">
        <v>7.42</v>
      </c>
      <c r="L1221" s="75">
        <v>22.72</v>
      </c>
      <c r="M1221" s="75">
        <v>16.71</v>
      </c>
      <c r="N1221" s="325">
        <f t="shared" si="237"/>
        <v>83.27000000000001</v>
      </c>
      <c r="O1221" s="27"/>
      <c r="P1221" s="56"/>
      <c r="Q1221" s="26"/>
      <c r="R1221" s="308" t="s">
        <v>6058</v>
      </c>
      <c r="S1221" s="330">
        <v>1.65</v>
      </c>
      <c r="T1221" s="34">
        <v>0.12</v>
      </c>
      <c r="U1221" s="366">
        <f t="shared" si="241"/>
        <v>3.7795275590551181E-3</v>
      </c>
      <c r="V1221" s="97">
        <v>2.2599999999999998</v>
      </c>
      <c r="W1221" s="36">
        <f>RTD("money.excel",,"8289","Price")</f>
        <v>31.75</v>
      </c>
      <c r="X1221" s="67"/>
      <c r="Y1221" s="15">
        <f t="shared" si="238"/>
        <v>31.75</v>
      </c>
      <c r="Z1221" s="3" t="e">
        <f t="shared" si="239"/>
        <v>#DIV/0!</v>
      </c>
      <c r="AA1221" s="174" t="s">
        <v>1943</v>
      </c>
      <c r="AB1221" s="16" t="s">
        <v>5949</v>
      </c>
      <c r="AE1221" s="33">
        <f t="shared" si="240"/>
        <v>0</v>
      </c>
      <c r="AF1221" s="43" t="s">
        <v>1476</v>
      </c>
      <c r="AG1221" s="128"/>
      <c r="AI1221" s="64">
        <f t="shared" si="242"/>
        <v>2.7525622254758421E-3</v>
      </c>
      <c r="AJ1221" s="313">
        <f>RTD("money.excel",,$G1221,"PredictVolume")</f>
        <v>188</v>
      </c>
      <c r="AK1221" s="348"/>
    </row>
    <row r="1222" spans="1:37">
      <c r="A1222" s="148" t="s">
        <v>1553</v>
      </c>
      <c r="B1222" s="93">
        <v>-77</v>
      </c>
      <c r="C1222" s="93">
        <v>-79</v>
      </c>
      <c r="D1222" s="93">
        <v>-8</v>
      </c>
      <c r="E1222" s="93">
        <v>4</v>
      </c>
      <c r="F1222" s="6">
        <v>-11.87</v>
      </c>
      <c r="G1222" s="81">
        <v>8291</v>
      </c>
      <c r="H1222" s="8" t="s">
        <v>327</v>
      </c>
      <c r="I1222" s="16" t="s">
        <v>1134</v>
      </c>
      <c r="J1222" s="75">
        <v>77.52</v>
      </c>
      <c r="K1222" s="75">
        <v>52.24</v>
      </c>
      <c r="N1222" s="325">
        <f t="shared" si="237"/>
        <v>129.76</v>
      </c>
      <c r="O1222" s="27"/>
      <c r="P1222" s="56"/>
      <c r="Q1222" s="26"/>
      <c r="S1222" s="330">
        <v>59.56</v>
      </c>
      <c r="T1222" s="34">
        <v>0</v>
      </c>
      <c r="U1222" s="366">
        <f t="shared" si="241"/>
        <v>0</v>
      </c>
      <c r="V1222" s="58">
        <v>-0.82</v>
      </c>
      <c r="W1222" s="13">
        <f>RTD("money.excel",,"8291","Price")</f>
        <v>6.53</v>
      </c>
      <c r="X1222" s="67"/>
      <c r="Y1222" s="15">
        <f t="shared" si="238"/>
        <v>6.53</v>
      </c>
      <c r="Z1222" s="3" t="e">
        <f t="shared" si="239"/>
        <v>#DIV/0!</v>
      </c>
      <c r="AB1222" s="16" t="s">
        <v>1134</v>
      </c>
      <c r="AE1222" s="33">
        <f t="shared" si="240"/>
        <v>0</v>
      </c>
      <c r="AF1222" s="43" t="s">
        <v>1102</v>
      </c>
      <c r="AG1222" s="128"/>
      <c r="AI1222" s="64">
        <f t="shared" si="242"/>
        <v>5.07399577167019E-4</v>
      </c>
      <c r="AJ1222" s="313">
        <f>RTD("money.excel",,$G1222,"PredictVolume")</f>
        <v>24</v>
      </c>
      <c r="AK1222" s="348"/>
    </row>
    <row r="1223" spans="1:37">
      <c r="A1223" s="132" t="s">
        <v>1808</v>
      </c>
      <c r="B1223" s="81">
        <v>181</v>
      </c>
      <c r="C1223" s="81">
        <v>158</v>
      </c>
      <c r="D1223" s="82">
        <v>-7</v>
      </c>
      <c r="E1223" s="81">
        <v>27</v>
      </c>
      <c r="F1223" s="58">
        <v>21.4</v>
      </c>
      <c r="G1223" s="81">
        <v>8358</v>
      </c>
      <c r="H1223" s="8" t="s">
        <v>327</v>
      </c>
      <c r="I1223" s="16" t="s">
        <v>236</v>
      </c>
      <c r="J1223" s="75">
        <v>37.840000000000003</v>
      </c>
      <c r="K1223" s="75">
        <v>15.7</v>
      </c>
      <c r="L1223" s="75">
        <v>20.5</v>
      </c>
      <c r="M1223" s="75">
        <v>17.29</v>
      </c>
      <c r="N1223" s="325">
        <f t="shared" si="237"/>
        <v>91.330000000000013</v>
      </c>
      <c r="O1223" s="27"/>
      <c r="P1223" s="56" t="s">
        <v>6417</v>
      </c>
      <c r="Q1223" s="26" t="s">
        <v>6418</v>
      </c>
      <c r="R1223" s="309" t="s">
        <v>6219</v>
      </c>
      <c r="S1223" s="330">
        <v>3.5</v>
      </c>
      <c r="T1223" s="67">
        <v>4.2</v>
      </c>
      <c r="U1223" s="366">
        <f t="shared" si="241"/>
        <v>5.9322033898305086E-2</v>
      </c>
      <c r="V1223" s="97">
        <v>2.14</v>
      </c>
      <c r="W1223" s="36">
        <f>RTD("money.excel",,"8358","Price")</f>
        <v>70.8</v>
      </c>
      <c r="X1223" s="67"/>
      <c r="Y1223" s="15">
        <f t="shared" si="238"/>
        <v>70.8</v>
      </c>
      <c r="Z1223" s="3" t="e">
        <f t="shared" si="239"/>
        <v>#DIV/0!</v>
      </c>
      <c r="AA1223" s="174" t="s">
        <v>2185</v>
      </c>
      <c r="AB1223" s="16" t="s">
        <v>236</v>
      </c>
      <c r="AE1223" s="33">
        <f t="shared" si="240"/>
        <v>0</v>
      </c>
      <c r="AF1223" s="122" t="s">
        <v>2952</v>
      </c>
      <c r="AG1223" s="128"/>
      <c r="AI1223" s="64">
        <f t="shared" si="242"/>
        <v>4.2460317460317459E-3</v>
      </c>
      <c r="AJ1223" s="313">
        <f>RTD("money.excel",,$G1223,"PredictVolume")</f>
        <v>1070</v>
      </c>
      <c r="AK1223" s="348">
        <v>37.799999999999997</v>
      </c>
    </row>
    <row r="1224" spans="1:37">
      <c r="B1224" s="81"/>
      <c r="C1224" s="81"/>
      <c r="D1224" s="81"/>
      <c r="E1224" s="81"/>
      <c r="F1224" s="58"/>
      <c r="G1224" s="81"/>
      <c r="H1224" s="8"/>
      <c r="I1224" s="16"/>
      <c r="J1224" s="330"/>
      <c r="K1224" s="75"/>
      <c r="L1224" s="330"/>
      <c r="N1224" s="325"/>
      <c r="O1224" s="27"/>
      <c r="P1224" s="56"/>
      <c r="Q1224" s="26"/>
      <c r="T1224" s="34"/>
      <c r="V1224" s="97"/>
      <c r="W1224" s="36"/>
      <c r="X1224" s="67"/>
      <c r="Y1224" s="15"/>
      <c r="Z1224" s="3"/>
      <c r="AB1224" s="16"/>
      <c r="AE1224" s="33"/>
      <c r="AF1224" s="122"/>
      <c r="AG1224" s="128"/>
      <c r="AI1224" s="64"/>
      <c r="AJ1224" s="313"/>
      <c r="AK1224" s="348"/>
    </row>
    <row r="1225" spans="1:37">
      <c r="A1225" s="132" t="s">
        <v>1854</v>
      </c>
      <c r="B1225" s="93" t="s">
        <v>1657</v>
      </c>
      <c r="C1225" s="93" t="s">
        <v>1658</v>
      </c>
      <c r="D1225" s="93" t="s">
        <v>1659</v>
      </c>
      <c r="E1225" s="93" t="s">
        <v>1660</v>
      </c>
      <c r="F1225" s="8" t="s">
        <v>1122</v>
      </c>
      <c r="G1225" s="27" t="s">
        <v>6101</v>
      </c>
      <c r="H1225" s="55" t="s">
        <v>342</v>
      </c>
      <c r="I1225" s="8" t="s">
        <v>1100</v>
      </c>
      <c r="J1225" s="324" t="s">
        <v>1529</v>
      </c>
      <c r="K1225" s="324" t="s">
        <v>1217</v>
      </c>
      <c r="L1225" s="324" t="s">
        <v>298</v>
      </c>
      <c r="M1225" s="324" t="s">
        <v>1115</v>
      </c>
      <c r="N1225" s="324" t="s">
        <v>6091</v>
      </c>
      <c r="O1225" s="27" t="s">
        <v>6253</v>
      </c>
      <c r="P1225" s="56" t="s">
        <v>6219</v>
      </c>
      <c r="Q1225" s="26" t="s">
        <v>6313</v>
      </c>
      <c r="R1225" s="309" t="s">
        <v>4371</v>
      </c>
      <c r="S1225" s="335" t="s">
        <v>4398</v>
      </c>
      <c r="T1225" s="10" t="s">
        <v>75</v>
      </c>
      <c r="U1225" s="364" t="s">
        <v>6152</v>
      </c>
      <c r="V1225" s="69" t="s">
        <v>4022</v>
      </c>
      <c r="W1225" s="28" t="s">
        <v>2</v>
      </c>
      <c r="X1225" s="17" t="s">
        <v>1465</v>
      </c>
      <c r="Y1225" s="14" t="s">
        <v>5</v>
      </c>
      <c r="Z1225" s="21" t="s">
        <v>3</v>
      </c>
      <c r="AA1225" s="322" t="s">
        <v>117</v>
      </c>
      <c r="AB1225" s="8" t="s">
        <v>3967</v>
      </c>
      <c r="AC1225" s="73" t="s">
        <v>1466</v>
      </c>
      <c r="AD1225" s="74" t="s">
        <v>1223</v>
      </c>
      <c r="AE1225" s="32" t="s">
        <v>1224</v>
      </c>
      <c r="AF1225" s="43"/>
      <c r="AG1225" s="269"/>
      <c r="AI1225" s="8" t="s">
        <v>4414</v>
      </c>
      <c r="AJ1225" s="50" t="s">
        <v>4121</v>
      </c>
      <c r="AK1225" s="348" t="s">
        <v>6074</v>
      </c>
    </row>
    <row r="1226" spans="1:37">
      <c r="A1226" s="148" t="s">
        <v>1778</v>
      </c>
      <c r="B1226" s="81">
        <v>64</v>
      </c>
      <c r="C1226" s="81">
        <v>25</v>
      </c>
      <c r="D1226" s="81">
        <v>9</v>
      </c>
      <c r="E1226" s="81">
        <v>12</v>
      </c>
      <c r="F1226" s="6">
        <v>2.29</v>
      </c>
      <c r="G1226" s="81">
        <v>2347</v>
      </c>
      <c r="H1226" s="8" t="s">
        <v>3967</v>
      </c>
      <c r="I1226" s="22" t="s">
        <v>25</v>
      </c>
      <c r="J1226" s="75">
        <v>77.349999999999994</v>
      </c>
      <c r="K1226" s="75">
        <v>40.08</v>
      </c>
      <c r="L1226" s="75">
        <v>0.59</v>
      </c>
      <c r="N1226" s="325">
        <f t="shared" ref="N1226" si="243">J1226+K1226+L1226+M1226</f>
        <v>118.02</v>
      </c>
      <c r="O1226" s="27"/>
      <c r="P1226" s="56"/>
      <c r="Q1226" s="26"/>
      <c r="S1226" s="330">
        <v>6.15</v>
      </c>
      <c r="T1226" s="67">
        <v>3.3</v>
      </c>
      <c r="U1226" s="366">
        <f t="shared" ref="U1226:U1261" si="244">T1226/W1226</f>
        <v>4.5643153526970952E-2</v>
      </c>
      <c r="V1226" s="58">
        <v>6.26</v>
      </c>
      <c r="W1226" s="13">
        <f>RTD("money.excel",,"2347","Price")</f>
        <v>72.3</v>
      </c>
      <c r="X1226" s="67"/>
      <c r="Y1226" s="15">
        <f t="shared" ref="Y1226:Y1261" si="245">W1226-X1226</f>
        <v>72.3</v>
      </c>
      <c r="Z1226" s="3" t="e">
        <f t="shared" ref="Z1226:Z1261" si="246">Y1226/X1226</f>
        <v>#DIV/0!</v>
      </c>
      <c r="AA1226" s="174" t="s">
        <v>2185</v>
      </c>
      <c r="AB1226" s="22" t="s">
        <v>25</v>
      </c>
      <c r="AE1226" s="33">
        <f t="shared" ref="AE1226:AE1261" si="247">AD1226-AC1226</f>
        <v>0</v>
      </c>
      <c r="AF1226" s="122" t="s">
        <v>3396</v>
      </c>
      <c r="AG1226" s="128"/>
      <c r="AI1226" s="64">
        <f t="shared" ref="AI1226:AI1261" si="248">AJ1226/(A1226*10000)</f>
        <v>1.6873493975903613E-3</v>
      </c>
      <c r="AJ1226" s="313">
        <f>RTD("money.excel",,$G1226,"PredictVolume")</f>
        <v>2801</v>
      </c>
      <c r="AK1226" s="348"/>
    </row>
    <row r="1227" spans="1:37">
      <c r="A1227" s="148" t="s">
        <v>1864</v>
      </c>
      <c r="B1227" s="93">
        <v>11</v>
      </c>
      <c r="C1227" s="93">
        <v>26</v>
      </c>
      <c r="D1227" s="93">
        <v>10</v>
      </c>
      <c r="E1227" s="93">
        <v>26</v>
      </c>
      <c r="F1227" s="6">
        <v>1.89</v>
      </c>
      <c r="G1227" s="81">
        <v>2414</v>
      </c>
      <c r="H1227" s="8" t="s">
        <v>3967</v>
      </c>
      <c r="I1227" s="22" t="s">
        <v>883</v>
      </c>
      <c r="J1227" s="75">
        <v>59.33</v>
      </c>
      <c r="K1227" s="75">
        <v>13.73</v>
      </c>
      <c r="L1227" s="75">
        <v>0.45</v>
      </c>
      <c r="N1227" s="325">
        <f t="shared" ref="N1227:N1261" si="249">J1227+K1227+L1227+M1227</f>
        <v>73.510000000000005</v>
      </c>
      <c r="O1227" s="27"/>
      <c r="P1227" s="56"/>
      <c r="Q1227" s="26"/>
      <c r="S1227" s="330">
        <v>19.95</v>
      </c>
      <c r="T1227" s="34">
        <v>1.8</v>
      </c>
      <c r="U1227" s="366">
        <f t="shared" si="244"/>
        <v>5.1724137931034489E-2</v>
      </c>
      <c r="V1227" s="97">
        <v>2.25</v>
      </c>
      <c r="W1227" s="13">
        <f>RTD("money.excel",,"2414","Price")</f>
        <v>34.799999999999997</v>
      </c>
      <c r="X1227" s="67"/>
      <c r="Y1227" s="15">
        <f t="shared" si="245"/>
        <v>34.799999999999997</v>
      </c>
      <c r="Z1227" s="3" t="e">
        <f t="shared" si="246"/>
        <v>#DIV/0!</v>
      </c>
      <c r="AB1227" s="22" t="s">
        <v>883</v>
      </c>
      <c r="AE1227" s="33">
        <f t="shared" si="247"/>
        <v>0</v>
      </c>
      <c r="AF1227" s="43" t="s">
        <v>3397</v>
      </c>
      <c r="AG1227" s="128"/>
      <c r="AI1227" s="64">
        <f t="shared" si="248"/>
        <v>4.4099378881987578E-4</v>
      </c>
      <c r="AJ1227" s="313">
        <f>RTD("money.excel",,$G1227,"PredictVolume")</f>
        <v>71</v>
      </c>
      <c r="AK1227" s="348"/>
    </row>
    <row r="1228" spans="1:37">
      <c r="A1228" s="148" t="s">
        <v>2029</v>
      </c>
      <c r="B1228" s="93">
        <v>29</v>
      </c>
      <c r="C1228" s="93">
        <v>5</v>
      </c>
      <c r="D1228" s="93">
        <v>16</v>
      </c>
      <c r="E1228" s="93">
        <v>15</v>
      </c>
      <c r="F1228" s="6">
        <v>1.59</v>
      </c>
      <c r="G1228" s="81">
        <v>2430</v>
      </c>
      <c r="H1228" s="8" t="s">
        <v>3967</v>
      </c>
      <c r="I1228" s="22" t="s">
        <v>100</v>
      </c>
      <c r="J1228" s="75">
        <v>65.91</v>
      </c>
      <c r="K1228" s="75">
        <v>7.08</v>
      </c>
      <c r="L1228" s="75">
        <v>0.57999999999999996</v>
      </c>
      <c r="N1228" s="325">
        <f t="shared" si="249"/>
        <v>73.569999999999993</v>
      </c>
      <c r="O1228" s="27"/>
      <c r="P1228" s="56"/>
      <c r="Q1228" s="26"/>
      <c r="S1228" s="330">
        <v>32.69</v>
      </c>
      <c r="T1228" s="34">
        <v>1.55</v>
      </c>
      <c r="U1228" s="366">
        <f t="shared" si="244"/>
        <v>3.4598214285714288E-2</v>
      </c>
      <c r="V1228" s="97">
        <v>1.85</v>
      </c>
      <c r="W1228" s="13">
        <f>RTD("money.excel",,"2430","Price")</f>
        <v>44.8</v>
      </c>
      <c r="X1228" s="67"/>
      <c r="Y1228" s="15">
        <f t="shared" si="245"/>
        <v>44.8</v>
      </c>
      <c r="Z1228" s="3" t="e">
        <f t="shared" si="246"/>
        <v>#DIV/0!</v>
      </c>
      <c r="AB1228" s="22" t="s">
        <v>100</v>
      </c>
      <c r="AE1228" s="33">
        <f t="shared" si="247"/>
        <v>0</v>
      </c>
      <c r="AF1228" s="122" t="s">
        <v>3398</v>
      </c>
      <c r="AG1228" s="128"/>
      <c r="AI1228" s="64">
        <f t="shared" si="248"/>
        <v>5.8795180722891567E-3</v>
      </c>
      <c r="AJ1228" s="313">
        <f>RTD("money.excel",,$G1228,"PredictVolume")</f>
        <v>976</v>
      </c>
      <c r="AK1228" s="348"/>
    </row>
    <row r="1229" spans="1:37">
      <c r="A1229" s="148" t="s">
        <v>3670</v>
      </c>
      <c r="B1229" s="93">
        <v>7</v>
      </c>
      <c r="C1229" s="93">
        <v>19</v>
      </c>
      <c r="D1229" s="93">
        <v>-6</v>
      </c>
      <c r="E1229" s="93">
        <v>17</v>
      </c>
      <c r="F1229" s="6">
        <v>5.43</v>
      </c>
      <c r="G1229" s="81">
        <v>2459</v>
      </c>
      <c r="H1229" s="8" t="s">
        <v>3967</v>
      </c>
      <c r="I1229" s="22" t="s">
        <v>884</v>
      </c>
      <c r="J1229" s="75">
        <v>53.44</v>
      </c>
      <c r="K1229" s="75">
        <v>18.25</v>
      </c>
      <c r="L1229" s="75">
        <v>1.7</v>
      </c>
      <c r="N1229" s="325">
        <f t="shared" si="249"/>
        <v>73.39</v>
      </c>
      <c r="O1229" s="27"/>
      <c r="P1229" s="56"/>
      <c r="Q1229" s="26"/>
      <c r="S1229" s="330">
        <v>31.86</v>
      </c>
      <c r="T1229" s="67">
        <v>3.3</v>
      </c>
      <c r="U1229" s="366">
        <f t="shared" si="244"/>
        <v>5.7996485061511421E-2</v>
      </c>
      <c r="V1229" s="97">
        <v>4.24</v>
      </c>
      <c r="W1229" s="13">
        <f>RTD("money.excel",,"2459","Price")</f>
        <v>56.9</v>
      </c>
      <c r="X1229" s="67"/>
      <c r="Y1229" s="15">
        <f t="shared" si="245"/>
        <v>56.9</v>
      </c>
      <c r="Z1229" s="3" t="e">
        <f t="shared" si="246"/>
        <v>#DIV/0!</v>
      </c>
      <c r="AA1229" s="174" t="s">
        <v>2185</v>
      </c>
      <c r="AB1229" s="22" t="s">
        <v>884</v>
      </c>
      <c r="AE1229" s="33">
        <f t="shared" si="247"/>
        <v>0</v>
      </c>
      <c r="AF1229" s="43" t="s">
        <v>3399</v>
      </c>
      <c r="AG1229" s="128"/>
      <c r="AI1229" s="64">
        <f t="shared" si="248"/>
        <v>3.0476190476190474E-4</v>
      </c>
      <c r="AJ1229" s="313">
        <f>RTD("money.excel",,$G1229,"PredictVolume")</f>
        <v>32</v>
      </c>
      <c r="AK1229" s="348"/>
    </row>
    <row r="1230" spans="1:37">
      <c r="A1230" s="148" t="s">
        <v>1794</v>
      </c>
      <c r="B1230" s="81">
        <v>27</v>
      </c>
      <c r="C1230" s="81">
        <v>32</v>
      </c>
      <c r="D1230" s="82">
        <v>11</v>
      </c>
      <c r="E1230" s="81">
        <v>36</v>
      </c>
      <c r="F1230" s="6">
        <v>3.71</v>
      </c>
      <c r="G1230" s="81">
        <v>3010</v>
      </c>
      <c r="H1230" s="8" t="s">
        <v>3967</v>
      </c>
      <c r="I1230" s="22" t="s">
        <v>108</v>
      </c>
      <c r="J1230" s="75">
        <v>55.11</v>
      </c>
      <c r="K1230" s="75">
        <v>15.87</v>
      </c>
      <c r="L1230" s="75">
        <v>4.24</v>
      </c>
      <c r="N1230" s="325">
        <f t="shared" si="249"/>
        <v>75.22</v>
      </c>
      <c r="O1230" s="27"/>
      <c r="P1230" s="56"/>
      <c r="Q1230" s="26"/>
      <c r="S1230" s="330">
        <v>0.04</v>
      </c>
      <c r="T1230" s="67">
        <v>4.2</v>
      </c>
      <c r="U1230" s="366">
        <f t="shared" si="244"/>
        <v>3.870967741935484E-2</v>
      </c>
      <c r="V1230" s="97">
        <v>8.0399999999999991</v>
      </c>
      <c r="W1230" s="36">
        <f>RTD("money.excel",,"3010","Price")</f>
        <v>108.5</v>
      </c>
      <c r="X1230" s="67"/>
      <c r="Y1230" s="15">
        <f t="shared" si="245"/>
        <v>108.5</v>
      </c>
      <c r="Z1230" s="3" t="e">
        <f t="shared" si="246"/>
        <v>#DIV/0!</v>
      </c>
      <c r="AA1230" s="174" t="s">
        <v>2185</v>
      </c>
      <c r="AB1230" s="22" t="s">
        <v>108</v>
      </c>
      <c r="AE1230" s="33">
        <f t="shared" si="247"/>
        <v>0</v>
      </c>
      <c r="AF1230" s="122" t="s">
        <v>2544</v>
      </c>
      <c r="AG1230" s="128"/>
      <c r="AI1230" s="64">
        <f t="shared" si="248"/>
        <v>2.3506493506493505E-3</v>
      </c>
      <c r="AJ1230" s="313">
        <f>RTD("money.excel",,$G1230,"PredictVolume")</f>
        <v>543</v>
      </c>
      <c r="AK1230" s="348"/>
    </row>
    <row r="1231" spans="1:37">
      <c r="A1231" s="148" t="s">
        <v>3708</v>
      </c>
      <c r="B1231" s="93">
        <v>57</v>
      </c>
      <c r="C1231" s="93">
        <v>-7</v>
      </c>
      <c r="D1231" s="93">
        <v>11</v>
      </c>
      <c r="E1231" s="93">
        <v>112</v>
      </c>
      <c r="F1231" s="6">
        <v>2.4500000000000002</v>
      </c>
      <c r="G1231" s="81">
        <v>3028</v>
      </c>
      <c r="H1231" s="8" t="s">
        <v>3967</v>
      </c>
      <c r="I1231" s="22" t="s">
        <v>885</v>
      </c>
      <c r="J1231" s="75">
        <v>37.89</v>
      </c>
      <c r="K1231" s="75">
        <v>6.59</v>
      </c>
      <c r="L1231" s="75">
        <v>3.99</v>
      </c>
      <c r="N1231" s="325">
        <f t="shared" si="249"/>
        <v>48.470000000000006</v>
      </c>
      <c r="O1231" s="27"/>
      <c r="P1231" s="56"/>
      <c r="Q1231" s="26"/>
      <c r="S1231" s="330">
        <v>16.71</v>
      </c>
      <c r="T1231" s="34">
        <v>1.9</v>
      </c>
      <c r="U1231" s="366">
        <f t="shared" si="244"/>
        <v>5.1560379918588868E-2</v>
      </c>
      <c r="V1231" s="97">
        <v>2.21</v>
      </c>
      <c r="W1231" s="36">
        <f>RTD("money.excel",,"3028","Price")</f>
        <v>36.85</v>
      </c>
      <c r="X1231" s="67"/>
      <c r="Y1231" s="15">
        <f t="shared" si="245"/>
        <v>36.85</v>
      </c>
      <c r="Z1231" s="3" t="e">
        <f t="shared" si="246"/>
        <v>#DIV/0!</v>
      </c>
      <c r="AB1231" s="22" t="s">
        <v>885</v>
      </c>
      <c r="AE1231" s="33">
        <f t="shared" si="247"/>
        <v>0</v>
      </c>
      <c r="AF1231" s="43" t="s">
        <v>3400</v>
      </c>
      <c r="AG1231" s="128"/>
      <c r="AI1231" s="64">
        <f t="shared" si="248"/>
        <v>3.7276995305164321E-3</v>
      </c>
      <c r="AJ1231" s="313">
        <f>RTD("money.excel",,$G1231,"PredictVolume")</f>
        <v>794</v>
      </c>
      <c r="AK1231" s="348"/>
    </row>
    <row r="1232" spans="1:37">
      <c r="A1232" s="148" t="s">
        <v>3709</v>
      </c>
      <c r="B1232" s="93">
        <v>127</v>
      </c>
      <c r="C1232" s="93">
        <v>15</v>
      </c>
      <c r="D1232" s="93">
        <v>17</v>
      </c>
      <c r="E1232" s="93">
        <v>88</v>
      </c>
      <c r="F1232" s="6">
        <v>2.63</v>
      </c>
      <c r="G1232" s="81">
        <v>3033</v>
      </c>
      <c r="H1232" s="8" t="s">
        <v>3967</v>
      </c>
      <c r="I1232" s="22" t="s">
        <v>111</v>
      </c>
      <c r="J1232" s="75">
        <v>37.86</v>
      </c>
      <c r="K1232" s="75">
        <v>6.89</v>
      </c>
      <c r="L1232" s="75">
        <v>2.17</v>
      </c>
      <c r="N1232" s="325">
        <f t="shared" si="249"/>
        <v>46.92</v>
      </c>
      <c r="O1232" s="27"/>
      <c r="P1232" s="56"/>
      <c r="Q1232" s="26"/>
      <c r="S1232" s="330">
        <v>14.83</v>
      </c>
      <c r="T1232" s="34">
        <v>1.34</v>
      </c>
      <c r="U1232" s="366">
        <f t="shared" si="244"/>
        <v>4.200626959247649E-2</v>
      </c>
      <c r="V1232" s="97">
        <v>1.9</v>
      </c>
      <c r="W1232" s="36">
        <f>RTD("money.excel",,"3033","Price")</f>
        <v>31.9</v>
      </c>
      <c r="X1232" s="67"/>
      <c r="Y1232" s="15">
        <f t="shared" si="245"/>
        <v>31.9</v>
      </c>
      <c r="Z1232" s="3" t="e">
        <f t="shared" si="246"/>
        <v>#DIV/0!</v>
      </c>
      <c r="AB1232" s="22" t="s">
        <v>111</v>
      </c>
      <c r="AE1232" s="33">
        <f t="shared" si="247"/>
        <v>0</v>
      </c>
      <c r="AF1232" s="122" t="s">
        <v>3401</v>
      </c>
      <c r="AG1232" s="128"/>
      <c r="AI1232" s="64">
        <f t="shared" si="248"/>
        <v>7.6675749318801086E-3</v>
      </c>
      <c r="AJ1232" s="313">
        <f>RTD("money.excel",,$G1232,"PredictVolume")</f>
        <v>2814</v>
      </c>
      <c r="AK1232" s="348"/>
    </row>
    <row r="1233" spans="1:37">
      <c r="A1233" s="148" t="s">
        <v>3710</v>
      </c>
      <c r="B1233" s="81">
        <v>40</v>
      </c>
      <c r="C1233" s="82">
        <v>-3</v>
      </c>
      <c r="D1233" s="82">
        <v>-4</v>
      </c>
      <c r="E1233" s="82">
        <v>-4</v>
      </c>
      <c r="F1233" s="6">
        <v>1.54</v>
      </c>
      <c r="G1233" s="81">
        <v>3036</v>
      </c>
      <c r="H1233" s="8" t="s">
        <v>3967</v>
      </c>
      <c r="I1233" s="22" t="s">
        <v>282</v>
      </c>
      <c r="J1233" s="75">
        <v>76.83</v>
      </c>
      <c r="K1233" s="75">
        <v>16.57</v>
      </c>
      <c r="L1233" s="75">
        <v>0.61</v>
      </c>
      <c r="N1233" s="325">
        <f t="shared" si="249"/>
        <v>94.01</v>
      </c>
      <c r="O1233" s="27"/>
      <c r="P1233" s="56"/>
      <c r="Q1233" s="26"/>
      <c r="S1233" s="330">
        <v>0.02</v>
      </c>
      <c r="T1233" s="34">
        <v>2.09</v>
      </c>
      <c r="U1233" s="366">
        <f t="shared" si="244"/>
        <v>2.4851367419738406E-2</v>
      </c>
      <c r="V1233" s="97">
        <v>5.34</v>
      </c>
      <c r="W1233" s="36">
        <f>RTD("money.excel",,"3036","Price")</f>
        <v>84.1</v>
      </c>
      <c r="X1233" s="67"/>
      <c r="Y1233" s="15">
        <f t="shared" si="245"/>
        <v>84.1</v>
      </c>
      <c r="Z1233" s="3" t="e">
        <f t="shared" si="246"/>
        <v>#DIV/0!</v>
      </c>
      <c r="AA1233" s="174" t="s">
        <v>1943</v>
      </c>
      <c r="AB1233" s="22" t="s">
        <v>282</v>
      </c>
      <c r="AE1233" s="33">
        <f t="shared" si="247"/>
        <v>0</v>
      </c>
      <c r="AF1233" s="122" t="s">
        <v>3402</v>
      </c>
      <c r="AG1233" s="128"/>
      <c r="AI1233" s="64">
        <f t="shared" si="248"/>
        <v>1.6408629441624365E-3</v>
      </c>
      <c r="AJ1233" s="313">
        <f>RTD("money.excel",,$G1233,"PredictVolume")</f>
        <v>1293</v>
      </c>
      <c r="AK1233" s="348"/>
    </row>
    <row r="1234" spans="1:37">
      <c r="A1234" s="148" t="s">
        <v>1796</v>
      </c>
      <c r="B1234" s="81">
        <v>78</v>
      </c>
      <c r="C1234" s="81">
        <v>27</v>
      </c>
      <c r="D1234" s="81">
        <v>16</v>
      </c>
      <c r="E1234" s="82">
        <v>-11</v>
      </c>
      <c r="F1234" s="6">
        <v>1.5</v>
      </c>
      <c r="G1234" s="81">
        <v>3048</v>
      </c>
      <c r="H1234" s="8" t="s">
        <v>3967</v>
      </c>
      <c r="I1234" s="22" t="s">
        <v>886</v>
      </c>
      <c r="J1234" s="330">
        <v>40.229999999999997</v>
      </c>
      <c r="K1234" s="330">
        <v>6.33</v>
      </c>
      <c r="L1234" s="75">
        <v>5.48</v>
      </c>
      <c r="N1234" s="325">
        <f t="shared" si="249"/>
        <v>52.039999999999992</v>
      </c>
      <c r="O1234" s="27"/>
      <c r="P1234" s="56"/>
      <c r="Q1234" s="26"/>
      <c r="R1234" s="308" t="s">
        <v>4372</v>
      </c>
      <c r="S1234" s="330">
        <v>0.54</v>
      </c>
      <c r="T1234" s="34">
        <v>2.9</v>
      </c>
      <c r="U1234" s="366">
        <f t="shared" si="244"/>
        <v>8.2857142857142851E-2</v>
      </c>
      <c r="V1234" s="97">
        <v>4.5999999999999996</v>
      </c>
      <c r="W1234" s="36">
        <f>RTD("money.excel",,"3048","Price")</f>
        <v>35</v>
      </c>
      <c r="X1234" s="67"/>
      <c r="Y1234" s="15">
        <f t="shared" si="245"/>
        <v>35</v>
      </c>
      <c r="Z1234" s="3" t="e">
        <f t="shared" si="246"/>
        <v>#DIV/0!</v>
      </c>
      <c r="AA1234" s="174" t="s">
        <v>1943</v>
      </c>
      <c r="AB1234" s="22" t="s">
        <v>886</v>
      </c>
      <c r="AE1234" s="33">
        <f t="shared" si="247"/>
        <v>0</v>
      </c>
      <c r="AF1234" s="43" t="s">
        <v>3401</v>
      </c>
      <c r="AG1234" s="128"/>
      <c r="AI1234" s="64">
        <f t="shared" si="248"/>
        <v>7.8750000000000001E-3</v>
      </c>
      <c r="AJ1234" s="313">
        <f>RTD("money.excel",,$G1234,"PredictVolume")</f>
        <v>1953</v>
      </c>
      <c r="AK1234" s="348"/>
    </row>
    <row r="1235" spans="1:37">
      <c r="A1235" s="148" t="s">
        <v>1959</v>
      </c>
      <c r="B1235" s="82">
        <v>-214</v>
      </c>
      <c r="C1235" s="96">
        <v>-1501</v>
      </c>
      <c r="D1235" s="82">
        <v>-22</v>
      </c>
      <c r="E1235" s="81">
        <v>88</v>
      </c>
      <c r="F1235" s="6">
        <v>-3.6</v>
      </c>
      <c r="G1235" s="81">
        <v>3055</v>
      </c>
      <c r="H1235" s="8" t="s">
        <v>3967</v>
      </c>
      <c r="I1235" s="22" t="s">
        <v>887</v>
      </c>
      <c r="J1235" s="330">
        <v>72.319999999999993</v>
      </c>
      <c r="K1235" s="330">
        <v>1.99</v>
      </c>
      <c r="L1235" s="330">
        <v>27.85</v>
      </c>
      <c r="N1235" s="325">
        <f t="shared" si="249"/>
        <v>102.16</v>
      </c>
      <c r="O1235" s="27"/>
      <c r="P1235" s="56"/>
      <c r="Q1235" s="26"/>
      <c r="S1235" s="330">
        <v>1.28</v>
      </c>
      <c r="T1235" s="34">
        <v>0.2</v>
      </c>
      <c r="U1235" s="366">
        <f t="shared" si="244"/>
        <v>7.326007326007326E-3</v>
      </c>
      <c r="V1235" s="97">
        <v>-0.48</v>
      </c>
      <c r="W1235" s="36">
        <f>RTD("money.excel",,"3055","Price")</f>
        <v>27.3</v>
      </c>
      <c r="X1235" s="67"/>
      <c r="Y1235" s="15">
        <f t="shared" si="245"/>
        <v>27.3</v>
      </c>
      <c r="Z1235" s="3" t="e">
        <f t="shared" si="246"/>
        <v>#DIV/0!</v>
      </c>
      <c r="AA1235" s="174" t="s">
        <v>1943</v>
      </c>
      <c r="AB1235" s="22" t="s">
        <v>887</v>
      </c>
      <c r="AE1235" s="33">
        <f t="shared" si="247"/>
        <v>0</v>
      </c>
      <c r="AF1235" s="43" t="s">
        <v>3403</v>
      </c>
      <c r="AG1235" s="128"/>
      <c r="AI1235" s="64">
        <f t="shared" si="248"/>
        <v>8.6274509803921568E-4</v>
      </c>
      <c r="AJ1235" s="313">
        <f>RTD("money.excel",,$G1235,"PredictVolume")</f>
        <v>88</v>
      </c>
      <c r="AK1235" s="348"/>
    </row>
    <row r="1236" spans="1:37">
      <c r="A1236" s="148" t="s">
        <v>1733</v>
      </c>
      <c r="B1236" s="93">
        <v>57</v>
      </c>
      <c r="C1236" s="93">
        <v>6</v>
      </c>
      <c r="D1236" s="93">
        <v>40</v>
      </c>
      <c r="E1236" s="93">
        <v>39</v>
      </c>
      <c r="F1236" s="6">
        <v>1.54</v>
      </c>
      <c r="G1236" s="81">
        <v>3209</v>
      </c>
      <c r="H1236" s="8" t="s">
        <v>3967</v>
      </c>
      <c r="I1236" s="22" t="s">
        <v>888</v>
      </c>
      <c r="J1236" s="75">
        <v>40.46</v>
      </c>
      <c r="K1236" s="75">
        <v>1.34</v>
      </c>
      <c r="L1236" s="75">
        <v>2.4</v>
      </c>
      <c r="N1236" s="325">
        <f t="shared" si="249"/>
        <v>44.2</v>
      </c>
      <c r="O1236" s="27"/>
      <c r="P1236" s="56"/>
      <c r="Q1236" s="26"/>
      <c r="S1236" s="330">
        <v>14.15</v>
      </c>
      <c r="T1236" s="34">
        <v>2</v>
      </c>
      <c r="U1236" s="366">
        <f t="shared" si="244"/>
        <v>5.8479532163742687E-2</v>
      </c>
      <c r="V1236" s="97">
        <v>2.54</v>
      </c>
      <c r="W1236" s="36">
        <f>RTD("money.excel",,"3209","Price")</f>
        <v>34.200000000000003</v>
      </c>
      <c r="X1236" s="67"/>
      <c r="Y1236" s="15">
        <f t="shared" si="245"/>
        <v>34.200000000000003</v>
      </c>
      <c r="Z1236" s="3" t="e">
        <f t="shared" si="246"/>
        <v>#DIV/0!</v>
      </c>
      <c r="AB1236" s="22" t="s">
        <v>888</v>
      </c>
      <c r="AE1236" s="33">
        <f t="shared" si="247"/>
        <v>0</v>
      </c>
      <c r="AF1236" s="43" t="s">
        <v>3404</v>
      </c>
      <c r="AG1236" s="128"/>
      <c r="AI1236" s="64">
        <f t="shared" si="248"/>
        <v>7.1904761904761907E-3</v>
      </c>
      <c r="AJ1236" s="313">
        <f>RTD("money.excel",,$G1236,"PredictVolume")</f>
        <v>1359</v>
      </c>
      <c r="AK1236" s="348"/>
    </row>
    <row r="1237" spans="1:37">
      <c r="A1237" s="148" t="s">
        <v>4220</v>
      </c>
      <c r="B1237" s="81">
        <v>14</v>
      </c>
      <c r="C1237" s="81">
        <v>22</v>
      </c>
      <c r="D1237" s="81">
        <v>63</v>
      </c>
      <c r="E1237" s="81">
        <v>120</v>
      </c>
      <c r="F1237" s="6">
        <v>-3.53</v>
      </c>
      <c r="G1237" s="81">
        <v>3224</v>
      </c>
      <c r="H1237" s="8" t="s">
        <v>3967</v>
      </c>
      <c r="I1237" s="16" t="s">
        <v>869</v>
      </c>
      <c r="J1237" s="330">
        <v>39.29</v>
      </c>
      <c r="K1237" s="75">
        <v>0.91</v>
      </c>
      <c r="L1237" s="75">
        <v>19.5</v>
      </c>
      <c r="N1237" s="325">
        <f t="shared" si="249"/>
        <v>59.699999999999996</v>
      </c>
      <c r="O1237" s="27"/>
      <c r="P1237" s="56"/>
      <c r="Q1237" s="26"/>
      <c r="S1237" s="330">
        <v>0.18</v>
      </c>
      <c r="T1237" s="34">
        <v>0</v>
      </c>
      <c r="U1237" s="366">
        <f t="shared" si="244"/>
        <v>0</v>
      </c>
      <c r="V1237" s="97">
        <v>-1.3</v>
      </c>
      <c r="W1237" s="36">
        <f>RTD("money.excel",,"3224","Price")</f>
        <v>49.45</v>
      </c>
      <c r="X1237" s="67"/>
      <c r="Y1237" s="15">
        <f t="shared" si="245"/>
        <v>49.45</v>
      </c>
      <c r="Z1237" s="3" t="e">
        <f t="shared" si="246"/>
        <v>#DIV/0!</v>
      </c>
      <c r="AA1237" s="174" t="s">
        <v>1943</v>
      </c>
      <c r="AB1237" s="16" t="s">
        <v>869</v>
      </c>
      <c r="AE1237" s="33">
        <f t="shared" si="247"/>
        <v>0</v>
      </c>
      <c r="AF1237" s="43" t="s">
        <v>3175</v>
      </c>
      <c r="AG1237" s="269"/>
      <c r="AI1237" s="64">
        <f t="shared" si="248"/>
        <v>1.3529411764705882E-3</v>
      </c>
      <c r="AJ1237" s="313">
        <f>RTD("money.excel",,$G1237,"PredictVolume")</f>
        <v>92</v>
      </c>
      <c r="AK1237" s="348"/>
    </row>
    <row r="1238" spans="1:37">
      <c r="A1238" s="148" t="s">
        <v>2533</v>
      </c>
      <c r="B1238" s="81">
        <v>127</v>
      </c>
      <c r="C1238" s="81">
        <v>457</v>
      </c>
      <c r="D1238" s="81">
        <v>51</v>
      </c>
      <c r="E1238" s="81">
        <v>92</v>
      </c>
      <c r="F1238" s="6">
        <v>4.51</v>
      </c>
      <c r="G1238" s="81">
        <v>3232</v>
      </c>
      <c r="H1238" s="8" t="s">
        <v>351</v>
      </c>
      <c r="I1238" s="16" t="s">
        <v>870</v>
      </c>
      <c r="J1238" s="75">
        <v>31.59</v>
      </c>
      <c r="K1238" s="330">
        <v>4.4000000000000004</v>
      </c>
      <c r="L1238" s="75">
        <v>63.08</v>
      </c>
      <c r="M1238" s="330">
        <v>24.43</v>
      </c>
      <c r="N1238" s="325">
        <f t="shared" si="249"/>
        <v>123.5</v>
      </c>
      <c r="O1238" s="27"/>
      <c r="P1238" s="56"/>
      <c r="Q1238" s="26"/>
      <c r="R1238" s="308" t="s">
        <v>4372</v>
      </c>
      <c r="S1238" s="330">
        <v>1.72</v>
      </c>
      <c r="T1238" s="34">
        <v>0.3</v>
      </c>
      <c r="U1238" s="366">
        <f t="shared" si="244"/>
        <v>1.092896174863388E-2</v>
      </c>
      <c r="V1238" s="97">
        <v>0.79</v>
      </c>
      <c r="W1238" s="36">
        <f>RTD("money.excel",,"3232","Price")</f>
        <v>27.45</v>
      </c>
      <c r="X1238" s="67"/>
      <c r="Y1238" s="15">
        <f t="shared" si="245"/>
        <v>27.45</v>
      </c>
      <c r="Z1238" s="3" t="e">
        <f t="shared" si="246"/>
        <v>#DIV/0!</v>
      </c>
      <c r="AB1238" s="16" t="s">
        <v>870</v>
      </c>
      <c r="AE1238" s="33">
        <f t="shared" si="247"/>
        <v>0</v>
      </c>
      <c r="AF1238" s="43" t="s">
        <v>3176</v>
      </c>
      <c r="AG1238" s="128"/>
      <c r="AI1238" s="64">
        <f t="shared" si="248"/>
        <v>1.8961748633879782E-2</v>
      </c>
      <c r="AJ1238" s="313">
        <f>RTD("money.excel",,$G1238,"PredictVolume")</f>
        <v>694</v>
      </c>
      <c r="AK1238" s="348">
        <v>41.65</v>
      </c>
    </row>
    <row r="1239" spans="1:37">
      <c r="A1239" s="148" t="s">
        <v>1570</v>
      </c>
      <c r="B1239" s="93">
        <v>-8</v>
      </c>
      <c r="C1239" s="93">
        <v>-1</v>
      </c>
      <c r="D1239" s="93">
        <v>8</v>
      </c>
      <c r="E1239" s="93">
        <v>54</v>
      </c>
      <c r="F1239" s="6">
        <v>1.61</v>
      </c>
      <c r="G1239" s="81">
        <v>3312</v>
      </c>
      <c r="H1239" s="8" t="s">
        <v>3967</v>
      </c>
      <c r="I1239" s="22" t="s">
        <v>889</v>
      </c>
      <c r="J1239" s="75">
        <v>59.58</v>
      </c>
      <c r="K1239" s="75">
        <v>18.100000000000001</v>
      </c>
      <c r="L1239" s="75">
        <v>19.809999999999999</v>
      </c>
      <c r="N1239" s="325">
        <f t="shared" si="249"/>
        <v>97.490000000000009</v>
      </c>
      <c r="O1239" s="27"/>
      <c r="P1239" s="56"/>
      <c r="Q1239" s="26"/>
      <c r="S1239" s="330">
        <v>11.12</v>
      </c>
      <c r="T1239" s="34">
        <v>1</v>
      </c>
      <c r="U1239" s="366">
        <f t="shared" si="244"/>
        <v>3.9215686274509803E-2</v>
      </c>
      <c r="V1239" s="97">
        <v>1.63</v>
      </c>
      <c r="W1239" s="13">
        <f>RTD("money.excel",,"3312","Price")</f>
        <v>25.5</v>
      </c>
      <c r="X1239" s="67"/>
      <c r="Y1239" s="15">
        <f t="shared" si="245"/>
        <v>25.5</v>
      </c>
      <c r="Z1239" s="3" t="e">
        <f t="shared" si="246"/>
        <v>#DIV/0!</v>
      </c>
      <c r="AA1239" s="174" t="s">
        <v>1943</v>
      </c>
      <c r="AB1239" s="22" t="s">
        <v>889</v>
      </c>
      <c r="AE1239" s="33">
        <f t="shared" si="247"/>
        <v>0</v>
      </c>
      <c r="AF1239" s="43" t="s">
        <v>3405</v>
      </c>
      <c r="AG1239" s="269"/>
      <c r="AI1239" s="64">
        <f t="shared" si="248"/>
        <v>8.9359999999999995E-3</v>
      </c>
      <c r="AJ1239" s="313">
        <f>RTD("money.excel",,$G1239,"PredictVolume")</f>
        <v>1117</v>
      </c>
      <c r="AK1239" s="348"/>
    </row>
    <row r="1240" spans="1:37">
      <c r="A1240" s="148" t="s">
        <v>2145</v>
      </c>
      <c r="B1240" s="82">
        <v>-39</v>
      </c>
      <c r="C1240" s="82">
        <v>-43</v>
      </c>
      <c r="D1240" s="81">
        <v>4</v>
      </c>
      <c r="E1240" s="81">
        <v>106</v>
      </c>
      <c r="F1240" s="6">
        <v>1.23</v>
      </c>
      <c r="G1240" s="81">
        <v>3360</v>
      </c>
      <c r="H1240" s="8" t="s">
        <v>3967</v>
      </c>
      <c r="I1240" s="16" t="s">
        <v>350</v>
      </c>
      <c r="J1240" s="330">
        <v>15.11</v>
      </c>
      <c r="K1240" s="75">
        <v>0.87</v>
      </c>
      <c r="L1240" s="75">
        <v>16.87</v>
      </c>
      <c r="M1240" s="75">
        <v>8.69</v>
      </c>
      <c r="N1240" s="325">
        <f t="shared" si="249"/>
        <v>41.54</v>
      </c>
      <c r="O1240" s="27"/>
      <c r="P1240" s="56"/>
      <c r="Q1240" s="26"/>
      <c r="R1240" s="308" t="s">
        <v>4373</v>
      </c>
      <c r="S1240" s="330">
        <v>0.14000000000000001</v>
      </c>
      <c r="T1240" s="34">
        <v>1</v>
      </c>
      <c r="U1240" s="366">
        <f t="shared" si="244"/>
        <v>6.2893081761006289E-2</v>
      </c>
      <c r="V1240" s="97">
        <v>0.55000000000000004</v>
      </c>
      <c r="W1240" s="13">
        <f>RTD("money.excel",,"3360","Price")</f>
        <v>15.9</v>
      </c>
      <c r="X1240" s="67"/>
      <c r="Y1240" s="15">
        <f t="shared" si="245"/>
        <v>15.9</v>
      </c>
      <c r="Z1240" s="3" t="e">
        <f t="shared" si="246"/>
        <v>#DIV/0!</v>
      </c>
      <c r="AA1240" s="174" t="s">
        <v>1943</v>
      </c>
      <c r="AB1240" s="16" t="s">
        <v>350</v>
      </c>
      <c r="AE1240" s="33">
        <f t="shared" si="247"/>
        <v>0</v>
      </c>
      <c r="AF1240" s="43" t="s">
        <v>3619</v>
      </c>
      <c r="AG1240" s="128"/>
      <c r="AI1240" s="64">
        <f t="shared" si="248"/>
        <v>4.7016011644832609E-3</v>
      </c>
      <c r="AJ1240" s="313">
        <f>RTD("money.excel",,$G1240,"PredictVolume")</f>
        <v>323</v>
      </c>
      <c r="AK1240" s="348"/>
    </row>
    <row r="1241" spans="1:37">
      <c r="A1241" s="132" t="s">
        <v>2121</v>
      </c>
      <c r="B1241" s="93">
        <v>12</v>
      </c>
      <c r="C1241" s="93">
        <v>42</v>
      </c>
      <c r="D1241" s="93">
        <v>-5</v>
      </c>
      <c r="E1241" s="93">
        <v>61</v>
      </c>
      <c r="F1241" s="58">
        <v>12.86</v>
      </c>
      <c r="G1241" s="81">
        <v>3444</v>
      </c>
      <c r="H1241" s="8" t="s">
        <v>3967</v>
      </c>
      <c r="I1241" s="16" t="s">
        <v>871</v>
      </c>
      <c r="J1241" s="75">
        <v>55.71</v>
      </c>
      <c r="K1241" s="75">
        <v>9.02</v>
      </c>
      <c r="L1241" s="75">
        <v>13.12</v>
      </c>
      <c r="N1241" s="325">
        <f t="shared" si="249"/>
        <v>77.850000000000009</v>
      </c>
      <c r="O1241" s="27"/>
      <c r="P1241" s="56"/>
      <c r="Q1241" s="26"/>
      <c r="S1241" s="330">
        <v>20.27</v>
      </c>
      <c r="T1241" s="34">
        <v>1.8</v>
      </c>
      <c r="U1241" s="366">
        <f t="shared" si="244"/>
        <v>3.6072144288577156E-2</v>
      </c>
      <c r="V1241" s="97">
        <v>2.72</v>
      </c>
      <c r="W1241" s="13">
        <f>RTD("money.excel",,"3444","Price")</f>
        <v>49.9</v>
      </c>
      <c r="X1241" s="67"/>
      <c r="Y1241" s="15">
        <f t="shared" si="245"/>
        <v>49.9</v>
      </c>
      <c r="Z1241" s="3" t="e">
        <f t="shared" si="246"/>
        <v>#DIV/0!</v>
      </c>
      <c r="AA1241" s="174" t="s">
        <v>1943</v>
      </c>
      <c r="AB1241" s="16" t="s">
        <v>871</v>
      </c>
      <c r="AE1241" s="33">
        <f t="shared" si="247"/>
        <v>0</v>
      </c>
      <c r="AF1241" s="43" t="s">
        <v>3177</v>
      </c>
      <c r="AG1241" s="128"/>
      <c r="AI1241" s="64">
        <f t="shared" si="248"/>
        <v>1.0230179028132991E-3</v>
      </c>
      <c r="AJ1241" s="313">
        <f>RTD("money.excel",,$G1241,"PredictVolume")</f>
        <v>40</v>
      </c>
      <c r="AK1241" s="348"/>
    </row>
    <row r="1242" spans="1:37">
      <c r="A1242" s="148" t="s">
        <v>1978</v>
      </c>
      <c r="B1242" s="82">
        <v>-5</v>
      </c>
      <c r="C1242" s="82">
        <v>-6</v>
      </c>
      <c r="D1242" s="82">
        <v>-11</v>
      </c>
      <c r="E1242" s="81">
        <v>75</v>
      </c>
      <c r="F1242" s="6">
        <v>6.24</v>
      </c>
      <c r="G1242" s="81">
        <v>3528</v>
      </c>
      <c r="H1242" s="8" t="s">
        <v>3967</v>
      </c>
      <c r="I1242" s="22" t="s">
        <v>890</v>
      </c>
      <c r="J1242" s="330">
        <v>70.16</v>
      </c>
      <c r="K1242" s="330">
        <v>8.6</v>
      </c>
      <c r="L1242" s="75">
        <v>0.35</v>
      </c>
      <c r="N1242" s="325">
        <f t="shared" si="249"/>
        <v>79.109999999999985</v>
      </c>
      <c r="O1242" s="27"/>
      <c r="P1242" s="56"/>
      <c r="Q1242" s="26"/>
      <c r="S1242" s="330">
        <v>61.15</v>
      </c>
      <c r="T1242" s="34">
        <v>2.9</v>
      </c>
      <c r="U1242" s="366">
        <f t="shared" si="244"/>
        <v>5.6092843326885876E-2</v>
      </c>
      <c r="V1242" s="58">
        <v>3.18</v>
      </c>
      <c r="W1242" s="36">
        <f>RTD("money.excel",,"3528","Price")</f>
        <v>51.7</v>
      </c>
      <c r="X1242" s="67"/>
      <c r="Y1242" s="15">
        <f t="shared" si="245"/>
        <v>51.7</v>
      </c>
      <c r="Z1242" s="3" t="e">
        <f t="shared" si="246"/>
        <v>#DIV/0!</v>
      </c>
      <c r="AA1242" s="174" t="s">
        <v>1943</v>
      </c>
      <c r="AB1242" s="22" t="s">
        <v>890</v>
      </c>
      <c r="AE1242" s="33">
        <f t="shared" si="247"/>
        <v>0</v>
      </c>
      <c r="AF1242" s="43" t="s">
        <v>3402</v>
      </c>
      <c r="AG1242" s="128"/>
      <c r="AI1242" s="64">
        <f t="shared" si="248"/>
        <v>1.0823170731707318E-3</v>
      </c>
      <c r="AJ1242" s="313">
        <f>RTD("money.excel",,$G1242,"PredictVolume")</f>
        <v>71</v>
      </c>
      <c r="AK1242" s="348"/>
    </row>
    <row r="1243" spans="1:37">
      <c r="A1243" s="148" t="s">
        <v>2335</v>
      </c>
      <c r="B1243" s="81">
        <v>46</v>
      </c>
      <c r="C1243" s="81">
        <v>39</v>
      </c>
      <c r="D1243" s="81">
        <v>16</v>
      </c>
      <c r="E1243" s="81">
        <v>28</v>
      </c>
      <c r="F1243" s="6">
        <v>1.82</v>
      </c>
      <c r="G1243" s="81">
        <v>3702</v>
      </c>
      <c r="H1243" s="8" t="s">
        <v>3967</v>
      </c>
      <c r="I1243" s="22" t="s">
        <v>5950</v>
      </c>
      <c r="J1243" s="330">
        <v>72.760000000000005</v>
      </c>
      <c r="K1243" s="330">
        <v>36.24</v>
      </c>
      <c r="L1243" s="75">
        <v>0.82</v>
      </c>
      <c r="N1243" s="325">
        <f t="shared" si="249"/>
        <v>109.82</v>
      </c>
      <c r="O1243" s="27"/>
      <c r="P1243" s="56"/>
      <c r="Q1243" s="26"/>
      <c r="R1243" s="308" t="s">
        <v>4373</v>
      </c>
      <c r="S1243" s="330">
        <v>0.38</v>
      </c>
      <c r="T1243" s="67">
        <v>3.1</v>
      </c>
      <c r="U1243" s="366">
        <f t="shared" si="244"/>
        <v>5.4195804195804193E-2</v>
      </c>
      <c r="V1243" s="58">
        <v>6.48</v>
      </c>
      <c r="W1243" s="36">
        <f>RTD("money.excel",,"3702","Price")</f>
        <v>57.2</v>
      </c>
      <c r="X1243" s="67"/>
      <c r="Y1243" s="15">
        <f t="shared" si="245"/>
        <v>57.2</v>
      </c>
      <c r="Z1243" s="3" t="e">
        <f t="shared" si="246"/>
        <v>#DIV/0!</v>
      </c>
      <c r="AA1243" s="174" t="s">
        <v>2185</v>
      </c>
      <c r="AB1243" s="22" t="s">
        <v>5950</v>
      </c>
      <c r="AE1243" s="33">
        <f t="shared" si="247"/>
        <v>0</v>
      </c>
      <c r="AF1243" s="122" t="s">
        <v>3402</v>
      </c>
      <c r="AG1243" s="128"/>
      <c r="AI1243" s="64">
        <f t="shared" si="248"/>
        <v>9.5089820359281442E-4</v>
      </c>
      <c r="AJ1243" s="313">
        <f>RTD("money.excel",,$G1243,"PredictVolume")</f>
        <v>1588</v>
      </c>
      <c r="AK1243" s="348"/>
    </row>
    <row r="1244" spans="1:37">
      <c r="A1244" s="148" t="s">
        <v>1817</v>
      </c>
      <c r="B1244" s="81">
        <v>15</v>
      </c>
      <c r="C1244" s="81">
        <v>8</v>
      </c>
      <c r="D1244" s="81">
        <v>1</v>
      </c>
      <c r="E1244" s="81">
        <v>1</v>
      </c>
      <c r="F1244" s="6">
        <v>5.63</v>
      </c>
      <c r="G1244" s="81">
        <v>5434</v>
      </c>
      <c r="H1244" s="8" t="s">
        <v>3967</v>
      </c>
      <c r="I1244" s="22" t="s">
        <v>5951</v>
      </c>
      <c r="J1244" s="330">
        <v>37.520000000000003</v>
      </c>
      <c r="K1244" s="330">
        <v>27.81</v>
      </c>
      <c r="L1244" s="330">
        <v>2.84</v>
      </c>
      <c r="N1244" s="325">
        <f t="shared" si="249"/>
        <v>68.17</v>
      </c>
      <c r="O1244" s="27"/>
      <c r="P1244" s="56"/>
      <c r="Q1244" s="26"/>
      <c r="S1244" s="330">
        <v>0.01</v>
      </c>
      <c r="T1244" s="67">
        <v>8</v>
      </c>
      <c r="U1244" s="366">
        <f t="shared" si="244"/>
        <v>4.6647230320699708E-2</v>
      </c>
      <c r="V1244" s="97">
        <v>11.38</v>
      </c>
      <c r="W1244" s="36">
        <f>RTD("money.excel",,"5434","Price")</f>
        <v>171.5</v>
      </c>
      <c r="X1244" s="67"/>
      <c r="Y1244" s="15">
        <f t="shared" si="245"/>
        <v>171.5</v>
      </c>
      <c r="Z1244" s="3" t="e">
        <f t="shared" si="246"/>
        <v>#DIV/0!</v>
      </c>
      <c r="AA1244" s="174" t="s">
        <v>2185</v>
      </c>
      <c r="AB1244" s="22" t="s">
        <v>5951</v>
      </c>
      <c r="AE1244" s="33">
        <f t="shared" si="247"/>
        <v>0</v>
      </c>
      <c r="AF1244" s="122" t="s">
        <v>3406</v>
      </c>
      <c r="AG1244" s="128"/>
      <c r="AI1244" s="64">
        <f t="shared" si="248"/>
        <v>7.955801104972376E-4</v>
      </c>
      <c r="AJ1244" s="313">
        <f>RTD("money.excel",,$G1244,"PredictVolume")</f>
        <v>144</v>
      </c>
      <c r="AK1244" s="348"/>
    </row>
    <row r="1245" spans="1:37">
      <c r="A1245" s="148" t="s">
        <v>3526</v>
      </c>
      <c r="B1245" s="93">
        <v>29</v>
      </c>
      <c r="C1245" s="93">
        <v>52</v>
      </c>
      <c r="D1245" s="93">
        <v>26</v>
      </c>
      <c r="E1245" s="93">
        <v>133</v>
      </c>
      <c r="F1245" s="6">
        <v>-2.85</v>
      </c>
      <c r="G1245" s="81">
        <v>6113</v>
      </c>
      <c r="H1245" s="8" t="s">
        <v>3967</v>
      </c>
      <c r="I1245" s="16" t="s">
        <v>872</v>
      </c>
      <c r="J1245" s="75">
        <v>52.28</v>
      </c>
      <c r="K1245" s="75">
        <v>8.1300000000000008</v>
      </c>
      <c r="L1245" s="75">
        <v>15.6</v>
      </c>
      <c r="N1245" s="325">
        <f t="shared" si="249"/>
        <v>76.010000000000005</v>
      </c>
      <c r="O1245" s="27"/>
      <c r="P1245" s="56"/>
      <c r="Q1245" s="26"/>
      <c r="S1245" s="330">
        <v>28.87</v>
      </c>
      <c r="T1245" s="34">
        <v>0</v>
      </c>
      <c r="U1245" s="366">
        <f t="shared" si="244"/>
        <v>0</v>
      </c>
      <c r="V1245" s="97">
        <v>-0.27</v>
      </c>
      <c r="W1245" s="13">
        <f>RTD("money.excel",,"6113","Price")</f>
        <v>13.2</v>
      </c>
      <c r="X1245" s="67"/>
      <c r="Y1245" s="15">
        <f t="shared" si="245"/>
        <v>13.2</v>
      </c>
      <c r="Z1245" s="3" t="e">
        <f t="shared" si="246"/>
        <v>#DIV/0!</v>
      </c>
      <c r="AB1245" s="16" t="s">
        <v>872</v>
      </c>
      <c r="AE1245" s="33">
        <f t="shared" si="247"/>
        <v>0</v>
      </c>
      <c r="AF1245" s="43" t="s">
        <v>3178</v>
      </c>
      <c r="AG1245" s="128"/>
      <c r="AI1245" s="64">
        <f t="shared" si="248"/>
        <v>4.8000000000000001E-4</v>
      </c>
      <c r="AJ1245" s="313">
        <f>RTD("money.excel",,$G1245,"PredictVolume")</f>
        <v>24</v>
      </c>
      <c r="AK1245" s="348"/>
    </row>
    <row r="1246" spans="1:37">
      <c r="A1246" s="148" t="s">
        <v>1715</v>
      </c>
      <c r="B1246" s="81">
        <v>260</v>
      </c>
      <c r="C1246" s="81">
        <v>157</v>
      </c>
      <c r="D1246" s="81">
        <v>37</v>
      </c>
      <c r="E1246" s="81">
        <v>50</v>
      </c>
      <c r="F1246" s="6">
        <v>0.69</v>
      </c>
      <c r="G1246" s="81">
        <v>6118</v>
      </c>
      <c r="H1246" s="8" t="s">
        <v>3967</v>
      </c>
      <c r="I1246" s="16" t="s">
        <v>873</v>
      </c>
      <c r="J1246" s="75">
        <v>64.69</v>
      </c>
      <c r="K1246" s="75">
        <v>2.2000000000000002</v>
      </c>
      <c r="L1246" s="330">
        <v>28.54</v>
      </c>
      <c r="M1246" s="330">
        <v>34.6</v>
      </c>
      <c r="N1246" s="75">
        <f t="shared" si="249"/>
        <v>130.03</v>
      </c>
      <c r="O1246" s="27"/>
      <c r="P1246" s="56"/>
      <c r="Q1246" s="26"/>
      <c r="R1246" s="308" t="s">
        <v>4372</v>
      </c>
      <c r="S1246" s="330">
        <v>4.0599999999999996</v>
      </c>
      <c r="T1246" s="34">
        <v>0</v>
      </c>
      <c r="U1246" s="366">
        <f t="shared" si="244"/>
        <v>0</v>
      </c>
      <c r="V1246" s="58">
        <v>0.76</v>
      </c>
      <c r="W1246" s="36">
        <f>RTD("money.excel",,"6118","Price")</f>
        <v>30.35</v>
      </c>
      <c r="X1246" s="67"/>
      <c r="Y1246" s="15">
        <f t="shared" si="245"/>
        <v>30.35</v>
      </c>
      <c r="Z1246" s="3" t="e">
        <f t="shared" si="246"/>
        <v>#DIV/0!</v>
      </c>
      <c r="AB1246" s="16" t="s">
        <v>873</v>
      </c>
      <c r="AE1246" s="33">
        <f t="shared" si="247"/>
        <v>0</v>
      </c>
      <c r="AF1246" s="43" t="s">
        <v>2850</v>
      </c>
      <c r="AI1246" s="64">
        <f t="shared" si="248"/>
        <v>8.4818481848184819E-3</v>
      </c>
      <c r="AJ1246" s="313">
        <f>RTD("money.excel",,$G1246,"PredictVolume")</f>
        <v>771</v>
      </c>
    </row>
    <row r="1247" spans="1:37">
      <c r="A1247" s="148" t="s">
        <v>1798</v>
      </c>
      <c r="B1247" s="93">
        <v>25</v>
      </c>
      <c r="C1247" s="93">
        <v>26</v>
      </c>
      <c r="D1247" s="93">
        <v>-1</v>
      </c>
      <c r="E1247" s="93">
        <v>-10</v>
      </c>
      <c r="F1247" s="6">
        <v>1.96</v>
      </c>
      <c r="G1247" s="81">
        <v>6154</v>
      </c>
      <c r="H1247" s="8" t="s">
        <v>3967</v>
      </c>
      <c r="I1247" s="16" t="s">
        <v>874</v>
      </c>
      <c r="J1247" s="75">
        <v>63.47</v>
      </c>
      <c r="K1247" s="75">
        <v>0.01</v>
      </c>
      <c r="L1247" s="75">
        <v>0.25</v>
      </c>
      <c r="N1247" s="325">
        <f t="shared" si="249"/>
        <v>63.73</v>
      </c>
      <c r="O1247" s="27"/>
      <c r="P1247" s="56"/>
      <c r="Q1247" s="26"/>
      <c r="S1247" s="330">
        <v>27.17</v>
      </c>
      <c r="T1247" s="34">
        <v>0.55000000000000004</v>
      </c>
      <c r="U1247" s="366">
        <f t="shared" si="244"/>
        <v>3.0470914127423823E-2</v>
      </c>
      <c r="V1247" s="97">
        <v>0.56000000000000005</v>
      </c>
      <c r="W1247" s="13">
        <f>RTD("money.excel",,"6154","Price")</f>
        <v>18.05</v>
      </c>
      <c r="X1247" s="67"/>
      <c r="Y1247" s="15">
        <f t="shared" si="245"/>
        <v>18.05</v>
      </c>
      <c r="Z1247" s="3" t="e">
        <f t="shared" si="246"/>
        <v>#DIV/0!</v>
      </c>
      <c r="AB1247" s="16" t="s">
        <v>874</v>
      </c>
      <c r="AE1247" s="33">
        <f t="shared" si="247"/>
        <v>0</v>
      </c>
      <c r="AF1247" s="43" t="s">
        <v>3179</v>
      </c>
      <c r="AG1247" s="128"/>
      <c r="AI1247" s="64">
        <f t="shared" si="248"/>
        <v>1.5730337078651685E-3</v>
      </c>
      <c r="AJ1247" s="313">
        <f>RTD("money.excel",,$G1247,"PredictVolume")</f>
        <v>126</v>
      </c>
      <c r="AK1247" s="348"/>
    </row>
    <row r="1248" spans="1:37">
      <c r="A1248" s="148" t="s">
        <v>3657</v>
      </c>
      <c r="B1248" s="93">
        <v>4</v>
      </c>
      <c r="C1248" s="93">
        <v>19</v>
      </c>
      <c r="D1248" s="93">
        <v>13</v>
      </c>
      <c r="E1248" s="93">
        <v>71</v>
      </c>
      <c r="F1248" s="6">
        <v>3.93</v>
      </c>
      <c r="G1248" s="81">
        <v>6189</v>
      </c>
      <c r="H1248" s="8" t="s">
        <v>3967</v>
      </c>
      <c r="I1248" s="22" t="s">
        <v>891</v>
      </c>
      <c r="J1248" s="75">
        <v>33.14</v>
      </c>
      <c r="K1248" s="75">
        <v>4.72</v>
      </c>
      <c r="L1248" s="75">
        <v>0.53</v>
      </c>
      <c r="N1248" s="325">
        <f t="shared" si="249"/>
        <v>38.39</v>
      </c>
      <c r="O1248" s="27"/>
      <c r="P1248" s="56"/>
      <c r="Q1248" s="26"/>
      <c r="S1248" s="330">
        <v>12.36</v>
      </c>
      <c r="T1248" s="34">
        <v>2.8</v>
      </c>
      <c r="U1248" s="366">
        <f t="shared" si="244"/>
        <v>6.4000000000000001E-2</v>
      </c>
      <c r="V1248" s="97">
        <v>2.99</v>
      </c>
      <c r="W1248" s="36">
        <f>RTD("money.excel",,"6189","Price")</f>
        <v>43.75</v>
      </c>
      <c r="X1248" s="67"/>
      <c r="Y1248" s="15">
        <f t="shared" si="245"/>
        <v>43.75</v>
      </c>
      <c r="Z1248" s="3" t="e">
        <f t="shared" si="246"/>
        <v>#DIV/0!</v>
      </c>
      <c r="AB1248" s="22" t="s">
        <v>891</v>
      </c>
      <c r="AE1248" s="33">
        <f t="shared" si="247"/>
        <v>0</v>
      </c>
      <c r="AF1248" s="43" t="s">
        <v>3401</v>
      </c>
      <c r="AG1248" s="128"/>
      <c r="AI1248" s="64">
        <f t="shared" si="248"/>
        <v>1.005586592178771E-3</v>
      </c>
      <c r="AJ1248" s="313">
        <f>RTD("money.excel",,$G1248,"PredictVolume")</f>
        <v>180</v>
      </c>
      <c r="AK1248" s="348"/>
    </row>
    <row r="1249" spans="1:37">
      <c r="A1249" s="148" t="s">
        <v>1734</v>
      </c>
      <c r="B1249" s="93">
        <v>32</v>
      </c>
      <c r="C1249" s="93">
        <v>17</v>
      </c>
      <c r="D1249" s="93">
        <v>21</v>
      </c>
      <c r="E1249" s="93">
        <v>133</v>
      </c>
      <c r="F1249" s="6">
        <v>3.76</v>
      </c>
      <c r="G1249" s="81">
        <v>6227</v>
      </c>
      <c r="H1249" s="8" t="s">
        <v>3967</v>
      </c>
      <c r="I1249" s="16" t="s">
        <v>875</v>
      </c>
      <c r="J1249" s="75">
        <v>70.400000000000006</v>
      </c>
      <c r="K1249" s="75">
        <v>0.36</v>
      </c>
      <c r="L1249" s="75">
        <v>12.46</v>
      </c>
      <c r="N1249" s="325">
        <f t="shared" si="249"/>
        <v>83.22</v>
      </c>
      <c r="O1249" s="27"/>
      <c r="P1249" s="56"/>
      <c r="Q1249" s="26"/>
      <c r="S1249" s="330">
        <v>60.32</v>
      </c>
      <c r="T1249" s="34">
        <v>1.5</v>
      </c>
      <c r="U1249" s="366">
        <f t="shared" si="244"/>
        <v>3.8659793814432991E-2</v>
      </c>
      <c r="V1249" s="97">
        <v>2.61</v>
      </c>
      <c r="W1249" s="13">
        <f>RTD("money.excel",,"6227","Price")</f>
        <v>38.799999999999997</v>
      </c>
      <c r="X1249" s="67"/>
      <c r="Y1249" s="15">
        <f t="shared" si="245"/>
        <v>38.799999999999997</v>
      </c>
      <c r="Z1249" s="3" t="e">
        <f t="shared" si="246"/>
        <v>#DIV/0!</v>
      </c>
      <c r="AB1249" s="16" t="s">
        <v>875</v>
      </c>
      <c r="AE1249" s="33">
        <f t="shared" si="247"/>
        <v>0</v>
      </c>
      <c r="AF1249" s="43" t="s">
        <v>3176</v>
      </c>
      <c r="AG1249" s="128"/>
      <c r="AI1249" s="64">
        <f t="shared" si="248"/>
        <v>8.1340341655716155E-3</v>
      </c>
      <c r="AJ1249" s="313">
        <f>RTD("money.excel",,$G1249,"PredictVolume")</f>
        <v>619</v>
      </c>
      <c r="AK1249" s="348"/>
    </row>
    <row r="1250" spans="1:37">
      <c r="A1250" s="148" t="s">
        <v>1807</v>
      </c>
      <c r="B1250" s="93">
        <v>-127</v>
      </c>
      <c r="C1250" s="93">
        <v>-143</v>
      </c>
      <c r="D1250" s="93">
        <v>-19</v>
      </c>
      <c r="E1250" s="93">
        <v>0</v>
      </c>
      <c r="F1250" s="6">
        <v>-8.65</v>
      </c>
      <c r="G1250" s="81">
        <v>6265</v>
      </c>
      <c r="H1250" s="8" t="s">
        <v>3967</v>
      </c>
      <c r="I1250" s="16" t="s">
        <v>876</v>
      </c>
      <c r="J1250" s="75">
        <v>59.6</v>
      </c>
      <c r="K1250" s="75">
        <v>2.08</v>
      </c>
      <c r="L1250" s="75">
        <v>10.08</v>
      </c>
      <c r="N1250" s="325">
        <f t="shared" si="249"/>
        <v>71.760000000000005</v>
      </c>
      <c r="O1250" s="27"/>
      <c r="P1250" s="56"/>
      <c r="Q1250" s="26"/>
      <c r="S1250" s="330">
        <v>30.45</v>
      </c>
      <c r="T1250" s="34">
        <v>0</v>
      </c>
      <c r="U1250" s="366">
        <f t="shared" si="244"/>
        <v>0</v>
      </c>
      <c r="V1250" s="97">
        <v>-0.25</v>
      </c>
      <c r="W1250" s="13">
        <f>RTD("money.excel",,"6265","Price")</f>
        <v>13.3</v>
      </c>
      <c r="X1250" s="67"/>
      <c r="Y1250" s="15">
        <f t="shared" si="245"/>
        <v>13.3</v>
      </c>
      <c r="Z1250" s="3" t="e">
        <f t="shared" si="246"/>
        <v>#DIV/0!</v>
      </c>
      <c r="AB1250" s="16" t="s">
        <v>876</v>
      </c>
      <c r="AE1250" s="33">
        <f t="shared" si="247"/>
        <v>0</v>
      </c>
      <c r="AF1250" s="43" t="s">
        <v>3176</v>
      </c>
      <c r="AG1250" s="128"/>
      <c r="AI1250" s="64">
        <f t="shared" si="248"/>
        <v>3.4491525423728814E-3</v>
      </c>
      <c r="AJ1250" s="313">
        <f>RTD("money.excel",,$G1250,"PredictVolume")</f>
        <v>407</v>
      </c>
      <c r="AK1250" s="348"/>
    </row>
    <row r="1251" spans="1:37">
      <c r="A1251" s="148" t="s">
        <v>3620</v>
      </c>
      <c r="B1251" s="81">
        <v>34</v>
      </c>
      <c r="C1251" s="81">
        <v>64</v>
      </c>
      <c r="D1251" s="81">
        <v>23</v>
      </c>
      <c r="E1251" s="81">
        <v>92</v>
      </c>
      <c r="F1251" s="6">
        <v>2.96</v>
      </c>
      <c r="G1251" s="81">
        <v>6270</v>
      </c>
      <c r="H1251" s="8" t="s">
        <v>3967</v>
      </c>
      <c r="I1251" s="16" t="s">
        <v>877</v>
      </c>
      <c r="J1251" s="330">
        <v>38.770000000000003</v>
      </c>
      <c r="K1251" s="330">
        <v>1.06</v>
      </c>
      <c r="L1251" s="75">
        <v>17.91</v>
      </c>
      <c r="N1251" s="325">
        <f t="shared" si="249"/>
        <v>57.740000000000009</v>
      </c>
      <c r="O1251" s="27"/>
      <c r="P1251" s="56"/>
      <c r="Q1251" s="26"/>
      <c r="S1251" s="330">
        <v>0.02</v>
      </c>
      <c r="T1251" s="34">
        <v>1.2</v>
      </c>
      <c r="U1251" s="366">
        <f t="shared" si="244"/>
        <v>4.8681541582150101E-2</v>
      </c>
      <c r="V1251" s="97">
        <v>1.28</v>
      </c>
      <c r="W1251" s="36">
        <f>RTD("money.excel",,"6270","Price")</f>
        <v>24.65</v>
      </c>
      <c r="X1251" s="67"/>
      <c r="Y1251" s="15">
        <f t="shared" si="245"/>
        <v>24.65</v>
      </c>
      <c r="Z1251" s="3" t="e">
        <f t="shared" si="246"/>
        <v>#DIV/0!</v>
      </c>
      <c r="AB1251" s="16" t="s">
        <v>877</v>
      </c>
      <c r="AE1251" s="33">
        <f t="shared" si="247"/>
        <v>0</v>
      </c>
      <c r="AF1251" s="43" t="s">
        <v>3180</v>
      </c>
      <c r="AG1251" s="269"/>
      <c r="AI1251" s="64">
        <f t="shared" si="248"/>
        <v>7.1567267683772537E-3</v>
      </c>
      <c r="AJ1251" s="313">
        <f>RTD("money.excel",,$G1251,"PredictVolume")</f>
        <v>516</v>
      </c>
      <c r="AK1251" s="348"/>
    </row>
    <row r="1252" spans="1:37">
      <c r="A1252" s="148" t="s">
        <v>3711</v>
      </c>
      <c r="B1252" s="93">
        <v>31</v>
      </c>
      <c r="C1252" s="93">
        <v>31</v>
      </c>
      <c r="D1252" s="93">
        <v>27</v>
      </c>
      <c r="E1252" s="93">
        <v>11</v>
      </c>
      <c r="F1252" s="6">
        <v>3.57</v>
      </c>
      <c r="G1252" s="81">
        <v>6281</v>
      </c>
      <c r="H1252" s="8" t="s">
        <v>3967</v>
      </c>
      <c r="I1252" s="22" t="s">
        <v>892</v>
      </c>
      <c r="J1252" s="75">
        <v>62.98</v>
      </c>
      <c r="K1252" s="75">
        <v>4.04</v>
      </c>
      <c r="L1252" s="75">
        <v>0.01</v>
      </c>
      <c r="N1252" s="325">
        <f t="shared" si="249"/>
        <v>67.03</v>
      </c>
      <c r="O1252" s="27"/>
      <c r="P1252" s="56"/>
      <c r="Q1252" s="26"/>
      <c r="S1252" s="330">
        <v>27.24</v>
      </c>
      <c r="T1252" s="67">
        <v>5</v>
      </c>
      <c r="U1252" s="366">
        <f t="shared" si="244"/>
        <v>5.9241706161137435E-2</v>
      </c>
      <c r="V1252" s="97">
        <v>5.87</v>
      </c>
      <c r="W1252" s="13">
        <f>RTD("money.excel",,"6281","Price")</f>
        <v>84.4</v>
      </c>
      <c r="X1252" s="67"/>
      <c r="Y1252" s="15">
        <f t="shared" si="245"/>
        <v>84.4</v>
      </c>
      <c r="Z1252" s="3" t="e">
        <f t="shared" si="246"/>
        <v>#DIV/0!</v>
      </c>
      <c r="AA1252" s="174" t="s">
        <v>1986</v>
      </c>
      <c r="AB1252" s="22" t="s">
        <v>892</v>
      </c>
      <c r="AE1252" s="33">
        <f t="shared" si="247"/>
        <v>0</v>
      </c>
      <c r="AF1252" s="43" t="s">
        <v>3407</v>
      </c>
      <c r="AG1252" s="128"/>
      <c r="AI1252" s="64">
        <f t="shared" si="248"/>
        <v>1.4919354838709678E-3</v>
      </c>
      <c r="AJ1252" s="313">
        <f>RTD("money.excel",,$G1252,"PredictVolume")</f>
        <v>148</v>
      </c>
      <c r="AK1252" s="348"/>
    </row>
    <row r="1253" spans="1:37">
      <c r="A1253" s="148" t="s">
        <v>2638</v>
      </c>
      <c r="B1253" s="81">
        <v>42</v>
      </c>
      <c r="C1253" s="81">
        <v>43</v>
      </c>
      <c r="D1253" s="81">
        <v>29</v>
      </c>
      <c r="E1253" s="81">
        <v>36</v>
      </c>
      <c r="F1253" s="6">
        <v>1.46</v>
      </c>
      <c r="G1253" s="81">
        <v>6776</v>
      </c>
      <c r="H1253" s="8" t="s">
        <v>3967</v>
      </c>
      <c r="I1253" s="22" t="s">
        <v>3817</v>
      </c>
      <c r="J1253" s="330">
        <v>74.31</v>
      </c>
      <c r="K1253" s="75">
        <v>0.23</v>
      </c>
      <c r="N1253" s="325">
        <f t="shared" si="249"/>
        <v>74.540000000000006</v>
      </c>
      <c r="O1253" s="27"/>
      <c r="P1253" s="56"/>
      <c r="Q1253" s="26"/>
      <c r="T1253" s="34">
        <v>2</v>
      </c>
      <c r="U1253" s="366">
        <f t="shared" si="244"/>
        <v>4.884004884004884E-2</v>
      </c>
      <c r="V1253" s="58">
        <v>2.86</v>
      </c>
      <c r="W1253" s="36">
        <f>RTD("money.excel",,"6776","Price")</f>
        <v>40.950000000000003</v>
      </c>
      <c r="X1253" s="67"/>
      <c r="Y1253" s="15">
        <f t="shared" si="245"/>
        <v>40.950000000000003</v>
      </c>
      <c r="Z1253" s="3" t="e">
        <f t="shared" si="246"/>
        <v>#DIV/0!</v>
      </c>
      <c r="AA1253" s="174" t="s">
        <v>1943</v>
      </c>
      <c r="AB1253" s="22" t="s">
        <v>3817</v>
      </c>
      <c r="AE1253" s="33">
        <f t="shared" si="247"/>
        <v>0</v>
      </c>
      <c r="AF1253" s="43" t="s">
        <v>1100</v>
      </c>
      <c r="AG1253" s="269"/>
      <c r="AI1253" s="64">
        <f t="shared" si="248"/>
        <v>4.5343137254901959E-4</v>
      </c>
      <c r="AJ1253" s="313">
        <f>RTD("money.excel",,$G1253,"PredictVolume")</f>
        <v>37</v>
      </c>
      <c r="AK1253" s="348"/>
    </row>
    <row r="1254" spans="1:37">
      <c r="A1254" s="148" t="s">
        <v>3621</v>
      </c>
      <c r="B1254" s="93">
        <v>-38</v>
      </c>
      <c r="C1254" s="93">
        <v>-59</v>
      </c>
      <c r="D1254" s="93">
        <v>21</v>
      </c>
      <c r="E1254" s="93">
        <v>88</v>
      </c>
      <c r="F1254" s="6">
        <v>1.31</v>
      </c>
      <c r="G1254" s="81">
        <v>8032</v>
      </c>
      <c r="H1254" s="8" t="s">
        <v>3967</v>
      </c>
      <c r="I1254" s="16" t="s">
        <v>878</v>
      </c>
      <c r="J1254" s="75">
        <v>85.35</v>
      </c>
      <c r="K1254" s="75">
        <v>0</v>
      </c>
      <c r="L1254" s="75">
        <v>1.06</v>
      </c>
      <c r="N1254" s="325">
        <f t="shared" si="249"/>
        <v>86.41</v>
      </c>
      <c r="O1254" s="27"/>
      <c r="P1254" s="56"/>
      <c r="Q1254" s="26"/>
      <c r="S1254" s="330">
        <v>63.65</v>
      </c>
      <c r="T1254" s="34">
        <v>1</v>
      </c>
      <c r="U1254" s="366">
        <f t="shared" si="244"/>
        <v>3.5460992907801421E-2</v>
      </c>
      <c r="V1254" s="97">
        <v>1.26</v>
      </c>
      <c r="W1254" s="13">
        <f>RTD("money.excel",,"8032","Price")</f>
        <v>28.2</v>
      </c>
      <c r="X1254" s="67"/>
      <c r="Y1254" s="15">
        <f t="shared" si="245"/>
        <v>28.2</v>
      </c>
      <c r="Z1254" s="3" t="e">
        <f t="shared" si="246"/>
        <v>#DIV/0!</v>
      </c>
      <c r="AB1254" s="16" t="s">
        <v>878</v>
      </c>
      <c r="AE1254" s="33">
        <f t="shared" si="247"/>
        <v>0</v>
      </c>
      <c r="AF1254" s="43" t="s">
        <v>3181</v>
      </c>
      <c r="AG1254" s="269"/>
      <c r="AI1254" s="64">
        <f t="shared" si="248"/>
        <v>9.6525096525096525E-5</v>
      </c>
      <c r="AJ1254" s="313">
        <f>RTD("money.excel",,$G1254,"PredictVolume")</f>
        <v>5</v>
      </c>
      <c r="AK1254" s="348"/>
    </row>
    <row r="1255" spans="1:37">
      <c r="A1255" s="148" t="s">
        <v>3056</v>
      </c>
      <c r="B1255" s="208">
        <v>-3520</v>
      </c>
      <c r="C1255" s="93">
        <v>12</v>
      </c>
      <c r="D1255" s="93">
        <v>-30</v>
      </c>
      <c r="E1255" s="93">
        <v>47</v>
      </c>
      <c r="F1255" s="6">
        <v>-14.45</v>
      </c>
      <c r="G1255" s="81">
        <v>8067</v>
      </c>
      <c r="H1255" s="8" t="s">
        <v>3967</v>
      </c>
      <c r="I1255" s="16" t="s">
        <v>879</v>
      </c>
      <c r="J1255" s="75">
        <v>75.290000000000006</v>
      </c>
      <c r="K1255" s="75">
        <v>13.59</v>
      </c>
      <c r="N1255" s="325">
        <f t="shared" si="249"/>
        <v>88.88000000000001</v>
      </c>
      <c r="O1255" s="27"/>
      <c r="P1255" s="56"/>
      <c r="Q1255" s="26"/>
      <c r="S1255" s="330">
        <v>45.88</v>
      </c>
      <c r="T1255" s="34">
        <v>0</v>
      </c>
      <c r="U1255" s="366">
        <f t="shared" si="244"/>
        <v>0</v>
      </c>
      <c r="V1255" s="97">
        <v>-1.1499999999999999</v>
      </c>
      <c r="W1255" s="13">
        <f>RTD("money.excel",,"8067","Price")</f>
        <v>9.64</v>
      </c>
      <c r="X1255" s="67"/>
      <c r="Y1255" s="15">
        <f t="shared" si="245"/>
        <v>9.64</v>
      </c>
      <c r="Z1255" s="3" t="e">
        <f t="shared" si="246"/>
        <v>#DIV/0!</v>
      </c>
      <c r="AB1255" s="16" t="s">
        <v>879</v>
      </c>
      <c r="AE1255" s="33">
        <f t="shared" si="247"/>
        <v>0</v>
      </c>
      <c r="AF1255" s="43" t="s">
        <v>3182</v>
      </c>
      <c r="AG1255" s="128"/>
      <c r="AI1255" s="64">
        <f t="shared" si="248"/>
        <v>5.3333333333333336E-4</v>
      </c>
      <c r="AJ1255" s="313">
        <f>RTD("money.excel",,$G1255,"PredictVolume")</f>
        <v>16</v>
      </c>
      <c r="AK1255" s="348"/>
    </row>
    <row r="1256" spans="1:37">
      <c r="A1256" s="148" t="s">
        <v>2145</v>
      </c>
      <c r="B1256" s="93">
        <v>-192</v>
      </c>
      <c r="C1256" s="93">
        <v>-135</v>
      </c>
      <c r="D1256" s="93">
        <v>30</v>
      </c>
      <c r="E1256" s="93">
        <v>41</v>
      </c>
      <c r="F1256" s="6">
        <v>-0.18</v>
      </c>
      <c r="G1256" s="81">
        <v>8068</v>
      </c>
      <c r="H1256" s="8" t="s">
        <v>3967</v>
      </c>
      <c r="I1256" s="16" t="s">
        <v>880</v>
      </c>
      <c r="J1256" s="75">
        <v>84.18</v>
      </c>
      <c r="K1256" s="75">
        <v>36.69</v>
      </c>
      <c r="N1256" s="325">
        <f t="shared" si="249"/>
        <v>120.87</v>
      </c>
      <c r="O1256" s="27"/>
      <c r="P1256" s="56"/>
      <c r="Q1256" s="26"/>
      <c r="S1256" s="330">
        <v>20.98</v>
      </c>
      <c r="T1256" s="34">
        <v>0</v>
      </c>
      <c r="U1256" s="366">
        <f t="shared" si="244"/>
        <v>0</v>
      </c>
      <c r="V1256" s="97">
        <v>-0.36</v>
      </c>
      <c r="W1256" s="13">
        <f>RTD("money.excel",,"8068","Price")</f>
        <v>32.65</v>
      </c>
      <c r="X1256" s="67"/>
      <c r="Y1256" s="15">
        <f t="shared" si="245"/>
        <v>32.65</v>
      </c>
      <c r="Z1256" s="3" t="e">
        <f t="shared" si="246"/>
        <v>#DIV/0!</v>
      </c>
      <c r="AB1256" s="16" t="s">
        <v>880</v>
      </c>
      <c r="AE1256" s="33">
        <f t="shared" si="247"/>
        <v>0</v>
      </c>
      <c r="AF1256" s="43" t="s">
        <v>3183</v>
      </c>
      <c r="AG1256" s="128"/>
      <c r="AI1256" s="64">
        <f t="shared" si="248"/>
        <v>1.1208151382823871E-3</v>
      </c>
      <c r="AJ1256" s="313">
        <f>RTD("money.excel",,$G1256,"PredictVolume")</f>
        <v>77</v>
      </c>
      <c r="AK1256" s="348"/>
    </row>
    <row r="1257" spans="1:37">
      <c r="A1257" s="148" t="s">
        <v>3631</v>
      </c>
      <c r="B1257" s="81">
        <v>59</v>
      </c>
      <c r="C1257" s="81">
        <v>48</v>
      </c>
      <c r="D1257" s="81">
        <v>11</v>
      </c>
      <c r="E1257" s="81">
        <v>29</v>
      </c>
      <c r="F1257" s="6">
        <v>8.77</v>
      </c>
      <c r="G1257" s="81">
        <v>8070</v>
      </c>
      <c r="H1257" s="8" t="s">
        <v>3967</v>
      </c>
      <c r="I1257" s="22" t="s">
        <v>239</v>
      </c>
      <c r="J1257" s="330">
        <v>72.47</v>
      </c>
      <c r="K1257" s="330">
        <v>12.19</v>
      </c>
      <c r="L1257" s="75">
        <v>4.57</v>
      </c>
      <c r="N1257" s="325">
        <f t="shared" si="249"/>
        <v>89.22999999999999</v>
      </c>
      <c r="O1257" s="27"/>
      <c r="P1257" s="56"/>
      <c r="Q1257" s="26"/>
      <c r="S1257" s="330">
        <v>6.69</v>
      </c>
      <c r="T1257" s="67">
        <v>1.04</v>
      </c>
      <c r="U1257" s="366">
        <f t="shared" si="244"/>
        <v>2.8729281767955799E-2</v>
      </c>
      <c r="V1257" s="58">
        <v>1.69</v>
      </c>
      <c r="W1257" s="36">
        <f>RTD("money.excel",,"8070","Price")</f>
        <v>36.200000000000003</v>
      </c>
      <c r="X1257" s="67"/>
      <c r="Y1257" s="15">
        <f t="shared" si="245"/>
        <v>36.200000000000003</v>
      </c>
      <c r="Z1257" s="3" t="e">
        <f t="shared" si="246"/>
        <v>#DIV/0!</v>
      </c>
      <c r="AA1257" s="174" t="s">
        <v>2185</v>
      </c>
      <c r="AB1257" s="22" t="s">
        <v>239</v>
      </c>
      <c r="AE1257" s="33">
        <f t="shared" si="247"/>
        <v>0</v>
      </c>
      <c r="AF1257" s="122" t="s">
        <v>3408</v>
      </c>
      <c r="AG1257" s="128"/>
      <c r="AI1257" s="64">
        <f t="shared" si="248"/>
        <v>1.9384164222873899E-2</v>
      </c>
      <c r="AJ1257" s="313">
        <f>RTD("money.excel",,$G1257,"PredictVolume")</f>
        <v>1322</v>
      </c>
      <c r="AK1257" s="348"/>
    </row>
    <row r="1258" spans="1:37">
      <c r="A1258" s="148" t="s">
        <v>2616</v>
      </c>
      <c r="B1258" s="81">
        <v>71</v>
      </c>
      <c r="C1258" s="81">
        <v>74</v>
      </c>
      <c r="D1258" s="81">
        <v>29</v>
      </c>
      <c r="E1258" s="81">
        <v>91</v>
      </c>
      <c r="F1258" s="6">
        <v>-4.38</v>
      </c>
      <c r="G1258" s="81">
        <v>8072</v>
      </c>
      <c r="H1258" s="8" t="s">
        <v>3967</v>
      </c>
      <c r="I1258" s="22" t="s">
        <v>893</v>
      </c>
      <c r="J1258" s="75">
        <v>69.87</v>
      </c>
      <c r="K1258" s="75">
        <v>1.26</v>
      </c>
      <c r="L1258" s="75">
        <v>6.43</v>
      </c>
      <c r="N1258" s="325">
        <f t="shared" si="249"/>
        <v>77.56</v>
      </c>
      <c r="O1258" s="27"/>
      <c r="P1258" s="56"/>
      <c r="Q1258" s="26"/>
      <c r="S1258" s="330">
        <v>0.37</v>
      </c>
      <c r="T1258" s="34">
        <v>0.2</v>
      </c>
      <c r="U1258" s="366">
        <f t="shared" si="244"/>
        <v>8.2644628099173556E-3</v>
      </c>
      <c r="V1258" s="97">
        <v>-0.15</v>
      </c>
      <c r="W1258" s="36">
        <f>RTD("money.excel",,"8072","Price")</f>
        <v>24.2</v>
      </c>
      <c r="X1258" s="67"/>
      <c r="Y1258" s="15">
        <f t="shared" si="245"/>
        <v>24.2</v>
      </c>
      <c r="Z1258" s="3" t="e">
        <f t="shared" si="246"/>
        <v>#DIV/0!</v>
      </c>
      <c r="AA1258" s="174" t="s">
        <v>1943</v>
      </c>
      <c r="AB1258" s="22" t="s">
        <v>893</v>
      </c>
      <c r="AE1258" s="33">
        <f t="shared" si="247"/>
        <v>0</v>
      </c>
      <c r="AF1258" s="43" t="s">
        <v>3409</v>
      </c>
      <c r="AG1258" s="128"/>
      <c r="AI1258" s="64">
        <f t="shared" si="248"/>
        <v>5.9999999999999995E-4</v>
      </c>
      <c r="AJ1258" s="313">
        <f>RTD("money.excel",,$G1258,"PredictVolume")</f>
        <v>48</v>
      </c>
      <c r="AK1258" s="348"/>
    </row>
    <row r="1259" spans="1:37">
      <c r="A1259" s="148" t="s">
        <v>2183</v>
      </c>
      <c r="B1259" s="82">
        <v>-349</v>
      </c>
      <c r="C1259" s="82">
        <v>-241</v>
      </c>
      <c r="D1259" s="81">
        <v>13</v>
      </c>
      <c r="E1259" s="82">
        <v>-39</v>
      </c>
      <c r="F1259" s="6">
        <v>-18.77</v>
      </c>
      <c r="G1259" s="81">
        <v>8084</v>
      </c>
      <c r="H1259" s="8" t="s">
        <v>3967</v>
      </c>
      <c r="I1259" s="16" t="s">
        <v>881</v>
      </c>
      <c r="J1259" s="75">
        <v>72.430000000000007</v>
      </c>
      <c r="K1259" s="75">
        <v>0.55000000000000004</v>
      </c>
      <c r="N1259" s="325">
        <f t="shared" si="249"/>
        <v>72.98</v>
      </c>
      <c r="O1259" s="27"/>
      <c r="P1259" s="56"/>
      <c r="Q1259" s="26"/>
      <c r="T1259" s="34">
        <v>0</v>
      </c>
      <c r="U1259" s="366">
        <f t="shared" si="244"/>
        <v>0</v>
      </c>
      <c r="V1259" s="97">
        <v>-2.56</v>
      </c>
      <c r="W1259" s="36">
        <f>RTD("money.excel",,"8084","Price")</f>
        <v>65.7</v>
      </c>
      <c r="X1259" s="67"/>
      <c r="Y1259" s="15">
        <f t="shared" si="245"/>
        <v>65.7</v>
      </c>
      <c r="Z1259" s="3" t="e">
        <f t="shared" si="246"/>
        <v>#DIV/0!</v>
      </c>
      <c r="AB1259" s="16" t="s">
        <v>881</v>
      </c>
      <c r="AE1259" s="33">
        <f t="shared" si="247"/>
        <v>0</v>
      </c>
      <c r="AF1259" s="43" t="s">
        <v>2466</v>
      </c>
      <c r="AG1259" s="128"/>
      <c r="AI1259" s="64">
        <f t="shared" si="248"/>
        <v>1.8705035971223023E-3</v>
      </c>
      <c r="AJ1259" s="313">
        <f>RTD("money.excel",,$G1259,"PredictVolume")</f>
        <v>130</v>
      </c>
      <c r="AK1259" s="348"/>
    </row>
    <row r="1260" spans="1:37">
      <c r="A1260" s="148" t="s">
        <v>2137</v>
      </c>
      <c r="B1260" s="81">
        <v>98</v>
      </c>
      <c r="C1260" s="81">
        <v>39</v>
      </c>
      <c r="D1260" s="81">
        <v>39</v>
      </c>
      <c r="E1260" s="81">
        <v>25</v>
      </c>
      <c r="F1260" s="6">
        <v>1.1000000000000001</v>
      </c>
      <c r="G1260" s="81">
        <v>8096</v>
      </c>
      <c r="H1260" s="8" t="s">
        <v>3967</v>
      </c>
      <c r="I1260" s="16" t="s">
        <v>882</v>
      </c>
      <c r="J1260" s="330">
        <v>22.53</v>
      </c>
      <c r="K1260" s="330">
        <v>23.09</v>
      </c>
      <c r="L1260" s="75">
        <v>23.17</v>
      </c>
      <c r="N1260" s="325">
        <f t="shared" si="249"/>
        <v>68.790000000000006</v>
      </c>
      <c r="O1260" s="27"/>
      <c r="P1260" s="56"/>
      <c r="Q1260" s="26"/>
      <c r="S1260" s="330">
        <v>0.56000000000000005</v>
      </c>
      <c r="T1260" s="34">
        <v>0.4</v>
      </c>
      <c r="U1260" s="366">
        <f t="shared" si="244"/>
        <v>3.007518796992481E-2</v>
      </c>
      <c r="V1260" s="97">
        <v>0.72</v>
      </c>
      <c r="W1260" s="36">
        <f>RTD("money.excel",,"8096","Price")</f>
        <v>13.3</v>
      </c>
      <c r="X1260" s="67"/>
      <c r="Y1260" s="15">
        <f t="shared" si="245"/>
        <v>13.3</v>
      </c>
      <c r="Z1260" s="3" t="e">
        <f t="shared" si="246"/>
        <v>#DIV/0!</v>
      </c>
      <c r="AB1260" s="16" t="s">
        <v>882</v>
      </c>
      <c r="AE1260" s="33">
        <f t="shared" si="247"/>
        <v>0</v>
      </c>
      <c r="AF1260" s="43" t="s">
        <v>3064</v>
      </c>
      <c r="AG1260" s="128"/>
      <c r="AI1260" s="64">
        <f t="shared" si="248"/>
        <v>1.7394366197183099E-3</v>
      </c>
      <c r="AJ1260" s="313">
        <f>RTD("money.excel",,$G1260,"PredictVolume")</f>
        <v>247</v>
      </c>
      <c r="AK1260" s="348"/>
    </row>
    <row r="1261" spans="1:37">
      <c r="A1261" s="148" t="s">
        <v>4031</v>
      </c>
      <c r="B1261" s="81">
        <v>95</v>
      </c>
      <c r="C1261" s="81">
        <v>112</v>
      </c>
      <c r="D1261" s="81">
        <v>73</v>
      </c>
      <c r="E1261" s="81">
        <v>48</v>
      </c>
      <c r="F1261" s="6">
        <v>2.17</v>
      </c>
      <c r="G1261" s="81">
        <v>8112</v>
      </c>
      <c r="H1261" s="8" t="s">
        <v>3967</v>
      </c>
      <c r="I1261" s="22" t="s">
        <v>132</v>
      </c>
      <c r="J1261" s="75">
        <v>30.99</v>
      </c>
      <c r="K1261" s="75">
        <v>23.51</v>
      </c>
      <c r="L1261" s="75">
        <v>8.32</v>
      </c>
      <c r="M1261" s="75">
        <v>6.61</v>
      </c>
      <c r="N1261" s="325">
        <f t="shared" si="249"/>
        <v>69.430000000000007</v>
      </c>
      <c r="O1261" s="27"/>
      <c r="P1261" s="56"/>
      <c r="Q1261" s="26"/>
      <c r="R1261" s="308" t="s">
        <v>4373</v>
      </c>
      <c r="S1261" s="330">
        <v>0.5</v>
      </c>
      <c r="T1261" s="67">
        <v>3</v>
      </c>
      <c r="U1261" s="366">
        <f t="shared" si="244"/>
        <v>5.7034220532319393E-2</v>
      </c>
      <c r="V1261" s="97">
        <v>6.83</v>
      </c>
      <c r="W1261" s="36">
        <f>RTD("money.excel",,"8112","Price")</f>
        <v>52.6</v>
      </c>
      <c r="X1261" s="67"/>
      <c r="Y1261" s="15">
        <f t="shared" si="245"/>
        <v>52.6</v>
      </c>
      <c r="Z1261" s="3" t="e">
        <f t="shared" si="246"/>
        <v>#DIV/0!</v>
      </c>
      <c r="AA1261" s="174" t="s">
        <v>2185</v>
      </c>
      <c r="AB1261" s="22" t="s">
        <v>132</v>
      </c>
      <c r="AE1261" s="33">
        <f t="shared" si="247"/>
        <v>0</v>
      </c>
      <c r="AF1261" s="122" t="s">
        <v>2311</v>
      </c>
      <c r="AG1261" s="128"/>
      <c r="AI1261" s="64">
        <f t="shared" si="248"/>
        <v>9.348130841121495E-3</v>
      </c>
      <c r="AJ1261" s="313">
        <f>RTD("money.excel",,$G1261,"PredictVolume")</f>
        <v>4001</v>
      </c>
      <c r="AK1261" s="348"/>
    </row>
    <row r="1262" spans="1:37">
      <c r="A1262" s="148"/>
      <c r="B1262" s="81"/>
      <c r="C1262" s="81"/>
      <c r="D1262" s="81"/>
      <c r="E1262" s="81"/>
      <c r="F1262" s="6"/>
      <c r="G1262" s="81"/>
      <c r="H1262" s="8"/>
      <c r="I1262" s="22"/>
      <c r="J1262" s="75"/>
      <c r="K1262" s="75"/>
      <c r="M1262" s="75"/>
      <c r="N1262" s="325"/>
      <c r="O1262" s="27"/>
      <c r="P1262" s="56"/>
      <c r="Q1262" s="26"/>
      <c r="T1262" s="67"/>
      <c r="V1262" s="97"/>
      <c r="W1262" s="36"/>
      <c r="X1262" s="67"/>
      <c r="Y1262" s="15"/>
      <c r="Z1262" s="3"/>
      <c r="AB1262" s="22"/>
      <c r="AE1262" s="33"/>
      <c r="AF1262" s="122"/>
      <c r="AG1262" s="128"/>
      <c r="AI1262" s="64"/>
      <c r="AJ1262" s="313"/>
      <c r="AK1262" s="348"/>
    </row>
    <row r="1263" spans="1:37">
      <c r="A1263" s="132" t="s">
        <v>1854</v>
      </c>
      <c r="B1263" s="93" t="s">
        <v>1657</v>
      </c>
      <c r="C1263" s="93" t="s">
        <v>1658</v>
      </c>
      <c r="D1263" s="93" t="s">
        <v>1659</v>
      </c>
      <c r="E1263" s="93" t="s">
        <v>1660</v>
      </c>
      <c r="F1263" s="8" t="s">
        <v>1122</v>
      </c>
      <c r="G1263" s="27" t="s">
        <v>1047</v>
      </c>
      <c r="H1263" s="55" t="s">
        <v>342</v>
      </c>
      <c r="I1263" s="8" t="s">
        <v>333</v>
      </c>
      <c r="J1263" s="324" t="s">
        <v>1529</v>
      </c>
      <c r="K1263" s="324" t="s">
        <v>1217</v>
      </c>
      <c r="L1263" s="324" t="s">
        <v>298</v>
      </c>
      <c r="M1263" s="324" t="s">
        <v>1115</v>
      </c>
      <c r="N1263" s="324" t="s">
        <v>6091</v>
      </c>
      <c r="O1263" s="27" t="s">
        <v>6253</v>
      </c>
      <c r="P1263" s="56" t="s">
        <v>6219</v>
      </c>
      <c r="Q1263" s="26" t="s">
        <v>6313</v>
      </c>
      <c r="R1263" s="309" t="s">
        <v>4371</v>
      </c>
      <c r="S1263" s="335" t="s">
        <v>4398</v>
      </c>
      <c r="T1263" s="10" t="s">
        <v>75</v>
      </c>
      <c r="U1263" s="364" t="s">
        <v>6152</v>
      </c>
      <c r="V1263" s="69" t="s">
        <v>4022</v>
      </c>
      <c r="W1263" s="28" t="s">
        <v>2</v>
      </c>
      <c r="X1263" s="17" t="s">
        <v>1465</v>
      </c>
      <c r="Y1263" s="14" t="s">
        <v>5</v>
      </c>
      <c r="Z1263" s="21" t="s">
        <v>3</v>
      </c>
      <c r="AA1263" s="322" t="s">
        <v>117</v>
      </c>
      <c r="AB1263" s="8" t="s">
        <v>333</v>
      </c>
      <c r="AC1263" s="73" t="s">
        <v>1466</v>
      </c>
      <c r="AD1263" s="74" t="s">
        <v>1223</v>
      </c>
      <c r="AE1263" s="32" t="s">
        <v>1224</v>
      </c>
      <c r="AF1263" s="43"/>
      <c r="AG1263" s="269"/>
      <c r="AI1263" s="8" t="s">
        <v>4414</v>
      </c>
      <c r="AJ1263" s="50" t="s">
        <v>4121</v>
      </c>
      <c r="AK1263" s="348" t="s">
        <v>6074</v>
      </c>
    </row>
    <row r="1264" spans="1:37">
      <c r="A1264" s="148" t="s">
        <v>2170</v>
      </c>
      <c r="B1264" s="93">
        <v>50</v>
      </c>
      <c r="C1264" s="93">
        <v>184</v>
      </c>
      <c r="D1264" s="93">
        <v>-49</v>
      </c>
      <c r="E1264" s="93">
        <v>112</v>
      </c>
      <c r="F1264" s="6">
        <v>1.44</v>
      </c>
      <c r="G1264" s="81">
        <v>2427</v>
      </c>
      <c r="H1264" s="8" t="s">
        <v>333</v>
      </c>
      <c r="I1264" s="22" t="s">
        <v>1070</v>
      </c>
      <c r="J1264" s="75">
        <v>68.819999999999993</v>
      </c>
      <c r="K1264" s="75">
        <v>2.89</v>
      </c>
      <c r="L1264" s="75">
        <v>24.65</v>
      </c>
      <c r="N1264" s="325">
        <f t="shared" ref="N1264" si="250">J1264+K1264+L1264+M1264</f>
        <v>96.359999999999985</v>
      </c>
      <c r="O1264" s="27"/>
      <c r="P1264" s="56"/>
      <c r="Q1264" s="26"/>
      <c r="S1264" s="330">
        <v>53.89</v>
      </c>
      <c r="T1264" s="34">
        <v>0.3</v>
      </c>
      <c r="U1264" s="366">
        <f t="shared" ref="U1264:U1303" si="251">T1264/W1264</f>
        <v>2.3809523809523808E-2</v>
      </c>
      <c r="V1264" s="97">
        <v>0.63</v>
      </c>
      <c r="W1264" s="13">
        <f>RTD("money.excel",,"2427","Price")</f>
        <v>12.6</v>
      </c>
      <c r="X1264" s="67"/>
      <c r="Y1264" s="15">
        <f t="shared" ref="Y1264:Y1303" si="252">W1264-X1264</f>
        <v>12.6</v>
      </c>
      <c r="Z1264" s="3" t="e">
        <f t="shared" ref="Z1264:Z1303" si="253">Y1264/X1264</f>
        <v>#DIV/0!</v>
      </c>
      <c r="AB1264" s="22" t="s">
        <v>1070</v>
      </c>
      <c r="AE1264" s="33">
        <f t="shared" ref="AE1264:AE1303" si="254">AD1264-AC1264</f>
        <v>0</v>
      </c>
      <c r="AF1264" s="43" t="s">
        <v>322</v>
      </c>
      <c r="AG1264" s="128"/>
      <c r="AI1264" s="64">
        <f t="shared" ref="AI1264:AI1303" si="255">AJ1264/(A1264*10000)</f>
        <v>1.141304347826087E-3</v>
      </c>
      <c r="AJ1264" s="313">
        <f>RTD("money.excel",,$G1264,"PredictVolume")</f>
        <v>210</v>
      </c>
      <c r="AK1264" s="348"/>
    </row>
    <row r="1265" spans="1:37">
      <c r="A1265" s="148" t="s">
        <v>2385</v>
      </c>
      <c r="B1265" s="81">
        <v>12</v>
      </c>
      <c r="C1265" s="81">
        <v>14</v>
      </c>
      <c r="D1265" s="81">
        <v>11</v>
      </c>
      <c r="E1265" s="81">
        <v>-22</v>
      </c>
      <c r="F1265" s="6">
        <v>1.84</v>
      </c>
      <c r="G1265" s="81">
        <v>2453</v>
      </c>
      <c r="H1265" s="8" t="s">
        <v>333</v>
      </c>
      <c r="I1265" s="22" t="s">
        <v>1071</v>
      </c>
      <c r="J1265" s="75">
        <v>52.74</v>
      </c>
      <c r="K1265" s="75">
        <v>1.39</v>
      </c>
      <c r="L1265" s="75">
        <v>11.26</v>
      </c>
      <c r="N1265" s="325">
        <f t="shared" ref="N1265:N1303" si="256">J1265+K1265+L1265+M1265</f>
        <v>65.39</v>
      </c>
      <c r="O1265" s="27"/>
      <c r="P1265" s="56"/>
      <c r="Q1265" s="26"/>
      <c r="S1265" s="330">
        <v>0.01</v>
      </c>
      <c r="T1265" s="34">
        <v>1.5</v>
      </c>
      <c r="U1265" s="366">
        <f t="shared" si="251"/>
        <v>6.1099796334012219E-2</v>
      </c>
      <c r="V1265" s="97">
        <v>1.7</v>
      </c>
      <c r="W1265" s="36">
        <f>RTD("money.excel",,"2453","Price")</f>
        <v>24.55</v>
      </c>
      <c r="X1265" s="67"/>
      <c r="Y1265" s="15">
        <f t="shared" si="252"/>
        <v>24.55</v>
      </c>
      <c r="Z1265" s="3" t="e">
        <f t="shared" si="253"/>
        <v>#DIV/0!</v>
      </c>
      <c r="AA1265" s="174" t="s">
        <v>1943</v>
      </c>
      <c r="AB1265" s="22" t="s">
        <v>1071</v>
      </c>
      <c r="AE1265" s="33">
        <f t="shared" si="254"/>
        <v>0</v>
      </c>
      <c r="AF1265" s="43" t="s">
        <v>322</v>
      </c>
      <c r="AI1265" s="64">
        <f t="shared" si="255"/>
        <v>1.2099999999999999E-3</v>
      </c>
      <c r="AJ1265" s="313">
        <f>RTD("money.excel",,$G1265,"PredictVolume")</f>
        <v>121</v>
      </c>
    </row>
    <row r="1266" spans="1:37">
      <c r="A1266" s="148" t="s">
        <v>2482</v>
      </c>
      <c r="B1266" s="93">
        <v>23</v>
      </c>
      <c r="C1266" s="93">
        <v>59</v>
      </c>
      <c r="D1266" s="93">
        <v>-7</v>
      </c>
      <c r="E1266" s="93">
        <v>1</v>
      </c>
      <c r="F1266" s="6">
        <v>2.2000000000000002</v>
      </c>
      <c r="G1266" s="81">
        <v>2468</v>
      </c>
      <c r="H1266" s="8" t="s">
        <v>333</v>
      </c>
      <c r="I1266" s="22" t="s">
        <v>1072</v>
      </c>
      <c r="J1266" s="75">
        <v>69.91</v>
      </c>
      <c r="K1266" s="75">
        <v>0.54</v>
      </c>
      <c r="L1266" s="75">
        <v>18.14</v>
      </c>
      <c r="N1266" s="325">
        <f t="shared" si="256"/>
        <v>88.59</v>
      </c>
      <c r="O1266" s="27"/>
      <c r="P1266" s="56"/>
      <c r="Q1266" s="26"/>
      <c r="S1266" s="330">
        <v>67.8</v>
      </c>
      <c r="T1266" s="34">
        <v>0.4</v>
      </c>
      <c r="U1266" s="366">
        <f t="shared" si="251"/>
        <v>3.0188679245283019E-2</v>
      </c>
      <c r="V1266" s="97">
        <v>0.55000000000000004</v>
      </c>
      <c r="W1266" s="13">
        <f>RTD("money.excel",,"2468","Price")</f>
        <v>13.25</v>
      </c>
      <c r="X1266" s="67"/>
      <c r="Y1266" s="15">
        <f t="shared" si="252"/>
        <v>13.25</v>
      </c>
      <c r="Z1266" s="3" t="e">
        <f t="shared" si="253"/>
        <v>#DIV/0!</v>
      </c>
      <c r="AB1266" s="22" t="s">
        <v>1072</v>
      </c>
      <c r="AE1266" s="33">
        <f t="shared" si="254"/>
        <v>0</v>
      </c>
      <c r="AF1266" s="43" t="s">
        <v>2471</v>
      </c>
      <c r="AG1266" s="128"/>
      <c r="AI1266" s="64">
        <f t="shared" si="255"/>
        <v>7.5714285714285716E-4</v>
      </c>
      <c r="AJ1266" s="313">
        <f>RTD("money.excel",,$G1266,"PredictVolume")</f>
        <v>53</v>
      </c>
      <c r="AK1266" s="348"/>
    </row>
    <row r="1267" spans="1:37">
      <c r="A1267" s="148" t="s">
        <v>1553</v>
      </c>
      <c r="B1267" s="82">
        <v>-78</v>
      </c>
      <c r="C1267" s="82">
        <v>-96</v>
      </c>
      <c r="D1267" s="82">
        <v>-3</v>
      </c>
      <c r="E1267" s="81">
        <v>8</v>
      </c>
      <c r="F1267" s="6">
        <v>0.41</v>
      </c>
      <c r="G1267" s="81">
        <v>2471</v>
      </c>
      <c r="H1267" s="8" t="s">
        <v>333</v>
      </c>
      <c r="I1267" s="22" t="s">
        <v>1073</v>
      </c>
      <c r="J1267" s="75">
        <v>21.41</v>
      </c>
      <c r="K1267" s="75">
        <v>1.1299999999999999</v>
      </c>
      <c r="L1267" s="75">
        <v>15.65</v>
      </c>
      <c r="N1267" s="325">
        <f t="shared" si="256"/>
        <v>38.19</v>
      </c>
      <c r="O1267" s="27"/>
      <c r="P1267" s="56"/>
      <c r="Q1267" s="26"/>
      <c r="S1267" s="330">
        <v>0.11</v>
      </c>
      <c r="T1267" s="34">
        <v>1.5</v>
      </c>
      <c r="U1267" s="366">
        <f t="shared" si="251"/>
        <v>5.8823529411764705E-2</v>
      </c>
      <c r="V1267" s="97">
        <v>2.0699999999999998</v>
      </c>
      <c r="W1267" s="36">
        <f>RTD("money.excel",,"2471","Price")</f>
        <v>25.5</v>
      </c>
      <c r="X1267" s="67"/>
      <c r="Y1267" s="15">
        <f t="shared" si="252"/>
        <v>25.5</v>
      </c>
      <c r="Z1267" s="3" t="e">
        <f t="shared" si="253"/>
        <v>#DIV/0!</v>
      </c>
      <c r="AA1267" s="174" t="s">
        <v>1943</v>
      </c>
      <c r="AB1267" s="22" t="s">
        <v>1073</v>
      </c>
      <c r="AE1267" s="33">
        <f t="shared" si="254"/>
        <v>0</v>
      </c>
      <c r="AF1267" s="43" t="s">
        <v>322</v>
      </c>
      <c r="AG1267" s="128"/>
      <c r="AI1267" s="64">
        <f t="shared" si="255"/>
        <v>3.5306553911205068E-3</v>
      </c>
      <c r="AJ1267" s="313">
        <f>RTD("money.excel",,$G1267,"PredictVolume")</f>
        <v>167</v>
      </c>
      <c r="AK1267" s="348"/>
    </row>
    <row r="1268" spans="1:37">
      <c r="A1268" s="132" t="s">
        <v>1927</v>
      </c>
      <c r="B1268" s="81">
        <v>15</v>
      </c>
      <c r="C1268" s="81">
        <v>23</v>
      </c>
      <c r="D1268" s="81">
        <v>2</v>
      </c>
      <c r="E1268" s="81">
        <v>9</v>
      </c>
      <c r="F1268" s="58">
        <v>10.75</v>
      </c>
      <c r="G1268" s="81">
        <v>2480</v>
      </c>
      <c r="H1268" s="8" t="s">
        <v>333</v>
      </c>
      <c r="I1268" s="22" t="s">
        <v>1074</v>
      </c>
      <c r="J1268" s="330">
        <v>20.07</v>
      </c>
      <c r="K1268" s="330">
        <v>6.13</v>
      </c>
      <c r="L1268" s="330">
        <v>2.13</v>
      </c>
      <c r="N1268" s="325">
        <f t="shared" si="256"/>
        <v>28.33</v>
      </c>
      <c r="O1268" s="27"/>
      <c r="P1268" s="56"/>
      <c r="Q1268" s="26"/>
      <c r="S1268" s="330">
        <v>0</v>
      </c>
      <c r="T1268" s="67">
        <v>4.3</v>
      </c>
      <c r="U1268" s="366">
        <f t="shared" si="251"/>
        <v>4.5263157894736838E-2</v>
      </c>
      <c r="V1268" s="97">
        <v>5.2</v>
      </c>
      <c r="W1268" s="36">
        <f>RTD("money.excel",,"2480","Price")</f>
        <v>95</v>
      </c>
      <c r="X1268" s="67"/>
      <c r="Y1268" s="15">
        <f t="shared" si="252"/>
        <v>95</v>
      </c>
      <c r="Z1268" s="3" t="e">
        <f t="shared" si="253"/>
        <v>#DIV/0!</v>
      </c>
      <c r="AA1268" s="174" t="s">
        <v>2185</v>
      </c>
      <c r="AB1268" s="22" t="s">
        <v>1074</v>
      </c>
      <c r="AE1268" s="33">
        <f t="shared" si="254"/>
        <v>0</v>
      </c>
      <c r="AF1268" s="43" t="s">
        <v>3211</v>
      </c>
      <c r="AG1268" s="128"/>
      <c r="AI1268" s="64">
        <f t="shared" si="255"/>
        <v>6.6792452830188682E-3</v>
      </c>
      <c r="AJ1268" s="313">
        <f>RTD("money.excel",,$G1268,"PredictVolume")</f>
        <v>708</v>
      </c>
      <c r="AK1268" s="348"/>
    </row>
    <row r="1269" spans="1:37">
      <c r="A1269" s="148" t="s">
        <v>3649</v>
      </c>
      <c r="B1269" s="81">
        <v>18</v>
      </c>
      <c r="C1269" s="81">
        <v>14</v>
      </c>
      <c r="D1269" s="82">
        <v>-17</v>
      </c>
      <c r="E1269" s="81">
        <v>39</v>
      </c>
      <c r="F1269" s="6">
        <v>4.76</v>
      </c>
      <c r="G1269" s="81">
        <v>3029</v>
      </c>
      <c r="H1269" s="8" t="s">
        <v>333</v>
      </c>
      <c r="I1269" s="22" t="s">
        <v>1075</v>
      </c>
      <c r="J1269" s="75">
        <v>28.73</v>
      </c>
      <c r="K1269" s="330">
        <v>4.3099999999999996</v>
      </c>
      <c r="L1269" s="75">
        <v>5.52</v>
      </c>
      <c r="M1269" s="330">
        <v>8.23</v>
      </c>
      <c r="N1269" s="325">
        <f t="shared" ref="N1269" si="257">K1269+J1269+L1269+M1269</f>
        <v>46.790000000000006</v>
      </c>
      <c r="O1269" s="27"/>
      <c r="P1269" s="56"/>
      <c r="Q1269" s="26"/>
      <c r="R1269" s="308" t="s">
        <v>6066</v>
      </c>
      <c r="S1269" s="330">
        <v>1.01</v>
      </c>
      <c r="T1269" s="67">
        <v>3</v>
      </c>
      <c r="U1269" s="366">
        <f t="shared" si="251"/>
        <v>6.0851926977687633E-2</v>
      </c>
      <c r="V1269" s="97">
        <v>4.0199999999999996</v>
      </c>
      <c r="W1269" s="36">
        <f>RTD("money.excel",,"3029","Price")</f>
        <v>49.3</v>
      </c>
      <c r="X1269" s="67"/>
      <c r="Y1269" s="15">
        <f t="shared" si="252"/>
        <v>49.3</v>
      </c>
      <c r="Z1269" s="3" t="e">
        <f t="shared" si="253"/>
        <v>#DIV/0!</v>
      </c>
      <c r="AA1269" s="174" t="s">
        <v>2185</v>
      </c>
      <c r="AB1269" s="22" t="s">
        <v>1075</v>
      </c>
      <c r="AE1269" s="33">
        <f t="shared" si="254"/>
        <v>0</v>
      </c>
      <c r="AF1269" s="43" t="s">
        <v>1625</v>
      </c>
      <c r="AG1269" s="128"/>
      <c r="AI1269" s="64">
        <f t="shared" si="255"/>
        <v>1.0789473684210526E-2</v>
      </c>
      <c r="AJ1269" s="313">
        <f>RTD("money.excel",,$G1269,"PredictVolume")</f>
        <v>1640</v>
      </c>
      <c r="AK1269" s="348"/>
    </row>
    <row r="1270" spans="1:37">
      <c r="A1270" s="132" t="s">
        <v>1884</v>
      </c>
      <c r="B1270" s="81">
        <v>7</v>
      </c>
      <c r="C1270" s="81">
        <v>14</v>
      </c>
      <c r="D1270" s="82">
        <v>-2</v>
      </c>
      <c r="E1270" s="82">
        <v>-7</v>
      </c>
      <c r="F1270" s="58">
        <v>18.04</v>
      </c>
      <c r="G1270" s="81">
        <v>3130</v>
      </c>
      <c r="H1270" s="8" t="s">
        <v>333</v>
      </c>
      <c r="I1270" s="22" t="s">
        <v>1076</v>
      </c>
      <c r="J1270" s="75">
        <v>78.22</v>
      </c>
      <c r="K1270" s="330">
        <v>42.45</v>
      </c>
      <c r="L1270" s="330">
        <v>0.02</v>
      </c>
      <c r="N1270" s="325">
        <f t="shared" si="256"/>
        <v>120.69</v>
      </c>
      <c r="O1270" s="27"/>
      <c r="P1270" s="56"/>
      <c r="Q1270" s="26"/>
      <c r="S1270" s="330">
        <v>0</v>
      </c>
      <c r="T1270" s="67">
        <v>7</v>
      </c>
      <c r="U1270" s="366">
        <f t="shared" si="251"/>
        <v>3.5897435897435895E-2</v>
      </c>
      <c r="V1270" s="97">
        <v>7.8</v>
      </c>
      <c r="W1270" s="13">
        <f>RTD("money.excel",,"3130","Price")</f>
        <v>195</v>
      </c>
      <c r="X1270" s="67"/>
      <c r="Y1270" s="15">
        <f t="shared" si="252"/>
        <v>195</v>
      </c>
      <c r="Z1270" s="3" t="e">
        <f t="shared" si="253"/>
        <v>#DIV/0!</v>
      </c>
      <c r="AA1270" s="174" t="s">
        <v>1986</v>
      </c>
      <c r="AB1270" s="22" t="s">
        <v>1076</v>
      </c>
      <c r="AE1270" s="33">
        <f t="shared" si="254"/>
        <v>0</v>
      </c>
      <c r="AF1270" s="43" t="s">
        <v>3301</v>
      </c>
      <c r="AG1270" s="128"/>
      <c r="AI1270" s="64">
        <f t="shared" si="255"/>
        <v>6.0240963855421684E-5</v>
      </c>
      <c r="AJ1270" s="313">
        <f>RTD("money.excel",,$G1270,"PredictVolume")</f>
        <v>2</v>
      </c>
      <c r="AK1270" s="348"/>
    </row>
    <row r="1271" spans="1:37">
      <c r="A1271" s="132" t="s">
        <v>1690</v>
      </c>
      <c r="B1271" s="81">
        <v>-1</v>
      </c>
      <c r="C1271" s="81">
        <v>-5</v>
      </c>
      <c r="D1271" s="81">
        <v>13</v>
      </c>
      <c r="E1271" s="81">
        <v>17</v>
      </c>
      <c r="F1271" s="58">
        <v>14.06</v>
      </c>
      <c r="G1271" s="81">
        <v>3570</v>
      </c>
      <c r="H1271" s="8" t="s">
        <v>333</v>
      </c>
      <c r="I1271" s="16" t="s">
        <v>1051</v>
      </c>
      <c r="J1271" s="75">
        <v>66.040000000000006</v>
      </c>
      <c r="K1271" s="330">
        <v>41.95</v>
      </c>
      <c r="N1271" s="325">
        <f t="shared" si="256"/>
        <v>107.99000000000001</v>
      </c>
      <c r="O1271" s="27"/>
      <c r="P1271" s="56"/>
      <c r="Q1271" s="26"/>
      <c r="T1271" s="67">
        <v>5.2</v>
      </c>
      <c r="U1271" s="366">
        <f t="shared" si="251"/>
        <v>6.1465721040189131E-2</v>
      </c>
      <c r="V1271" s="97">
        <v>8</v>
      </c>
      <c r="W1271" s="13">
        <f>RTD("money.excel",,"3570","Price")</f>
        <v>84.6</v>
      </c>
      <c r="X1271" s="67"/>
      <c r="Y1271" s="15">
        <f t="shared" si="252"/>
        <v>84.6</v>
      </c>
      <c r="Z1271" s="3" t="e">
        <f t="shared" si="253"/>
        <v>#DIV/0!</v>
      </c>
      <c r="AA1271" s="174" t="s">
        <v>1986</v>
      </c>
      <c r="AB1271" s="16" t="s">
        <v>1051</v>
      </c>
      <c r="AE1271" s="33">
        <f t="shared" si="254"/>
        <v>0</v>
      </c>
      <c r="AF1271" s="43" t="s">
        <v>3636</v>
      </c>
      <c r="AG1271" s="128"/>
      <c r="AI1271" s="64">
        <f t="shared" si="255"/>
        <v>2.5730994152046785E-3</v>
      </c>
      <c r="AJ1271" s="313">
        <f>RTD("money.excel",,$G1271,"PredictVolume")</f>
        <v>44</v>
      </c>
      <c r="AK1271" s="348"/>
    </row>
    <row r="1272" spans="1:37">
      <c r="A1272" s="148" t="s">
        <v>1683</v>
      </c>
      <c r="B1272" s="81">
        <v>12</v>
      </c>
      <c r="C1272" s="81">
        <v>7</v>
      </c>
      <c r="D1272" s="82">
        <v>-7</v>
      </c>
      <c r="E1272" s="81">
        <v>25</v>
      </c>
      <c r="F1272" s="6">
        <v>9.5</v>
      </c>
      <c r="G1272" s="81">
        <v>4953</v>
      </c>
      <c r="H1272" s="8" t="s">
        <v>333</v>
      </c>
      <c r="I1272" s="16" t="s">
        <v>1052</v>
      </c>
      <c r="J1272" s="330">
        <v>37.619999999999997</v>
      </c>
      <c r="K1272" s="75">
        <v>10.7</v>
      </c>
      <c r="L1272" s="75">
        <v>18.45</v>
      </c>
      <c r="N1272" s="325">
        <f t="shared" si="256"/>
        <v>66.77</v>
      </c>
      <c r="O1272" s="27"/>
      <c r="P1272" s="56"/>
      <c r="Q1272" s="26"/>
      <c r="S1272" s="330">
        <v>0.3</v>
      </c>
      <c r="T1272" s="67">
        <v>5</v>
      </c>
      <c r="U1272" s="366">
        <f t="shared" si="251"/>
        <v>5.7077625570776259E-2</v>
      </c>
      <c r="V1272" s="97">
        <v>7.05</v>
      </c>
      <c r="W1272" s="36">
        <f>RTD("money.excel",,"4953","Price")</f>
        <v>87.6</v>
      </c>
      <c r="X1272" s="67"/>
      <c r="Y1272" s="15">
        <f t="shared" si="252"/>
        <v>87.6</v>
      </c>
      <c r="Z1272" s="3" t="e">
        <f t="shared" si="253"/>
        <v>#DIV/0!</v>
      </c>
      <c r="AA1272" s="174" t="s">
        <v>2185</v>
      </c>
      <c r="AB1272" s="16" t="s">
        <v>1052</v>
      </c>
      <c r="AE1272" s="33">
        <f t="shared" si="254"/>
        <v>0</v>
      </c>
      <c r="AF1272" s="43" t="s">
        <v>2299</v>
      </c>
      <c r="AG1272" s="128"/>
      <c r="AI1272" s="64">
        <f t="shared" si="255"/>
        <v>1.2293853073463269E-3</v>
      </c>
      <c r="AJ1272" s="313">
        <f>RTD("money.excel",,$G1272,"PredictVolume")</f>
        <v>82</v>
      </c>
      <c r="AK1272" s="348"/>
    </row>
    <row r="1273" spans="1:37">
      <c r="A1273" s="132" t="s">
        <v>2455</v>
      </c>
      <c r="B1273" s="93">
        <v>295</v>
      </c>
      <c r="C1273" s="93">
        <v>416</v>
      </c>
      <c r="D1273" s="93">
        <v>-17</v>
      </c>
      <c r="E1273" s="93">
        <v>303</v>
      </c>
      <c r="F1273" s="58">
        <v>16.23</v>
      </c>
      <c r="G1273" s="81">
        <v>4994</v>
      </c>
      <c r="H1273" s="8" t="s">
        <v>333</v>
      </c>
      <c r="I1273" s="22" t="s">
        <v>1077</v>
      </c>
      <c r="J1273" s="75">
        <v>82.27</v>
      </c>
      <c r="K1273" s="75">
        <v>2.4300000000000002</v>
      </c>
      <c r="L1273" s="75">
        <v>10.6</v>
      </c>
      <c r="N1273" s="325">
        <f t="shared" si="256"/>
        <v>95.3</v>
      </c>
      <c r="O1273" s="27"/>
      <c r="P1273" s="56"/>
      <c r="Q1273" s="26"/>
      <c r="S1273" s="330">
        <v>32.65</v>
      </c>
      <c r="T1273" s="67">
        <v>3</v>
      </c>
      <c r="U1273" s="366">
        <f t="shared" si="251"/>
        <v>6.6225165562913912E-2</v>
      </c>
      <c r="V1273" s="58">
        <v>3.91</v>
      </c>
      <c r="W1273" s="36">
        <f>RTD("money.excel",,"4994","Price")</f>
        <v>45.3</v>
      </c>
      <c r="X1273" s="67"/>
      <c r="Y1273" s="15">
        <f t="shared" si="252"/>
        <v>45.3</v>
      </c>
      <c r="Z1273" s="3" t="e">
        <f t="shared" si="253"/>
        <v>#DIV/0!</v>
      </c>
      <c r="AA1273" s="174" t="s">
        <v>2185</v>
      </c>
      <c r="AB1273" s="22" t="s">
        <v>1077</v>
      </c>
      <c r="AE1273" s="33">
        <f t="shared" si="254"/>
        <v>0</v>
      </c>
      <c r="AF1273" s="43" t="s">
        <v>2837</v>
      </c>
      <c r="AG1273" s="128"/>
      <c r="AI1273" s="64">
        <f t="shared" si="255"/>
        <v>1.0545454545454545E-3</v>
      </c>
      <c r="AJ1273" s="313">
        <f>RTD("money.excel",,$G1273,"PredictVolume")</f>
        <v>116</v>
      </c>
      <c r="AK1273" s="348"/>
    </row>
    <row r="1274" spans="1:37">
      <c r="A1274" s="132" t="s">
        <v>3518</v>
      </c>
      <c r="B1274" s="93">
        <v>146</v>
      </c>
      <c r="C1274" s="93">
        <v>634</v>
      </c>
      <c r="D1274" s="93">
        <v>-43</v>
      </c>
      <c r="E1274" s="93">
        <v>-6</v>
      </c>
      <c r="F1274" s="58">
        <v>25.17</v>
      </c>
      <c r="G1274" s="81">
        <v>5201</v>
      </c>
      <c r="H1274" s="8" t="s">
        <v>333</v>
      </c>
      <c r="I1274" s="16" t="s">
        <v>1053</v>
      </c>
      <c r="J1274" s="75">
        <v>48.56</v>
      </c>
      <c r="K1274" s="75">
        <v>2.42</v>
      </c>
      <c r="L1274" s="75">
        <v>69.98</v>
      </c>
      <c r="N1274" s="325">
        <f t="shared" si="256"/>
        <v>120.96000000000001</v>
      </c>
      <c r="O1274" s="27"/>
      <c r="P1274" s="56"/>
      <c r="Q1274" s="26"/>
      <c r="S1274" s="330">
        <v>22.54</v>
      </c>
      <c r="T1274" s="34">
        <v>2.8</v>
      </c>
      <c r="U1274" s="366">
        <f t="shared" si="251"/>
        <v>9.2105263157894732E-2</v>
      </c>
      <c r="V1274" s="97">
        <v>3.1</v>
      </c>
      <c r="W1274" s="36">
        <f>RTD("money.excel",,"5201","Price")</f>
        <v>30.4</v>
      </c>
      <c r="X1274" s="67"/>
      <c r="Y1274" s="15">
        <f t="shared" si="252"/>
        <v>30.4</v>
      </c>
      <c r="Z1274" s="3" t="e">
        <f t="shared" si="253"/>
        <v>#DIV/0!</v>
      </c>
      <c r="AB1274" s="16" t="s">
        <v>1053</v>
      </c>
      <c r="AE1274" s="33">
        <f t="shared" si="254"/>
        <v>0</v>
      </c>
      <c r="AF1274" s="43" t="s">
        <v>3209</v>
      </c>
      <c r="AG1274" s="128"/>
      <c r="AI1274" s="64">
        <f t="shared" si="255"/>
        <v>8.1433224755700329E-4</v>
      </c>
      <c r="AJ1274" s="313">
        <f>RTD("money.excel",,$G1274,"PredictVolume")</f>
        <v>25</v>
      </c>
      <c r="AK1274" s="348"/>
    </row>
    <row r="1275" spans="1:37">
      <c r="A1275" s="148" t="s">
        <v>2521</v>
      </c>
      <c r="B1275" s="93">
        <v>-28</v>
      </c>
      <c r="C1275" s="93">
        <v>-38</v>
      </c>
      <c r="D1275" s="93">
        <v>-61</v>
      </c>
      <c r="E1275" s="93">
        <v>-19</v>
      </c>
      <c r="F1275" s="6">
        <v>-36.42</v>
      </c>
      <c r="G1275" s="81">
        <v>5202</v>
      </c>
      <c r="H1275" s="8" t="s">
        <v>333</v>
      </c>
      <c r="I1275" s="16" t="s">
        <v>1054</v>
      </c>
      <c r="J1275" s="75">
        <v>57.88</v>
      </c>
      <c r="K1275" s="75">
        <v>7.0000000000000007E-2</v>
      </c>
      <c r="N1275" s="325">
        <f t="shared" si="256"/>
        <v>57.95</v>
      </c>
      <c r="O1275" s="27"/>
      <c r="P1275" s="56"/>
      <c r="Q1275" s="26"/>
      <c r="S1275" s="330">
        <v>14.57</v>
      </c>
      <c r="T1275" s="34">
        <v>0</v>
      </c>
      <c r="U1275" s="366">
        <f t="shared" si="251"/>
        <v>0</v>
      </c>
      <c r="V1275" s="97">
        <v>-0.55000000000000004</v>
      </c>
      <c r="W1275" s="13">
        <f>RTD("money.excel",,"5202","Price")</f>
        <v>17.3</v>
      </c>
      <c r="X1275" s="67"/>
      <c r="Y1275" s="15">
        <f t="shared" si="252"/>
        <v>17.3</v>
      </c>
      <c r="Z1275" s="3" t="e">
        <f t="shared" si="253"/>
        <v>#DIV/0!</v>
      </c>
      <c r="AB1275" s="16" t="s">
        <v>1054</v>
      </c>
      <c r="AE1275" s="33">
        <f t="shared" si="254"/>
        <v>0</v>
      </c>
      <c r="AF1275" s="43" t="s">
        <v>2471</v>
      </c>
      <c r="AG1275" s="128"/>
      <c r="AI1275" s="64">
        <f t="shared" si="255"/>
        <v>2.1996615905245346E-4</v>
      </c>
      <c r="AJ1275" s="313">
        <f>RTD("money.excel",,$G1275,"PredictVolume")</f>
        <v>13</v>
      </c>
      <c r="AK1275" s="348"/>
    </row>
    <row r="1276" spans="1:37">
      <c r="A1276" s="132" t="s">
        <v>3737</v>
      </c>
      <c r="B1276" s="82">
        <v>-13</v>
      </c>
      <c r="C1276" s="82">
        <v>-16</v>
      </c>
      <c r="D1276" s="82">
        <v>-18</v>
      </c>
      <c r="E1276" s="82">
        <v>-15</v>
      </c>
      <c r="F1276" s="58">
        <v>13.44</v>
      </c>
      <c r="G1276" s="81">
        <v>5203</v>
      </c>
      <c r="H1276" s="8" t="s">
        <v>333</v>
      </c>
      <c r="I1276" s="22" t="s">
        <v>112</v>
      </c>
      <c r="J1276" s="330">
        <v>46.19</v>
      </c>
      <c r="K1276" s="75">
        <v>17.690000000000001</v>
      </c>
      <c r="L1276" s="75">
        <v>5.73</v>
      </c>
      <c r="N1276" s="325">
        <f t="shared" si="256"/>
        <v>69.61</v>
      </c>
      <c r="O1276" s="27"/>
      <c r="P1276" s="56"/>
      <c r="Q1276" s="26"/>
      <c r="S1276" s="330">
        <v>0.01</v>
      </c>
      <c r="T1276" s="34">
        <v>2.2599999999999998</v>
      </c>
      <c r="U1276" s="366">
        <f t="shared" si="251"/>
        <v>2.1626794258373203E-2</v>
      </c>
      <c r="V1276" s="97">
        <v>2.25</v>
      </c>
      <c r="W1276" s="36">
        <f>RTD("money.excel",,"5203","Price")</f>
        <v>104.5</v>
      </c>
      <c r="X1276" s="67"/>
      <c r="Y1276" s="15">
        <f t="shared" si="252"/>
        <v>104.5</v>
      </c>
      <c r="Z1276" s="3" t="e">
        <f t="shared" si="253"/>
        <v>#DIV/0!</v>
      </c>
      <c r="AA1276" s="174" t="s">
        <v>1943</v>
      </c>
      <c r="AB1276" s="22" t="s">
        <v>112</v>
      </c>
      <c r="AE1276" s="33">
        <f t="shared" si="254"/>
        <v>0</v>
      </c>
      <c r="AF1276" s="122" t="s">
        <v>2476</v>
      </c>
      <c r="AG1276" s="128"/>
      <c r="AI1276" s="64">
        <f t="shared" si="255"/>
        <v>1.4975186104218363E-2</v>
      </c>
      <c r="AJ1276" s="313">
        <f>RTD("money.excel",,$G1276,"PredictVolume")</f>
        <v>1207</v>
      </c>
      <c r="AK1276" s="348"/>
    </row>
    <row r="1277" spans="1:37">
      <c r="A1277" s="148" t="s">
        <v>1869</v>
      </c>
      <c r="B1277" s="82">
        <v>-15</v>
      </c>
      <c r="C1277" s="82">
        <v>-5</v>
      </c>
      <c r="D1277" s="81">
        <v>19</v>
      </c>
      <c r="E1277" s="81">
        <v>324</v>
      </c>
      <c r="F1277" s="6">
        <v>5.73</v>
      </c>
      <c r="G1277" s="81">
        <v>5209</v>
      </c>
      <c r="H1277" s="8" t="s">
        <v>333</v>
      </c>
      <c r="I1277" s="16" t="s">
        <v>1055</v>
      </c>
      <c r="J1277" s="330">
        <v>55.09</v>
      </c>
      <c r="K1277" s="330">
        <v>0.22</v>
      </c>
      <c r="L1277" s="330"/>
      <c r="N1277" s="325">
        <f t="shared" si="256"/>
        <v>55.31</v>
      </c>
      <c r="O1277" s="27"/>
      <c r="P1277" s="56"/>
      <c r="Q1277" s="26"/>
      <c r="T1277" s="67">
        <v>4</v>
      </c>
      <c r="U1277" s="366">
        <f t="shared" si="251"/>
        <v>0.05</v>
      </c>
      <c r="V1277" s="97">
        <v>5.75</v>
      </c>
      <c r="W1277" s="36">
        <f>RTD("money.excel",,"5209","Price")</f>
        <v>80</v>
      </c>
      <c r="X1277" s="67"/>
      <c r="Y1277" s="15">
        <f t="shared" si="252"/>
        <v>80</v>
      </c>
      <c r="Z1277" s="3" t="e">
        <f t="shared" si="253"/>
        <v>#DIV/0!</v>
      </c>
      <c r="AA1277" s="174" t="s">
        <v>1986</v>
      </c>
      <c r="AB1277" s="16" t="s">
        <v>1055</v>
      </c>
      <c r="AE1277" s="33">
        <f t="shared" si="254"/>
        <v>0</v>
      </c>
      <c r="AF1277" s="43" t="s">
        <v>2610</v>
      </c>
      <c r="AG1277" s="128"/>
      <c r="AI1277" s="64">
        <f t="shared" si="255"/>
        <v>3.9483394833948341E-3</v>
      </c>
      <c r="AJ1277" s="313">
        <f>RTD("money.excel",,$G1277,"PredictVolume")</f>
        <v>107</v>
      </c>
      <c r="AK1277" s="348"/>
    </row>
    <row r="1278" spans="1:37">
      <c r="A1278" s="148" t="s">
        <v>2804</v>
      </c>
      <c r="B1278" s="93">
        <v>-180</v>
      </c>
      <c r="C1278" s="93">
        <v>-107</v>
      </c>
      <c r="D1278" s="93">
        <v>-53</v>
      </c>
      <c r="E1278" s="93">
        <v>-7</v>
      </c>
      <c r="F1278" s="6">
        <v>-59.89</v>
      </c>
      <c r="G1278" s="81">
        <v>5210</v>
      </c>
      <c r="H1278" s="8" t="s">
        <v>333</v>
      </c>
      <c r="I1278" s="16" t="s">
        <v>1056</v>
      </c>
      <c r="J1278" s="75">
        <v>63.09</v>
      </c>
      <c r="K1278" s="75">
        <v>0.04</v>
      </c>
      <c r="L1278" s="75">
        <v>11.48</v>
      </c>
      <c r="N1278" s="325">
        <f t="shared" si="256"/>
        <v>74.61</v>
      </c>
      <c r="O1278" s="27"/>
      <c r="P1278" s="56"/>
      <c r="Q1278" s="26"/>
      <c r="S1278" s="330">
        <v>47.94</v>
      </c>
      <c r="T1278" s="34">
        <v>0</v>
      </c>
      <c r="U1278" s="366">
        <f t="shared" si="251"/>
        <v>0</v>
      </c>
      <c r="V1278" s="97">
        <v>-1.26</v>
      </c>
      <c r="W1278" s="13">
        <f>RTD("money.excel",,"5210","Price")</f>
        <v>16.600000000000001</v>
      </c>
      <c r="X1278" s="67"/>
      <c r="Y1278" s="15">
        <f t="shared" si="252"/>
        <v>16.600000000000001</v>
      </c>
      <c r="Z1278" s="3" t="e">
        <f t="shared" si="253"/>
        <v>#DIV/0!</v>
      </c>
      <c r="AB1278" s="16" t="s">
        <v>1056</v>
      </c>
      <c r="AE1278" s="33">
        <f t="shared" si="254"/>
        <v>0</v>
      </c>
      <c r="AF1278" s="43" t="s">
        <v>3209</v>
      </c>
      <c r="AG1278" s="128"/>
      <c r="AI1278" s="64">
        <f t="shared" si="255"/>
        <v>1.2974276527331189E-2</v>
      </c>
      <c r="AJ1278" s="313">
        <f>RTD("money.excel",,$G1278,"PredictVolume")</f>
        <v>807</v>
      </c>
      <c r="AK1278" s="348"/>
    </row>
    <row r="1279" spans="1:37">
      <c r="A1279" s="148" t="s">
        <v>3633</v>
      </c>
      <c r="B1279" s="93">
        <v>-130</v>
      </c>
      <c r="C1279" s="93">
        <v>-149</v>
      </c>
      <c r="D1279" s="93">
        <v>-6</v>
      </c>
      <c r="E1279" s="93">
        <v>-17</v>
      </c>
      <c r="F1279" s="6">
        <v>-11.15</v>
      </c>
      <c r="G1279" s="81">
        <v>5211</v>
      </c>
      <c r="H1279" s="8" t="s">
        <v>333</v>
      </c>
      <c r="I1279" s="16" t="s">
        <v>1057</v>
      </c>
      <c r="J1279" s="75">
        <v>46.35</v>
      </c>
      <c r="K1279" s="75">
        <v>11.55</v>
      </c>
      <c r="L1279" s="75">
        <v>13.04</v>
      </c>
      <c r="N1279" s="325">
        <f t="shared" si="256"/>
        <v>70.94</v>
      </c>
      <c r="O1279" s="27"/>
      <c r="P1279" s="56"/>
      <c r="Q1279" s="26"/>
      <c r="S1279" s="330">
        <v>27.69</v>
      </c>
      <c r="T1279" s="34">
        <v>0</v>
      </c>
      <c r="U1279" s="366">
        <f t="shared" si="251"/>
        <v>0</v>
      </c>
      <c r="V1279" s="97">
        <v>-0.31</v>
      </c>
      <c r="W1279" s="36">
        <f>RTD("money.excel",,"5211","Price")</f>
        <v>18.100000000000001</v>
      </c>
      <c r="X1279" s="67"/>
      <c r="Y1279" s="15">
        <f t="shared" si="252"/>
        <v>18.100000000000001</v>
      </c>
      <c r="Z1279" s="3" t="e">
        <f t="shared" si="253"/>
        <v>#DIV/0!</v>
      </c>
      <c r="AB1279" s="16" t="s">
        <v>1057</v>
      </c>
      <c r="AE1279" s="33">
        <f t="shared" si="254"/>
        <v>0</v>
      </c>
      <c r="AF1279" s="43" t="s">
        <v>3210</v>
      </c>
      <c r="AG1279" s="128"/>
      <c r="AI1279" s="64">
        <f t="shared" si="255"/>
        <v>2.0937500000000001E-3</v>
      </c>
      <c r="AJ1279" s="313">
        <f>RTD("money.excel",,$G1279,"PredictVolume")</f>
        <v>67</v>
      </c>
      <c r="AK1279" s="348"/>
    </row>
    <row r="1280" spans="1:37">
      <c r="A1280" s="132" t="s">
        <v>2224</v>
      </c>
      <c r="B1280" s="82">
        <v>-17</v>
      </c>
      <c r="C1280" s="82">
        <v>-12</v>
      </c>
      <c r="D1280" s="82">
        <v>-72</v>
      </c>
      <c r="E1280" s="82">
        <v>-37</v>
      </c>
      <c r="F1280" s="58">
        <v>10.81</v>
      </c>
      <c r="G1280" s="81">
        <v>5212</v>
      </c>
      <c r="H1280" s="8" t="s">
        <v>333</v>
      </c>
      <c r="I1280" s="16" t="s">
        <v>1058</v>
      </c>
      <c r="J1280" s="75">
        <v>68.209999999999994</v>
      </c>
      <c r="K1280" s="75">
        <v>37.94</v>
      </c>
      <c r="L1280" s="330">
        <v>1.03</v>
      </c>
      <c r="M1280" s="75">
        <v>32.07</v>
      </c>
      <c r="N1280" s="75">
        <f t="shared" si="256"/>
        <v>139.25</v>
      </c>
      <c r="O1280" s="27" t="s">
        <v>6450</v>
      </c>
      <c r="P1280" s="56" t="s">
        <v>6450</v>
      </c>
      <c r="Q1280" s="26" t="s">
        <v>6447</v>
      </c>
      <c r="R1280" s="309" t="s">
        <v>4373</v>
      </c>
      <c r="S1280" s="330">
        <v>0.06</v>
      </c>
      <c r="T1280" s="34">
        <v>2.85</v>
      </c>
      <c r="U1280" s="366">
        <f t="shared" si="251"/>
        <v>5.7114228456913829E-2</v>
      </c>
      <c r="V1280" s="58">
        <v>2.87</v>
      </c>
      <c r="W1280" s="36">
        <f>RTD("money.excel",,"5212","Price")</f>
        <v>49.9</v>
      </c>
      <c r="X1280" s="67"/>
      <c r="Y1280" s="15">
        <f t="shared" si="252"/>
        <v>49.9</v>
      </c>
      <c r="Z1280" s="3" t="e">
        <f t="shared" si="253"/>
        <v>#DIV/0!</v>
      </c>
      <c r="AB1280" s="16" t="s">
        <v>1058</v>
      </c>
      <c r="AE1280" s="33">
        <f t="shared" si="254"/>
        <v>0</v>
      </c>
      <c r="AF1280" s="43" t="s">
        <v>3211</v>
      </c>
      <c r="AG1280" s="128"/>
      <c r="AI1280" s="64">
        <f t="shared" si="255"/>
        <v>1.2138728323699422E-3</v>
      </c>
      <c r="AJ1280" s="313">
        <f>RTD("money.excel",,$G1280,"PredictVolume")</f>
        <v>42</v>
      </c>
      <c r="AK1280" s="348">
        <v>5.2</v>
      </c>
    </row>
    <row r="1281" spans="1:37">
      <c r="A1281" s="148" t="s">
        <v>3587</v>
      </c>
      <c r="B1281" s="93">
        <v>32</v>
      </c>
      <c r="C1281" s="93">
        <v>47</v>
      </c>
      <c r="D1281" s="93">
        <v>54</v>
      </c>
      <c r="E1281" s="93">
        <v>-92</v>
      </c>
      <c r="F1281" s="6">
        <v>-56.53</v>
      </c>
      <c r="G1281" s="81">
        <v>5310</v>
      </c>
      <c r="H1281" s="8" t="s">
        <v>333</v>
      </c>
      <c r="I1281" s="16" t="s">
        <v>1059</v>
      </c>
      <c r="J1281" s="75">
        <v>74.84</v>
      </c>
      <c r="K1281" s="75">
        <v>1.54</v>
      </c>
      <c r="L1281" s="75">
        <v>55.98</v>
      </c>
      <c r="N1281" s="325">
        <f t="shared" si="256"/>
        <v>132.36000000000001</v>
      </c>
      <c r="O1281" s="27"/>
      <c r="P1281" s="56"/>
      <c r="Q1281" s="26"/>
      <c r="S1281" s="330">
        <v>26.87</v>
      </c>
      <c r="T1281" s="34">
        <v>0</v>
      </c>
      <c r="U1281" s="366">
        <f t="shared" si="251"/>
        <v>0</v>
      </c>
      <c r="V1281" s="97">
        <v>-2.61</v>
      </c>
      <c r="W1281" s="13">
        <f>RTD("money.excel",,"5310","Price")</f>
        <v>25.05</v>
      </c>
      <c r="X1281" s="67"/>
      <c r="Y1281" s="15">
        <f t="shared" si="252"/>
        <v>25.05</v>
      </c>
      <c r="Z1281" s="3" t="e">
        <f t="shared" si="253"/>
        <v>#DIV/0!</v>
      </c>
      <c r="AB1281" s="16" t="s">
        <v>1059</v>
      </c>
      <c r="AE1281" s="33">
        <f t="shared" si="254"/>
        <v>0</v>
      </c>
      <c r="AF1281" s="43" t="s">
        <v>2837</v>
      </c>
      <c r="AG1281" s="128"/>
      <c r="AI1281" s="64">
        <f t="shared" si="255"/>
        <v>1.4112903225806453E-4</v>
      </c>
      <c r="AJ1281" s="313">
        <f>RTD("money.excel",,$G1281,"PredictVolume")</f>
        <v>7</v>
      </c>
      <c r="AK1281" s="348"/>
    </row>
    <row r="1282" spans="1:37">
      <c r="A1282" s="132" t="s">
        <v>2166</v>
      </c>
      <c r="B1282" s="81">
        <v>34</v>
      </c>
      <c r="C1282" s="81">
        <v>39</v>
      </c>
      <c r="D1282" s="81">
        <v>-54</v>
      </c>
      <c r="E1282" s="81">
        <v>131</v>
      </c>
      <c r="F1282" s="58">
        <v>16.88</v>
      </c>
      <c r="G1282" s="81">
        <v>5403</v>
      </c>
      <c r="H1282" s="8" t="s">
        <v>333</v>
      </c>
      <c r="I1282" s="16" t="s">
        <v>1060</v>
      </c>
      <c r="J1282" s="330">
        <v>44.57</v>
      </c>
      <c r="K1282" s="75">
        <v>6.71</v>
      </c>
      <c r="L1282" s="330">
        <v>4.24</v>
      </c>
      <c r="N1282" s="325">
        <f t="shared" si="256"/>
        <v>55.52</v>
      </c>
      <c r="O1282" s="27"/>
      <c r="P1282" s="56"/>
      <c r="Q1282" s="26"/>
      <c r="S1282" s="330">
        <v>0.01</v>
      </c>
      <c r="T1282" s="67">
        <v>4</v>
      </c>
      <c r="U1282" s="366">
        <f t="shared" si="251"/>
        <v>5.6737588652482268E-2</v>
      </c>
      <c r="V1282" s="97">
        <v>5.2</v>
      </c>
      <c r="W1282" s="36">
        <f>RTD("money.excel",,"5403","Price")</f>
        <v>70.5</v>
      </c>
      <c r="X1282" s="67"/>
      <c r="Y1282" s="15">
        <f t="shared" si="252"/>
        <v>70.5</v>
      </c>
      <c r="Z1282" s="3" t="e">
        <f t="shared" si="253"/>
        <v>#DIV/0!</v>
      </c>
      <c r="AA1282" s="174" t="s">
        <v>1986</v>
      </c>
      <c r="AB1282" s="16" t="s">
        <v>1060</v>
      </c>
      <c r="AE1282" s="33">
        <f t="shared" si="254"/>
        <v>0</v>
      </c>
      <c r="AF1282" s="43" t="s">
        <v>322</v>
      </c>
      <c r="AG1282" s="128"/>
      <c r="AI1282" s="64">
        <f t="shared" si="255"/>
        <v>1.805111821086262E-3</v>
      </c>
      <c r="AJ1282" s="313">
        <f>RTD("money.excel",,$G1282,"PredictVolume")</f>
        <v>113</v>
      </c>
      <c r="AK1282" s="348"/>
    </row>
    <row r="1283" spans="1:37">
      <c r="A1283" s="148" t="s">
        <v>2379</v>
      </c>
      <c r="B1283" s="81">
        <v>8</v>
      </c>
      <c r="C1283" s="81">
        <v>21</v>
      </c>
      <c r="D1283" s="82">
        <v>-19</v>
      </c>
      <c r="E1283" s="82">
        <v>1</v>
      </c>
      <c r="F1283" s="6">
        <v>6</v>
      </c>
      <c r="G1283" s="81">
        <v>5410</v>
      </c>
      <c r="H1283" s="8" t="s">
        <v>333</v>
      </c>
      <c r="I1283" s="16" t="s">
        <v>1061</v>
      </c>
      <c r="J1283" s="330">
        <v>23.04</v>
      </c>
      <c r="K1283" s="75">
        <v>1.52</v>
      </c>
      <c r="L1283" s="330">
        <v>4.84</v>
      </c>
      <c r="M1283" s="330">
        <v>9.85</v>
      </c>
      <c r="N1283" s="325">
        <f t="shared" si="256"/>
        <v>39.25</v>
      </c>
      <c r="O1283" s="27"/>
      <c r="P1283" s="56"/>
      <c r="Q1283" s="26"/>
      <c r="R1283" s="308" t="s">
        <v>4373</v>
      </c>
      <c r="S1283" s="330">
        <v>0.85</v>
      </c>
      <c r="T1283" s="34">
        <v>1.69</v>
      </c>
      <c r="U1283" s="366">
        <f t="shared" si="251"/>
        <v>6.5503875968992251E-2</v>
      </c>
      <c r="V1283" s="97">
        <v>2.13</v>
      </c>
      <c r="W1283" s="36">
        <f>RTD("money.excel",,"5410","Price")</f>
        <v>25.8</v>
      </c>
      <c r="X1283" s="67"/>
      <c r="Y1283" s="15">
        <f t="shared" si="252"/>
        <v>25.8</v>
      </c>
      <c r="Z1283" s="3" t="e">
        <f t="shared" si="253"/>
        <v>#DIV/0!</v>
      </c>
      <c r="AB1283" s="16" t="s">
        <v>1061</v>
      </c>
      <c r="AE1283" s="33">
        <f t="shared" si="254"/>
        <v>0</v>
      </c>
      <c r="AF1283" s="43" t="s">
        <v>3212</v>
      </c>
      <c r="AG1283" s="128"/>
      <c r="AI1283" s="64">
        <f t="shared" si="255"/>
        <v>4.8177676537585418E-3</v>
      </c>
      <c r="AJ1283" s="313">
        <f>RTD("money.excel",,$G1283,"PredictVolume")</f>
        <v>423</v>
      </c>
      <c r="AK1283" s="348"/>
    </row>
    <row r="1284" spans="1:37">
      <c r="A1284" s="148" t="s">
        <v>1952</v>
      </c>
      <c r="B1284" s="81">
        <v>38</v>
      </c>
      <c r="C1284" s="81">
        <v>39</v>
      </c>
      <c r="D1284" s="81">
        <v>15</v>
      </c>
      <c r="E1284" s="82">
        <v>-15</v>
      </c>
      <c r="F1284" s="6">
        <v>4.8099999999999996</v>
      </c>
      <c r="G1284" s="81">
        <v>6112</v>
      </c>
      <c r="H1284" s="8" t="s">
        <v>333</v>
      </c>
      <c r="I1284" s="22" t="s">
        <v>1078</v>
      </c>
      <c r="J1284" s="330">
        <v>54.03</v>
      </c>
      <c r="K1284" s="75">
        <v>3.18</v>
      </c>
      <c r="L1284" s="75">
        <v>1.57</v>
      </c>
      <c r="N1284" s="325">
        <f t="shared" si="256"/>
        <v>58.78</v>
      </c>
      <c r="O1284" s="27"/>
      <c r="P1284" s="56"/>
      <c r="Q1284" s="26"/>
      <c r="S1284" s="330">
        <v>0.02</v>
      </c>
      <c r="T1284" s="34">
        <v>2.5</v>
      </c>
      <c r="U1284" s="366">
        <f t="shared" si="251"/>
        <v>6.4267352185089971E-2</v>
      </c>
      <c r="V1284" s="58">
        <v>2.92</v>
      </c>
      <c r="W1284" s="36">
        <f>RTD("money.excel",,"6112","Price")</f>
        <v>38.9</v>
      </c>
      <c r="X1284" s="67"/>
      <c r="Y1284" s="15">
        <f t="shared" si="252"/>
        <v>38.9</v>
      </c>
      <c r="Z1284" s="3" t="e">
        <f t="shared" si="253"/>
        <v>#DIV/0!</v>
      </c>
      <c r="AA1284" s="174" t="s">
        <v>1943</v>
      </c>
      <c r="AB1284" s="22" t="s">
        <v>1078</v>
      </c>
      <c r="AE1284" s="33">
        <f t="shared" si="254"/>
        <v>0</v>
      </c>
      <c r="AF1284" s="43" t="s">
        <v>2386</v>
      </c>
      <c r="AG1284" s="128"/>
      <c r="AI1284" s="64">
        <f t="shared" si="255"/>
        <v>4.8404255319148937E-4</v>
      </c>
      <c r="AJ1284" s="313">
        <f>RTD("money.excel",,$G1284,"PredictVolume")</f>
        <v>91</v>
      </c>
      <c r="AK1284" s="348"/>
    </row>
    <row r="1285" spans="1:37">
      <c r="A1285" s="148" t="s">
        <v>1566</v>
      </c>
      <c r="B1285" s="142">
        <v>1035</v>
      </c>
      <c r="C1285" s="142">
        <v>1482</v>
      </c>
      <c r="D1285" s="93">
        <v>-12</v>
      </c>
      <c r="E1285" s="93">
        <v>41</v>
      </c>
      <c r="F1285" s="6">
        <v>3.38</v>
      </c>
      <c r="G1285" s="81">
        <v>6140</v>
      </c>
      <c r="H1285" s="8" t="s">
        <v>333</v>
      </c>
      <c r="I1285" s="16" t="s">
        <v>1062</v>
      </c>
      <c r="J1285" s="75">
        <v>80.02</v>
      </c>
      <c r="K1285" s="75">
        <v>0</v>
      </c>
      <c r="L1285" s="75">
        <v>5.95</v>
      </c>
      <c r="N1285" s="325">
        <f t="shared" si="256"/>
        <v>85.97</v>
      </c>
      <c r="O1285" s="27"/>
      <c r="P1285" s="56"/>
      <c r="Q1285" s="26"/>
      <c r="S1285" s="330">
        <v>41.13</v>
      </c>
      <c r="T1285" s="34">
        <v>0</v>
      </c>
      <c r="U1285" s="366">
        <f t="shared" si="251"/>
        <v>0</v>
      </c>
      <c r="V1285" s="97">
        <v>1.44</v>
      </c>
      <c r="W1285" s="13">
        <f>RTD("money.excel",,"6140","Price")</f>
        <v>16.95</v>
      </c>
      <c r="X1285" s="67"/>
      <c r="Y1285" s="15">
        <f t="shared" si="252"/>
        <v>16.95</v>
      </c>
      <c r="Z1285" s="3" t="e">
        <f t="shared" si="253"/>
        <v>#DIV/0!</v>
      </c>
      <c r="AB1285" s="16" t="s">
        <v>1062</v>
      </c>
      <c r="AE1285" s="33">
        <f t="shared" si="254"/>
        <v>0</v>
      </c>
      <c r="AF1285" s="43" t="s">
        <v>322</v>
      </c>
      <c r="AG1285" s="128"/>
      <c r="AI1285" s="64">
        <f t="shared" si="255"/>
        <v>3.5937500000000002E-3</v>
      </c>
      <c r="AJ1285" s="313">
        <f>RTD("money.excel",,$G1285,"PredictVolume")</f>
        <v>138</v>
      </c>
      <c r="AK1285" s="348"/>
    </row>
    <row r="1286" spans="1:37">
      <c r="A1286" s="148" t="s">
        <v>2470</v>
      </c>
      <c r="B1286" s="93">
        <v>155</v>
      </c>
      <c r="C1286" s="93">
        <v>256</v>
      </c>
      <c r="D1286" s="93">
        <v>-3</v>
      </c>
      <c r="E1286" s="93">
        <v>-21</v>
      </c>
      <c r="F1286" s="6">
        <v>5.72</v>
      </c>
      <c r="G1286" s="81">
        <v>6148</v>
      </c>
      <c r="H1286" s="8" t="s">
        <v>333</v>
      </c>
      <c r="I1286" s="16" t="s">
        <v>1063</v>
      </c>
      <c r="J1286" s="75">
        <v>55.07</v>
      </c>
      <c r="K1286" s="75">
        <v>0.11</v>
      </c>
      <c r="L1286" s="75">
        <v>3.48</v>
      </c>
      <c r="N1286" s="325">
        <f t="shared" si="256"/>
        <v>58.66</v>
      </c>
      <c r="O1286" s="27"/>
      <c r="P1286" s="56"/>
      <c r="Q1286" s="26"/>
      <c r="S1286" s="330">
        <v>13.19</v>
      </c>
      <c r="T1286" s="34">
        <v>0.81</v>
      </c>
      <c r="U1286" s="366">
        <f t="shared" si="251"/>
        <v>5.9340659340659345E-2</v>
      </c>
      <c r="V1286" s="97">
        <v>1.1000000000000001</v>
      </c>
      <c r="W1286" s="13">
        <f>RTD("money.excel",,"6148","Price")</f>
        <v>13.65</v>
      </c>
      <c r="X1286" s="67"/>
      <c r="Y1286" s="15">
        <f t="shared" si="252"/>
        <v>13.65</v>
      </c>
      <c r="Z1286" s="3" t="e">
        <f t="shared" si="253"/>
        <v>#DIV/0!</v>
      </c>
      <c r="AB1286" s="16" t="s">
        <v>1063</v>
      </c>
      <c r="AE1286" s="33">
        <f t="shared" si="254"/>
        <v>0</v>
      </c>
      <c r="AF1286" s="43" t="s">
        <v>322</v>
      </c>
      <c r="AG1286" s="128"/>
      <c r="AI1286" s="64">
        <f t="shared" si="255"/>
        <v>2.1276595744680851E-3</v>
      </c>
      <c r="AJ1286" s="313">
        <f>RTD("money.excel",,$G1286,"PredictVolume")</f>
        <v>100</v>
      </c>
      <c r="AK1286" s="348"/>
    </row>
    <row r="1287" spans="1:37">
      <c r="A1287" s="132" t="s">
        <v>2735</v>
      </c>
      <c r="B1287" s="93">
        <v>18</v>
      </c>
      <c r="C1287" s="93">
        <v>27</v>
      </c>
      <c r="D1287" s="93">
        <v>11</v>
      </c>
      <c r="E1287" s="93">
        <v>40</v>
      </c>
      <c r="F1287" s="58">
        <v>24.42</v>
      </c>
      <c r="G1287" s="81">
        <v>6183</v>
      </c>
      <c r="H1287" s="8" t="s">
        <v>333</v>
      </c>
      <c r="I1287" s="22" t="s">
        <v>1079</v>
      </c>
      <c r="J1287" s="75">
        <v>79.63</v>
      </c>
      <c r="K1287" s="75">
        <v>2.02</v>
      </c>
      <c r="L1287" s="75">
        <v>1.38</v>
      </c>
      <c r="N1287" s="325">
        <f t="shared" si="256"/>
        <v>83.029999999999987</v>
      </c>
      <c r="O1287" s="27"/>
      <c r="P1287" s="56"/>
      <c r="Q1287" s="26"/>
      <c r="S1287" s="330">
        <v>51.05</v>
      </c>
      <c r="T1287" s="34">
        <v>1.81</v>
      </c>
      <c r="U1287" s="366">
        <f t="shared" si="251"/>
        <v>3.447619047619048E-2</v>
      </c>
      <c r="V1287" s="97">
        <v>2.25</v>
      </c>
      <c r="W1287" s="13">
        <f>RTD("money.excel",,"6183","Price")</f>
        <v>52.5</v>
      </c>
      <c r="X1287" s="67"/>
      <c r="Y1287" s="15">
        <f t="shared" si="252"/>
        <v>52.5</v>
      </c>
      <c r="Z1287" s="3" t="e">
        <f t="shared" si="253"/>
        <v>#DIV/0!</v>
      </c>
      <c r="AB1287" s="22" t="s">
        <v>1079</v>
      </c>
      <c r="AE1287" s="33">
        <f t="shared" si="254"/>
        <v>0</v>
      </c>
      <c r="AF1287" s="43" t="s">
        <v>3302</v>
      </c>
      <c r="AG1287" s="128"/>
      <c r="AI1287" s="64">
        <f t="shared" si="255"/>
        <v>1.6000000000000001E-4</v>
      </c>
      <c r="AJ1287" s="313">
        <f>RTD("money.excel",,$G1287,"PredictVolume")</f>
        <v>24</v>
      </c>
      <c r="AK1287" s="348"/>
    </row>
    <row r="1288" spans="1:37">
      <c r="A1288" s="148" t="s">
        <v>1891</v>
      </c>
      <c r="B1288" s="82">
        <v>-19</v>
      </c>
      <c r="C1288" s="81">
        <v>22</v>
      </c>
      <c r="D1288" s="82">
        <v>-4</v>
      </c>
      <c r="E1288" s="81">
        <v>52</v>
      </c>
      <c r="F1288" s="6">
        <v>4.0199999999999996</v>
      </c>
      <c r="G1288" s="81">
        <v>6214</v>
      </c>
      <c r="H1288" s="8" t="s">
        <v>333</v>
      </c>
      <c r="I1288" s="160" t="s">
        <v>295</v>
      </c>
      <c r="J1288" s="330">
        <v>51.41</v>
      </c>
      <c r="K1288" s="330">
        <v>15.01</v>
      </c>
      <c r="L1288" s="330">
        <v>0.36</v>
      </c>
      <c r="N1288" s="325">
        <f t="shared" si="256"/>
        <v>66.78</v>
      </c>
      <c r="O1288" s="27"/>
      <c r="P1288" s="56"/>
      <c r="Q1288" s="26"/>
      <c r="R1288" s="308" t="s">
        <v>4373</v>
      </c>
      <c r="S1288" s="330">
        <v>0</v>
      </c>
      <c r="T1288" s="66">
        <v>5</v>
      </c>
      <c r="U1288" s="366">
        <f t="shared" si="251"/>
        <v>6.1349693251533742E-2</v>
      </c>
      <c r="V1288" s="58">
        <v>5.69</v>
      </c>
      <c r="W1288" s="36">
        <f>RTD("money.excel",,"6214","Price")</f>
        <v>81.5</v>
      </c>
      <c r="X1288" s="67"/>
      <c r="Y1288" s="15">
        <f t="shared" si="252"/>
        <v>81.5</v>
      </c>
      <c r="Z1288" s="3" t="e">
        <f t="shared" si="253"/>
        <v>#DIV/0!</v>
      </c>
      <c r="AA1288" s="174" t="s">
        <v>2185</v>
      </c>
      <c r="AB1288" s="22" t="s">
        <v>295</v>
      </c>
      <c r="AE1288" s="33">
        <f t="shared" si="254"/>
        <v>0</v>
      </c>
      <c r="AF1288" s="122" t="s">
        <v>1625</v>
      </c>
      <c r="AG1288" s="128"/>
      <c r="AI1288" s="64">
        <f t="shared" si="255"/>
        <v>5.6505576208178436E-4</v>
      </c>
      <c r="AJ1288" s="313">
        <f>RTD("money.excel",,$G1288,"PredictVolume")</f>
        <v>152</v>
      </c>
      <c r="AK1288" s="348"/>
    </row>
    <row r="1289" spans="1:37">
      <c r="A1289" s="148" t="s">
        <v>3611</v>
      </c>
      <c r="B1289" s="82">
        <v>-12</v>
      </c>
      <c r="C1289" s="82">
        <v>-16</v>
      </c>
      <c r="D1289" s="81">
        <v>40</v>
      </c>
      <c r="E1289" s="81">
        <v>27</v>
      </c>
      <c r="F1289" s="6">
        <v>7.46</v>
      </c>
      <c r="G1289" s="81">
        <v>6221</v>
      </c>
      <c r="H1289" s="8" t="s">
        <v>333</v>
      </c>
      <c r="I1289" s="16" t="s">
        <v>1064</v>
      </c>
      <c r="J1289" s="75">
        <v>71.95</v>
      </c>
      <c r="K1289" s="330">
        <v>0.76</v>
      </c>
      <c r="L1289" s="75">
        <v>13.32</v>
      </c>
      <c r="M1289" s="330">
        <v>9.5299999999999994</v>
      </c>
      <c r="N1289" s="325">
        <f t="shared" si="256"/>
        <v>95.56</v>
      </c>
      <c r="O1289" s="27"/>
      <c r="P1289" s="56"/>
      <c r="Q1289" s="26"/>
      <c r="R1289" s="308" t="s">
        <v>4372</v>
      </c>
      <c r="S1289" s="330">
        <v>0.16</v>
      </c>
      <c r="T1289" s="67">
        <v>4</v>
      </c>
      <c r="U1289" s="366">
        <f t="shared" si="251"/>
        <v>8.2815734989648032E-2</v>
      </c>
      <c r="V1289" s="58">
        <v>3.85</v>
      </c>
      <c r="W1289" s="36">
        <f>RTD("money.excel",,"6221","Price")</f>
        <v>48.3</v>
      </c>
      <c r="X1289" s="67"/>
      <c r="Y1289" s="15">
        <f t="shared" si="252"/>
        <v>48.3</v>
      </c>
      <c r="Z1289" s="3" t="e">
        <f t="shared" si="253"/>
        <v>#DIV/0!</v>
      </c>
      <c r="AA1289" s="174" t="s">
        <v>1986</v>
      </c>
      <c r="AB1289" s="16" t="s">
        <v>1064</v>
      </c>
      <c r="AE1289" s="33">
        <f t="shared" si="254"/>
        <v>0</v>
      </c>
      <c r="AF1289" s="43" t="s">
        <v>3213</v>
      </c>
      <c r="AG1289" s="128"/>
      <c r="AI1289" s="64">
        <f t="shared" si="255"/>
        <v>1.6759776536312849E-4</v>
      </c>
      <c r="AJ1289" s="313">
        <f>RTD("money.excel",,$G1289,"PredictVolume")</f>
        <v>12</v>
      </c>
      <c r="AK1289" s="348"/>
    </row>
    <row r="1290" spans="1:37">
      <c r="A1290" s="132" t="s">
        <v>2635</v>
      </c>
      <c r="B1290" s="81">
        <v>46</v>
      </c>
      <c r="C1290" s="81">
        <v>43</v>
      </c>
      <c r="D1290" s="82">
        <v>-15</v>
      </c>
      <c r="E1290" s="81">
        <v>29</v>
      </c>
      <c r="F1290" s="58">
        <v>22.68</v>
      </c>
      <c r="G1290" s="81">
        <v>6231</v>
      </c>
      <c r="H1290" s="8" t="s">
        <v>333</v>
      </c>
      <c r="I1290" s="16" t="s">
        <v>1065</v>
      </c>
      <c r="J1290" s="75">
        <v>24</v>
      </c>
      <c r="K1290" s="75">
        <v>15.95</v>
      </c>
      <c r="L1290" s="75">
        <v>23.62</v>
      </c>
      <c r="M1290" s="75">
        <v>27.03</v>
      </c>
      <c r="N1290" s="325">
        <f t="shared" si="256"/>
        <v>90.600000000000009</v>
      </c>
      <c r="O1290" s="27" t="s">
        <v>1581</v>
      </c>
      <c r="P1290" s="56" t="s">
        <v>1735</v>
      </c>
      <c r="Q1290" s="26" t="s">
        <v>6261</v>
      </c>
      <c r="R1290" s="309" t="s">
        <v>4373</v>
      </c>
      <c r="S1290" s="330">
        <v>0.98</v>
      </c>
      <c r="T1290" s="67">
        <v>5.2</v>
      </c>
      <c r="U1290" s="366">
        <f t="shared" si="251"/>
        <v>4.7272727272727272E-2</v>
      </c>
      <c r="V1290" s="97">
        <v>5.94</v>
      </c>
      <c r="W1290" s="36">
        <f>RTD("money.excel",,"6231","Price")</f>
        <v>110</v>
      </c>
      <c r="X1290" s="67"/>
      <c r="Y1290" s="15">
        <f t="shared" si="252"/>
        <v>110</v>
      </c>
      <c r="Z1290" s="3" t="e">
        <f t="shared" si="253"/>
        <v>#DIV/0!</v>
      </c>
      <c r="AA1290" s="174" t="s">
        <v>2185</v>
      </c>
      <c r="AB1290" s="16" t="s">
        <v>1065</v>
      </c>
      <c r="AE1290" s="33">
        <f t="shared" si="254"/>
        <v>0</v>
      </c>
      <c r="AF1290" s="43" t="s">
        <v>2636</v>
      </c>
      <c r="AG1290" s="128"/>
      <c r="AI1290" s="64">
        <f t="shared" si="255"/>
        <v>7.9736842105263162E-2</v>
      </c>
      <c r="AJ1290" s="313">
        <f>RTD("money.excel",,$G1290,"PredictVolume")</f>
        <v>3030</v>
      </c>
      <c r="AK1290" s="348">
        <v>21.39</v>
      </c>
    </row>
    <row r="1291" spans="1:37">
      <c r="A1291" s="148" t="s">
        <v>3637</v>
      </c>
      <c r="B1291" s="93">
        <v>-87</v>
      </c>
      <c r="C1291" s="93">
        <v>-127</v>
      </c>
      <c r="D1291" s="93">
        <v>-3</v>
      </c>
      <c r="E1291" s="93">
        <v>0</v>
      </c>
      <c r="F1291" s="6">
        <v>-11.1</v>
      </c>
      <c r="G1291" s="81">
        <v>6240</v>
      </c>
      <c r="H1291" s="8" t="s">
        <v>333</v>
      </c>
      <c r="I1291" s="16" t="s">
        <v>1066</v>
      </c>
      <c r="J1291" s="75">
        <v>74.58</v>
      </c>
      <c r="K1291" s="75">
        <v>0.09</v>
      </c>
      <c r="L1291" s="75">
        <v>24.13</v>
      </c>
      <c r="N1291" s="325">
        <f t="shared" si="256"/>
        <v>98.8</v>
      </c>
      <c r="O1291" s="27"/>
      <c r="P1291" s="56"/>
      <c r="Q1291" s="26"/>
      <c r="S1291" s="330">
        <v>35.67</v>
      </c>
      <c r="T1291" s="34">
        <v>0</v>
      </c>
      <c r="U1291" s="366">
        <f t="shared" si="251"/>
        <v>0</v>
      </c>
      <c r="V1291" s="97">
        <v>0.04</v>
      </c>
      <c r="W1291" s="13">
        <f>RTD("money.excel",,"6240","Price")</f>
        <v>16.75</v>
      </c>
      <c r="X1291" s="67"/>
      <c r="Y1291" s="15">
        <f t="shared" si="252"/>
        <v>16.75</v>
      </c>
      <c r="Z1291" s="3" t="e">
        <f t="shared" si="253"/>
        <v>#DIV/0!</v>
      </c>
      <c r="AB1291" s="16" t="s">
        <v>1066</v>
      </c>
      <c r="AE1291" s="33">
        <f t="shared" si="254"/>
        <v>0</v>
      </c>
      <c r="AF1291" s="43" t="s">
        <v>3214</v>
      </c>
      <c r="AG1291" s="128"/>
      <c r="AI1291" s="64">
        <f t="shared" si="255"/>
        <v>8.2969432314410475E-4</v>
      </c>
      <c r="AJ1291" s="313">
        <f>RTD("money.excel",,$G1291,"PredictVolume")</f>
        <v>19</v>
      </c>
      <c r="AK1291" s="348"/>
    </row>
    <row r="1292" spans="1:37">
      <c r="A1292" s="148" t="s">
        <v>3638</v>
      </c>
      <c r="B1292" s="93">
        <v>73</v>
      </c>
      <c r="C1292" s="93">
        <v>40</v>
      </c>
      <c r="D1292" s="93">
        <v>-42</v>
      </c>
      <c r="E1292" s="93">
        <v>-7</v>
      </c>
      <c r="F1292" s="6">
        <v>-79.94</v>
      </c>
      <c r="G1292" s="81">
        <v>6404</v>
      </c>
      <c r="H1292" s="8" t="s">
        <v>333</v>
      </c>
      <c r="I1292" s="16" t="s">
        <v>1067</v>
      </c>
      <c r="J1292" s="75">
        <v>44.58</v>
      </c>
      <c r="K1292" s="330">
        <v>38.01</v>
      </c>
      <c r="L1292" s="75">
        <v>15.6</v>
      </c>
      <c r="N1292" s="325">
        <f t="shared" si="256"/>
        <v>98.19</v>
      </c>
      <c r="O1292" s="27"/>
      <c r="P1292" s="56"/>
      <c r="Q1292" s="26"/>
      <c r="S1292" s="330">
        <v>22.33</v>
      </c>
      <c r="T1292" s="34">
        <v>0</v>
      </c>
      <c r="U1292" s="366">
        <f t="shared" si="251"/>
        <v>0</v>
      </c>
      <c r="V1292" s="97">
        <v>-1.4</v>
      </c>
      <c r="W1292" s="36">
        <f>RTD("money.excel",,"6404","Price")</f>
        <v>19.600000000000001</v>
      </c>
      <c r="X1292" s="67"/>
      <c r="Y1292" s="15">
        <f t="shared" si="252"/>
        <v>19.600000000000001</v>
      </c>
      <c r="Z1292" s="3" t="e">
        <f t="shared" si="253"/>
        <v>#DIV/0!</v>
      </c>
      <c r="AB1292" s="16" t="s">
        <v>1067</v>
      </c>
      <c r="AE1292" s="33">
        <f t="shared" si="254"/>
        <v>0</v>
      </c>
      <c r="AF1292" s="43" t="s">
        <v>2837</v>
      </c>
      <c r="AG1292" s="128"/>
      <c r="AI1292" s="64">
        <f t="shared" si="255"/>
        <v>1.0695187165775401E-4</v>
      </c>
      <c r="AJ1292" s="313">
        <f>RTD("money.excel",,$G1292,"PredictVolume")</f>
        <v>4</v>
      </c>
      <c r="AK1292" s="348"/>
    </row>
    <row r="1293" spans="1:37">
      <c r="A1293" s="132" t="s">
        <v>1805</v>
      </c>
      <c r="B1293" s="81">
        <v>204</v>
      </c>
      <c r="C1293" s="81">
        <v>172</v>
      </c>
      <c r="D1293" s="81">
        <v>92</v>
      </c>
      <c r="E1293" s="81">
        <v>9</v>
      </c>
      <c r="F1293" s="58">
        <v>11.44</v>
      </c>
      <c r="G1293" s="81">
        <v>6516</v>
      </c>
      <c r="H1293" s="8" t="s">
        <v>333</v>
      </c>
      <c r="I1293" s="16" t="s">
        <v>2059</v>
      </c>
      <c r="J1293" s="75">
        <v>39.07</v>
      </c>
      <c r="K1293" s="75">
        <v>0.37</v>
      </c>
      <c r="L1293" s="330">
        <v>17.41</v>
      </c>
      <c r="M1293" s="330">
        <v>41.42</v>
      </c>
      <c r="N1293" s="325">
        <f t="shared" si="256"/>
        <v>98.27</v>
      </c>
      <c r="O1293" s="27"/>
      <c r="P1293" s="56"/>
      <c r="Q1293" s="26"/>
      <c r="R1293" s="308" t="s">
        <v>4372</v>
      </c>
      <c r="S1293" s="330">
        <v>0.31</v>
      </c>
      <c r="T1293" s="34">
        <v>1.1299999999999999</v>
      </c>
      <c r="U1293" s="366">
        <f t="shared" si="251"/>
        <v>1.2555555555555554E-2</v>
      </c>
      <c r="V1293" s="97">
        <v>1.49</v>
      </c>
      <c r="W1293" s="36">
        <f>RTD("money.excel",,"6516","Price")</f>
        <v>90</v>
      </c>
      <c r="X1293" s="67"/>
      <c r="Y1293" s="15">
        <f t="shared" si="252"/>
        <v>90</v>
      </c>
      <c r="Z1293" s="3" t="e">
        <f t="shared" si="253"/>
        <v>#DIV/0!</v>
      </c>
      <c r="AA1293" s="174" t="s">
        <v>1943</v>
      </c>
      <c r="AB1293" s="16" t="s">
        <v>2059</v>
      </c>
      <c r="AE1293" s="33">
        <f t="shared" si="254"/>
        <v>0</v>
      </c>
      <c r="AF1293" s="43" t="s">
        <v>2060</v>
      </c>
      <c r="AG1293" s="128"/>
      <c r="AI1293" s="64">
        <f t="shared" si="255"/>
        <v>7.0754716981132071E-4</v>
      </c>
      <c r="AJ1293" s="313">
        <f>RTD("money.excel",,$G1293,"PredictVolume")</f>
        <v>30</v>
      </c>
      <c r="AK1293" s="348"/>
    </row>
    <row r="1294" spans="1:37">
      <c r="A1294" s="132" t="s">
        <v>2440</v>
      </c>
      <c r="B1294" s="81">
        <v>175</v>
      </c>
      <c r="C1294" s="81">
        <v>154</v>
      </c>
      <c r="D1294" s="82">
        <v>-23</v>
      </c>
      <c r="E1294" s="81">
        <v>18</v>
      </c>
      <c r="F1294" s="58">
        <v>19.95</v>
      </c>
      <c r="G1294" s="81">
        <v>6590</v>
      </c>
      <c r="H1294" s="8" t="s">
        <v>333</v>
      </c>
      <c r="I1294" s="16" t="s">
        <v>2441</v>
      </c>
      <c r="J1294" s="75">
        <v>54.22</v>
      </c>
      <c r="K1294" s="75">
        <v>7.0000000000000007E-2</v>
      </c>
      <c r="N1294" s="325">
        <f t="shared" si="256"/>
        <v>54.29</v>
      </c>
      <c r="O1294" s="27"/>
      <c r="P1294" s="56"/>
      <c r="Q1294" s="26"/>
      <c r="T1294" s="67">
        <v>3.5</v>
      </c>
      <c r="U1294" s="366">
        <f t="shared" si="251"/>
        <v>9.6952908587257608E-2</v>
      </c>
      <c r="V1294" s="97">
        <v>4.09</v>
      </c>
      <c r="W1294" s="36">
        <f>RTD("money.excel",,"6593","Price")</f>
        <v>36.1</v>
      </c>
      <c r="X1294" s="67"/>
      <c r="Y1294" s="15">
        <f t="shared" si="252"/>
        <v>36.1</v>
      </c>
      <c r="Z1294" s="3" t="e">
        <f t="shared" si="253"/>
        <v>#DIV/0!</v>
      </c>
      <c r="AA1294" s="174" t="s">
        <v>2185</v>
      </c>
      <c r="AB1294" s="16" t="s">
        <v>2441</v>
      </c>
      <c r="AE1294" s="33">
        <f t="shared" si="254"/>
        <v>0</v>
      </c>
      <c r="AF1294" s="43" t="s">
        <v>2442</v>
      </c>
      <c r="AG1294" s="128"/>
      <c r="AI1294" s="64">
        <f t="shared" si="255"/>
        <v>0</v>
      </c>
      <c r="AJ1294" s="313">
        <f>RTD("money.excel",,$G1294,"PredictVolume")</f>
        <v>0</v>
      </c>
      <c r="AK1294" s="348"/>
    </row>
    <row r="1295" spans="1:37">
      <c r="A1295" s="148" t="s">
        <v>3639</v>
      </c>
      <c r="B1295" s="93">
        <v>-946</v>
      </c>
      <c r="C1295" s="208">
        <v>-1220</v>
      </c>
      <c r="D1295" s="93">
        <v>5</v>
      </c>
      <c r="E1295" s="93">
        <v>39</v>
      </c>
      <c r="F1295" s="6">
        <v>-6.6</v>
      </c>
      <c r="G1295" s="81">
        <v>6593</v>
      </c>
      <c r="H1295" s="8" t="s">
        <v>333</v>
      </c>
      <c r="I1295" s="16" t="s">
        <v>1068</v>
      </c>
      <c r="J1295" s="75">
        <v>63.37</v>
      </c>
      <c r="K1295" s="75">
        <v>2.65</v>
      </c>
      <c r="N1295" s="325">
        <f t="shared" si="256"/>
        <v>66.02</v>
      </c>
      <c r="O1295" s="27"/>
      <c r="P1295" s="56"/>
      <c r="Q1295" s="26"/>
      <c r="S1295" s="330">
        <v>43.1</v>
      </c>
      <c r="T1295" s="34">
        <v>0.5</v>
      </c>
      <c r="U1295" s="366">
        <f t="shared" si="251"/>
        <v>1.3850415512465374E-2</v>
      </c>
      <c r="V1295" s="97">
        <v>-0.23</v>
      </c>
      <c r="W1295" s="13">
        <f>RTD("money.excel",,"6593","Price")</f>
        <v>36.1</v>
      </c>
      <c r="X1295" s="67"/>
      <c r="Y1295" s="15">
        <f t="shared" si="252"/>
        <v>36.1</v>
      </c>
      <c r="Z1295" s="3" t="e">
        <f t="shared" si="253"/>
        <v>#DIV/0!</v>
      </c>
      <c r="AB1295" s="16" t="s">
        <v>1068</v>
      </c>
      <c r="AE1295" s="33">
        <f t="shared" si="254"/>
        <v>0</v>
      </c>
      <c r="AF1295" s="43" t="s">
        <v>3215</v>
      </c>
      <c r="AG1295" s="128"/>
      <c r="AI1295" s="64">
        <f t="shared" si="255"/>
        <v>8.4158415841584157E-4</v>
      </c>
      <c r="AJ1295" s="313">
        <f>RTD("money.excel",,$G1295,"PredictVolume")</f>
        <v>17</v>
      </c>
      <c r="AK1295" s="348"/>
    </row>
    <row r="1296" spans="1:37">
      <c r="A1296" s="132" t="s">
        <v>4230</v>
      </c>
      <c r="B1296" s="81">
        <v>10</v>
      </c>
      <c r="C1296" s="81">
        <v>11</v>
      </c>
      <c r="D1296" s="81">
        <v>4</v>
      </c>
      <c r="E1296" s="81">
        <v>5</v>
      </c>
      <c r="F1296" s="58">
        <v>11.86</v>
      </c>
      <c r="G1296" s="81">
        <v>6690</v>
      </c>
      <c r="H1296" s="8" t="s">
        <v>333</v>
      </c>
      <c r="I1296" s="16" t="s">
        <v>2216</v>
      </c>
      <c r="J1296" s="330">
        <v>64.540000000000006</v>
      </c>
      <c r="K1296" s="330">
        <v>0.34</v>
      </c>
      <c r="L1296" s="330"/>
      <c r="N1296" s="325">
        <f t="shared" si="256"/>
        <v>64.88000000000001</v>
      </c>
      <c r="O1296" s="27"/>
      <c r="P1296" s="56"/>
      <c r="Q1296" s="26"/>
      <c r="T1296" s="67">
        <v>3.5</v>
      </c>
      <c r="U1296" s="366">
        <f t="shared" si="251"/>
        <v>2.8806584362139918E-2</v>
      </c>
      <c r="V1296" s="58">
        <v>5</v>
      </c>
      <c r="W1296" s="36">
        <f>RTD("money.excel",,"6690","Price")</f>
        <v>121.5</v>
      </c>
      <c r="X1296" s="67"/>
      <c r="Y1296" s="15">
        <f t="shared" si="252"/>
        <v>121.5</v>
      </c>
      <c r="Z1296" s="3" t="e">
        <f t="shared" si="253"/>
        <v>#DIV/0!</v>
      </c>
      <c r="AA1296" s="174" t="s">
        <v>2185</v>
      </c>
      <c r="AB1296" s="16" t="s">
        <v>2216</v>
      </c>
      <c r="AE1296" s="33">
        <f t="shared" si="254"/>
        <v>0</v>
      </c>
      <c r="AF1296" s="43" t="s">
        <v>2217</v>
      </c>
      <c r="AG1296" s="269"/>
      <c r="AI1296" s="64">
        <f t="shared" si="255"/>
        <v>1.1764705882352942E-4</v>
      </c>
      <c r="AJ1296" s="313">
        <f>RTD("money.excel",,$G1296,"PredictVolume")</f>
        <v>2</v>
      </c>
      <c r="AK1296" s="348"/>
    </row>
    <row r="1297" spans="1:37">
      <c r="A1297" s="148" t="s">
        <v>2553</v>
      </c>
      <c r="B1297" s="81">
        <v>10</v>
      </c>
      <c r="C1297" s="82">
        <v>-1</v>
      </c>
      <c r="D1297" s="82">
        <v>-12</v>
      </c>
      <c r="E1297" s="82">
        <v>-18</v>
      </c>
      <c r="F1297" s="6">
        <v>5.7</v>
      </c>
      <c r="G1297" s="81">
        <v>6697</v>
      </c>
      <c r="H1297" s="8" t="s">
        <v>333</v>
      </c>
      <c r="I1297" s="16" t="s">
        <v>2554</v>
      </c>
      <c r="J1297" s="330">
        <v>70.83</v>
      </c>
      <c r="K1297" s="75">
        <v>0</v>
      </c>
      <c r="N1297" s="325">
        <f t="shared" si="256"/>
        <v>70.83</v>
      </c>
      <c r="O1297" s="27"/>
      <c r="P1297" s="56"/>
      <c r="Q1297" s="26"/>
      <c r="T1297" s="34">
        <v>2</v>
      </c>
      <c r="U1297" s="366">
        <f t="shared" si="251"/>
        <v>5.2631578947368418E-2</v>
      </c>
      <c r="V1297" s="97">
        <v>2.41</v>
      </c>
      <c r="W1297" s="36">
        <f>RTD("money.excel",,"6697","Price")</f>
        <v>38</v>
      </c>
      <c r="X1297" s="67"/>
      <c r="Y1297" s="15">
        <f t="shared" si="252"/>
        <v>38</v>
      </c>
      <c r="Z1297" s="3" t="e">
        <f t="shared" si="253"/>
        <v>#DIV/0!</v>
      </c>
      <c r="AB1297" s="16" t="s">
        <v>2554</v>
      </c>
      <c r="AE1297" s="33">
        <f t="shared" si="254"/>
        <v>0</v>
      </c>
      <c r="AF1297" s="43" t="s">
        <v>2555</v>
      </c>
      <c r="AG1297" s="128"/>
      <c r="AI1297" s="64">
        <f t="shared" si="255"/>
        <v>1.0989010989010989E-4</v>
      </c>
      <c r="AJ1297" s="313">
        <f>RTD("money.excel",,$G1297,"PredictVolume")</f>
        <v>3</v>
      </c>
      <c r="AK1297" s="348"/>
    </row>
    <row r="1298" spans="1:37">
      <c r="A1298" s="148" t="s">
        <v>2608</v>
      </c>
      <c r="B1298" s="82">
        <v>-12</v>
      </c>
      <c r="C1298" s="82">
        <v>-15</v>
      </c>
      <c r="D1298" s="82">
        <v>-18</v>
      </c>
      <c r="E1298" s="82">
        <v>-3</v>
      </c>
      <c r="F1298" s="6">
        <v>2.88</v>
      </c>
      <c r="G1298" s="81">
        <v>6751</v>
      </c>
      <c r="H1298" s="8" t="s">
        <v>333</v>
      </c>
      <c r="I1298" s="16" t="s">
        <v>2604</v>
      </c>
      <c r="J1298" s="330">
        <v>52</v>
      </c>
      <c r="K1298" s="330">
        <v>0.06</v>
      </c>
      <c r="L1298" s="330"/>
      <c r="M1298" s="75">
        <v>59.34</v>
      </c>
      <c r="N1298" s="325">
        <f t="shared" si="256"/>
        <v>111.4</v>
      </c>
      <c r="O1298" s="27" t="s">
        <v>6411</v>
      </c>
      <c r="P1298" s="56" t="s">
        <v>6411</v>
      </c>
      <c r="Q1298" s="26" t="s">
        <v>6411</v>
      </c>
      <c r="T1298" s="34">
        <v>2.1</v>
      </c>
      <c r="U1298" s="366">
        <f t="shared" si="251"/>
        <v>4.6408839779005527E-2</v>
      </c>
      <c r="V1298" s="58">
        <v>2.23</v>
      </c>
      <c r="W1298" s="36">
        <f>RTD("money.excel",,"6751","Price")</f>
        <v>45.25</v>
      </c>
      <c r="X1298" s="67"/>
      <c r="Y1298" s="15">
        <f t="shared" si="252"/>
        <v>45.25</v>
      </c>
      <c r="Z1298" s="3" t="e">
        <f t="shared" si="253"/>
        <v>#DIV/0!</v>
      </c>
      <c r="AB1298" s="16" t="s">
        <v>2604</v>
      </c>
      <c r="AE1298" s="33">
        <f t="shared" si="254"/>
        <v>0</v>
      </c>
      <c r="AF1298" s="43" t="s">
        <v>2605</v>
      </c>
      <c r="AG1298" s="128"/>
      <c r="AI1298" s="64">
        <f t="shared" si="255"/>
        <v>9.1500000000000001E-3</v>
      </c>
      <c r="AJ1298" s="313">
        <f>RTD("money.excel",,$G1298,"PredictVolume")</f>
        <v>183</v>
      </c>
      <c r="AK1298" s="348">
        <v>3.88</v>
      </c>
    </row>
    <row r="1299" spans="1:37">
      <c r="A1299" s="132" t="s">
        <v>1554</v>
      </c>
      <c r="B1299" s="81">
        <v>69</v>
      </c>
      <c r="C1299" s="81">
        <v>74</v>
      </c>
      <c r="D1299" s="81">
        <v>11</v>
      </c>
      <c r="E1299" s="81">
        <v>10</v>
      </c>
      <c r="F1299" s="58">
        <v>10.81</v>
      </c>
      <c r="G1299" s="81">
        <v>6752</v>
      </c>
      <c r="H1299" s="8" t="s">
        <v>333</v>
      </c>
      <c r="I1299" s="16" t="s">
        <v>3640</v>
      </c>
      <c r="J1299" s="330">
        <v>20.99</v>
      </c>
      <c r="K1299" s="75">
        <v>0.02</v>
      </c>
      <c r="L1299" s="330"/>
      <c r="N1299" s="325">
        <f t="shared" si="256"/>
        <v>21.009999999999998</v>
      </c>
      <c r="O1299" s="27"/>
      <c r="P1299" s="56"/>
      <c r="Q1299" s="26"/>
      <c r="T1299" s="34">
        <v>2.8</v>
      </c>
      <c r="U1299" s="366">
        <f t="shared" si="251"/>
        <v>5.4368932038834951E-2</v>
      </c>
      <c r="V1299" s="97">
        <v>4.91</v>
      </c>
      <c r="W1299" s="36">
        <f>RTD("money.excel",,"6752","Price")</f>
        <v>51.5</v>
      </c>
      <c r="X1299" s="67"/>
      <c r="Y1299" s="15">
        <f t="shared" si="252"/>
        <v>51.5</v>
      </c>
      <c r="Z1299" s="3" t="e">
        <f t="shared" si="253"/>
        <v>#DIV/0!</v>
      </c>
      <c r="AB1299" s="16" t="s">
        <v>3640</v>
      </c>
      <c r="AE1299" s="33">
        <f t="shared" si="254"/>
        <v>0</v>
      </c>
      <c r="AF1299" s="43" t="s">
        <v>2581</v>
      </c>
      <c r="AG1299" s="128"/>
      <c r="AI1299" s="64">
        <f t="shared" si="255"/>
        <v>2.2471910112359553E-3</v>
      </c>
      <c r="AJ1299" s="313">
        <f>RTD("money.excel",,$G1299,"PredictVolume")</f>
        <v>60</v>
      </c>
      <c r="AK1299" s="348"/>
    </row>
    <row r="1300" spans="1:37">
      <c r="A1300" s="148" t="s">
        <v>2787</v>
      </c>
      <c r="B1300" s="81">
        <v>33</v>
      </c>
      <c r="C1300" s="81">
        <v>24</v>
      </c>
      <c r="D1300" s="81">
        <v>0</v>
      </c>
      <c r="E1300" s="82">
        <v>-30</v>
      </c>
      <c r="F1300" s="6">
        <v>4.38</v>
      </c>
      <c r="G1300" s="81">
        <v>8099</v>
      </c>
      <c r="H1300" s="8" t="s">
        <v>333</v>
      </c>
      <c r="I1300" s="16" t="s">
        <v>1069</v>
      </c>
      <c r="J1300" s="75">
        <v>68.349999999999994</v>
      </c>
      <c r="K1300" s="330">
        <v>2.0699999999999998</v>
      </c>
      <c r="L1300" s="75">
        <v>38.93</v>
      </c>
      <c r="N1300" s="325">
        <f t="shared" si="256"/>
        <v>109.35</v>
      </c>
      <c r="O1300" s="27"/>
      <c r="P1300" s="56"/>
      <c r="Q1300" s="26"/>
      <c r="S1300" s="330">
        <v>0.27</v>
      </c>
      <c r="T1300" s="34">
        <v>1.35</v>
      </c>
      <c r="U1300" s="366">
        <f t="shared" si="251"/>
        <v>3.4974093264248704E-2</v>
      </c>
      <c r="V1300" s="58">
        <v>1.64</v>
      </c>
      <c r="W1300" s="36">
        <f>RTD("money.excel",,"8099","Price")</f>
        <v>38.6</v>
      </c>
      <c r="X1300" s="67"/>
      <c r="Y1300" s="15">
        <f t="shared" si="252"/>
        <v>38.6</v>
      </c>
      <c r="Z1300" s="3" t="e">
        <f t="shared" si="253"/>
        <v>#DIV/0!</v>
      </c>
      <c r="AB1300" s="16" t="s">
        <v>1069</v>
      </c>
      <c r="AE1300" s="33">
        <f t="shared" si="254"/>
        <v>0</v>
      </c>
      <c r="AF1300" s="43" t="s">
        <v>2788</v>
      </c>
      <c r="AG1300" s="128"/>
      <c r="AI1300" s="64">
        <f t="shared" si="255"/>
        <v>2.708803611738149E-4</v>
      </c>
      <c r="AJ1300" s="313">
        <f>RTD("money.excel",,$G1300,"PredictVolume")</f>
        <v>24</v>
      </c>
      <c r="AK1300" s="348"/>
    </row>
    <row r="1301" spans="1:37">
      <c r="A1301" s="148" t="s">
        <v>2235</v>
      </c>
      <c r="B1301" s="81">
        <v>48</v>
      </c>
      <c r="C1301" s="81">
        <v>44</v>
      </c>
      <c r="D1301" s="81">
        <v>11</v>
      </c>
      <c r="E1301" s="81">
        <v>15</v>
      </c>
      <c r="F1301" s="6">
        <v>7.73</v>
      </c>
      <c r="G1301" s="81">
        <v>8284</v>
      </c>
      <c r="H1301" s="8" t="s">
        <v>333</v>
      </c>
      <c r="I1301" s="16" t="s">
        <v>2205</v>
      </c>
      <c r="J1301" s="75">
        <v>63.55</v>
      </c>
      <c r="K1301" s="75">
        <v>0.24</v>
      </c>
      <c r="N1301" s="325">
        <f t="shared" si="256"/>
        <v>63.79</v>
      </c>
      <c r="O1301" s="27"/>
      <c r="P1301" s="56"/>
      <c r="Q1301" s="26"/>
      <c r="T1301" s="34">
        <v>2.36</v>
      </c>
      <c r="U1301" s="366">
        <f t="shared" si="251"/>
        <v>4.5384615384615384E-2</v>
      </c>
      <c r="V1301" s="97">
        <v>2.78</v>
      </c>
      <c r="W1301" s="36">
        <f>RTD("money.excel",,"8284","Price")</f>
        <v>52</v>
      </c>
      <c r="X1301" s="67"/>
      <c r="Y1301" s="15">
        <f t="shared" si="252"/>
        <v>52</v>
      </c>
      <c r="Z1301" s="3" t="e">
        <f t="shared" si="253"/>
        <v>#DIV/0!</v>
      </c>
      <c r="AB1301" s="16" t="s">
        <v>2205</v>
      </c>
      <c r="AE1301" s="33">
        <f t="shared" si="254"/>
        <v>0</v>
      </c>
      <c r="AF1301" s="43" t="s">
        <v>322</v>
      </c>
      <c r="AG1301" s="128"/>
      <c r="AI1301" s="64">
        <f t="shared" si="255"/>
        <v>3.8293736501079916E-2</v>
      </c>
      <c r="AJ1301" s="313">
        <f>RTD("money.excel",,$G1301,"PredictVolume")</f>
        <v>1773</v>
      </c>
      <c r="AK1301" s="348"/>
    </row>
    <row r="1302" spans="1:37">
      <c r="A1302" s="132" t="s">
        <v>1842</v>
      </c>
      <c r="B1302" s="81">
        <v>24</v>
      </c>
      <c r="C1302" s="81">
        <v>21</v>
      </c>
      <c r="D1302" s="82">
        <v>-1</v>
      </c>
      <c r="E1302" s="82">
        <v>-5</v>
      </c>
      <c r="F1302" s="58">
        <v>24.17</v>
      </c>
      <c r="G1302" s="81">
        <v>8416</v>
      </c>
      <c r="H1302" s="151" t="s">
        <v>333</v>
      </c>
      <c r="I1302" s="16" t="s">
        <v>163</v>
      </c>
      <c r="J1302" s="75">
        <v>77.03</v>
      </c>
      <c r="K1302" s="330">
        <v>2.87</v>
      </c>
      <c r="N1302" s="325">
        <f t="shared" si="256"/>
        <v>79.900000000000006</v>
      </c>
      <c r="O1302" s="27"/>
      <c r="P1302" s="56"/>
      <c r="Q1302" s="26"/>
      <c r="T1302" s="67">
        <v>7</v>
      </c>
      <c r="U1302" s="366">
        <f t="shared" si="251"/>
        <v>5.6910569105691054E-2</v>
      </c>
      <c r="V1302" s="97">
        <v>9.9499999999999993</v>
      </c>
      <c r="W1302" s="36">
        <f>RTD("money.excel",,"8416","Price")</f>
        <v>123</v>
      </c>
      <c r="X1302" s="67"/>
      <c r="Y1302" s="15">
        <f t="shared" si="252"/>
        <v>123</v>
      </c>
      <c r="Z1302" s="3" t="e">
        <f t="shared" si="253"/>
        <v>#DIV/0!</v>
      </c>
      <c r="AA1302" s="174" t="s">
        <v>1986</v>
      </c>
      <c r="AB1302" s="16" t="s">
        <v>163</v>
      </c>
      <c r="AE1302" s="33">
        <f t="shared" si="254"/>
        <v>0</v>
      </c>
      <c r="AF1302" s="122" t="s">
        <v>3216</v>
      </c>
      <c r="AG1302" s="128"/>
      <c r="AI1302" s="64">
        <f t="shared" si="255"/>
        <v>2.1276595744680851E-4</v>
      </c>
      <c r="AJ1302" s="313">
        <f>RTD("money.excel",,$G1302,"PredictVolume")</f>
        <v>6</v>
      </c>
      <c r="AK1302" s="348"/>
    </row>
    <row r="1303" spans="1:37">
      <c r="A1303" s="148" t="s">
        <v>4178</v>
      </c>
      <c r="B1303" s="81">
        <v>149</v>
      </c>
      <c r="C1303" s="81">
        <v>225</v>
      </c>
      <c r="D1303" s="81">
        <v>0</v>
      </c>
      <c r="E1303" s="81">
        <v>146</v>
      </c>
      <c r="F1303" s="6">
        <v>7.05</v>
      </c>
      <c r="G1303" s="41" t="s">
        <v>1049</v>
      </c>
      <c r="H1303" s="8" t="s">
        <v>333</v>
      </c>
      <c r="I1303" s="16" t="s">
        <v>1050</v>
      </c>
      <c r="J1303" s="75">
        <v>30.11</v>
      </c>
      <c r="K1303" s="330">
        <v>2.66</v>
      </c>
      <c r="L1303" s="75">
        <v>10.19</v>
      </c>
      <c r="N1303" s="325">
        <f t="shared" si="256"/>
        <v>42.959999999999994</v>
      </c>
      <c r="O1303" s="27"/>
      <c r="P1303" s="56"/>
      <c r="Q1303" s="26"/>
      <c r="S1303" s="330">
        <v>0.5</v>
      </c>
      <c r="T1303" s="34">
        <v>2.1</v>
      </c>
      <c r="U1303" s="366">
        <f t="shared" si="251"/>
        <v>4.6770601336302897E-2</v>
      </c>
      <c r="V1303" s="97">
        <v>5.07</v>
      </c>
      <c r="W1303" s="36">
        <f>RTD("money.excel",,"3147","Price")</f>
        <v>44.9</v>
      </c>
      <c r="X1303" s="67"/>
      <c r="Y1303" s="15">
        <f t="shared" si="252"/>
        <v>44.9</v>
      </c>
      <c r="Z1303" s="3" t="e">
        <f t="shared" si="253"/>
        <v>#DIV/0!</v>
      </c>
      <c r="AB1303" s="16" t="s">
        <v>1050</v>
      </c>
      <c r="AE1303" s="33">
        <f t="shared" si="254"/>
        <v>0</v>
      </c>
      <c r="AF1303" s="43" t="s">
        <v>3208</v>
      </c>
      <c r="AG1303" s="128"/>
      <c r="AI1303" s="64">
        <f t="shared" si="255"/>
        <v>1.9487179487179488E-3</v>
      </c>
      <c r="AJ1303" s="313">
        <f>RTD("money.excel",,$G1303,"PredictVolume")</f>
        <v>76</v>
      </c>
      <c r="AK1303" s="348"/>
    </row>
    <row r="1304" spans="1:37">
      <c r="A1304" s="148"/>
      <c r="B1304" s="81"/>
      <c r="C1304" s="81"/>
      <c r="D1304" s="81"/>
      <c r="E1304" s="81"/>
      <c r="F1304" s="6"/>
      <c r="H1304" s="8"/>
      <c r="I1304" s="16"/>
      <c r="J1304" s="75"/>
      <c r="K1304" s="330"/>
      <c r="N1304" s="325"/>
      <c r="O1304" s="27"/>
      <c r="P1304" s="56"/>
      <c r="Q1304" s="26"/>
      <c r="T1304" s="34"/>
      <c r="V1304" s="97"/>
      <c r="W1304" s="36"/>
      <c r="X1304" s="67"/>
      <c r="Y1304" s="15"/>
      <c r="Z1304" s="3"/>
      <c r="AB1304" s="16"/>
      <c r="AE1304" s="33"/>
      <c r="AF1304" s="43"/>
      <c r="AG1304" s="128"/>
      <c r="AI1304" s="64"/>
      <c r="AJ1304" s="313"/>
      <c r="AK1304" s="348"/>
    </row>
    <row r="1305" spans="1:37">
      <c r="A1305" s="132" t="s">
        <v>1854</v>
      </c>
      <c r="B1305" s="93" t="s">
        <v>1657</v>
      </c>
      <c r="C1305" s="93" t="s">
        <v>1658</v>
      </c>
      <c r="D1305" s="93" t="s">
        <v>1659</v>
      </c>
      <c r="E1305" s="93" t="s">
        <v>1660</v>
      </c>
      <c r="F1305" s="8" t="s">
        <v>1122</v>
      </c>
      <c r="G1305" s="27" t="s">
        <v>6102</v>
      </c>
      <c r="H1305" s="55" t="s">
        <v>342</v>
      </c>
      <c r="I1305" s="8" t="s">
        <v>249</v>
      </c>
      <c r="J1305" s="324" t="s">
        <v>1529</v>
      </c>
      <c r="K1305" s="324" t="s">
        <v>1217</v>
      </c>
      <c r="L1305" s="324" t="s">
        <v>298</v>
      </c>
      <c r="M1305" s="324" t="s">
        <v>1115</v>
      </c>
      <c r="N1305" s="324" t="s">
        <v>6091</v>
      </c>
      <c r="O1305" s="27" t="s">
        <v>6253</v>
      </c>
      <c r="P1305" s="56" t="s">
        <v>6219</v>
      </c>
      <c r="Q1305" s="26" t="s">
        <v>6313</v>
      </c>
      <c r="R1305" s="309" t="s">
        <v>4371</v>
      </c>
      <c r="S1305" s="335" t="s">
        <v>4094</v>
      </c>
      <c r="T1305" s="10" t="s">
        <v>75</v>
      </c>
      <c r="U1305" s="364" t="s">
        <v>6152</v>
      </c>
      <c r="V1305" s="69" t="s">
        <v>4022</v>
      </c>
      <c r="W1305" s="28" t="s">
        <v>2</v>
      </c>
      <c r="X1305" s="17" t="s">
        <v>1465</v>
      </c>
      <c r="Y1305" s="14" t="s">
        <v>5</v>
      </c>
      <c r="Z1305" s="21" t="s">
        <v>3</v>
      </c>
      <c r="AA1305" s="322" t="s">
        <v>117</v>
      </c>
      <c r="AB1305" s="8" t="s">
        <v>249</v>
      </c>
      <c r="AC1305" s="73" t="s">
        <v>1466</v>
      </c>
      <c r="AD1305" s="74" t="s">
        <v>1223</v>
      </c>
      <c r="AE1305" s="32" t="s">
        <v>1224</v>
      </c>
      <c r="AF1305" s="43"/>
      <c r="AG1305" s="128"/>
      <c r="AI1305" s="8" t="s">
        <v>4414</v>
      </c>
      <c r="AJ1305" s="50" t="s">
        <v>4121</v>
      </c>
      <c r="AK1305" s="348" t="s">
        <v>6074</v>
      </c>
    </row>
    <row r="1306" spans="1:37">
      <c r="A1306" s="132" t="s">
        <v>2015</v>
      </c>
      <c r="B1306" s="82">
        <v>-13</v>
      </c>
      <c r="C1306" s="82">
        <v>-8</v>
      </c>
      <c r="D1306" s="82">
        <v>-1</v>
      </c>
      <c r="E1306" s="81">
        <v>18</v>
      </c>
      <c r="F1306" s="58">
        <v>17.32</v>
      </c>
      <c r="G1306" s="81">
        <v>1342</v>
      </c>
      <c r="H1306" s="8" t="s">
        <v>2303</v>
      </c>
      <c r="I1306" s="22" t="s">
        <v>2522</v>
      </c>
      <c r="J1306" s="330">
        <v>80.02</v>
      </c>
      <c r="K1306" s="75">
        <v>53.49</v>
      </c>
      <c r="L1306" s="330">
        <v>0.38</v>
      </c>
      <c r="N1306" s="325">
        <f t="shared" ref="N1306" si="258">J1306+K1306+L1306+M1306</f>
        <v>133.88999999999999</v>
      </c>
      <c r="O1306" s="27"/>
      <c r="P1306" s="56"/>
      <c r="Q1306" s="26"/>
      <c r="S1306" s="330">
        <v>0</v>
      </c>
      <c r="T1306" s="34">
        <v>2.5</v>
      </c>
      <c r="U1306" s="366">
        <f t="shared" ref="U1306:U1337" si="259">T1306/W1306</f>
        <v>4.0128410914927769E-2</v>
      </c>
      <c r="V1306" s="58">
        <v>2.97</v>
      </c>
      <c r="W1306" s="13">
        <f>RTD("money.excel",,"1342","Price")</f>
        <v>62.3</v>
      </c>
      <c r="X1306" s="67"/>
      <c r="Y1306" s="15">
        <f t="shared" ref="Y1306:Y1369" si="260">W1306-X1306</f>
        <v>62.3</v>
      </c>
      <c r="Z1306" s="3" t="e">
        <f t="shared" ref="Z1306:Z1369" si="261">Y1306/X1306</f>
        <v>#DIV/0!</v>
      </c>
      <c r="AA1306" s="174" t="s">
        <v>1943</v>
      </c>
      <c r="AB1306" s="22" t="s">
        <v>2522</v>
      </c>
      <c r="AE1306" s="33">
        <f t="shared" ref="AE1306:AE1369" si="262">AD1306-AC1306</f>
        <v>0</v>
      </c>
      <c r="AF1306" s="43" t="s">
        <v>4109</v>
      </c>
      <c r="AG1306" s="128"/>
      <c r="AI1306" s="64">
        <f t="shared" ref="AI1306:AI1337" si="263">AJ1306/(A1306*10000)</f>
        <v>8.1120943952802359E-4</v>
      </c>
      <c r="AJ1306" s="313">
        <f>RTD("money.excel",,$G1306,"PredictVolume")</f>
        <v>55</v>
      </c>
      <c r="AK1306" s="348"/>
    </row>
    <row r="1307" spans="1:37">
      <c r="A1307" s="148" t="s">
        <v>1806</v>
      </c>
      <c r="B1307" s="93">
        <v>-379</v>
      </c>
      <c r="C1307" s="93">
        <v>-315</v>
      </c>
      <c r="D1307" s="93">
        <v>98</v>
      </c>
      <c r="E1307" s="93">
        <v>10</v>
      </c>
      <c r="F1307" s="6">
        <v>2.0099999999999998</v>
      </c>
      <c r="G1307" s="81">
        <v>1416</v>
      </c>
      <c r="H1307" s="8" t="s">
        <v>2303</v>
      </c>
      <c r="I1307" s="22" t="s">
        <v>773</v>
      </c>
      <c r="J1307" s="75">
        <v>59.12</v>
      </c>
      <c r="K1307" s="75">
        <v>0.1</v>
      </c>
      <c r="L1307" s="75">
        <v>32.32</v>
      </c>
      <c r="N1307" s="325">
        <f t="shared" ref="N1307:N1345" si="264">J1307+K1307+L1307+M1307</f>
        <v>91.539999999999992</v>
      </c>
      <c r="O1307" s="27"/>
      <c r="P1307" s="56"/>
      <c r="Q1307" s="26"/>
      <c r="S1307" s="330">
        <v>32.24</v>
      </c>
      <c r="T1307" s="34">
        <v>0.5</v>
      </c>
      <c r="U1307" s="366">
        <f t="shared" si="259"/>
        <v>2.0161290322580645E-2</v>
      </c>
      <c r="V1307" s="97">
        <v>-1.86</v>
      </c>
      <c r="W1307" s="13">
        <f>RTD("money.excel",,"1516","Price")</f>
        <v>24.8</v>
      </c>
      <c r="X1307" s="67"/>
      <c r="Y1307" s="15">
        <f t="shared" si="260"/>
        <v>24.8</v>
      </c>
      <c r="Z1307" s="3" t="e">
        <f t="shared" si="261"/>
        <v>#DIV/0!</v>
      </c>
      <c r="AB1307" s="22" t="s">
        <v>773</v>
      </c>
      <c r="AE1307" s="33">
        <f t="shared" si="262"/>
        <v>0</v>
      </c>
      <c r="AF1307" s="43" t="s">
        <v>3678</v>
      </c>
      <c r="AG1307" s="128"/>
      <c r="AI1307" s="64">
        <f t="shared" si="263"/>
        <v>6.5945945945945945E-4</v>
      </c>
      <c r="AJ1307" s="313">
        <f>RTD("money.excel",,$G1307,"PredictVolume")</f>
        <v>122</v>
      </c>
      <c r="AK1307" s="348"/>
    </row>
    <row r="1308" spans="1:37">
      <c r="A1308" s="148" t="s">
        <v>2139</v>
      </c>
      <c r="B1308" s="93">
        <v>-275</v>
      </c>
      <c r="C1308" s="93">
        <v>-11</v>
      </c>
      <c r="D1308" s="93">
        <v>-5</v>
      </c>
      <c r="E1308" s="93">
        <v>-3</v>
      </c>
      <c r="F1308" s="6">
        <v>-25</v>
      </c>
      <c r="G1308" s="81">
        <v>1435</v>
      </c>
      <c r="H1308" s="8" t="s">
        <v>2303</v>
      </c>
      <c r="I1308" s="22" t="s">
        <v>718</v>
      </c>
      <c r="J1308" s="75">
        <v>61.81</v>
      </c>
      <c r="K1308" s="75">
        <v>0.09</v>
      </c>
      <c r="N1308" s="325">
        <f t="shared" si="264"/>
        <v>61.900000000000006</v>
      </c>
      <c r="O1308" s="27"/>
      <c r="P1308" s="56"/>
      <c r="Q1308" s="26"/>
      <c r="S1308" s="330">
        <v>21.91</v>
      </c>
      <c r="T1308" s="34">
        <v>0</v>
      </c>
      <c r="U1308" s="366">
        <f t="shared" si="259"/>
        <v>0</v>
      </c>
      <c r="V1308" s="97">
        <v>-0.17</v>
      </c>
      <c r="W1308" s="13">
        <f>RTD("money.excel",,"1435","Price")</f>
        <v>57.7</v>
      </c>
      <c r="X1308" s="67"/>
      <c r="Y1308" s="15">
        <f t="shared" si="260"/>
        <v>57.7</v>
      </c>
      <c r="Z1308" s="3" t="e">
        <f t="shared" si="261"/>
        <v>#DIV/0!</v>
      </c>
      <c r="AB1308" s="22" t="s">
        <v>718</v>
      </c>
      <c r="AE1308" s="33">
        <f t="shared" si="262"/>
        <v>0</v>
      </c>
      <c r="AF1308" s="43" t="s">
        <v>3335</v>
      </c>
      <c r="AG1308" s="269"/>
      <c r="AI1308" s="64">
        <f t="shared" si="263"/>
        <v>4.1007194244604316E-4</v>
      </c>
      <c r="AJ1308" s="313">
        <f>RTD("money.excel",,$G1308,"PredictVolume")</f>
        <v>57</v>
      </c>
      <c r="AK1308" s="348"/>
    </row>
    <row r="1309" spans="1:37">
      <c r="A1309" s="132" t="s">
        <v>3679</v>
      </c>
      <c r="B1309" s="93">
        <v>-71</v>
      </c>
      <c r="C1309" s="93">
        <v>12</v>
      </c>
      <c r="D1309" s="93">
        <v>87</v>
      </c>
      <c r="E1309" s="93">
        <v>-4</v>
      </c>
      <c r="F1309" s="58">
        <v>60.31</v>
      </c>
      <c r="G1309" s="81">
        <v>1437</v>
      </c>
      <c r="H1309" s="8" t="s">
        <v>2303</v>
      </c>
      <c r="I1309" s="22" t="s">
        <v>719</v>
      </c>
      <c r="J1309" s="75">
        <v>68.239999999999995</v>
      </c>
      <c r="K1309" s="75">
        <v>6.74</v>
      </c>
      <c r="L1309" s="75">
        <v>2.13</v>
      </c>
      <c r="N1309" s="325">
        <f t="shared" si="264"/>
        <v>77.109999999999985</v>
      </c>
      <c r="O1309" s="27"/>
      <c r="P1309" s="56"/>
      <c r="Q1309" s="26"/>
      <c r="S1309" s="330">
        <v>8.83</v>
      </c>
      <c r="T1309" s="34">
        <v>0.7</v>
      </c>
      <c r="U1309" s="366">
        <f t="shared" si="259"/>
        <v>2.6070763500931095E-2</v>
      </c>
      <c r="V1309" s="97">
        <v>1.76</v>
      </c>
      <c r="W1309" s="13">
        <f>RTD("money.excel",,"1437","Price")</f>
        <v>26.85</v>
      </c>
      <c r="X1309" s="67"/>
      <c r="Y1309" s="15">
        <f t="shared" si="260"/>
        <v>26.85</v>
      </c>
      <c r="Z1309" s="3" t="e">
        <f t="shared" si="261"/>
        <v>#DIV/0!</v>
      </c>
      <c r="AB1309" s="22" t="s">
        <v>719</v>
      </c>
      <c r="AE1309" s="33">
        <f t="shared" si="262"/>
        <v>0</v>
      </c>
      <c r="AF1309" s="43" t="s">
        <v>3336</v>
      </c>
      <c r="AG1309" s="128"/>
      <c r="AI1309" s="64">
        <f t="shared" si="263"/>
        <v>1.7241379310344827E-3</v>
      </c>
      <c r="AJ1309" s="313">
        <f>RTD("money.excel",,$G1309,"PredictVolume")</f>
        <v>350</v>
      </c>
      <c r="AK1309" s="348"/>
    </row>
    <row r="1310" spans="1:37">
      <c r="A1310" s="148" t="s">
        <v>1738</v>
      </c>
      <c r="B1310" s="93">
        <v>174</v>
      </c>
      <c r="C1310" s="93">
        <v>156</v>
      </c>
      <c r="D1310" s="93">
        <v>12</v>
      </c>
      <c r="E1310" s="93">
        <v>-15</v>
      </c>
      <c r="F1310" s="6">
        <v>2.0099999999999998</v>
      </c>
      <c r="G1310" s="81">
        <v>1516</v>
      </c>
      <c r="H1310" s="8" t="s">
        <v>2303</v>
      </c>
      <c r="I1310" s="22" t="s">
        <v>720</v>
      </c>
      <c r="J1310" s="75">
        <v>59.12</v>
      </c>
      <c r="K1310" s="75">
        <v>0.1</v>
      </c>
      <c r="L1310" s="75">
        <v>32.32</v>
      </c>
      <c r="N1310" s="325">
        <f t="shared" si="264"/>
        <v>91.539999999999992</v>
      </c>
      <c r="O1310" s="27"/>
      <c r="P1310" s="56"/>
      <c r="Q1310" s="26"/>
      <c r="S1310" s="330">
        <v>32.24</v>
      </c>
      <c r="T1310" s="34">
        <v>0.75</v>
      </c>
      <c r="U1310" s="366">
        <f t="shared" si="259"/>
        <v>3.0241935483870965E-2</v>
      </c>
      <c r="V1310" s="97">
        <v>0.85</v>
      </c>
      <c r="W1310" s="13">
        <f>RTD("money.excel",,"1516","Price")</f>
        <v>24.8</v>
      </c>
      <c r="X1310" s="67"/>
      <c r="Y1310" s="15">
        <f t="shared" si="260"/>
        <v>24.8</v>
      </c>
      <c r="Z1310" s="3" t="e">
        <f t="shared" si="261"/>
        <v>#DIV/0!</v>
      </c>
      <c r="AB1310" s="22" t="s">
        <v>720</v>
      </c>
      <c r="AE1310" s="33">
        <f t="shared" si="262"/>
        <v>0</v>
      </c>
      <c r="AF1310" s="43" t="s">
        <v>3337</v>
      </c>
      <c r="AG1310" s="128"/>
      <c r="AI1310" s="64">
        <f t="shared" si="263"/>
        <v>9.0697674418604643E-3</v>
      </c>
      <c r="AJ1310" s="313">
        <f>RTD("money.excel",,$G1310,"PredictVolume")</f>
        <v>312</v>
      </c>
      <c r="AK1310" s="348"/>
    </row>
    <row r="1311" spans="1:37">
      <c r="A1311" s="148" t="s">
        <v>1773</v>
      </c>
      <c r="B1311" s="93">
        <v>179</v>
      </c>
      <c r="C1311" s="93">
        <v>99</v>
      </c>
      <c r="D1311" s="93">
        <v>-6</v>
      </c>
      <c r="E1311" s="93">
        <v>-15</v>
      </c>
      <c r="F1311" s="6">
        <v>-0.05</v>
      </c>
      <c r="G1311" s="81">
        <v>1584</v>
      </c>
      <c r="H1311" s="8" t="s">
        <v>2303</v>
      </c>
      <c r="I1311" s="16" t="s">
        <v>684</v>
      </c>
      <c r="J1311" s="75">
        <v>44.66</v>
      </c>
      <c r="K1311" s="75">
        <v>0.03</v>
      </c>
      <c r="L1311" s="75">
        <v>11.05</v>
      </c>
      <c r="N1311" s="325">
        <f t="shared" si="264"/>
        <v>55.739999999999995</v>
      </c>
      <c r="O1311" s="27"/>
      <c r="P1311" s="56"/>
      <c r="Q1311" s="26"/>
      <c r="S1311" s="330">
        <v>29.72</v>
      </c>
      <c r="T1311" s="34">
        <v>0</v>
      </c>
      <c r="U1311" s="366">
        <f t="shared" si="259"/>
        <v>0</v>
      </c>
      <c r="V1311" s="97">
        <v>0.41</v>
      </c>
      <c r="W1311" s="36">
        <f>RTD("money.excel",,"1584","Price")</f>
        <v>18.149999999999999</v>
      </c>
      <c r="X1311" s="67"/>
      <c r="Y1311" s="15">
        <f t="shared" si="260"/>
        <v>18.149999999999999</v>
      </c>
      <c r="Z1311" s="3" t="e">
        <f t="shared" si="261"/>
        <v>#DIV/0!</v>
      </c>
      <c r="AA1311" s="174" t="s">
        <v>1943</v>
      </c>
      <c r="AB1311" s="16" t="s">
        <v>684</v>
      </c>
      <c r="AE1311" s="33">
        <f t="shared" si="262"/>
        <v>0</v>
      </c>
      <c r="AF1311" s="43" t="s">
        <v>2980</v>
      </c>
      <c r="AG1311" s="128"/>
      <c r="AI1311" s="64">
        <f t="shared" si="263"/>
        <v>1.262295081967213E-3</v>
      </c>
      <c r="AJ1311" s="313">
        <f>RTD("money.excel",,$G1311,"PredictVolume")</f>
        <v>154</v>
      </c>
      <c r="AK1311" s="348"/>
    </row>
    <row r="1312" spans="1:37">
      <c r="A1312" s="148" t="s">
        <v>2350</v>
      </c>
      <c r="B1312" s="81">
        <v>181</v>
      </c>
      <c r="C1312" s="81">
        <v>200</v>
      </c>
      <c r="D1312" s="81">
        <v>17</v>
      </c>
      <c r="E1312" s="81">
        <v>47</v>
      </c>
      <c r="F1312" s="6">
        <v>4.3</v>
      </c>
      <c r="G1312" s="81">
        <v>2062</v>
      </c>
      <c r="H1312" s="8" t="s">
        <v>2303</v>
      </c>
      <c r="I1312" s="22" t="s">
        <v>721</v>
      </c>
      <c r="J1312" s="330">
        <v>59.11</v>
      </c>
      <c r="K1312" s="330">
        <v>10.35</v>
      </c>
      <c r="L1312" s="75">
        <v>7.13</v>
      </c>
      <c r="N1312" s="325">
        <f t="shared" si="264"/>
        <v>76.589999999999989</v>
      </c>
      <c r="O1312" s="27"/>
      <c r="P1312" s="56"/>
      <c r="Q1312" s="26"/>
      <c r="S1312" s="330">
        <v>9.09</v>
      </c>
      <c r="T1312" s="34">
        <v>0.1</v>
      </c>
      <c r="U1312" s="366">
        <f t="shared" si="259"/>
        <v>3.7950664136622392E-3</v>
      </c>
      <c r="V1312" s="58">
        <v>1.73</v>
      </c>
      <c r="W1312" s="36">
        <f>RTD("money.excel",,"2062","Price")</f>
        <v>26.35</v>
      </c>
      <c r="X1312" s="67"/>
      <c r="Y1312" s="15">
        <f t="shared" si="260"/>
        <v>26.35</v>
      </c>
      <c r="Z1312" s="3" t="e">
        <f t="shared" si="261"/>
        <v>#DIV/0!</v>
      </c>
      <c r="AB1312" s="22" t="s">
        <v>721</v>
      </c>
      <c r="AE1312" s="33">
        <f t="shared" si="262"/>
        <v>0</v>
      </c>
      <c r="AF1312" s="43" t="s">
        <v>3338</v>
      </c>
      <c r="AG1312" s="128"/>
      <c r="AI1312" s="64">
        <f t="shared" si="263"/>
        <v>8.6499999999999999E-4</v>
      </c>
      <c r="AJ1312" s="313">
        <f>RTD("money.excel",,$G1312,"PredictVolume")</f>
        <v>173</v>
      </c>
      <c r="AK1312" s="348"/>
    </row>
    <row r="1313" spans="1:37">
      <c r="A1313" s="148" t="s">
        <v>2297</v>
      </c>
      <c r="B1313" s="93">
        <v>-42</v>
      </c>
      <c r="C1313" s="93">
        <v>-38</v>
      </c>
      <c r="D1313" s="93">
        <v>224</v>
      </c>
      <c r="E1313" s="93">
        <v>-1</v>
      </c>
      <c r="F1313" s="6">
        <v>9.0299999999999994</v>
      </c>
      <c r="G1313" s="81">
        <v>2221</v>
      </c>
      <c r="H1313" s="8" t="s">
        <v>2303</v>
      </c>
      <c r="I1313" s="16" t="s">
        <v>562</v>
      </c>
      <c r="J1313" s="75">
        <v>65.41</v>
      </c>
      <c r="K1313" s="330">
        <v>0.53</v>
      </c>
      <c r="L1313" s="75">
        <v>13.65</v>
      </c>
      <c r="N1313" s="325">
        <f t="shared" si="264"/>
        <v>79.59</v>
      </c>
      <c r="O1313" s="27"/>
      <c r="P1313" s="56"/>
      <c r="Q1313" s="26"/>
      <c r="S1313" s="330">
        <v>56.72</v>
      </c>
      <c r="T1313" s="34">
        <v>1</v>
      </c>
      <c r="U1313" s="366">
        <f t="shared" si="259"/>
        <v>2.7586206896551724E-2</v>
      </c>
      <c r="V1313" s="97">
        <v>1.5</v>
      </c>
      <c r="W1313" s="13">
        <f>RTD("money.excel",,"2221","Price")</f>
        <v>36.25</v>
      </c>
      <c r="X1313" s="67"/>
      <c r="Y1313" s="15">
        <f t="shared" si="260"/>
        <v>36.25</v>
      </c>
      <c r="Z1313" s="3" t="e">
        <f t="shared" si="261"/>
        <v>#DIV/0!</v>
      </c>
      <c r="AB1313" s="16" t="s">
        <v>562</v>
      </c>
      <c r="AE1313" s="33">
        <f t="shared" si="262"/>
        <v>0</v>
      </c>
      <c r="AF1313" s="43" t="s">
        <v>2979</v>
      </c>
      <c r="AG1313" s="128"/>
      <c r="AI1313" s="64">
        <f t="shared" si="263"/>
        <v>1.8439716312056735E-3</v>
      </c>
      <c r="AJ1313" s="313">
        <f>RTD("money.excel",,$G1313,"PredictVolume")</f>
        <v>78</v>
      </c>
      <c r="AK1313" s="348"/>
    </row>
    <row r="1314" spans="1:37">
      <c r="A1314" s="132" t="s">
        <v>1927</v>
      </c>
      <c r="B1314" s="81">
        <v>38</v>
      </c>
      <c r="C1314" s="81">
        <v>53</v>
      </c>
      <c r="D1314" s="81">
        <v>71</v>
      </c>
      <c r="E1314" s="81">
        <v>146</v>
      </c>
      <c r="F1314" s="58">
        <v>44.29</v>
      </c>
      <c r="G1314" s="81">
        <v>2348</v>
      </c>
      <c r="H1314" s="8" t="s">
        <v>2303</v>
      </c>
      <c r="I1314" s="22" t="s">
        <v>722</v>
      </c>
      <c r="J1314" s="75">
        <v>73.63</v>
      </c>
      <c r="K1314" s="330">
        <v>2.58</v>
      </c>
      <c r="L1314" s="330">
        <v>7.04</v>
      </c>
      <c r="M1314" s="330">
        <v>54.11</v>
      </c>
      <c r="N1314" s="75">
        <f t="shared" si="264"/>
        <v>137.36000000000001</v>
      </c>
      <c r="O1314" s="27"/>
      <c r="P1314" s="56"/>
      <c r="Q1314" s="26"/>
      <c r="R1314" s="308" t="s">
        <v>4373</v>
      </c>
      <c r="S1314" s="330">
        <v>0.64</v>
      </c>
      <c r="T1314" s="67">
        <v>8</v>
      </c>
      <c r="U1314" s="366">
        <f t="shared" si="259"/>
        <v>7.9601990049751242E-2</v>
      </c>
      <c r="V1314" s="58">
        <v>16.97</v>
      </c>
      <c r="W1314" s="36">
        <f>RTD("money.excel",,"2348","Price")</f>
        <v>100.5</v>
      </c>
      <c r="X1314" s="67"/>
      <c r="Y1314" s="15">
        <f t="shared" si="260"/>
        <v>100.5</v>
      </c>
      <c r="Z1314" s="3" t="e">
        <f t="shared" si="261"/>
        <v>#DIV/0!</v>
      </c>
      <c r="AA1314" s="174" t="s">
        <v>2185</v>
      </c>
      <c r="AB1314" s="22" t="s">
        <v>722</v>
      </c>
      <c r="AE1314" s="33">
        <f t="shared" si="262"/>
        <v>0</v>
      </c>
      <c r="AF1314" s="43" t="s">
        <v>2910</v>
      </c>
      <c r="AG1314" s="128"/>
      <c r="AI1314" s="64">
        <f t="shared" si="263"/>
        <v>8.4905660377358489E-4</v>
      </c>
      <c r="AJ1314" s="313">
        <f>RTD("money.excel",,$G1314,"PredictVolume")</f>
        <v>90</v>
      </c>
      <c r="AK1314" s="348"/>
    </row>
    <row r="1315" spans="1:37">
      <c r="A1315" s="148" t="s">
        <v>1827</v>
      </c>
      <c r="B1315" s="82">
        <v>-194</v>
      </c>
      <c r="C1315" s="82">
        <v>-48</v>
      </c>
      <c r="D1315" s="82">
        <v>-1</v>
      </c>
      <c r="E1315" s="82">
        <v>-3</v>
      </c>
      <c r="F1315" s="6">
        <v>1.82</v>
      </c>
      <c r="G1315" s="81">
        <v>2358</v>
      </c>
      <c r="H1315" s="8" t="s">
        <v>2303</v>
      </c>
      <c r="I1315" s="22" t="s">
        <v>723</v>
      </c>
      <c r="J1315" s="75">
        <v>35.56</v>
      </c>
      <c r="K1315" s="330">
        <v>0.79</v>
      </c>
      <c r="L1315" s="75">
        <v>24.74</v>
      </c>
      <c r="N1315" s="325">
        <f t="shared" si="264"/>
        <v>61.09</v>
      </c>
      <c r="O1315" s="27"/>
      <c r="P1315" s="56"/>
      <c r="Q1315" s="26"/>
      <c r="S1315" s="330">
        <v>0.38</v>
      </c>
      <c r="T1315" s="34">
        <v>0.1</v>
      </c>
      <c r="U1315" s="366">
        <f t="shared" si="259"/>
        <v>4.1753653444676414E-3</v>
      </c>
      <c r="V1315" s="97">
        <v>0.04</v>
      </c>
      <c r="W1315" s="36">
        <f>RTD("money.excel",,"2358","Price")</f>
        <v>23.95</v>
      </c>
      <c r="X1315" s="67"/>
      <c r="Y1315" s="15">
        <f t="shared" si="260"/>
        <v>23.95</v>
      </c>
      <c r="Z1315" s="3" t="e">
        <f t="shared" si="261"/>
        <v>#DIV/0!</v>
      </c>
      <c r="AA1315" s="174" t="s">
        <v>1943</v>
      </c>
      <c r="AB1315" s="22" t="s">
        <v>723</v>
      </c>
      <c r="AE1315" s="33">
        <f t="shared" si="262"/>
        <v>0</v>
      </c>
      <c r="AF1315" s="43" t="s">
        <v>3339</v>
      </c>
      <c r="AG1315" s="128"/>
      <c r="AI1315" s="64">
        <f t="shared" si="263"/>
        <v>3.3903225806451616E-2</v>
      </c>
      <c r="AJ1315" s="313">
        <f>RTD("money.excel",,$G1315,"PredictVolume")</f>
        <v>4204</v>
      </c>
      <c r="AK1315" s="348"/>
    </row>
    <row r="1316" spans="1:37">
      <c r="A1316" s="148" t="s">
        <v>1851</v>
      </c>
      <c r="B1316" s="93">
        <v>-34</v>
      </c>
      <c r="C1316" s="93">
        <v>8</v>
      </c>
      <c r="D1316" s="93">
        <v>-20</v>
      </c>
      <c r="E1316" s="93">
        <v>73</v>
      </c>
      <c r="F1316" s="6">
        <v>-66.930000000000007</v>
      </c>
      <c r="G1316" s="81">
        <v>2443</v>
      </c>
      <c r="H1316" s="8" t="s">
        <v>2303</v>
      </c>
      <c r="I1316" s="22" t="s">
        <v>3959</v>
      </c>
      <c r="J1316" s="75">
        <v>51.97</v>
      </c>
      <c r="K1316" s="75">
        <v>0.14000000000000001</v>
      </c>
      <c r="L1316" s="75">
        <v>0</v>
      </c>
      <c r="N1316" s="325">
        <f t="shared" si="264"/>
        <v>52.11</v>
      </c>
      <c r="O1316" s="27"/>
      <c r="P1316" s="56"/>
      <c r="Q1316" s="26"/>
      <c r="S1316" s="330">
        <v>8.59</v>
      </c>
      <c r="T1316" s="34">
        <v>0</v>
      </c>
      <c r="U1316" s="366">
        <f t="shared" si="259"/>
        <v>0</v>
      </c>
      <c r="V1316" s="97">
        <v>-3.09</v>
      </c>
      <c r="W1316" s="13">
        <f>RTD("money.excel",,"2443","Price")</f>
        <v>3.5</v>
      </c>
      <c r="X1316" s="67"/>
      <c r="Y1316" s="15">
        <f t="shared" si="260"/>
        <v>3.5</v>
      </c>
      <c r="Z1316" s="3" t="e">
        <f t="shared" si="261"/>
        <v>#DIV/0!</v>
      </c>
      <c r="AB1316" s="22" t="s">
        <v>3959</v>
      </c>
      <c r="AE1316" s="33">
        <f t="shared" si="262"/>
        <v>0</v>
      </c>
      <c r="AF1316" s="43" t="s">
        <v>3340</v>
      </c>
      <c r="AG1316" s="128"/>
      <c r="AI1316" s="64">
        <f t="shared" si="263"/>
        <v>6.2068965517241383E-5</v>
      </c>
      <c r="AJ1316" s="313">
        <f>RTD("money.excel",,$G1316,"PredictVolume")</f>
        <v>9</v>
      </c>
      <c r="AK1316" s="348"/>
    </row>
    <row r="1317" spans="1:37">
      <c r="A1317" s="132" t="s">
        <v>1902</v>
      </c>
      <c r="B1317" s="93">
        <v>-46</v>
      </c>
      <c r="C1317" s="93">
        <v>-53</v>
      </c>
      <c r="D1317" s="93">
        <v>-10</v>
      </c>
      <c r="E1317" s="93">
        <v>-6</v>
      </c>
      <c r="F1317" s="6">
        <v>8.02</v>
      </c>
      <c r="G1317" s="81">
        <v>2496</v>
      </c>
      <c r="H1317" s="8" t="s">
        <v>2303</v>
      </c>
      <c r="I1317" s="22" t="s">
        <v>556</v>
      </c>
      <c r="J1317" s="330">
        <v>66.55</v>
      </c>
      <c r="K1317" s="75">
        <v>58.36</v>
      </c>
      <c r="L1317" s="330">
        <v>14.59</v>
      </c>
      <c r="N1317" s="325">
        <f t="shared" si="264"/>
        <v>139.5</v>
      </c>
      <c r="O1317" s="27"/>
      <c r="P1317" s="56"/>
      <c r="Q1317" s="26"/>
      <c r="S1317" s="330">
        <v>19.96</v>
      </c>
      <c r="T1317" s="67">
        <v>4.5</v>
      </c>
      <c r="U1317" s="366">
        <f t="shared" si="259"/>
        <v>9.1649694501018328E-2</v>
      </c>
      <c r="V1317" s="97">
        <v>3.37</v>
      </c>
      <c r="W1317" s="13">
        <f>RTD("money.excel",,"2496","Price")</f>
        <v>49.1</v>
      </c>
      <c r="X1317" s="67"/>
      <c r="Y1317" s="15">
        <f t="shared" si="260"/>
        <v>49.1</v>
      </c>
      <c r="Z1317" s="3" t="e">
        <f t="shared" si="261"/>
        <v>#DIV/0!</v>
      </c>
      <c r="AA1317" s="174" t="s">
        <v>1986</v>
      </c>
      <c r="AB1317" s="22" t="s">
        <v>556</v>
      </c>
      <c r="AE1317" s="33">
        <f t="shared" si="262"/>
        <v>0</v>
      </c>
      <c r="AF1317" s="43" t="s">
        <v>3341</v>
      </c>
      <c r="AG1317" s="128"/>
      <c r="AI1317" s="64">
        <f t="shared" si="263"/>
        <v>6.2857142857142853E-4</v>
      </c>
      <c r="AJ1317" s="313">
        <f>RTD("money.excel",,$G1317,"PredictVolume")</f>
        <v>11</v>
      </c>
      <c r="AK1317" s="348"/>
    </row>
    <row r="1318" spans="1:37">
      <c r="A1318" s="148" t="s">
        <v>3680</v>
      </c>
      <c r="B1318" s="81">
        <v>-138</v>
      </c>
      <c r="C1318" s="81">
        <v>457</v>
      </c>
      <c r="D1318" s="93">
        <v>-59</v>
      </c>
      <c r="E1318" s="81">
        <v>75</v>
      </c>
      <c r="F1318" s="6">
        <v>3.43</v>
      </c>
      <c r="G1318" s="81">
        <v>2514</v>
      </c>
      <c r="H1318" s="8" t="s">
        <v>2303</v>
      </c>
      <c r="I1318" s="22" t="s">
        <v>725</v>
      </c>
      <c r="J1318" s="330">
        <v>91.4</v>
      </c>
      <c r="K1318" s="330">
        <v>7.24</v>
      </c>
      <c r="L1318" s="330">
        <v>13.56</v>
      </c>
      <c r="N1318" s="325">
        <f t="shared" si="264"/>
        <v>112.2</v>
      </c>
      <c r="O1318" s="27"/>
      <c r="P1318" s="56"/>
      <c r="Q1318" s="26"/>
      <c r="S1318" s="330">
        <v>22.44</v>
      </c>
      <c r="T1318" s="34">
        <v>0</v>
      </c>
      <c r="U1318" s="366">
        <f t="shared" si="259"/>
        <v>0</v>
      </c>
      <c r="V1318" s="97">
        <v>3.05</v>
      </c>
      <c r="W1318" s="36">
        <f>RTD("money.excel",,"2514","Price")</f>
        <v>17.5</v>
      </c>
      <c r="X1318" s="67"/>
      <c r="Y1318" s="15">
        <f t="shared" si="260"/>
        <v>17.5</v>
      </c>
      <c r="Z1318" s="3" t="e">
        <f t="shared" si="261"/>
        <v>#DIV/0!</v>
      </c>
      <c r="AA1318" s="174" t="s">
        <v>1943</v>
      </c>
      <c r="AB1318" s="22" t="s">
        <v>725</v>
      </c>
      <c r="AE1318" s="33">
        <f t="shared" si="262"/>
        <v>0</v>
      </c>
      <c r="AF1318" s="43" t="s">
        <v>5109</v>
      </c>
      <c r="AG1318" s="269"/>
      <c r="AI1318" s="64">
        <f t="shared" si="263"/>
        <v>7.1065989847715741E-5</v>
      </c>
      <c r="AJ1318" s="313">
        <f>RTD("money.excel",,$G1318,"PredictVolume")</f>
        <v>28</v>
      </c>
      <c r="AK1318" s="348"/>
    </row>
    <row r="1319" spans="1:37">
      <c r="A1319" s="132" t="s">
        <v>2122</v>
      </c>
      <c r="B1319" s="82">
        <v>-30</v>
      </c>
      <c r="C1319" s="82">
        <v>-34</v>
      </c>
      <c r="D1319" s="81">
        <v>7</v>
      </c>
      <c r="E1319" s="81">
        <v>16</v>
      </c>
      <c r="F1319" s="58">
        <v>13.78</v>
      </c>
      <c r="G1319" s="81">
        <v>2640</v>
      </c>
      <c r="H1319" s="8" t="s">
        <v>2303</v>
      </c>
      <c r="I1319" s="16" t="s">
        <v>5952</v>
      </c>
      <c r="J1319" s="330">
        <v>58.16</v>
      </c>
      <c r="K1319" s="75">
        <v>4.04</v>
      </c>
      <c r="L1319" s="330">
        <v>10.7</v>
      </c>
      <c r="M1319" s="75">
        <v>30.18</v>
      </c>
      <c r="N1319" s="325">
        <f t="shared" si="264"/>
        <v>103.07999999999998</v>
      </c>
      <c r="O1319" s="27"/>
      <c r="P1319" s="56"/>
      <c r="Q1319" s="26"/>
      <c r="R1319" s="308" t="s">
        <v>4373</v>
      </c>
      <c r="S1319" s="330">
        <v>0</v>
      </c>
      <c r="T1319" s="67">
        <v>4.4000000000000004</v>
      </c>
      <c r="U1319" s="366">
        <f t="shared" si="259"/>
        <v>5.4054054054054057E-2</v>
      </c>
      <c r="V1319" s="58">
        <v>4.0199999999999996</v>
      </c>
      <c r="W1319" s="13">
        <f>RTD("money.excel",,"2640","Price")</f>
        <v>81.400000000000006</v>
      </c>
      <c r="X1319" s="67"/>
      <c r="Y1319" s="15">
        <f t="shared" si="260"/>
        <v>81.400000000000006</v>
      </c>
      <c r="Z1319" s="3" t="e">
        <f t="shared" si="261"/>
        <v>#DIV/0!</v>
      </c>
      <c r="AA1319" s="174" t="s">
        <v>1986</v>
      </c>
      <c r="AB1319" s="16" t="s">
        <v>5952</v>
      </c>
      <c r="AE1319" s="33">
        <f t="shared" si="262"/>
        <v>0</v>
      </c>
      <c r="AF1319" s="122" t="s">
        <v>2977</v>
      </c>
      <c r="AG1319" s="128"/>
      <c r="AI1319" s="64">
        <f t="shared" si="263"/>
        <v>4.3844856661045531E-4</v>
      </c>
      <c r="AJ1319" s="313">
        <f>RTD("money.excel",,$G1319,"PredictVolume")</f>
        <v>26</v>
      </c>
      <c r="AK1319" s="348"/>
    </row>
    <row r="1320" spans="1:37">
      <c r="A1320" s="132" t="s">
        <v>3681</v>
      </c>
      <c r="B1320" s="93">
        <v>21</v>
      </c>
      <c r="C1320" s="93">
        <v>3</v>
      </c>
      <c r="D1320" s="93">
        <v>-17</v>
      </c>
      <c r="E1320" s="93">
        <v>4</v>
      </c>
      <c r="F1320" s="58">
        <v>30.23</v>
      </c>
      <c r="G1320" s="81">
        <v>2904</v>
      </c>
      <c r="H1320" s="8" t="s">
        <v>2303</v>
      </c>
      <c r="I1320" s="22" t="s">
        <v>726</v>
      </c>
      <c r="J1320" s="75">
        <v>50.83</v>
      </c>
      <c r="K1320" s="75">
        <v>0.11</v>
      </c>
      <c r="L1320" s="75">
        <v>0.34</v>
      </c>
      <c r="N1320" s="325">
        <f t="shared" si="264"/>
        <v>51.28</v>
      </c>
      <c r="O1320" s="27"/>
      <c r="P1320" s="56"/>
      <c r="Q1320" s="26"/>
      <c r="S1320" s="330">
        <v>42.59</v>
      </c>
      <c r="T1320" s="34">
        <v>2</v>
      </c>
      <c r="U1320" s="366">
        <f t="shared" si="259"/>
        <v>8.2135523613963035E-2</v>
      </c>
      <c r="V1320" s="97">
        <v>2.31</v>
      </c>
      <c r="W1320" s="13">
        <f>RTD("money.excel",,"2904","Price")</f>
        <v>24.35</v>
      </c>
      <c r="X1320" s="67"/>
      <c r="Y1320" s="15">
        <f t="shared" si="260"/>
        <v>24.35</v>
      </c>
      <c r="Z1320" s="3" t="e">
        <f t="shared" si="261"/>
        <v>#DIV/0!</v>
      </c>
      <c r="AB1320" s="22" t="s">
        <v>726</v>
      </c>
      <c r="AE1320" s="33">
        <f t="shared" si="262"/>
        <v>0</v>
      </c>
      <c r="AF1320" s="43" t="s">
        <v>3342</v>
      </c>
      <c r="AG1320" s="128"/>
      <c r="AI1320" s="64">
        <f t="shared" si="263"/>
        <v>6.8115942028985509E-4</v>
      </c>
      <c r="AJ1320" s="313">
        <f>RTD("money.excel",,$G1320,"PredictVolume")</f>
        <v>47</v>
      </c>
      <c r="AK1320" s="348"/>
    </row>
    <row r="1321" spans="1:37">
      <c r="A1321" s="132" t="s">
        <v>3682</v>
      </c>
      <c r="B1321" s="93">
        <v>445</v>
      </c>
      <c r="C1321" s="93">
        <v>-57</v>
      </c>
      <c r="D1321" s="93">
        <v>2</v>
      </c>
      <c r="E1321" s="93">
        <v>27</v>
      </c>
      <c r="F1321" s="58">
        <v>37.83</v>
      </c>
      <c r="G1321" s="81">
        <v>3040</v>
      </c>
      <c r="H1321" s="8" t="s">
        <v>2303</v>
      </c>
      <c r="I1321" s="22" t="s">
        <v>727</v>
      </c>
      <c r="J1321" s="330">
        <v>54.3</v>
      </c>
      <c r="K1321" s="330">
        <v>17.3</v>
      </c>
      <c r="L1321" s="330">
        <v>2.63</v>
      </c>
      <c r="N1321" s="325">
        <f t="shared" si="264"/>
        <v>74.22999999999999</v>
      </c>
      <c r="O1321" s="27"/>
      <c r="P1321" s="56"/>
      <c r="Q1321" s="26"/>
      <c r="S1321" s="330">
        <v>21.79</v>
      </c>
      <c r="T1321" s="67">
        <v>5.7</v>
      </c>
      <c r="U1321" s="366">
        <f t="shared" si="259"/>
        <v>0.15099337748344371</v>
      </c>
      <c r="V1321" s="97">
        <v>6.34</v>
      </c>
      <c r="W1321" s="13">
        <f>RTD("money.excel",,"3040","Price")</f>
        <v>37.75</v>
      </c>
      <c r="X1321" s="67"/>
      <c r="Y1321" s="15">
        <f t="shared" si="260"/>
        <v>37.75</v>
      </c>
      <c r="Z1321" s="3" t="e">
        <f t="shared" si="261"/>
        <v>#DIV/0!</v>
      </c>
      <c r="AA1321" s="174" t="s">
        <v>1986</v>
      </c>
      <c r="AB1321" s="22" t="s">
        <v>727</v>
      </c>
      <c r="AE1321" s="33">
        <f t="shared" si="262"/>
        <v>0</v>
      </c>
      <c r="AF1321" s="43" t="s">
        <v>3343</v>
      </c>
      <c r="AG1321" s="128"/>
      <c r="AI1321" s="64">
        <f t="shared" si="263"/>
        <v>7.7777777777777773E-4</v>
      </c>
      <c r="AJ1321" s="313">
        <f>RTD("money.excel",,$G1321,"PredictVolume")</f>
        <v>49</v>
      </c>
      <c r="AK1321" s="348"/>
    </row>
    <row r="1322" spans="1:37">
      <c r="A1322" s="148" t="s">
        <v>3599</v>
      </c>
      <c r="B1322" s="82">
        <v>-142</v>
      </c>
      <c r="C1322" s="82">
        <v>-104</v>
      </c>
      <c r="D1322" s="82">
        <v>-10</v>
      </c>
      <c r="E1322" s="82">
        <v>-16</v>
      </c>
      <c r="F1322" s="6">
        <v>-5.22</v>
      </c>
      <c r="G1322" s="81">
        <v>3284</v>
      </c>
      <c r="H1322" s="8" t="s">
        <v>2303</v>
      </c>
      <c r="I1322" s="16" t="s">
        <v>685</v>
      </c>
      <c r="J1322" s="330">
        <v>46.78</v>
      </c>
      <c r="K1322" s="330">
        <v>0.51</v>
      </c>
      <c r="L1322" s="330">
        <v>35.700000000000003</v>
      </c>
      <c r="N1322" s="325">
        <f t="shared" si="264"/>
        <v>82.990000000000009</v>
      </c>
      <c r="O1322" s="27"/>
      <c r="P1322" s="56"/>
      <c r="Q1322" s="26"/>
      <c r="S1322" s="330">
        <v>2.58</v>
      </c>
      <c r="T1322" s="34">
        <v>0</v>
      </c>
      <c r="U1322" s="366">
        <f t="shared" si="259"/>
        <v>0</v>
      </c>
      <c r="V1322" s="97">
        <v>-1.49</v>
      </c>
      <c r="W1322" s="36">
        <f>RTD("money.excel",,"3284","Price")</f>
        <v>13.6</v>
      </c>
      <c r="X1322" s="67"/>
      <c r="Y1322" s="15">
        <f t="shared" si="260"/>
        <v>13.6</v>
      </c>
      <c r="Z1322" s="3" t="e">
        <f t="shared" si="261"/>
        <v>#DIV/0!</v>
      </c>
      <c r="AB1322" s="16" t="s">
        <v>685</v>
      </c>
      <c r="AE1322" s="33">
        <f t="shared" si="262"/>
        <v>0</v>
      </c>
      <c r="AF1322" s="43" t="s">
        <v>2978</v>
      </c>
      <c r="AG1322" s="128"/>
      <c r="AI1322" s="64">
        <f t="shared" si="263"/>
        <v>3.3928571428571428E-4</v>
      </c>
      <c r="AJ1322" s="313">
        <f>RTD("money.excel",,$G1322,"PredictVolume")</f>
        <v>19</v>
      </c>
      <c r="AK1322" s="348"/>
    </row>
    <row r="1323" spans="1:37">
      <c r="A1323" s="132" t="s">
        <v>2694</v>
      </c>
      <c r="B1323" s="81">
        <v>1</v>
      </c>
      <c r="C1323" s="81">
        <v>6</v>
      </c>
      <c r="D1323" s="81">
        <v>35</v>
      </c>
      <c r="E1323" s="81">
        <v>23</v>
      </c>
      <c r="F1323" s="58">
        <v>16.739999999999998</v>
      </c>
      <c r="G1323" s="81">
        <v>3557</v>
      </c>
      <c r="H1323" s="8" t="s">
        <v>2303</v>
      </c>
      <c r="I1323" s="22" t="s">
        <v>476</v>
      </c>
      <c r="J1323" s="75">
        <v>52.16</v>
      </c>
      <c r="K1323" s="330">
        <v>18.190000000000001</v>
      </c>
      <c r="L1323" s="75">
        <v>34.97</v>
      </c>
      <c r="N1323" s="325">
        <f t="shared" si="264"/>
        <v>105.32</v>
      </c>
      <c r="O1323" s="27"/>
      <c r="P1323" s="56"/>
      <c r="Q1323" s="26"/>
      <c r="S1323" s="330">
        <v>0.27</v>
      </c>
      <c r="T1323" s="67">
        <v>3.65</v>
      </c>
      <c r="U1323" s="366">
        <f t="shared" si="259"/>
        <v>5.0835654596100281E-2</v>
      </c>
      <c r="V1323" s="58">
        <v>10.08</v>
      </c>
      <c r="W1323" s="36">
        <f>RTD("money.excel",,"3557","Price")</f>
        <v>71.8</v>
      </c>
      <c r="X1323" s="67"/>
      <c r="Y1323" s="15">
        <f t="shared" si="260"/>
        <v>71.8</v>
      </c>
      <c r="Z1323" s="3" t="e">
        <f t="shared" si="261"/>
        <v>#DIV/0!</v>
      </c>
      <c r="AA1323" s="174" t="s">
        <v>2185</v>
      </c>
      <c r="AB1323" s="22" t="s">
        <v>476</v>
      </c>
      <c r="AE1323" s="33">
        <f t="shared" si="262"/>
        <v>0</v>
      </c>
      <c r="AF1323" s="43" t="s">
        <v>4172</v>
      </c>
      <c r="AG1323" s="128"/>
      <c r="AI1323" s="64">
        <f t="shared" si="263"/>
        <v>5.8530510585305109E-4</v>
      </c>
      <c r="AJ1323" s="313">
        <f>RTD("money.excel",,$G1323,"PredictVolume")</f>
        <v>47</v>
      </c>
      <c r="AK1323" s="348"/>
    </row>
    <row r="1324" spans="1:37">
      <c r="A1324" s="148" t="s">
        <v>2663</v>
      </c>
      <c r="B1324" s="93">
        <v>-111</v>
      </c>
      <c r="C1324" s="93">
        <v>-539</v>
      </c>
      <c r="D1324" s="93">
        <v>14</v>
      </c>
      <c r="E1324" s="93">
        <v>81</v>
      </c>
      <c r="F1324" s="6">
        <v>7.45</v>
      </c>
      <c r="G1324" s="81">
        <v>4430</v>
      </c>
      <c r="H1324" s="8" t="s">
        <v>2303</v>
      </c>
      <c r="I1324" s="16" t="s">
        <v>686</v>
      </c>
      <c r="J1324" s="75">
        <v>65.459999999999994</v>
      </c>
      <c r="K1324" s="75">
        <v>2.2200000000000002</v>
      </c>
      <c r="L1324" s="75">
        <v>3.41</v>
      </c>
      <c r="N1324" s="325">
        <f t="shared" si="264"/>
        <v>71.089999999999989</v>
      </c>
      <c r="O1324" s="27"/>
      <c r="P1324" s="56"/>
      <c r="Q1324" s="26"/>
      <c r="S1324" s="330">
        <v>41.77</v>
      </c>
      <c r="T1324" s="34">
        <v>0.5</v>
      </c>
      <c r="U1324" s="366">
        <f t="shared" si="259"/>
        <v>2.1008403361344536E-2</v>
      </c>
      <c r="V1324" s="97">
        <v>-0.24</v>
      </c>
      <c r="W1324" s="13">
        <f>RTD("money.excel",,"4430","Price")</f>
        <v>23.8</v>
      </c>
      <c r="X1324" s="67"/>
      <c r="Y1324" s="15">
        <f t="shared" si="260"/>
        <v>23.8</v>
      </c>
      <c r="Z1324" s="3" t="e">
        <f t="shared" si="261"/>
        <v>#DIV/0!</v>
      </c>
      <c r="AB1324" s="16" t="s">
        <v>686</v>
      </c>
      <c r="AE1324" s="33">
        <f t="shared" si="262"/>
        <v>0</v>
      </c>
      <c r="AF1324" s="43" t="s">
        <v>2981</v>
      </c>
      <c r="AG1324" s="128"/>
      <c r="AI1324" s="64">
        <f t="shared" si="263"/>
        <v>3.019538188277087E-4</v>
      </c>
      <c r="AJ1324" s="313">
        <f>RTD("money.excel",,$G1324,"PredictVolume")</f>
        <v>17</v>
      </c>
      <c r="AK1324" s="348"/>
    </row>
    <row r="1325" spans="1:37">
      <c r="A1325" s="148" t="s">
        <v>3975</v>
      </c>
      <c r="B1325" s="81">
        <v>51</v>
      </c>
      <c r="C1325" s="82">
        <v>-20</v>
      </c>
      <c r="D1325" s="82">
        <v>-31</v>
      </c>
      <c r="E1325" s="82">
        <v>-45</v>
      </c>
      <c r="F1325" s="47">
        <v>-1960</v>
      </c>
      <c r="G1325" s="81">
        <v>4529</v>
      </c>
      <c r="H1325" s="8" t="s">
        <v>2303</v>
      </c>
      <c r="I1325" s="16" t="s">
        <v>687</v>
      </c>
      <c r="J1325" s="75">
        <v>54.18</v>
      </c>
      <c r="K1325" s="75">
        <v>10.17</v>
      </c>
      <c r="L1325" s="330">
        <v>0</v>
      </c>
      <c r="N1325" s="325">
        <f t="shared" si="264"/>
        <v>64.349999999999994</v>
      </c>
      <c r="O1325" s="27"/>
      <c r="P1325" s="56"/>
      <c r="Q1325" s="26"/>
      <c r="S1325" s="330">
        <v>0</v>
      </c>
      <c r="T1325" s="34">
        <v>0</v>
      </c>
      <c r="U1325" s="366">
        <f t="shared" si="259"/>
        <v>0</v>
      </c>
      <c r="V1325" s="58">
        <v>-3.15</v>
      </c>
      <c r="W1325" s="36">
        <f>RTD("money.excel",,"4529","Price")</f>
        <v>12.3</v>
      </c>
      <c r="X1325" s="67"/>
      <c r="Y1325" s="15">
        <f t="shared" si="260"/>
        <v>12.3</v>
      </c>
      <c r="Z1325" s="3" t="e">
        <f t="shared" si="261"/>
        <v>#DIV/0!</v>
      </c>
      <c r="AB1325" s="16" t="s">
        <v>687</v>
      </c>
      <c r="AE1325" s="33">
        <f t="shared" si="262"/>
        <v>0</v>
      </c>
      <c r="AF1325" s="43" t="s">
        <v>2982</v>
      </c>
      <c r="AG1325" s="128"/>
      <c r="AI1325" s="64">
        <f t="shared" si="263"/>
        <v>1.4780600461893765E-3</v>
      </c>
      <c r="AJ1325" s="313">
        <f>RTD("money.excel",,$G1325,"PredictVolume")</f>
        <v>128</v>
      </c>
      <c r="AK1325" s="348"/>
    </row>
    <row r="1326" spans="1:37">
      <c r="A1326" s="132" t="s">
        <v>1755</v>
      </c>
      <c r="B1326" s="81">
        <v>45</v>
      </c>
      <c r="C1326" s="81">
        <v>9</v>
      </c>
      <c r="D1326" s="81">
        <v>22</v>
      </c>
      <c r="E1326" s="81">
        <v>28</v>
      </c>
      <c r="F1326" s="58">
        <v>14.06</v>
      </c>
      <c r="G1326" s="81">
        <v>4536</v>
      </c>
      <c r="H1326" s="8" t="s">
        <v>2303</v>
      </c>
      <c r="I1326" s="22" t="s">
        <v>728</v>
      </c>
      <c r="J1326" s="330">
        <v>45.44</v>
      </c>
      <c r="K1326" s="330">
        <v>17.12</v>
      </c>
      <c r="L1326" s="330">
        <v>2.59</v>
      </c>
      <c r="N1326" s="325">
        <f t="shared" si="264"/>
        <v>65.150000000000006</v>
      </c>
      <c r="O1326" s="27"/>
      <c r="P1326" s="56"/>
      <c r="Q1326" s="26"/>
      <c r="S1326" s="330">
        <v>0.17</v>
      </c>
      <c r="T1326" s="67">
        <v>5</v>
      </c>
      <c r="U1326" s="366">
        <f t="shared" si="259"/>
        <v>3.8167938931297711E-2</v>
      </c>
      <c r="V1326" s="97">
        <v>8.9</v>
      </c>
      <c r="W1326" s="36">
        <f>RTD("money.excel",,"4536","Price")</f>
        <v>131</v>
      </c>
      <c r="X1326" s="67"/>
      <c r="Y1326" s="15">
        <f t="shared" si="260"/>
        <v>131</v>
      </c>
      <c r="Z1326" s="3" t="e">
        <f t="shared" si="261"/>
        <v>#DIV/0!</v>
      </c>
      <c r="AA1326" s="174" t="s">
        <v>2185</v>
      </c>
      <c r="AB1326" s="22" t="s">
        <v>728</v>
      </c>
      <c r="AE1326" s="33">
        <f t="shared" si="262"/>
        <v>0</v>
      </c>
      <c r="AF1326" s="43" t="s">
        <v>2564</v>
      </c>
      <c r="AG1326" s="128"/>
      <c r="AI1326" s="64">
        <f t="shared" si="263"/>
        <v>2.6431718061674007E-4</v>
      </c>
      <c r="AJ1326" s="313">
        <f>RTD("money.excel",,$G1326,"PredictVolume")</f>
        <v>24</v>
      </c>
      <c r="AK1326" s="348"/>
    </row>
    <row r="1327" spans="1:37">
      <c r="A1327" s="148" t="s">
        <v>2012</v>
      </c>
      <c r="B1327" s="82">
        <v>-40</v>
      </c>
      <c r="C1327" s="81">
        <v>7</v>
      </c>
      <c r="D1327" s="81">
        <v>33</v>
      </c>
      <c r="E1327" s="82">
        <v>-8</v>
      </c>
      <c r="F1327" s="6">
        <v>6.44</v>
      </c>
      <c r="G1327" s="81">
        <v>4541</v>
      </c>
      <c r="H1327" s="8" t="s">
        <v>2303</v>
      </c>
      <c r="I1327" s="16" t="s">
        <v>688</v>
      </c>
      <c r="J1327" s="330">
        <v>50.8</v>
      </c>
      <c r="K1327" s="330">
        <v>2.37</v>
      </c>
      <c r="L1327" s="330">
        <v>6.42</v>
      </c>
      <c r="N1327" s="325">
        <f t="shared" si="264"/>
        <v>59.589999999999996</v>
      </c>
      <c r="O1327" s="27"/>
      <c r="P1327" s="56"/>
      <c r="Q1327" s="26"/>
      <c r="S1327" s="330">
        <v>15.82</v>
      </c>
      <c r="T1327" s="34">
        <v>0.2</v>
      </c>
      <c r="U1327" s="366">
        <f t="shared" si="259"/>
        <v>8.948545861297539E-3</v>
      </c>
      <c r="V1327" s="97">
        <v>-1.1299999999999999</v>
      </c>
      <c r="W1327" s="36">
        <f>RTD("money.excel",,"4541","Price")</f>
        <v>22.35</v>
      </c>
      <c r="X1327" s="67"/>
      <c r="Y1327" s="15">
        <f t="shared" si="260"/>
        <v>22.35</v>
      </c>
      <c r="Z1327" s="3" t="e">
        <f t="shared" si="261"/>
        <v>#DIV/0!</v>
      </c>
      <c r="AA1327" s="174" t="s">
        <v>1943</v>
      </c>
      <c r="AB1327" s="16" t="s">
        <v>688</v>
      </c>
      <c r="AE1327" s="33">
        <f t="shared" si="262"/>
        <v>0</v>
      </c>
      <c r="AF1327" s="43" t="s">
        <v>2983</v>
      </c>
      <c r="AG1327" s="128"/>
      <c r="AI1327" s="64">
        <f t="shared" si="263"/>
        <v>4.5857988165680472E-4</v>
      </c>
      <c r="AJ1327" s="313">
        <f>RTD("money.excel",,$G1327,"PredictVolume")</f>
        <v>31</v>
      </c>
      <c r="AK1327" s="348"/>
    </row>
    <row r="1328" spans="1:37">
      <c r="A1328" s="148" t="s">
        <v>1936</v>
      </c>
      <c r="B1328" s="81">
        <v>32</v>
      </c>
      <c r="C1328" s="81">
        <v>21</v>
      </c>
      <c r="D1328" s="82">
        <v>-11</v>
      </c>
      <c r="E1328" s="82">
        <v>-10</v>
      </c>
      <c r="F1328" s="6">
        <v>7.15</v>
      </c>
      <c r="G1328" s="81">
        <v>4556</v>
      </c>
      <c r="H1328" s="8" t="s">
        <v>2303</v>
      </c>
      <c r="I1328" s="16" t="s">
        <v>689</v>
      </c>
      <c r="J1328" s="75">
        <v>81.510000000000005</v>
      </c>
      <c r="K1328" s="75">
        <v>11.6</v>
      </c>
      <c r="L1328" s="75">
        <v>2.2799999999999998</v>
      </c>
      <c r="N1328" s="325">
        <f t="shared" si="264"/>
        <v>95.39</v>
      </c>
      <c r="O1328" s="27"/>
      <c r="P1328" s="56"/>
      <c r="Q1328" s="26"/>
      <c r="T1328" s="34">
        <v>0.45</v>
      </c>
      <c r="U1328" s="366">
        <f t="shared" si="259"/>
        <v>1.4975041597337771E-2</v>
      </c>
      <c r="V1328" s="97">
        <v>0.5</v>
      </c>
      <c r="W1328" s="36">
        <f>RTD("money.excel",,"4556","Price")</f>
        <v>30.05</v>
      </c>
      <c r="X1328" s="67"/>
      <c r="Y1328" s="15">
        <f t="shared" si="260"/>
        <v>30.05</v>
      </c>
      <c r="Z1328" s="3" t="e">
        <f t="shared" si="261"/>
        <v>#DIV/0!</v>
      </c>
      <c r="AA1328" s="174" t="s">
        <v>1943</v>
      </c>
      <c r="AB1328" s="16" t="s">
        <v>689</v>
      </c>
      <c r="AE1328" s="33">
        <f t="shared" si="262"/>
        <v>0</v>
      </c>
      <c r="AF1328" s="43" t="s">
        <v>2984</v>
      </c>
      <c r="AG1328" s="128"/>
      <c r="AI1328" s="64">
        <f t="shared" si="263"/>
        <v>2.1479713603818611E-4</v>
      </c>
      <c r="AJ1328" s="313">
        <f>RTD("money.excel",,$G1328,"PredictVolume")</f>
        <v>9</v>
      </c>
      <c r="AK1328" s="348"/>
    </row>
    <row r="1329" spans="1:37">
      <c r="A1329" s="148" t="s">
        <v>2569</v>
      </c>
      <c r="B1329" s="81">
        <v>25</v>
      </c>
      <c r="C1329" s="81">
        <v>59</v>
      </c>
      <c r="D1329" s="82">
        <v>-24</v>
      </c>
      <c r="E1329" s="82">
        <v>-41</v>
      </c>
      <c r="F1329" s="6">
        <v>-76.11</v>
      </c>
      <c r="G1329" s="81">
        <v>4950</v>
      </c>
      <c r="H1329" s="8" t="s">
        <v>2303</v>
      </c>
      <c r="I1329" s="16" t="s">
        <v>690</v>
      </c>
      <c r="J1329" s="75">
        <v>54.87</v>
      </c>
      <c r="K1329" s="75">
        <v>32.229999999999997</v>
      </c>
      <c r="N1329" s="325">
        <f t="shared" si="264"/>
        <v>87.1</v>
      </c>
      <c r="O1329" s="27"/>
      <c r="P1329" s="56"/>
      <c r="Q1329" s="26"/>
      <c r="T1329" s="34">
        <v>0</v>
      </c>
      <c r="U1329" s="366">
        <f t="shared" si="259"/>
        <v>0</v>
      </c>
      <c r="V1329" s="97">
        <v>-4.18</v>
      </c>
      <c r="W1329" s="36">
        <f>RTD("money.excel",,"4950","Price")</f>
        <v>23.65</v>
      </c>
      <c r="X1329" s="67"/>
      <c r="Y1329" s="15">
        <f t="shared" si="260"/>
        <v>23.65</v>
      </c>
      <c r="Z1329" s="3" t="e">
        <f t="shared" si="261"/>
        <v>#DIV/0!</v>
      </c>
      <c r="AA1329" s="174" t="s">
        <v>1943</v>
      </c>
      <c r="AB1329" s="16" t="s">
        <v>690</v>
      </c>
      <c r="AE1329" s="33">
        <f t="shared" si="262"/>
        <v>0</v>
      </c>
      <c r="AF1329" s="43" t="s">
        <v>2985</v>
      </c>
      <c r="AG1329" s="128"/>
      <c r="AI1329" s="64">
        <f t="shared" si="263"/>
        <v>1.3908296943231441E-2</v>
      </c>
      <c r="AJ1329" s="313">
        <f>RTD("money.excel",,$G1329,"PredictVolume")</f>
        <v>637</v>
      </c>
      <c r="AK1329" s="348"/>
    </row>
    <row r="1330" spans="1:37">
      <c r="A1330" s="148" t="s">
        <v>2340</v>
      </c>
      <c r="B1330" s="93">
        <v>8</v>
      </c>
      <c r="C1330" s="93">
        <v>-21</v>
      </c>
      <c r="D1330" s="93">
        <v>-16</v>
      </c>
      <c r="E1330" s="93">
        <v>60</v>
      </c>
      <c r="F1330" s="6">
        <v>-4.0999999999999996</v>
      </c>
      <c r="G1330" s="81">
        <v>5276</v>
      </c>
      <c r="H1330" s="8" t="s">
        <v>2303</v>
      </c>
      <c r="I1330" s="16" t="s">
        <v>691</v>
      </c>
      <c r="J1330" s="75">
        <v>85.3</v>
      </c>
      <c r="K1330" s="75">
        <v>76.98</v>
      </c>
      <c r="N1330" s="325">
        <f t="shared" si="264"/>
        <v>162.28</v>
      </c>
      <c r="O1330" s="27"/>
      <c r="P1330" s="56"/>
      <c r="Q1330" s="26"/>
      <c r="S1330" s="330">
        <v>41.32</v>
      </c>
      <c r="T1330" s="34">
        <v>0</v>
      </c>
      <c r="U1330" s="366">
        <f t="shared" si="259"/>
        <v>0</v>
      </c>
      <c r="V1330" s="58">
        <v>0.19</v>
      </c>
      <c r="W1330" s="13">
        <f>RTD("money.excel",,"5276","Price")</f>
        <v>12.8</v>
      </c>
      <c r="X1330" s="67"/>
      <c r="Y1330" s="15">
        <f t="shared" si="260"/>
        <v>12.8</v>
      </c>
      <c r="Z1330" s="3" t="e">
        <f t="shared" si="261"/>
        <v>#DIV/0!</v>
      </c>
      <c r="AB1330" s="16" t="s">
        <v>691</v>
      </c>
      <c r="AE1330" s="33">
        <f t="shared" si="262"/>
        <v>0</v>
      </c>
      <c r="AF1330" s="43" t="s">
        <v>2986</v>
      </c>
      <c r="AG1330" s="128"/>
      <c r="AI1330" s="64">
        <f t="shared" si="263"/>
        <v>1.8987341772151898E-3</v>
      </c>
      <c r="AJ1330" s="313">
        <f>RTD("money.excel",,$G1330,"PredictVolume")</f>
        <v>75</v>
      </c>
      <c r="AK1330" s="348"/>
    </row>
    <row r="1331" spans="1:37">
      <c r="A1331" s="148" t="s">
        <v>3510</v>
      </c>
      <c r="B1331" s="93">
        <v>9</v>
      </c>
      <c r="C1331" s="93">
        <v>-32</v>
      </c>
      <c r="D1331" s="93">
        <v>8</v>
      </c>
      <c r="E1331" s="93">
        <v>6</v>
      </c>
      <c r="F1331" s="6">
        <v>7.97</v>
      </c>
      <c r="G1331" s="81">
        <v>5284</v>
      </c>
      <c r="H1331" s="8" t="s">
        <v>2303</v>
      </c>
      <c r="I1331" s="22" t="s">
        <v>156</v>
      </c>
      <c r="J1331" s="75">
        <v>63.57</v>
      </c>
      <c r="K1331" s="75">
        <v>63.54</v>
      </c>
      <c r="L1331" s="75">
        <v>7.36</v>
      </c>
      <c r="N1331" s="325">
        <f t="shared" si="264"/>
        <v>134.47</v>
      </c>
      <c r="O1331" s="27"/>
      <c r="P1331" s="56"/>
      <c r="Q1331" s="26"/>
      <c r="S1331" s="330">
        <v>37.92</v>
      </c>
      <c r="T1331" s="34">
        <v>2.1</v>
      </c>
      <c r="U1331" s="366">
        <f t="shared" si="259"/>
        <v>4.6408839779005527E-2</v>
      </c>
      <c r="V1331" s="58">
        <v>2.65</v>
      </c>
      <c r="W1331" s="13">
        <f>RTD("money.excel",,"5284","Price")</f>
        <v>45.25</v>
      </c>
      <c r="X1331" s="67"/>
      <c r="Y1331" s="15">
        <f t="shared" si="260"/>
        <v>45.25</v>
      </c>
      <c r="Z1331" s="3" t="e">
        <f t="shared" si="261"/>
        <v>#DIV/0!</v>
      </c>
      <c r="AA1331" s="174" t="s">
        <v>1943</v>
      </c>
      <c r="AB1331" s="22" t="s">
        <v>156</v>
      </c>
      <c r="AE1331" s="33">
        <f t="shared" si="262"/>
        <v>0</v>
      </c>
      <c r="AF1331" s="122" t="s">
        <v>3344</v>
      </c>
      <c r="AG1331" s="128"/>
      <c r="AI1331" s="64">
        <f t="shared" si="263"/>
        <v>5.263157894736842E-4</v>
      </c>
      <c r="AJ1331" s="313">
        <f>RTD("money.excel",,$G1331,"PredictVolume")</f>
        <v>23</v>
      </c>
      <c r="AK1331" s="348"/>
    </row>
    <row r="1332" spans="1:37">
      <c r="A1332" s="132" t="s">
        <v>1859</v>
      </c>
      <c r="B1332" s="81">
        <v>40</v>
      </c>
      <c r="C1332" s="81">
        <v>41</v>
      </c>
      <c r="D1332" s="82">
        <v>-26</v>
      </c>
      <c r="E1332" s="81">
        <v>101</v>
      </c>
      <c r="F1332" s="58">
        <v>32.200000000000003</v>
      </c>
      <c r="G1332" s="81">
        <v>5306</v>
      </c>
      <c r="H1332" s="8" t="s">
        <v>2303</v>
      </c>
      <c r="I1332" s="16" t="s">
        <v>44</v>
      </c>
      <c r="J1332" s="75">
        <v>72.86</v>
      </c>
      <c r="K1332" s="75">
        <v>23.8</v>
      </c>
      <c r="L1332" s="75">
        <v>2.39</v>
      </c>
      <c r="N1332" s="325">
        <f t="shared" si="264"/>
        <v>99.05</v>
      </c>
      <c r="O1332" s="27"/>
      <c r="P1332" s="56"/>
      <c r="Q1332" s="26"/>
      <c r="S1332" s="330">
        <v>7.0000000000000007E-2</v>
      </c>
      <c r="T1332" s="67">
        <v>7.2</v>
      </c>
      <c r="U1332" s="366">
        <f t="shared" si="259"/>
        <v>3.7209302325581395E-2</v>
      </c>
      <c r="V1332" s="58">
        <v>12.02</v>
      </c>
      <c r="W1332" s="36">
        <f>RTD("money.excel",,"5306","Price")</f>
        <v>193.5</v>
      </c>
      <c r="X1332" s="67"/>
      <c r="Y1332" s="15">
        <f t="shared" si="260"/>
        <v>193.5</v>
      </c>
      <c r="Z1332" s="3" t="e">
        <f t="shared" si="261"/>
        <v>#DIV/0!</v>
      </c>
      <c r="AA1332" s="174" t="s">
        <v>2185</v>
      </c>
      <c r="AB1332" s="16" t="s">
        <v>44</v>
      </c>
      <c r="AE1332" s="33">
        <f t="shared" si="262"/>
        <v>0</v>
      </c>
      <c r="AF1332" s="122" t="s">
        <v>2987</v>
      </c>
      <c r="AG1332" s="128"/>
      <c r="AI1332" s="64">
        <f t="shared" si="263"/>
        <v>6.5079365079365084E-4</v>
      </c>
      <c r="AJ1332" s="313">
        <f>RTD("money.excel",,$G1332,"PredictVolume")</f>
        <v>82</v>
      </c>
      <c r="AK1332" s="348"/>
    </row>
    <row r="1333" spans="1:37">
      <c r="A1333" s="148" t="s">
        <v>3526</v>
      </c>
      <c r="B1333" s="93">
        <v>66</v>
      </c>
      <c r="C1333" s="93">
        <v>164</v>
      </c>
      <c r="D1333" s="93">
        <v>36</v>
      </c>
      <c r="E1333" s="93">
        <v>25</v>
      </c>
      <c r="F1333" s="6">
        <v>2.19</v>
      </c>
      <c r="G1333" s="81">
        <v>5398</v>
      </c>
      <c r="H1333" s="8" t="s">
        <v>2303</v>
      </c>
      <c r="I1333" s="16" t="s">
        <v>3600</v>
      </c>
      <c r="J1333" s="75">
        <v>84.19</v>
      </c>
      <c r="K1333" s="75">
        <v>0.05</v>
      </c>
      <c r="N1333" s="325">
        <f t="shared" si="264"/>
        <v>84.24</v>
      </c>
      <c r="O1333" s="27"/>
      <c r="P1333" s="56"/>
      <c r="Q1333" s="26"/>
      <c r="S1333" s="330">
        <v>77.91</v>
      </c>
      <c r="T1333" s="34">
        <v>0.25</v>
      </c>
      <c r="U1333" s="366">
        <f t="shared" si="259"/>
        <v>1.2755102040816325E-2</v>
      </c>
      <c r="V1333" s="97">
        <v>0.34</v>
      </c>
      <c r="W1333" s="36">
        <f>RTD("money.excel",,"5398","Price")</f>
        <v>19.600000000000001</v>
      </c>
      <c r="X1333" s="67"/>
      <c r="Y1333" s="15">
        <f t="shared" si="260"/>
        <v>19.600000000000001</v>
      </c>
      <c r="Z1333" s="3" t="e">
        <f t="shared" si="261"/>
        <v>#DIV/0!</v>
      </c>
      <c r="AB1333" s="16" t="s">
        <v>3600</v>
      </c>
      <c r="AE1333" s="33">
        <f t="shared" si="262"/>
        <v>0</v>
      </c>
      <c r="AF1333" s="43" t="s">
        <v>3603</v>
      </c>
      <c r="AG1333" s="128"/>
      <c r="AI1333" s="64">
        <f t="shared" si="263"/>
        <v>2.9999999999999997E-4</v>
      </c>
      <c r="AJ1333" s="313">
        <f>RTD("money.excel",,$G1333,"PredictVolume")</f>
        <v>15</v>
      </c>
      <c r="AK1333" s="348"/>
    </row>
    <row r="1334" spans="1:37">
      <c r="A1334" s="148" t="s">
        <v>1773</v>
      </c>
      <c r="B1334" s="93">
        <v>-61</v>
      </c>
      <c r="C1334" s="93">
        <v>-32</v>
      </c>
      <c r="D1334" s="93">
        <v>9</v>
      </c>
      <c r="E1334" s="93">
        <v>67</v>
      </c>
      <c r="F1334" s="6">
        <v>3.76</v>
      </c>
      <c r="G1334" s="81">
        <v>5450</v>
      </c>
      <c r="H1334" s="8" t="s">
        <v>2303</v>
      </c>
      <c r="I1334" s="16" t="s">
        <v>3601</v>
      </c>
      <c r="J1334" s="75">
        <v>84.19</v>
      </c>
      <c r="K1334" s="75">
        <v>0.05</v>
      </c>
      <c r="N1334" s="325">
        <f t="shared" si="264"/>
        <v>84.24</v>
      </c>
      <c r="O1334" s="27"/>
      <c r="P1334" s="56"/>
      <c r="Q1334" s="26"/>
      <c r="S1334" s="330">
        <v>77.91</v>
      </c>
      <c r="T1334" s="34">
        <v>0</v>
      </c>
      <c r="U1334" s="366">
        <f t="shared" si="259"/>
        <v>0</v>
      </c>
      <c r="V1334" s="97">
        <v>0.54</v>
      </c>
      <c r="W1334" s="36">
        <f>RTD("money.excel",,"5450","Price")</f>
        <v>17.2</v>
      </c>
      <c r="X1334" s="67"/>
      <c r="Y1334" s="15">
        <f t="shared" si="260"/>
        <v>17.2</v>
      </c>
      <c r="Z1334" s="3" t="e">
        <f t="shared" si="261"/>
        <v>#DIV/0!</v>
      </c>
      <c r="AB1334" s="16" t="s">
        <v>3601</v>
      </c>
      <c r="AE1334" s="33">
        <f t="shared" si="262"/>
        <v>0</v>
      </c>
      <c r="AF1334" s="43" t="s">
        <v>3604</v>
      </c>
      <c r="AG1334" s="128"/>
      <c r="AI1334" s="64">
        <f t="shared" si="263"/>
        <v>4.1803278688524591E-4</v>
      </c>
      <c r="AJ1334" s="313">
        <f>RTD("money.excel",,$G1334,"PredictVolume")</f>
        <v>51</v>
      </c>
      <c r="AK1334" s="348"/>
    </row>
    <row r="1335" spans="1:37">
      <c r="A1335" s="148" t="s">
        <v>1961</v>
      </c>
      <c r="B1335" s="81">
        <v>342</v>
      </c>
      <c r="C1335" s="81">
        <v>13</v>
      </c>
      <c r="D1335" s="81">
        <v>7</v>
      </c>
      <c r="E1335" s="82">
        <v>-1</v>
      </c>
      <c r="F1335" s="6">
        <v>-39.19</v>
      </c>
      <c r="G1335" s="81">
        <v>5481</v>
      </c>
      <c r="H1335" s="8" t="s">
        <v>2303</v>
      </c>
      <c r="I1335" s="16" t="s">
        <v>3602</v>
      </c>
      <c r="J1335" s="330">
        <v>44.29</v>
      </c>
      <c r="K1335" s="75">
        <v>26.71</v>
      </c>
      <c r="L1335" s="75">
        <v>29.6</v>
      </c>
      <c r="N1335" s="325">
        <f t="shared" si="264"/>
        <v>100.6</v>
      </c>
      <c r="O1335" s="27"/>
      <c r="P1335" s="56"/>
      <c r="Q1335" s="26"/>
      <c r="S1335" s="330">
        <v>0</v>
      </c>
      <c r="T1335" s="34">
        <v>0.4</v>
      </c>
      <c r="U1335" s="366">
        <f t="shared" si="259"/>
        <v>3.053435114503817E-2</v>
      </c>
      <c r="V1335" s="97">
        <v>6.18</v>
      </c>
      <c r="W1335" s="36">
        <f>RTD("money.excel",,"5481","Price")</f>
        <v>13.1</v>
      </c>
      <c r="X1335" s="67"/>
      <c r="Y1335" s="15">
        <f t="shared" si="260"/>
        <v>13.1</v>
      </c>
      <c r="Z1335" s="3" t="e">
        <f t="shared" si="261"/>
        <v>#DIV/0!</v>
      </c>
      <c r="AB1335" s="16" t="s">
        <v>3602</v>
      </c>
      <c r="AE1335" s="33">
        <f t="shared" si="262"/>
        <v>0</v>
      </c>
      <c r="AF1335" s="43" t="s">
        <v>3605</v>
      </c>
      <c r="AG1335" s="128"/>
      <c r="AI1335" s="64">
        <f t="shared" si="263"/>
        <v>2.9972752043596728E-4</v>
      </c>
      <c r="AJ1335" s="313">
        <f>RTD("money.excel",,$G1335,"PredictVolume")</f>
        <v>22</v>
      </c>
      <c r="AK1335" s="348"/>
    </row>
    <row r="1336" spans="1:37">
      <c r="A1336" s="132" t="s">
        <v>2401</v>
      </c>
      <c r="B1336" s="82">
        <v>-48</v>
      </c>
      <c r="C1336" s="82">
        <v>-36</v>
      </c>
      <c r="D1336" s="82">
        <v>-1</v>
      </c>
      <c r="E1336" s="81">
        <v>20</v>
      </c>
      <c r="F1336" s="58">
        <v>38.14</v>
      </c>
      <c r="G1336" s="81">
        <v>5530</v>
      </c>
      <c r="H1336" s="8" t="s">
        <v>2303</v>
      </c>
      <c r="I1336" s="16" t="s">
        <v>158</v>
      </c>
      <c r="J1336" s="330">
        <v>82.22</v>
      </c>
      <c r="K1336" s="75">
        <v>55.86</v>
      </c>
      <c r="L1336" s="330">
        <v>1.18</v>
      </c>
      <c r="N1336" s="325">
        <f t="shared" si="264"/>
        <v>139.26</v>
      </c>
      <c r="O1336" s="27"/>
      <c r="P1336" s="56"/>
      <c r="Q1336" s="26"/>
      <c r="S1336" s="330">
        <v>0</v>
      </c>
      <c r="T1336" s="67">
        <v>3</v>
      </c>
      <c r="U1336" s="366">
        <f t="shared" si="259"/>
        <v>6.8965517241379309E-2</v>
      </c>
      <c r="V1336" s="58">
        <v>2.96</v>
      </c>
      <c r="W1336" s="13">
        <f>RTD("money.excel",,"5530","Price")</f>
        <v>43.5</v>
      </c>
      <c r="X1336" s="67"/>
      <c r="Y1336" s="15">
        <f t="shared" si="260"/>
        <v>43.5</v>
      </c>
      <c r="Z1336" s="3" t="e">
        <f t="shared" si="261"/>
        <v>#DIV/0!</v>
      </c>
      <c r="AA1336" s="174" t="s">
        <v>1986</v>
      </c>
      <c r="AB1336" s="16" t="s">
        <v>158</v>
      </c>
      <c r="AE1336" s="33">
        <f t="shared" si="262"/>
        <v>0</v>
      </c>
      <c r="AF1336" s="122" t="s">
        <v>2988</v>
      </c>
      <c r="AG1336" s="128"/>
      <c r="AI1336" s="64">
        <f t="shared" si="263"/>
        <v>2.1190476190476189E-4</v>
      </c>
      <c r="AJ1336" s="313">
        <f>RTD("money.excel",,$G1336,"PredictVolume")</f>
        <v>89</v>
      </c>
      <c r="AK1336" s="348"/>
    </row>
    <row r="1337" spans="1:37">
      <c r="A1337" s="132" t="s">
        <v>4289</v>
      </c>
      <c r="B1337" s="81">
        <v>33</v>
      </c>
      <c r="C1337" s="81">
        <v>43</v>
      </c>
      <c r="D1337" s="82">
        <v>-1</v>
      </c>
      <c r="E1337" s="81">
        <v>16</v>
      </c>
      <c r="F1337" s="58">
        <v>46.35</v>
      </c>
      <c r="G1337" s="81">
        <v>5871</v>
      </c>
      <c r="H1337" s="8" t="s">
        <v>2303</v>
      </c>
      <c r="I1337" s="22" t="s">
        <v>271</v>
      </c>
      <c r="J1337" s="75">
        <v>77.31</v>
      </c>
      <c r="K1337" s="75">
        <v>79.47</v>
      </c>
      <c r="L1337" s="75">
        <v>0.35</v>
      </c>
      <c r="N1337" s="325">
        <f t="shared" si="264"/>
        <v>157.13</v>
      </c>
      <c r="O1337" s="27"/>
      <c r="P1337" s="56"/>
      <c r="Q1337" s="26"/>
      <c r="S1337" s="330">
        <v>6.28</v>
      </c>
      <c r="T1337" s="67">
        <v>5.5</v>
      </c>
      <c r="U1337" s="366">
        <f t="shared" si="259"/>
        <v>2.3060796645702306E-2</v>
      </c>
      <c r="V1337" s="58">
        <v>13.92</v>
      </c>
      <c r="W1337" s="13">
        <f>RTD("money.excel",,"5871","Price")</f>
        <v>238.5</v>
      </c>
      <c r="X1337" s="67"/>
      <c r="Y1337" s="15">
        <f t="shared" si="260"/>
        <v>238.5</v>
      </c>
      <c r="Z1337" s="3" t="e">
        <f t="shared" si="261"/>
        <v>#DIV/0!</v>
      </c>
      <c r="AA1337" s="174" t="s">
        <v>2185</v>
      </c>
      <c r="AB1337" s="22" t="s">
        <v>271</v>
      </c>
      <c r="AE1337" s="33">
        <f t="shared" si="262"/>
        <v>0</v>
      </c>
      <c r="AF1337" s="122" t="s">
        <v>3345</v>
      </c>
      <c r="AG1337" s="128"/>
      <c r="AI1337" s="64">
        <f t="shared" si="263"/>
        <v>1.7593103448275862E-3</v>
      </c>
      <c r="AJ1337" s="313">
        <f>RTD("money.excel",,$G1337,"PredictVolume")</f>
        <v>2551</v>
      </c>
      <c r="AK1337" s="348"/>
    </row>
    <row r="1338" spans="1:37">
      <c r="A1338" s="148" t="s">
        <v>3662</v>
      </c>
      <c r="B1338" s="81">
        <v>24</v>
      </c>
      <c r="C1338" s="82">
        <v>-19</v>
      </c>
      <c r="D1338" s="81">
        <v>14</v>
      </c>
      <c r="E1338" s="82">
        <v>-11</v>
      </c>
      <c r="F1338" s="6">
        <v>5.91</v>
      </c>
      <c r="G1338" s="81">
        <v>6179</v>
      </c>
      <c r="H1338" s="8" t="s">
        <v>2303</v>
      </c>
      <c r="I1338" s="16" t="s">
        <v>692</v>
      </c>
      <c r="J1338" s="330">
        <v>43.95</v>
      </c>
      <c r="K1338" s="330">
        <v>0.53</v>
      </c>
      <c r="L1338" s="75">
        <v>23.53</v>
      </c>
      <c r="N1338" s="325">
        <f t="shared" si="264"/>
        <v>68.010000000000005</v>
      </c>
      <c r="O1338" s="27"/>
      <c r="P1338" s="56"/>
      <c r="Q1338" s="26"/>
      <c r="R1338" s="308" t="s">
        <v>4372</v>
      </c>
      <c r="S1338" s="330">
        <v>0.1</v>
      </c>
      <c r="T1338" s="34">
        <v>1.88</v>
      </c>
      <c r="U1338" s="366">
        <f t="shared" ref="U1338:U1369" si="265">T1338/W1338</f>
        <v>6.7625899280575538E-2</v>
      </c>
      <c r="V1338" s="97">
        <v>2.72</v>
      </c>
      <c r="W1338" s="36">
        <f>RTD("money.excel",,"6179","Price")</f>
        <v>27.8</v>
      </c>
      <c r="X1338" s="67"/>
      <c r="Y1338" s="15">
        <f t="shared" si="260"/>
        <v>27.8</v>
      </c>
      <c r="Z1338" s="3" t="e">
        <f t="shared" si="261"/>
        <v>#DIV/0!</v>
      </c>
      <c r="AA1338" s="174" t="s">
        <v>1943</v>
      </c>
      <c r="AB1338" s="16" t="s">
        <v>692</v>
      </c>
      <c r="AE1338" s="33">
        <f t="shared" si="262"/>
        <v>0</v>
      </c>
      <c r="AF1338" s="43" t="s">
        <v>2989</v>
      </c>
      <c r="AG1338" s="128"/>
      <c r="AI1338" s="64">
        <f t="shared" ref="AI1338:AI1369" si="266">AJ1338/(A1338*10000)</f>
        <v>7.1509648127128262E-4</v>
      </c>
      <c r="AJ1338" s="313">
        <f>RTD("money.excel",,$G1338,"PredictVolume")</f>
        <v>63</v>
      </c>
      <c r="AK1338" s="348"/>
    </row>
    <row r="1339" spans="1:37">
      <c r="A1339" s="132" t="s">
        <v>1883</v>
      </c>
      <c r="B1339" s="93">
        <v>2</v>
      </c>
      <c r="C1339" s="93">
        <v>13</v>
      </c>
      <c r="D1339" s="93">
        <v>-4</v>
      </c>
      <c r="E1339" s="93">
        <v>-1</v>
      </c>
      <c r="F1339" s="58">
        <v>35.47</v>
      </c>
      <c r="G1339" s="81">
        <v>6184</v>
      </c>
      <c r="H1339" s="8" t="s">
        <v>2303</v>
      </c>
      <c r="I1339" s="22" t="s">
        <v>729</v>
      </c>
      <c r="J1339" s="75">
        <v>78.94</v>
      </c>
      <c r="K1339" s="75">
        <v>2.48</v>
      </c>
      <c r="L1339" s="75">
        <v>0.66</v>
      </c>
      <c r="N1339" s="325">
        <f t="shared" si="264"/>
        <v>82.08</v>
      </c>
      <c r="O1339" s="27"/>
      <c r="P1339" s="56"/>
      <c r="Q1339" s="26"/>
      <c r="S1339" s="330">
        <v>11.75</v>
      </c>
      <c r="T1339" s="67">
        <v>3</v>
      </c>
      <c r="U1339" s="366">
        <f t="shared" si="265"/>
        <v>6.535947712418301E-2</v>
      </c>
      <c r="V1339" s="97">
        <v>3.38</v>
      </c>
      <c r="W1339" s="13">
        <f>RTD("money.excel",,"6184","Price")</f>
        <v>45.9</v>
      </c>
      <c r="X1339" s="67"/>
      <c r="Y1339" s="15">
        <f t="shared" si="260"/>
        <v>45.9</v>
      </c>
      <c r="Z1339" s="3" t="e">
        <f t="shared" si="261"/>
        <v>#DIV/0!</v>
      </c>
      <c r="AA1339" s="174" t="s">
        <v>1986</v>
      </c>
      <c r="AB1339" s="22" t="s">
        <v>729</v>
      </c>
      <c r="AE1339" s="33">
        <f t="shared" si="262"/>
        <v>0</v>
      </c>
      <c r="AF1339" s="43" t="s">
        <v>3346</v>
      </c>
      <c r="AG1339" s="128"/>
      <c r="AI1339" s="64">
        <f t="shared" si="266"/>
        <v>1.5822784810126583E-4</v>
      </c>
      <c r="AJ1339" s="313">
        <f>RTD("money.excel",,$G1339,"PredictVolume")</f>
        <v>25</v>
      </c>
      <c r="AK1339" s="348"/>
    </row>
    <row r="1340" spans="1:37">
      <c r="A1340" s="132" t="s">
        <v>3592</v>
      </c>
      <c r="B1340" s="93">
        <v>127</v>
      </c>
      <c r="C1340" s="93">
        <v>8</v>
      </c>
      <c r="D1340" s="93">
        <v>-13</v>
      </c>
      <c r="E1340" s="93">
        <v>15</v>
      </c>
      <c r="F1340" s="58">
        <v>21.18</v>
      </c>
      <c r="G1340" s="81">
        <v>6199</v>
      </c>
      <c r="H1340" s="8" t="s">
        <v>2303</v>
      </c>
      <c r="I1340" s="16" t="s">
        <v>693</v>
      </c>
      <c r="J1340" s="75">
        <v>92.63</v>
      </c>
      <c r="K1340" s="75">
        <v>4.6500000000000004</v>
      </c>
      <c r="N1340" s="325">
        <f t="shared" si="264"/>
        <v>97.28</v>
      </c>
      <c r="O1340" s="27"/>
      <c r="P1340" s="56"/>
      <c r="Q1340" s="26"/>
      <c r="S1340" s="330">
        <v>10.210000000000001</v>
      </c>
      <c r="T1340" s="34">
        <v>0</v>
      </c>
      <c r="U1340" s="366">
        <f t="shared" si="265"/>
        <v>0</v>
      </c>
      <c r="V1340" s="97">
        <v>0.46</v>
      </c>
      <c r="W1340" s="13">
        <f>RTD("money.excel",,"6199","Price")</f>
        <v>16.649999999999999</v>
      </c>
      <c r="X1340" s="67"/>
      <c r="Y1340" s="15">
        <f t="shared" si="260"/>
        <v>16.649999999999999</v>
      </c>
      <c r="Z1340" s="3" t="e">
        <f t="shared" si="261"/>
        <v>#DIV/0!</v>
      </c>
      <c r="AB1340" s="16" t="s">
        <v>693</v>
      </c>
      <c r="AE1340" s="33">
        <f t="shared" si="262"/>
        <v>0</v>
      </c>
      <c r="AF1340" s="43" t="s">
        <v>2990</v>
      </c>
      <c r="AG1340" s="128"/>
      <c r="AI1340" s="64">
        <f t="shared" si="266"/>
        <v>3.0744336569579289E-4</v>
      </c>
      <c r="AJ1340" s="313">
        <f>RTD("money.excel",,$G1340,"PredictVolume")</f>
        <v>19</v>
      </c>
      <c r="AK1340" s="348"/>
    </row>
    <row r="1341" spans="1:37">
      <c r="A1341" s="148" t="s">
        <v>1929</v>
      </c>
      <c r="B1341" s="93">
        <v>54</v>
      </c>
      <c r="C1341" s="93">
        <v>61</v>
      </c>
      <c r="D1341" s="93">
        <v>183</v>
      </c>
      <c r="E1341" s="93">
        <v>29</v>
      </c>
      <c r="F1341" s="6">
        <v>-52</v>
      </c>
      <c r="G1341" s="81">
        <v>6236</v>
      </c>
      <c r="H1341" s="8" t="s">
        <v>2303</v>
      </c>
      <c r="I1341" s="16" t="s">
        <v>694</v>
      </c>
      <c r="J1341" s="75">
        <v>84.19</v>
      </c>
      <c r="K1341" s="75">
        <v>0.05</v>
      </c>
      <c r="N1341" s="325">
        <f t="shared" si="264"/>
        <v>84.24</v>
      </c>
      <c r="O1341" s="27"/>
      <c r="P1341" s="56"/>
      <c r="Q1341" s="26"/>
      <c r="S1341" s="330">
        <v>77.91</v>
      </c>
      <c r="T1341" s="34">
        <v>0</v>
      </c>
      <c r="U1341" s="366" t="e">
        <f t="shared" si="265"/>
        <v>#VALUE!</v>
      </c>
      <c r="V1341" s="97">
        <v>-0.34</v>
      </c>
      <c r="W1341" s="13" t="str">
        <f>RTD("money.excel",,"6236","Price")</f>
        <v>無資料</v>
      </c>
      <c r="X1341" s="67"/>
      <c r="Y1341" s="15" t="e">
        <f t="shared" si="260"/>
        <v>#VALUE!</v>
      </c>
      <c r="Z1341" s="3" t="e">
        <f t="shared" si="261"/>
        <v>#VALUE!</v>
      </c>
      <c r="AB1341" s="16" t="s">
        <v>694</v>
      </c>
      <c r="AE1341" s="33">
        <f t="shared" si="262"/>
        <v>0</v>
      </c>
      <c r="AF1341" s="43" t="s">
        <v>2974</v>
      </c>
      <c r="AG1341" s="128"/>
      <c r="AI1341" s="64">
        <f t="shared" si="266"/>
        <v>0</v>
      </c>
      <c r="AJ1341" s="313">
        <f>RTD("money.excel",,$G1341,"PredictVolume")</f>
        <v>0</v>
      </c>
      <c r="AK1341" s="348"/>
    </row>
    <row r="1342" spans="1:37">
      <c r="A1342" s="132" t="s">
        <v>1827</v>
      </c>
      <c r="B1342" s="93">
        <v>-2</v>
      </c>
      <c r="C1342" s="93">
        <v>-4</v>
      </c>
      <c r="D1342" s="93">
        <v>10</v>
      </c>
      <c r="E1342" s="93">
        <v>12</v>
      </c>
      <c r="F1342" s="58">
        <v>26.56</v>
      </c>
      <c r="G1342" s="81">
        <v>6464</v>
      </c>
      <c r="H1342" s="8" t="s">
        <v>2303</v>
      </c>
      <c r="I1342" s="22" t="s">
        <v>730</v>
      </c>
      <c r="J1342" s="75">
        <v>84.2</v>
      </c>
      <c r="K1342" s="330">
        <v>0.47</v>
      </c>
      <c r="L1342" s="75">
        <v>0.02</v>
      </c>
      <c r="N1342" s="325">
        <f t="shared" si="264"/>
        <v>84.69</v>
      </c>
      <c r="O1342" s="27"/>
      <c r="P1342" s="56"/>
      <c r="Q1342" s="26"/>
      <c r="S1342" s="330">
        <v>13.36</v>
      </c>
      <c r="T1342" s="67">
        <v>3.2</v>
      </c>
      <c r="U1342" s="366">
        <f t="shared" si="265"/>
        <v>3.5794183445190156E-2</v>
      </c>
      <c r="V1342" s="97">
        <v>8.6300000000000008</v>
      </c>
      <c r="W1342" s="13">
        <f>RTD("money.excel",,"6464","Price")</f>
        <v>89.4</v>
      </c>
      <c r="X1342" s="67"/>
      <c r="Y1342" s="15">
        <f t="shared" si="260"/>
        <v>89.4</v>
      </c>
      <c r="Z1342" s="3" t="e">
        <f t="shared" si="261"/>
        <v>#DIV/0!</v>
      </c>
      <c r="AA1342" s="174" t="s">
        <v>1986</v>
      </c>
      <c r="AB1342" s="22" t="s">
        <v>730</v>
      </c>
      <c r="AE1342" s="33">
        <f t="shared" si="262"/>
        <v>0</v>
      </c>
      <c r="AF1342" s="43" t="s">
        <v>3346</v>
      </c>
      <c r="AG1342" s="128"/>
      <c r="AI1342" s="64">
        <f t="shared" si="266"/>
        <v>1.370967741935484E-4</v>
      </c>
      <c r="AJ1342" s="313">
        <f>RTD("money.excel",,$G1342,"PredictVolume")</f>
        <v>17</v>
      </c>
      <c r="AK1342" s="348"/>
    </row>
    <row r="1343" spans="1:37">
      <c r="A1343" s="148" t="s">
        <v>1753</v>
      </c>
      <c r="B1343" s="82">
        <v>-84</v>
      </c>
      <c r="C1343" s="82">
        <v>-84</v>
      </c>
      <c r="D1343" s="82">
        <v>-13</v>
      </c>
      <c r="E1343" s="82">
        <v>-18</v>
      </c>
      <c r="F1343" s="6">
        <v>4.57</v>
      </c>
      <c r="G1343" s="81">
        <v>6504</v>
      </c>
      <c r="H1343" s="8" t="s">
        <v>2303</v>
      </c>
      <c r="I1343" s="22" t="s">
        <v>731</v>
      </c>
      <c r="J1343" s="75">
        <v>54.3</v>
      </c>
      <c r="K1343" s="330">
        <v>5.26</v>
      </c>
      <c r="L1343" s="75">
        <v>3.44</v>
      </c>
      <c r="M1343" s="75">
        <v>29.89</v>
      </c>
      <c r="N1343" s="325">
        <f t="shared" si="264"/>
        <v>92.889999999999986</v>
      </c>
      <c r="O1343" s="27" t="s">
        <v>6116</v>
      </c>
      <c r="P1343" s="56"/>
      <c r="Q1343" s="26"/>
      <c r="R1343" s="308" t="s">
        <v>6117</v>
      </c>
      <c r="S1343" s="330">
        <v>2.38</v>
      </c>
      <c r="T1343" s="67">
        <v>12</v>
      </c>
      <c r="U1343" s="366">
        <f t="shared" si="265"/>
        <v>0.11374407582938388</v>
      </c>
      <c r="V1343" s="58">
        <v>8.06</v>
      </c>
      <c r="W1343" s="36">
        <f>RTD("money.excel",,"6504","Price")</f>
        <v>105.5</v>
      </c>
      <c r="X1343" s="67"/>
      <c r="Y1343" s="15">
        <f t="shared" si="260"/>
        <v>105.5</v>
      </c>
      <c r="Z1343" s="3" t="e">
        <f t="shared" si="261"/>
        <v>#DIV/0!</v>
      </c>
      <c r="AA1343" s="174" t="s">
        <v>2185</v>
      </c>
      <c r="AB1343" s="22" t="s">
        <v>731</v>
      </c>
      <c r="AE1343" s="33">
        <f t="shared" si="262"/>
        <v>0</v>
      </c>
      <c r="AF1343" s="43" t="s">
        <v>3057</v>
      </c>
      <c r="AG1343" s="128"/>
      <c r="AI1343" s="64">
        <f t="shared" si="266"/>
        <v>1.0743801652892562E-3</v>
      </c>
      <c r="AJ1343" s="313">
        <f>RTD("money.excel",,$G1343,"PredictVolume")</f>
        <v>78</v>
      </c>
      <c r="AK1343" s="348">
        <v>15.16</v>
      </c>
    </row>
    <row r="1344" spans="1:37">
      <c r="A1344" s="132" t="s">
        <v>1841</v>
      </c>
      <c r="B1344" s="93">
        <v>-27</v>
      </c>
      <c r="C1344" s="93">
        <v>-24</v>
      </c>
      <c r="D1344" s="93">
        <v>96</v>
      </c>
      <c r="E1344" s="93">
        <v>36</v>
      </c>
      <c r="F1344" s="58">
        <v>43.73</v>
      </c>
      <c r="G1344" s="81">
        <v>6581</v>
      </c>
      <c r="H1344" s="8" t="s">
        <v>2303</v>
      </c>
      <c r="I1344" s="22" t="s">
        <v>732</v>
      </c>
      <c r="J1344" s="330">
        <v>91.04</v>
      </c>
      <c r="K1344" s="75">
        <v>0.34</v>
      </c>
      <c r="L1344" s="75">
        <v>0.23</v>
      </c>
      <c r="N1344" s="325">
        <f t="shared" si="264"/>
        <v>91.610000000000014</v>
      </c>
      <c r="O1344" s="27"/>
      <c r="P1344" s="56"/>
      <c r="Q1344" s="26"/>
      <c r="S1344" s="330">
        <v>68.92</v>
      </c>
      <c r="T1344" s="67">
        <v>3</v>
      </c>
      <c r="U1344" s="366">
        <f t="shared" si="265"/>
        <v>3.4324942791762014E-2</v>
      </c>
      <c r="V1344" s="58">
        <v>3.66</v>
      </c>
      <c r="W1344" s="36">
        <f>RTD("money.excel",,"6581","Price")</f>
        <v>87.4</v>
      </c>
      <c r="X1344" s="67"/>
      <c r="Y1344" s="15">
        <f t="shared" si="260"/>
        <v>87.4</v>
      </c>
      <c r="Z1344" s="3" t="e">
        <f t="shared" si="261"/>
        <v>#DIV/0!</v>
      </c>
      <c r="AA1344" s="174" t="s">
        <v>1986</v>
      </c>
      <c r="AB1344" s="22" t="s">
        <v>732</v>
      </c>
      <c r="AE1344" s="33">
        <f t="shared" si="262"/>
        <v>0</v>
      </c>
      <c r="AF1344" s="43" t="s">
        <v>3347</v>
      </c>
      <c r="AG1344" s="128"/>
      <c r="AI1344" s="64">
        <f t="shared" si="266"/>
        <v>4.5045045045045046E-4</v>
      </c>
      <c r="AJ1344" s="313">
        <f>RTD("money.excel",,$G1344,"PredictVolume")</f>
        <v>50</v>
      </c>
      <c r="AK1344" s="348"/>
    </row>
    <row r="1345" spans="1:37">
      <c r="A1345" s="132" t="s">
        <v>1982</v>
      </c>
      <c r="B1345" s="81">
        <v>11</v>
      </c>
      <c r="C1345" s="82">
        <v>-2</v>
      </c>
      <c r="D1345" s="81">
        <v>7</v>
      </c>
      <c r="E1345" s="81">
        <v>7</v>
      </c>
      <c r="F1345" s="58">
        <v>21.29</v>
      </c>
      <c r="G1345" s="81">
        <v>6592</v>
      </c>
      <c r="H1345" s="8" t="s">
        <v>2303</v>
      </c>
      <c r="I1345" s="160" t="s">
        <v>1973</v>
      </c>
      <c r="J1345" s="330">
        <v>76.680000000000007</v>
      </c>
      <c r="K1345" s="75">
        <v>26.69</v>
      </c>
      <c r="L1345" s="75">
        <v>0.7</v>
      </c>
      <c r="N1345" s="325">
        <f t="shared" si="264"/>
        <v>104.07000000000001</v>
      </c>
      <c r="O1345" s="27"/>
      <c r="P1345" s="56"/>
      <c r="Q1345" s="26"/>
      <c r="S1345" s="330">
        <v>0</v>
      </c>
      <c r="T1345" s="66">
        <v>3.5</v>
      </c>
      <c r="U1345" s="366">
        <f t="shared" si="265"/>
        <v>3.125E-2</v>
      </c>
      <c r="V1345" s="97">
        <v>5.0199999999999996</v>
      </c>
      <c r="W1345" s="36">
        <f>RTD("money.excel",,"6592","Price")</f>
        <v>112</v>
      </c>
      <c r="X1345" s="67"/>
      <c r="Y1345" s="15">
        <f t="shared" si="260"/>
        <v>112</v>
      </c>
      <c r="Z1345" s="3" t="e">
        <f t="shared" si="261"/>
        <v>#DIV/0!</v>
      </c>
      <c r="AA1345" s="174" t="s">
        <v>4380</v>
      </c>
      <c r="AB1345" s="22" t="s">
        <v>1973</v>
      </c>
      <c r="AC1345" s="120"/>
      <c r="AD1345" s="131"/>
      <c r="AE1345" s="33">
        <f t="shared" si="262"/>
        <v>0</v>
      </c>
      <c r="AF1345" s="124" t="s">
        <v>2013</v>
      </c>
      <c r="AG1345" s="128"/>
      <c r="AI1345" s="64">
        <f t="shared" si="266"/>
        <v>1.9922330097087377E-3</v>
      </c>
      <c r="AJ1345" s="313">
        <f>RTD("money.excel",,$G1345,"PredictVolume")</f>
        <v>1026</v>
      </c>
      <c r="AK1345" s="348"/>
    </row>
    <row r="1346" spans="1:37">
      <c r="A1346" s="148" t="s">
        <v>4350</v>
      </c>
      <c r="B1346" s="82">
        <v>-178</v>
      </c>
      <c r="C1346" s="82">
        <v>-102</v>
      </c>
      <c r="D1346" s="82">
        <v>-3</v>
      </c>
      <c r="E1346" s="82">
        <v>-31</v>
      </c>
      <c r="F1346" s="6">
        <v>-0.28000000000000003</v>
      </c>
      <c r="G1346" s="81">
        <v>6616</v>
      </c>
      <c r="H1346" s="8" t="s">
        <v>2303</v>
      </c>
      <c r="I1346" s="16" t="s">
        <v>695</v>
      </c>
      <c r="J1346" s="330">
        <v>71.069999999999993</v>
      </c>
      <c r="K1346" s="330">
        <v>77.08</v>
      </c>
      <c r="L1346" s="330"/>
      <c r="M1346" s="330">
        <v>58.62</v>
      </c>
      <c r="N1346" s="325">
        <f>K1346+J1346+L1346+M1346</f>
        <v>206.76999999999998</v>
      </c>
      <c r="O1346" s="27"/>
      <c r="P1346" s="56"/>
      <c r="Q1346" s="26"/>
      <c r="S1346" s="330">
        <v>0.08</v>
      </c>
      <c r="T1346" s="34">
        <v>2</v>
      </c>
      <c r="U1346" s="366">
        <f t="shared" si="265"/>
        <v>0.1075268817204301</v>
      </c>
      <c r="V1346" s="58">
        <v>0.25</v>
      </c>
      <c r="W1346" s="13">
        <f>RTD("money.excel",,"6616","Price")</f>
        <v>18.600000000000001</v>
      </c>
      <c r="X1346" s="67"/>
      <c r="Y1346" s="15">
        <f t="shared" si="260"/>
        <v>18.600000000000001</v>
      </c>
      <c r="Z1346" s="3" t="e">
        <f t="shared" si="261"/>
        <v>#DIV/0!</v>
      </c>
      <c r="AA1346" s="174" t="s">
        <v>1943</v>
      </c>
      <c r="AB1346" s="16" t="s">
        <v>695</v>
      </c>
      <c r="AE1346" s="33">
        <f t="shared" si="262"/>
        <v>0</v>
      </c>
      <c r="AF1346" s="43" t="s">
        <v>2991</v>
      </c>
      <c r="AG1346" s="128"/>
      <c r="AI1346" s="64">
        <f t="shared" si="266"/>
        <v>1.1888111888111888E-3</v>
      </c>
      <c r="AJ1346" s="313">
        <f>RTD("money.excel",,$G1346,"PredictVolume")</f>
        <v>34</v>
      </c>
      <c r="AK1346" s="348"/>
    </row>
    <row r="1347" spans="1:37">
      <c r="A1347" s="148" t="s">
        <v>3606</v>
      </c>
      <c r="B1347" s="82">
        <v>-133</v>
      </c>
      <c r="C1347" s="82">
        <v>-127</v>
      </c>
      <c r="D1347" s="82">
        <v>-52</v>
      </c>
      <c r="E1347" s="82">
        <v>-37</v>
      </c>
      <c r="F1347" s="6">
        <v>-7.57</v>
      </c>
      <c r="G1347" s="81">
        <v>6624</v>
      </c>
      <c r="H1347" s="8" t="s">
        <v>2303</v>
      </c>
      <c r="I1347" s="16" t="s">
        <v>2547</v>
      </c>
      <c r="J1347" s="75">
        <v>26.24</v>
      </c>
      <c r="K1347" s="75">
        <v>0</v>
      </c>
      <c r="N1347" s="325">
        <f t="shared" ref="N1347:N1383" si="267">J1347+K1347+L1347+M1347</f>
        <v>26.24</v>
      </c>
      <c r="O1347" s="27"/>
      <c r="P1347" s="56"/>
      <c r="Q1347" s="26"/>
      <c r="T1347" s="34">
        <v>0</v>
      </c>
      <c r="U1347" s="366">
        <f t="shared" si="265"/>
        <v>0</v>
      </c>
      <c r="V1347" s="97">
        <v>-0.86</v>
      </c>
      <c r="W1347" s="13">
        <f>RTD("money.excel",,"6624","Price")</f>
        <v>40.450000000000003</v>
      </c>
      <c r="X1347" s="67"/>
      <c r="Y1347" s="15">
        <f t="shared" si="260"/>
        <v>40.450000000000003</v>
      </c>
      <c r="Z1347" s="3" t="e">
        <f t="shared" si="261"/>
        <v>#DIV/0!</v>
      </c>
      <c r="AB1347" s="16" t="s">
        <v>2547</v>
      </c>
      <c r="AE1347" s="33">
        <f t="shared" si="262"/>
        <v>0</v>
      </c>
      <c r="AF1347" s="43" t="s">
        <v>2548</v>
      </c>
      <c r="AG1347" s="269"/>
      <c r="AI1347" s="64">
        <f t="shared" si="266"/>
        <v>1.2777777777777779E-3</v>
      </c>
      <c r="AJ1347" s="313">
        <f>RTD("money.excel",,$G1347,"PredictVolume")</f>
        <v>23</v>
      </c>
      <c r="AK1347" s="348"/>
    </row>
    <row r="1348" spans="1:37">
      <c r="A1348" s="148" t="s">
        <v>2516</v>
      </c>
      <c r="B1348" s="82">
        <v>-112</v>
      </c>
      <c r="C1348" s="82">
        <v>-126</v>
      </c>
      <c r="D1348" s="82">
        <v>-39</v>
      </c>
      <c r="E1348" s="81">
        <v>45</v>
      </c>
      <c r="F1348" s="6">
        <v>-27.96</v>
      </c>
      <c r="G1348" s="81">
        <v>6625</v>
      </c>
      <c r="H1348" s="8" t="s">
        <v>2303</v>
      </c>
      <c r="I1348" s="22" t="s">
        <v>733</v>
      </c>
      <c r="J1348" s="330">
        <v>56.24</v>
      </c>
      <c r="K1348" s="75">
        <v>0.21</v>
      </c>
      <c r="L1348" s="330">
        <v>0.78</v>
      </c>
      <c r="N1348" s="325">
        <f t="shared" si="267"/>
        <v>57.230000000000004</v>
      </c>
      <c r="O1348" s="27"/>
      <c r="P1348" s="56"/>
      <c r="Q1348" s="26"/>
      <c r="S1348" s="330">
        <v>0</v>
      </c>
      <c r="T1348" s="34">
        <v>0</v>
      </c>
      <c r="U1348" s="366">
        <f t="shared" si="265"/>
        <v>0</v>
      </c>
      <c r="V1348" s="97">
        <v>-3.43</v>
      </c>
      <c r="W1348" s="36">
        <f>RTD("money.excel",,"6625","Price")</f>
        <v>30.9</v>
      </c>
      <c r="X1348" s="67"/>
      <c r="Y1348" s="15">
        <f t="shared" si="260"/>
        <v>30.9</v>
      </c>
      <c r="Z1348" s="3" t="e">
        <f t="shared" si="261"/>
        <v>#DIV/0!</v>
      </c>
      <c r="AA1348" s="174" t="s">
        <v>1943</v>
      </c>
      <c r="AB1348" s="22" t="s">
        <v>733</v>
      </c>
      <c r="AE1348" s="33">
        <f t="shared" si="262"/>
        <v>0</v>
      </c>
      <c r="AF1348" s="43" t="s">
        <v>3348</v>
      </c>
      <c r="AG1348" s="128"/>
      <c r="AI1348" s="64">
        <f t="shared" si="266"/>
        <v>1.0690423162583518E-3</v>
      </c>
      <c r="AJ1348" s="313">
        <f>RTD("money.excel",,$G1348,"PredictVolume")</f>
        <v>48</v>
      </c>
      <c r="AK1348" s="348"/>
    </row>
    <row r="1349" spans="1:37">
      <c r="A1349" s="132" t="s">
        <v>2022</v>
      </c>
      <c r="B1349" s="81">
        <v>59</v>
      </c>
      <c r="C1349" s="81">
        <v>73</v>
      </c>
      <c r="D1349" s="81">
        <v>17</v>
      </c>
      <c r="E1349" s="81">
        <v>29</v>
      </c>
      <c r="F1349" s="58">
        <v>19.2</v>
      </c>
      <c r="G1349" s="81">
        <v>6629</v>
      </c>
      <c r="H1349" s="8" t="s">
        <v>2303</v>
      </c>
      <c r="I1349" s="16" t="s">
        <v>2549</v>
      </c>
      <c r="J1349" s="330">
        <v>83.58</v>
      </c>
      <c r="K1349" s="75">
        <v>85.25</v>
      </c>
      <c r="N1349" s="325">
        <f t="shared" si="267"/>
        <v>168.82999999999998</v>
      </c>
      <c r="O1349" s="27"/>
      <c r="P1349" s="56"/>
      <c r="Q1349" s="26"/>
      <c r="T1349" s="67">
        <v>4.49</v>
      </c>
      <c r="U1349" s="366">
        <f t="shared" si="265"/>
        <v>7.6101694915254245E-2</v>
      </c>
      <c r="V1349" s="58">
        <v>6.66</v>
      </c>
      <c r="W1349" s="13">
        <f>RTD("money.excel",,"6629","Price")</f>
        <v>59</v>
      </c>
      <c r="X1349" s="67"/>
      <c r="Y1349" s="15">
        <f t="shared" si="260"/>
        <v>59</v>
      </c>
      <c r="Z1349" s="3" t="e">
        <f t="shared" si="261"/>
        <v>#DIV/0!</v>
      </c>
      <c r="AA1349" s="174" t="s">
        <v>1986</v>
      </c>
      <c r="AB1349" s="16" t="s">
        <v>2549</v>
      </c>
      <c r="AE1349" s="33">
        <f t="shared" si="262"/>
        <v>0</v>
      </c>
      <c r="AF1349" s="43" t="s">
        <v>2551</v>
      </c>
      <c r="AG1349" s="128"/>
      <c r="AI1349" s="64">
        <f t="shared" si="266"/>
        <v>5.6179775280898879E-5</v>
      </c>
      <c r="AJ1349" s="313">
        <f>RTD("money.excel",,$G1349,"PredictVolume")</f>
        <v>2</v>
      </c>
      <c r="AK1349" s="348"/>
    </row>
    <row r="1350" spans="1:37">
      <c r="A1350" s="132" t="s">
        <v>3542</v>
      </c>
      <c r="B1350" s="82">
        <v>-2</v>
      </c>
      <c r="C1350" s="82">
        <v>-1</v>
      </c>
      <c r="D1350" s="81">
        <v>58</v>
      </c>
      <c r="E1350" s="81">
        <v>8</v>
      </c>
      <c r="F1350" s="58">
        <v>10.69</v>
      </c>
      <c r="G1350" s="81">
        <v>6641</v>
      </c>
      <c r="H1350" s="8" t="s">
        <v>2303</v>
      </c>
      <c r="I1350" s="22" t="s">
        <v>1155</v>
      </c>
      <c r="J1350" s="330">
        <v>62.05</v>
      </c>
      <c r="K1350" s="75">
        <v>30.81</v>
      </c>
      <c r="L1350" s="330">
        <v>2.13</v>
      </c>
      <c r="N1350" s="325">
        <f t="shared" si="267"/>
        <v>94.99</v>
      </c>
      <c r="O1350" s="27"/>
      <c r="P1350" s="56"/>
      <c r="Q1350" s="26"/>
      <c r="S1350" s="330">
        <v>0</v>
      </c>
      <c r="T1350" s="67">
        <v>4.5</v>
      </c>
      <c r="U1350" s="366">
        <f t="shared" si="265"/>
        <v>7.1090047393364927E-2</v>
      </c>
      <c r="V1350" s="97">
        <v>6.49</v>
      </c>
      <c r="W1350" s="36">
        <f>RTD("money.excel",,"6641","Price")</f>
        <v>63.3</v>
      </c>
      <c r="X1350" s="67"/>
      <c r="Y1350" s="15">
        <f t="shared" si="260"/>
        <v>63.3</v>
      </c>
      <c r="Z1350" s="3" t="e">
        <f t="shared" si="261"/>
        <v>#DIV/0!</v>
      </c>
      <c r="AA1350" s="174" t="s">
        <v>1986</v>
      </c>
      <c r="AB1350" s="22" t="s">
        <v>1155</v>
      </c>
      <c r="AE1350" s="33">
        <f t="shared" si="262"/>
        <v>0</v>
      </c>
      <c r="AF1350" s="43" t="s">
        <v>3349</v>
      </c>
      <c r="AG1350" s="128"/>
      <c r="AI1350" s="64">
        <f t="shared" si="266"/>
        <v>5.4054054054054054E-5</v>
      </c>
      <c r="AJ1350" s="313">
        <f>RTD("money.excel",,$G1350,"PredictVolume")</f>
        <v>2</v>
      </c>
      <c r="AK1350" s="348"/>
    </row>
    <row r="1351" spans="1:37">
      <c r="A1351" s="132" t="s">
        <v>3683</v>
      </c>
      <c r="B1351" s="81">
        <v>28</v>
      </c>
      <c r="C1351" s="81">
        <v>1</v>
      </c>
      <c r="D1351" s="81">
        <v>6</v>
      </c>
      <c r="E1351" s="82">
        <v>-14</v>
      </c>
      <c r="F1351" s="58">
        <v>12.26</v>
      </c>
      <c r="G1351" s="81">
        <v>6655</v>
      </c>
      <c r="H1351" s="8" t="s">
        <v>2303</v>
      </c>
      <c r="I1351" s="22" t="s">
        <v>1156</v>
      </c>
      <c r="J1351" s="75">
        <v>78.349999999999994</v>
      </c>
      <c r="K1351" s="75">
        <v>0.28000000000000003</v>
      </c>
      <c r="L1351" s="75">
        <v>0.12</v>
      </c>
      <c r="N1351" s="325">
        <f t="shared" si="267"/>
        <v>78.75</v>
      </c>
      <c r="O1351" s="27"/>
      <c r="P1351" s="56"/>
      <c r="Q1351" s="26"/>
      <c r="T1351" s="34">
        <v>2</v>
      </c>
      <c r="U1351" s="366">
        <f t="shared" si="265"/>
        <v>2.247191011235955E-2</v>
      </c>
      <c r="V1351" s="97">
        <v>4.0599999999999996</v>
      </c>
      <c r="W1351" s="36">
        <f>RTD("money.excel",,"6655","Price")</f>
        <v>89</v>
      </c>
      <c r="X1351" s="67"/>
      <c r="Y1351" s="15">
        <f t="shared" si="260"/>
        <v>89</v>
      </c>
      <c r="Z1351" s="3" t="e">
        <f t="shared" si="261"/>
        <v>#DIV/0!</v>
      </c>
      <c r="AA1351" s="174" t="s">
        <v>1943</v>
      </c>
      <c r="AB1351" s="22" t="s">
        <v>1156</v>
      </c>
      <c r="AE1351" s="33">
        <f t="shared" si="262"/>
        <v>0</v>
      </c>
      <c r="AF1351" s="43" t="s">
        <v>3350</v>
      </c>
      <c r="AG1351" s="128"/>
      <c r="AI1351" s="64">
        <f t="shared" si="266"/>
        <v>1.2162162162162162E-4</v>
      </c>
      <c r="AJ1351" s="313">
        <f>RTD("money.excel",,$G1351,"PredictVolume")</f>
        <v>9</v>
      </c>
      <c r="AK1351" s="348"/>
    </row>
    <row r="1352" spans="1:37">
      <c r="A1352" s="132" t="s">
        <v>1866</v>
      </c>
      <c r="B1352" s="81">
        <v>166</v>
      </c>
      <c r="C1352" s="81">
        <v>166</v>
      </c>
      <c r="D1352" s="82">
        <v>-17</v>
      </c>
      <c r="E1352" s="81">
        <v>10</v>
      </c>
      <c r="F1352" s="58">
        <v>14.12</v>
      </c>
      <c r="G1352" s="81">
        <v>6670</v>
      </c>
      <c r="H1352" s="8" t="s">
        <v>2303</v>
      </c>
      <c r="I1352" s="22" t="s">
        <v>1157</v>
      </c>
      <c r="J1352" s="75">
        <v>73.36</v>
      </c>
      <c r="K1352" s="75">
        <v>21.19</v>
      </c>
      <c r="L1352" s="75">
        <v>0.9</v>
      </c>
      <c r="N1352" s="325">
        <f t="shared" si="267"/>
        <v>95.45</v>
      </c>
      <c r="O1352" s="27"/>
      <c r="P1352" s="56"/>
      <c r="Q1352" s="26"/>
      <c r="S1352" s="330">
        <v>0.34</v>
      </c>
      <c r="T1352" s="67">
        <v>6.6</v>
      </c>
      <c r="U1352" s="366">
        <f t="shared" si="265"/>
        <v>3.4374999999999996E-2</v>
      </c>
      <c r="V1352" s="58">
        <v>14.92</v>
      </c>
      <c r="W1352" s="36">
        <f>RTD("money.excel",,"6670","Price")</f>
        <v>192</v>
      </c>
      <c r="X1352" s="67"/>
      <c r="Y1352" s="15">
        <f t="shared" si="260"/>
        <v>192</v>
      </c>
      <c r="Z1352" s="3" t="e">
        <f t="shared" si="261"/>
        <v>#DIV/0!</v>
      </c>
      <c r="AA1352" s="174" t="s">
        <v>2185</v>
      </c>
      <c r="AB1352" s="22" t="s">
        <v>1157</v>
      </c>
      <c r="AE1352" s="33">
        <f t="shared" si="262"/>
        <v>0</v>
      </c>
      <c r="AF1352" s="43" t="s">
        <v>3784</v>
      </c>
      <c r="AG1352" s="128"/>
      <c r="AI1352" s="64">
        <f t="shared" si="266"/>
        <v>5.5725190839694657E-4</v>
      </c>
      <c r="AJ1352" s="313">
        <f>RTD("money.excel",,$G1352,"PredictVolume")</f>
        <v>73</v>
      </c>
      <c r="AK1352" s="348"/>
    </row>
    <row r="1353" spans="1:37">
      <c r="A1353" s="132" t="s">
        <v>3684</v>
      </c>
      <c r="B1353" s="93">
        <v>32</v>
      </c>
      <c r="C1353" s="93">
        <v>37</v>
      </c>
      <c r="D1353" s="93">
        <v>-21</v>
      </c>
      <c r="E1353" s="93">
        <v>91</v>
      </c>
      <c r="F1353" s="58">
        <v>14.3</v>
      </c>
      <c r="G1353" s="81">
        <v>6671</v>
      </c>
      <c r="H1353" s="8" t="s">
        <v>2303</v>
      </c>
      <c r="I1353" s="22" t="s">
        <v>1158</v>
      </c>
      <c r="J1353" s="75">
        <v>83.71</v>
      </c>
      <c r="K1353" s="75">
        <v>62.56</v>
      </c>
      <c r="N1353" s="325">
        <f t="shared" si="267"/>
        <v>146.26999999999998</v>
      </c>
      <c r="O1353" s="27"/>
      <c r="P1353" s="56"/>
      <c r="Q1353" s="26"/>
      <c r="T1353" s="67">
        <v>3</v>
      </c>
      <c r="U1353" s="366">
        <f t="shared" si="265"/>
        <v>6.1728395061728392E-2</v>
      </c>
      <c r="V1353" s="58">
        <v>3.66</v>
      </c>
      <c r="W1353" s="13">
        <f>RTD("money.excel",,"6671","Price")</f>
        <v>48.6</v>
      </c>
      <c r="X1353" s="67"/>
      <c r="Y1353" s="15">
        <f t="shared" si="260"/>
        <v>48.6</v>
      </c>
      <c r="Z1353" s="3" t="e">
        <f t="shared" si="261"/>
        <v>#DIV/0!</v>
      </c>
      <c r="AA1353" s="174" t="s">
        <v>1986</v>
      </c>
      <c r="AB1353" s="22" t="s">
        <v>1158</v>
      </c>
      <c r="AE1353" s="33">
        <f t="shared" si="262"/>
        <v>0</v>
      </c>
      <c r="AF1353" s="43" t="s">
        <v>3351</v>
      </c>
      <c r="AG1353" s="128"/>
      <c r="AI1353" s="64">
        <f t="shared" si="266"/>
        <v>2.631578947368421E-4</v>
      </c>
      <c r="AJ1353" s="313">
        <f>RTD("money.excel",,$G1353,"PredictVolume")</f>
        <v>16</v>
      </c>
      <c r="AK1353" s="348"/>
    </row>
    <row r="1354" spans="1:37">
      <c r="A1354" s="132" t="s">
        <v>3685</v>
      </c>
      <c r="B1354" s="82">
        <v>-21</v>
      </c>
      <c r="C1354" s="82">
        <v>-26</v>
      </c>
      <c r="D1354" s="81">
        <v>9</v>
      </c>
      <c r="E1354" s="82">
        <v>-45</v>
      </c>
      <c r="F1354" s="58">
        <v>10.35</v>
      </c>
      <c r="G1354" s="81">
        <v>6754</v>
      </c>
      <c r="H1354" s="8" t="s">
        <v>2303</v>
      </c>
      <c r="I1354" s="22" t="s">
        <v>2302</v>
      </c>
      <c r="J1354" s="330">
        <v>85.42</v>
      </c>
      <c r="K1354" s="330">
        <v>24.31</v>
      </c>
      <c r="L1354" s="330"/>
      <c r="N1354" s="325">
        <f t="shared" si="267"/>
        <v>109.73</v>
      </c>
      <c r="O1354" s="27"/>
      <c r="P1354" s="56"/>
      <c r="Q1354" s="26"/>
      <c r="T1354" s="34">
        <v>2.8</v>
      </c>
      <c r="U1354" s="366">
        <f t="shared" si="265"/>
        <v>6.9999999999999993E-2</v>
      </c>
      <c r="V1354" s="97">
        <v>3.48</v>
      </c>
      <c r="W1354" s="36">
        <f>RTD("money.excel",,"6754","Price")</f>
        <v>40</v>
      </c>
      <c r="X1354" s="67"/>
      <c r="Y1354" s="15">
        <f t="shared" si="260"/>
        <v>40</v>
      </c>
      <c r="Z1354" s="35" t="e">
        <f t="shared" si="261"/>
        <v>#DIV/0!</v>
      </c>
      <c r="AB1354" s="22" t="s">
        <v>2302</v>
      </c>
      <c r="AE1354" s="33">
        <f t="shared" si="262"/>
        <v>0</v>
      </c>
      <c r="AF1354" s="60" t="s">
        <v>2304</v>
      </c>
      <c r="AG1354" s="125"/>
      <c r="AI1354" s="64">
        <f t="shared" si="266"/>
        <v>6.2121212121212118E-4</v>
      </c>
      <c r="AJ1354" s="313">
        <f>RTD("money.excel",,$G1354,"PredictVolume")</f>
        <v>41</v>
      </c>
      <c r="AK1354" s="83"/>
    </row>
    <row r="1355" spans="1:37">
      <c r="A1355" s="148" t="s">
        <v>2316</v>
      </c>
      <c r="B1355" s="82">
        <v>-60</v>
      </c>
      <c r="C1355" s="82">
        <v>-50</v>
      </c>
      <c r="D1355" s="81">
        <v>13</v>
      </c>
      <c r="E1355" s="82">
        <v>-3</v>
      </c>
      <c r="F1355" s="6">
        <v>5.84</v>
      </c>
      <c r="G1355" s="81">
        <v>6768</v>
      </c>
      <c r="H1355" s="8" t="s">
        <v>2303</v>
      </c>
      <c r="I1355" s="22" t="s">
        <v>3960</v>
      </c>
      <c r="J1355" s="330">
        <v>87.21</v>
      </c>
      <c r="K1355" s="75">
        <v>76</v>
      </c>
      <c r="N1355" s="325">
        <f t="shared" si="267"/>
        <v>163.20999999999998</v>
      </c>
      <c r="O1355" s="27"/>
      <c r="P1355" s="56"/>
      <c r="Q1355" s="26"/>
      <c r="T1355" s="67">
        <v>3.38</v>
      </c>
      <c r="U1355" s="366">
        <f t="shared" si="265"/>
        <v>4.9127906976744184E-2</v>
      </c>
      <c r="V1355" s="58" t="s">
        <v>4029</v>
      </c>
      <c r="W1355" s="13">
        <f>RTD("money.excel",,"6768","Price")</f>
        <v>68.8</v>
      </c>
      <c r="X1355" s="67"/>
      <c r="Y1355" s="15">
        <f t="shared" si="260"/>
        <v>68.8</v>
      </c>
      <c r="Z1355" s="3" t="e">
        <f t="shared" si="261"/>
        <v>#DIV/0!</v>
      </c>
      <c r="AA1355" s="174" t="s">
        <v>2185</v>
      </c>
      <c r="AB1355" s="22" t="s">
        <v>3960</v>
      </c>
      <c r="AE1355" s="33">
        <f t="shared" si="262"/>
        <v>0</v>
      </c>
      <c r="AF1355" s="43" t="s">
        <v>3961</v>
      </c>
      <c r="AG1355" s="128"/>
      <c r="AI1355" s="64">
        <f t="shared" si="266"/>
        <v>7.5000000000000002E-4</v>
      </c>
      <c r="AJ1355" s="313">
        <f>RTD("money.excel",,$G1355,"PredictVolume")</f>
        <v>147</v>
      </c>
      <c r="AK1355" s="348"/>
    </row>
    <row r="1356" spans="1:37">
      <c r="A1356" s="132" t="s">
        <v>2504</v>
      </c>
      <c r="B1356" s="81">
        <v>4</v>
      </c>
      <c r="C1356" s="82">
        <v>-4</v>
      </c>
      <c r="D1356" s="81">
        <v>11</v>
      </c>
      <c r="E1356" s="82">
        <v>-12</v>
      </c>
      <c r="F1356" s="58">
        <v>15.6</v>
      </c>
      <c r="G1356" s="81">
        <v>6790</v>
      </c>
      <c r="H1356" s="8" t="s">
        <v>2303</v>
      </c>
      <c r="I1356" s="22" t="s">
        <v>4224</v>
      </c>
      <c r="J1356" s="75">
        <v>81.87</v>
      </c>
      <c r="K1356" s="330">
        <v>2.91</v>
      </c>
      <c r="L1356" s="330"/>
      <c r="N1356" s="325">
        <f t="shared" si="267"/>
        <v>84.78</v>
      </c>
      <c r="O1356" s="27"/>
      <c r="P1356" s="56"/>
      <c r="Q1356" s="26"/>
      <c r="T1356" s="67">
        <v>4</v>
      </c>
      <c r="U1356" s="366">
        <f t="shared" si="265"/>
        <v>8.2644628099173556E-2</v>
      </c>
      <c r="V1356" s="58" t="s">
        <v>4029</v>
      </c>
      <c r="W1356" s="13">
        <f>RTD("money.excel",,"6790","Price")</f>
        <v>48.4</v>
      </c>
      <c r="X1356" s="67"/>
      <c r="Y1356" s="15">
        <f t="shared" si="260"/>
        <v>48.4</v>
      </c>
      <c r="Z1356" s="3" t="e">
        <f t="shared" si="261"/>
        <v>#DIV/0!</v>
      </c>
      <c r="AA1356" s="174" t="s">
        <v>2185</v>
      </c>
      <c r="AB1356" s="22" t="s">
        <v>4224</v>
      </c>
      <c r="AE1356" s="33">
        <f t="shared" si="262"/>
        <v>0</v>
      </c>
      <c r="AF1356" s="43" t="s">
        <v>4226</v>
      </c>
      <c r="AG1356" s="128"/>
      <c r="AI1356" s="64">
        <f t="shared" si="266"/>
        <v>7.6779026217228461E-4</v>
      </c>
      <c r="AJ1356" s="313">
        <f>RTD("money.excel",,$G1356,"PredictVolume")</f>
        <v>205</v>
      </c>
      <c r="AK1356" s="348"/>
    </row>
    <row r="1357" spans="1:37">
      <c r="A1357" s="132" t="s">
        <v>2540</v>
      </c>
      <c r="B1357" s="81">
        <v>0</v>
      </c>
      <c r="C1357" s="81">
        <v>1</v>
      </c>
      <c r="D1357" s="81">
        <v>1</v>
      </c>
      <c r="E1357" s="81">
        <v>11</v>
      </c>
      <c r="F1357" s="58">
        <v>22.51</v>
      </c>
      <c r="G1357" s="81">
        <v>6803</v>
      </c>
      <c r="H1357" s="8" t="s">
        <v>2303</v>
      </c>
      <c r="I1357" s="16" t="s">
        <v>47</v>
      </c>
      <c r="J1357" s="330">
        <v>63.85</v>
      </c>
      <c r="K1357" s="330">
        <v>2.68</v>
      </c>
      <c r="L1357" s="75">
        <v>0.06</v>
      </c>
      <c r="N1357" s="325">
        <f t="shared" si="267"/>
        <v>66.59</v>
      </c>
      <c r="O1357" s="27"/>
      <c r="P1357" s="56"/>
      <c r="Q1357" s="26"/>
      <c r="S1357" s="330">
        <v>0</v>
      </c>
      <c r="T1357" s="67">
        <v>11</v>
      </c>
      <c r="U1357" s="366">
        <f t="shared" si="265"/>
        <v>4.6218487394957986E-2</v>
      </c>
      <c r="V1357" s="58">
        <v>12.54</v>
      </c>
      <c r="W1357" s="36">
        <f>RTD("money.excel",,"6803","Price")</f>
        <v>238</v>
      </c>
      <c r="X1357" s="67"/>
      <c r="Y1357" s="15">
        <f t="shared" si="260"/>
        <v>238</v>
      </c>
      <c r="Z1357" s="3" t="e">
        <f t="shared" si="261"/>
        <v>#DIV/0!</v>
      </c>
      <c r="AA1357" s="174" t="s">
        <v>2185</v>
      </c>
      <c r="AB1357" s="16" t="s">
        <v>47</v>
      </c>
      <c r="AE1357" s="33">
        <f t="shared" si="262"/>
        <v>0</v>
      </c>
      <c r="AF1357" s="122" t="s">
        <v>1483</v>
      </c>
      <c r="AG1357" s="128"/>
      <c r="AI1357" s="64">
        <f t="shared" si="266"/>
        <v>5.2173913043478256E-4</v>
      </c>
      <c r="AJ1357" s="313">
        <f>RTD("money.excel",,$G1357,"PredictVolume")</f>
        <v>36</v>
      </c>
      <c r="AK1357" s="348"/>
    </row>
    <row r="1358" spans="1:37">
      <c r="A1358" s="132" t="s">
        <v>1809</v>
      </c>
      <c r="B1358" s="95">
        <v>3079</v>
      </c>
      <c r="C1358" s="95">
        <v>1960</v>
      </c>
      <c r="D1358" s="81">
        <v>59</v>
      </c>
      <c r="E1358" s="95">
        <v>2788</v>
      </c>
      <c r="F1358" s="58">
        <v>23.5</v>
      </c>
      <c r="G1358" s="81">
        <v>6806</v>
      </c>
      <c r="H1358" s="8" t="s">
        <v>2303</v>
      </c>
      <c r="I1358" s="22" t="s">
        <v>4325</v>
      </c>
      <c r="J1358" s="330">
        <v>65.989999999999995</v>
      </c>
      <c r="K1358" s="75">
        <v>0.62</v>
      </c>
      <c r="L1358" s="330"/>
      <c r="M1358" s="330">
        <v>51.52</v>
      </c>
      <c r="N1358" s="325">
        <f t="shared" si="267"/>
        <v>118.13</v>
      </c>
      <c r="O1358" s="27"/>
      <c r="P1358" s="56"/>
      <c r="Q1358" s="26"/>
      <c r="T1358" s="34">
        <v>1</v>
      </c>
      <c r="U1358" s="366">
        <f t="shared" si="265"/>
        <v>1.0362694300518135E-2</v>
      </c>
      <c r="V1358" s="58">
        <v>5.07</v>
      </c>
      <c r="W1358" s="36">
        <f>RTD("money.excel",,"6806","Price")</f>
        <v>96.5</v>
      </c>
      <c r="X1358" s="67"/>
      <c r="Y1358" s="15">
        <f t="shared" si="260"/>
        <v>96.5</v>
      </c>
      <c r="Z1358" s="3" t="e">
        <f t="shared" si="261"/>
        <v>#DIV/0!</v>
      </c>
      <c r="AB1358" s="22" t="s">
        <v>4325</v>
      </c>
      <c r="AE1358" s="33">
        <f t="shared" si="262"/>
        <v>0</v>
      </c>
      <c r="AF1358" s="43" t="s">
        <v>4326</v>
      </c>
      <c r="AG1358" s="128"/>
      <c r="AI1358" s="64">
        <f t="shared" si="266"/>
        <v>9.2465753424657532E-4</v>
      </c>
      <c r="AJ1358" s="313">
        <f>RTD("money.excel",,$G1358,"PredictVolume")</f>
        <v>135</v>
      </c>
      <c r="AK1358" s="348"/>
    </row>
    <row r="1359" spans="1:37">
      <c r="A1359" s="148" t="s">
        <v>1852</v>
      </c>
      <c r="B1359" s="82">
        <v>-99</v>
      </c>
      <c r="C1359" s="95">
        <v>1351</v>
      </c>
      <c r="D1359" s="82">
        <v>-5</v>
      </c>
      <c r="E1359" s="81">
        <v>4</v>
      </c>
      <c r="F1359" s="6">
        <v>3.95</v>
      </c>
      <c r="G1359" s="81">
        <v>8033</v>
      </c>
      <c r="H1359" s="8" t="s">
        <v>2303</v>
      </c>
      <c r="I1359" s="22" t="s">
        <v>734</v>
      </c>
      <c r="J1359" s="75">
        <v>19.600000000000001</v>
      </c>
      <c r="K1359" s="330">
        <v>0.66</v>
      </c>
      <c r="N1359" s="325">
        <f t="shared" si="267"/>
        <v>20.260000000000002</v>
      </c>
      <c r="O1359" s="27"/>
      <c r="P1359" s="56"/>
      <c r="Q1359" s="26"/>
      <c r="T1359" s="34">
        <v>0</v>
      </c>
      <c r="U1359" s="366">
        <f t="shared" si="265"/>
        <v>0</v>
      </c>
      <c r="V1359" s="97">
        <v>-0.11</v>
      </c>
      <c r="W1359" s="36">
        <f>RTD("money.excel",,"8033","Price")</f>
        <v>15.75</v>
      </c>
      <c r="X1359" s="67"/>
      <c r="Y1359" s="15">
        <f t="shared" si="260"/>
        <v>15.75</v>
      </c>
      <c r="Z1359" s="3" t="e">
        <f t="shared" si="261"/>
        <v>#DIV/0!</v>
      </c>
      <c r="AA1359" s="174" t="s">
        <v>1943</v>
      </c>
      <c r="AB1359" s="22" t="s">
        <v>734</v>
      </c>
      <c r="AE1359" s="33">
        <f t="shared" si="262"/>
        <v>0</v>
      </c>
      <c r="AF1359" s="43" t="s">
        <v>2678</v>
      </c>
      <c r="AG1359" s="128"/>
      <c r="AH1359" s="254" t="s">
        <v>4077</v>
      </c>
      <c r="AI1359" s="64">
        <f t="shared" si="266"/>
        <v>2.4772727272727273E-3</v>
      </c>
      <c r="AJ1359" s="313">
        <f>RTD("money.excel",,$G1359,"PredictVolume")</f>
        <v>327</v>
      </c>
      <c r="AK1359" s="348"/>
    </row>
    <row r="1360" spans="1:37">
      <c r="A1360" s="132" t="s">
        <v>1841</v>
      </c>
      <c r="B1360" s="82">
        <v>-3</v>
      </c>
      <c r="C1360" s="81">
        <v>5</v>
      </c>
      <c r="D1360" s="81">
        <v>11</v>
      </c>
      <c r="E1360" s="81">
        <v>17</v>
      </c>
      <c r="F1360" s="58">
        <v>43.26</v>
      </c>
      <c r="G1360" s="81">
        <v>8341</v>
      </c>
      <c r="H1360" s="8" t="s">
        <v>2303</v>
      </c>
      <c r="I1360" s="22" t="s">
        <v>735</v>
      </c>
      <c r="J1360" s="75">
        <v>55.84</v>
      </c>
      <c r="K1360" s="330">
        <v>23.44</v>
      </c>
      <c r="L1360" s="330">
        <v>2.2400000000000002</v>
      </c>
      <c r="N1360" s="325">
        <f t="shared" si="267"/>
        <v>81.52</v>
      </c>
      <c r="O1360" s="27"/>
      <c r="P1360" s="56"/>
      <c r="Q1360" s="26"/>
      <c r="S1360" s="330">
        <v>0.02</v>
      </c>
      <c r="T1360" s="67">
        <v>8.1999999999999993</v>
      </c>
      <c r="U1360" s="366">
        <f t="shared" si="265"/>
        <v>4.0999999999999995E-2</v>
      </c>
      <c r="V1360" s="97">
        <v>8.91</v>
      </c>
      <c r="W1360" s="36">
        <f>RTD("money.excel",,"8341","Price")</f>
        <v>200</v>
      </c>
      <c r="X1360" s="67"/>
      <c r="Y1360" s="15">
        <f t="shared" si="260"/>
        <v>200</v>
      </c>
      <c r="Z1360" s="3" t="e">
        <f t="shared" si="261"/>
        <v>#DIV/0!</v>
      </c>
      <c r="AA1360" s="174" t="s">
        <v>1986</v>
      </c>
      <c r="AB1360" s="22" t="s">
        <v>735</v>
      </c>
      <c r="AE1360" s="33">
        <f t="shared" si="262"/>
        <v>0</v>
      </c>
      <c r="AF1360" s="43" t="s">
        <v>1517</v>
      </c>
      <c r="AG1360" s="128"/>
      <c r="AI1360" s="64">
        <f t="shared" si="266"/>
        <v>6.4864864864864862E-4</v>
      </c>
      <c r="AJ1360" s="313">
        <f>RTD("money.excel",,$G1360,"PredictVolume")</f>
        <v>72</v>
      </c>
      <c r="AK1360" s="348"/>
    </row>
    <row r="1361" spans="1:37">
      <c r="A1361" s="148" t="s">
        <v>1862</v>
      </c>
      <c r="B1361" s="81">
        <v>77</v>
      </c>
      <c r="C1361" s="81">
        <v>39</v>
      </c>
      <c r="D1361" s="81">
        <v>35</v>
      </c>
      <c r="E1361" s="82">
        <v>-11</v>
      </c>
      <c r="F1361" s="6">
        <v>9.1199999999999992</v>
      </c>
      <c r="G1361" s="81">
        <v>8342</v>
      </c>
      <c r="H1361" s="8" t="s">
        <v>2303</v>
      </c>
      <c r="I1361" s="16" t="s">
        <v>696</v>
      </c>
      <c r="J1361" s="75">
        <v>56.88</v>
      </c>
      <c r="K1361" s="75">
        <v>0.27</v>
      </c>
      <c r="L1361" s="330">
        <v>0.31</v>
      </c>
      <c r="N1361" s="325">
        <f t="shared" si="267"/>
        <v>57.460000000000008</v>
      </c>
      <c r="O1361" s="27"/>
      <c r="P1361" s="56"/>
      <c r="Q1361" s="26"/>
      <c r="S1361" s="330">
        <v>0</v>
      </c>
      <c r="T1361" s="67">
        <v>4</v>
      </c>
      <c r="U1361" s="366">
        <f t="shared" si="265"/>
        <v>7.476635514018691E-2</v>
      </c>
      <c r="V1361" s="58">
        <v>5.63</v>
      </c>
      <c r="W1361" s="36">
        <f>RTD("money.excel",,"8342","Price")</f>
        <v>53.5</v>
      </c>
      <c r="X1361" s="67"/>
      <c r="Y1361" s="15">
        <f t="shared" si="260"/>
        <v>53.5</v>
      </c>
      <c r="Z1361" s="3" t="e">
        <f t="shared" si="261"/>
        <v>#DIV/0!</v>
      </c>
      <c r="AA1361" s="174" t="s">
        <v>1986</v>
      </c>
      <c r="AB1361" s="16" t="s">
        <v>696</v>
      </c>
      <c r="AE1361" s="33">
        <f t="shared" si="262"/>
        <v>0</v>
      </c>
      <c r="AF1361" s="43" t="s">
        <v>2992</v>
      </c>
      <c r="AG1361" s="128"/>
      <c r="AI1361" s="64">
        <f t="shared" si="266"/>
        <v>2.7761194029850746E-3</v>
      </c>
      <c r="AJ1361" s="313">
        <f>RTD("money.excel",,$G1361,"PredictVolume")</f>
        <v>93</v>
      </c>
      <c r="AK1361" s="348"/>
    </row>
    <row r="1362" spans="1:37">
      <c r="A1362" s="132" t="s">
        <v>1829</v>
      </c>
      <c r="B1362" s="81">
        <v>285</v>
      </c>
      <c r="C1362" s="81">
        <v>305</v>
      </c>
      <c r="D1362" s="82">
        <v>-15</v>
      </c>
      <c r="E1362" s="81">
        <v>40</v>
      </c>
      <c r="F1362" s="58">
        <v>18.61</v>
      </c>
      <c r="G1362" s="81">
        <v>8390</v>
      </c>
      <c r="H1362" s="8" t="s">
        <v>2303</v>
      </c>
      <c r="I1362" s="16" t="s">
        <v>697</v>
      </c>
      <c r="J1362" s="330">
        <v>41.17</v>
      </c>
      <c r="K1362" s="330">
        <v>18.28</v>
      </c>
      <c r="L1362" s="330">
        <v>19.34</v>
      </c>
      <c r="N1362" s="325">
        <f t="shared" si="267"/>
        <v>78.790000000000006</v>
      </c>
      <c r="O1362" s="27"/>
      <c r="P1362" s="56"/>
      <c r="Q1362" s="26"/>
      <c r="S1362" s="330">
        <v>1.25</v>
      </c>
      <c r="T1362" s="34">
        <v>1.6</v>
      </c>
      <c r="U1362" s="366">
        <f t="shared" si="265"/>
        <v>4.3715846994535519E-2</v>
      </c>
      <c r="V1362" s="97">
        <v>3.37</v>
      </c>
      <c r="W1362" s="36">
        <f>RTD("money.excel",,"8390","Price")</f>
        <v>36.6</v>
      </c>
      <c r="X1362" s="67"/>
      <c r="Y1362" s="15">
        <f t="shared" si="260"/>
        <v>36.6</v>
      </c>
      <c r="Z1362" s="3" t="e">
        <f t="shared" si="261"/>
        <v>#DIV/0!</v>
      </c>
      <c r="AB1362" s="16" t="s">
        <v>697</v>
      </c>
      <c r="AE1362" s="33">
        <f t="shared" si="262"/>
        <v>0</v>
      </c>
      <c r="AF1362" s="43" t="s">
        <v>3767</v>
      </c>
      <c r="AG1362" s="128"/>
      <c r="AI1362" s="64">
        <f t="shared" si="266"/>
        <v>1.4815126050420168E-2</v>
      </c>
      <c r="AJ1362" s="313">
        <f>RTD("money.excel",,$G1362,"PredictVolume")</f>
        <v>1763</v>
      </c>
      <c r="AK1362" s="348"/>
    </row>
    <row r="1363" spans="1:37">
      <c r="A1363" s="148" t="s">
        <v>2497</v>
      </c>
      <c r="B1363" s="93">
        <v>600</v>
      </c>
      <c r="C1363" s="93">
        <v>259</v>
      </c>
      <c r="D1363" s="93">
        <v>-13</v>
      </c>
      <c r="E1363" s="93">
        <v>60</v>
      </c>
      <c r="F1363" s="6">
        <v>1.24</v>
      </c>
      <c r="G1363" s="81">
        <v>8401</v>
      </c>
      <c r="H1363" s="8" t="s">
        <v>2303</v>
      </c>
      <c r="I1363" s="16" t="s">
        <v>698</v>
      </c>
      <c r="J1363" s="75">
        <v>50.71</v>
      </c>
      <c r="K1363" s="75">
        <v>1.07</v>
      </c>
      <c r="L1363" s="75">
        <v>8.81</v>
      </c>
      <c r="N1363" s="325">
        <f t="shared" si="267"/>
        <v>60.59</v>
      </c>
      <c r="O1363" s="27"/>
      <c r="P1363" s="56"/>
      <c r="Q1363" s="26"/>
      <c r="S1363" s="330">
        <v>16.16</v>
      </c>
      <c r="T1363" s="34">
        <v>0.67</v>
      </c>
      <c r="U1363" s="366">
        <f t="shared" si="265"/>
        <v>3.3668341708542715E-2</v>
      </c>
      <c r="V1363" s="97">
        <v>0.75</v>
      </c>
      <c r="W1363" s="13">
        <f>RTD("money.excel",,"8401","Price")</f>
        <v>19.899999999999999</v>
      </c>
      <c r="X1363" s="67"/>
      <c r="Y1363" s="15">
        <f t="shared" si="260"/>
        <v>19.899999999999999</v>
      </c>
      <c r="Z1363" s="3" t="e">
        <f t="shared" si="261"/>
        <v>#DIV/0!</v>
      </c>
      <c r="AB1363" s="16" t="s">
        <v>698</v>
      </c>
      <c r="AE1363" s="33">
        <f t="shared" si="262"/>
        <v>0</v>
      </c>
      <c r="AF1363" s="43" t="s">
        <v>2993</v>
      </c>
      <c r="AI1363" s="64">
        <f t="shared" si="266"/>
        <v>1.5650000000000001E-2</v>
      </c>
      <c r="AJ1363" s="313">
        <f>RTD("money.excel",,$G1363,"PredictVolume")</f>
        <v>939</v>
      </c>
    </row>
    <row r="1364" spans="1:37">
      <c r="A1364" s="132" t="s">
        <v>3686</v>
      </c>
      <c r="B1364" s="81">
        <v>186</v>
      </c>
      <c r="C1364" s="81">
        <v>131</v>
      </c>
      <c r="D1364" s="82">
        <v>-14</v>
      </c>
      <c r="E1364" s="81">
        <v>43</v>
      </c>
      <c r="F1364" s="58">
        <v>25.9</v>
      </c>
      <c r="G1364" s="81">
        <v>8404</v>
      </c>
      <c r="H1364" s="8" t="s">
        <v>2303</v>
      </c>
      <c r="I1364" s="22" t="s">
        <v>1159</v>
      </c>
      <c r="J1364" s="330">
        <v>73.790000000000006</v>
      </c>
      <c r="K1364" s="330">
        <v>58.43</v>
      </c>
      <c r="L1364" s="330">
        <v>3.02</v>
      </c>
      <c r="N1364" s="325">
        <f t="shared" si="267"/>
        <v>135.24</v>
      </c>
      <c r="O1364" s="27"/>
      <c r="P1364" s="56"/>
      <c r="Q1364" s="26"/>
      <c r="S1364" s="330">
        <v>0</v>
      </c>
      <c r="T1364" s="34">
        <v>1</v>
      </c>
      <c r="U1364" s="366">
        <f t="shared" si="265"/>
        <v>2.7972027972027972E-2</v>
      </c>
      <c r="V1364" s="58">
        <v>3.65</v>
      </c>
      <c r="W1364" s="13">
        <f>RTD("money.excel",,"8404","Price")</f>
        <v>35.75</v>
      </c>
      <c r="X1364" s="67"/>
      <c r="Y1364" s="15">
        <f t="shared" si="260"/>
        <v>35.75</v>
      </c>
      <c r="Z1364" s="3" t="e">
        <f t="shared" si="261"/>
        <v>#DIV/0!</v>
      </c>
      <c r="AA1364" s="174" t="s">
        <v>1943</v>
      </c>
      <c r="AB1364" s="22" t="s">
        <v>1159</v>
      </c>
      <c r="AE1364" s="33">
        <f t="shared" si="262"/>
        <v>0</v>
      </c>
      <c r="AF1364" s="124" t="s">
        <v>3352</v>
      </c>
      <c r="AG1364" s="128"/>
      <c r="AI1364" s="64">
        <f t="shared" si="266"/>
        <v>4.6349206349206347E-4</v>
      </c>
      <c r="AJ1364" s="313">
        <f>RTD("money.excel",,$G1364,"PredictVolume")</f>
        <v>146</v>
      </c>
      <c r="AK1364" s="348"/>
    </row>
    <row r="1365" spans="1:37">
      <c r="A1365" s="148" t="s">
        <v>1824</v>
      </c>
      <c r="B1365" s="93">
        <v>150</v>
      </c>
      <c r="C1365" s="93">
        <v>308</v>
      </c>
      <c r="D1365" s="93">
        <v>13</v>
      </c>
      <c r="E1365" s="93">
        <v>65</v>
      </c>
      <c r="F1365" s="6">
        <v>-1.46</v>
      </c>
      <c r="G1365" s="81">
        <v>8411</v>
      </c>
      <c r="H1365" s="8" t="s">
        <v>2303</v>
      </c>
      <c r="I1365" s="22" t="s">
        <v>736</v>
      </c>
      <c r="J1365" s="75">
        <v>80.239999999999995</v>
      </c>
      <c r="K1365" s="75">
        <v>62.35</v>
      </c>
      <c r="L1365" s="75">
        <v>2.0699999999999998</v>
      </c>
      <c r="N1365" s="325">
        <f t="shared" si="267"/>
        <v>144.66</v>
      </c>
      <c r="O1365" s="27"/>
      <c r="P1365" s="56"/>
      <c r="Q1365" s="26"/>
      <c r="S1365" s="330">
        <v>5.54</v>
      </c>
      <c r="T1365" s="34">
        <v>0.17</v>
      </c>
      <c r="U1365" s="366">
        <f t="shared" si="265"/>
        <v>1.0303030303030303E-2</v>
      </c>
      <c r="V1365" s="58">
        <v>0.38</v>
      </c>
      <c r="W1365" s="13">
        <f>RTD("money.excel",,"8411","Price")</f>
        <v>16.5</v>
      </c>
      <c r="X1365" s="67"/>
      <c r="Y1365" s="15">
        <f t="shared" si="260"/>
        <v>16.5</v>
      </c>
      <c r="Z1365" s="3" t="e">
        <f t="shared" si="261"/>
        <v>#DIV/0!</v>
      </c>
      <c r="AA1365" s="174" t="s">
        <v>1943</v>
      </c>
      <c r="AB1365" s="22" t="s">
        <v>736</v>
      </c>
      <c r="AE1365" s="33">
        <f t="shared" si="262"/>
        <v>0</v>
      </c>
      <c r="AF1365" s="43" t="s">
        <v>3353</v>
      </c>
      <c r="AG1365" s="125"/>
      <c r="AI1365" s="64">
        <f t="shared" si="266"/>
        <v>2.3428571428571427E-4</v>
      </c>
      <c r="AJ1365" s="313">
        <f>RTD("money.excel",,$G1365,"PredictVolume")</f>
        <v>41</v>
      </c>
      <c r="AK1365" s="83"/>
    </row>
    <row r="1366" spans="1:37">
      <c r="A1366" s="148" t="s">
        <v>2332</v>
      </c>
      <c r="B1366" s="82">
        <v>-58</v>
      </c>
      <c r="C1366" s="82">
        <v>-94</v>
      </c>
      <c r="D1366" s="81">
        <v>27</v>
      </c>
      <c r="E1366" s="82">
        <v>-21</v>
      </c>
      <c r="F1366" s="6">
        <v>-8.56</v>
      </c>
      <c r="G1366" s="81">
        <v>8418</v>
      </c>
      <c r="H1366" s="8" t="s">
        <v>2303</v>
      </c>
      <c r="I1366" s="16" t="s">
        <v>1164</v>
      </c>
      <c r="J1366" s="75">
        <v>87.47</v>
      </c>
      <c r="K1366" s="75">
        <v>89.59</v>
      </c>
      <c r="L1366" s="330">
        <v>0.14000000000000001</v>
      </c>
      <c r="N1366" s="325">
        <f t="shared" si="267"/>
        <v>177.2</v>
      </c>
      <c r="O1366" s="27"/>
      <c r="P1366" s="56"/>
      <c r="Q1366" s="26"/>
      <c r="S1366" s="330">
        <v>0</v>
      </c>
      <c r="T1366" s="34">
        <v>0</v>
      </c>
      <c r="U1366" s="366">
        <f t="shared" si="265"/>
        <v>0</v>
      </c>
      <c r="V1366" s="58">
        <v>-1.7</v>
      </c>
      <c r="W1366" s="13">
        <f>RTD("money.excel",,"8418","Price")</f>
        <v>10.1</v>
      </c>
      <c r="X1366" s="67"/>
      <c r="Y1366" s="15">
        <f t="shared" si="260"/>
        <v>10.1</v>
      </c>
      <c r="Z1366" s="3" t="e">
        <f t="shared" si="261"/>
        <v>#DIV/0!</v>
      </c>
      <c r="AB1366" s="16" t="s">
        <v>1164</v>
      </c>
      <c r="AE1366" s="33">
        <f t="shared" si="262"/>
        <v>0</v>
      </c>
      <c r="AF1366" s="43" t="s">
        <v>2994</v>
      </c>
      <c r="AG1366" s="128"/>
      <c r="AI1366" s="64">
        <f t="shared" si="266"/>
        <v>1.2755102040816327E-5</v>
      </c>
      <c r="AJ1366" s="313">
        <f>RTD("money.excel",,$G1366,"PredictVolume")</f>
        <v>1</v>
      </c>
      <c r="AK1366" s="348"/>
    </row>
    <row r="1367" spans="1:37">
      <c r="A1367" s="148" t="s">
        <v>3499</v>
      </c>
      <c r="B1367" s="81">
        <v>-68</v>
      </c>
      <c r="C1367" s="81">
        <v>-84</v>
      </c>
      <c r="D1367" s="81">
        <v>-15</v>
      </c>
      <c r="E1367" s="81">
        <v>51</v>
      </c>
      <c r="F1367" s="6">
        <v>1.84</v>
      </c>
      <c r="G1367" s="81">
        <v>8420</v>
      </c>
      <c r="H1367" s="8" t="s">
        <v>2303</v>
      </c>
      <c r="I1367" s="16" t="s">
        <v>5953</v>
      </c>
      <c r="J1367" s="75">
        <v>78.760000000000005</v>
      </c>
      <c r="K1367" s="75">
        <v>0.01</v>
      </c>
      <c r="L1367" s="75">
        <v>3.32</v>
      </c>
      <c r="N1367" s="325">
        <f t="shared" si="267"/>
        <v>82.09</v>
      </c>
      <c r="O1367" s="27"/>
      <c r="P1367" s="56"/>
      <c r="Q1367" s="26"/>
      <c r="S1367" s="330">
        <v>65.290000000000006</v>
      </c>
      <c r="T1367" s="34">
        <v>0.8</v>
      </c>
      <c r="U1367" s="366">
        <f t="shared" si="265"/>
        <v>2.0806241872561769E-2</v>
      </c>
      <c r="V1367" s="58">
        <v>1.48</v>
      </c>
      <c r="W1367" s="36">
        <f>RTD("money.excel",,"8420","Price")</f>
        <v>38.450000000000003</v>
      </c>
      <c r="X1367" s="67"/>
      <c r="Y1367" s="15">
        <f t="shared" si="260"/>
        <v>38.450000000000003</v>
      </c>
      <c r="Z1367" s="3" t="e">
        <f t="shared" si="261"/>
        <v>#DIV/0!</v>
      </c>
      <c r="AA1367" s="174" t="s">
        <v>1943</v>
      </c>
      <c r="AB1367" s="16" t="s">
        <v>5953</v>
      </c>
      <c r="AE1367" s="33">
        <f t="shared" si="262"/>
        <v>0</v>
      </c>
      <c r="AF1367" s="122" t="s">
        <v>1967</v>
      </c>
      <c r="AG1367" s="128"/>
      <c r="AI1367" s="64">
        <f t="shared" si="266"/>
        <v>2.8039215686274511E-3</v>
      </c>
      <c r="AJ1367" s="313">
        <f>RTD("money.excel",,$G1367,"PredictVolume")</f>
        <v>143</v>
      </c>
      <c r="AK1367" s="348"/>
    </row>
    <row r="1368" spans="1:37">
      <c r="A1368" s="148" t="s">
        <v>1750</v>
      </c>
      <c r="B1368" s="208">
        <v>-5310</v>
      </c>
      <c r="C1368" s="93">
        <v>-282</v>
      </c>
      <c r="D1368" s="93">
        <v>-7</v>
      </c>
      <c r="E1368" s="93">
        <v>24</v>
      </c>
      <c r="F1368" s="6">
        <v>-1.76</v>
      </c>
      <c r="G1368" s="81">
        <v>8421</v>
      </c>
      <c r="H1368" s="8" t="s">
        <v>2303</v>
      </c>
      <c r="I1368" s="16" t="s">
        <v>699</v>
      </c>
      <c r="J1368" s="75">
        <v>62.42</v>
      </c>
      <c r="K1368" s="75">
        <v>0.35</v>
      </c>
      <c r="L1368" s="75">
        <v>41.25</v>
      </c>
      <c r="N1368" s="325">
        <f t="shared" si="267"/>
        <v>104.02000000000001</v>
      </c>
      <c r="O1368" s="27"/>
      <c r="P1368" s="56"/>
      <c r="Q1368" s="26"/>
      <c r="S1368" s="330">
        <v>31.49</v>
      </c>
      <c r="T1368" s="34">
        <v>0</v>
      </c>
      <c r="U1368" s="366">
        <f t="shared" si="265"/>
        <v>0</v>
      </c>
      <c r="V1368" s="97">
        <v>-1.87</v>
      </c>
      <c r="W1368" s="13">
        <f>RTD("money.excel",,"8421","Price")</f>
        <v>14.3</v>
      </c>
      <c r="X1368" s="67"/>
      <c r="Y1368" s="15">
        <f t="shared" si="260"/>
        <v>14.3</v>
      </c>
      <c r="Z1368" s="3" t="e">
        <f t="shared" si="261"/>
        <v>#DIV/0!</v>
      </c>
      <c r="AB1368" s="16" t="s">
        <v>699</v>
      </c>
      <c r="AE1368" s="33">
        <f t="shared" si="262"/>
        <v>0</v>
      </c>
      <c r="AF1368" s="43" t="s">
        <v>2995</v>
      </c>
      <c r="AI1368" s="64">
        <f t="shared" si="266"/>
        <v>6.1131386861313858E-3</v>
      </c>
      <c r="AJ1368" s="313">
        <f>RTD("money.excel",,$G1368,"PredictVolume")</f>
        <v>335</v>
      </c>
      <c r="AK1368" s="348"/>
    </row>
    <row r="1369" spans="1:37">
      <c r="A1369" s="132" t="s">
        <v>1881</v>
      </c>
      <c r="B1369" s="81">
        <v>7</v>
      </c>
      <c r="C1369" s="81">
        <v>10</v>
      </c>
      <c r="D1369" s="81">
        <v>10</v>
      </c>
      <c r="E1369" s="81">
        <v>33</v>
      </c>
      <c r="F1369" s="58">
        <v>53.69</v>
      </c>
      <c r="G1369" s="81">
        <v>8422</v>
      </c>
      <c r="H1369" s="8" t="s">
        <v>2303</v>
      </c>
      <c r="I1369" s="22" t="s">
        <v>737</v>
      </c>
      <c r="J1369" s="75">
        <v>44.57</v>
      </c>
      <c r="K1369" s="75">
        <v>27.75</v>
      </c>
      <c r="L1369" s="75">
        <v>18.93</v>
      </c>
      <c r="M1369" s="330">
        <v>17.32</v>
      </c>
      <c r="N1369" s="325">
        <f t="shared" si="267"/>
        <v>108.57</v>
      </c>
      <c r="O1369" s="27"/>
      <c r="P1369" s="56"/>
      <c r="Q1369" s="26"/>
      <c r="R1369" s="308" t="s">
        <v>4373</v>
      </c>
      <c r="S1369" s="330">
        <v>3.51</v>
      </c>
      <c r="T1369" s="67">
        <v>10</v>
      </c>
      <c r="U1369" s="366">
        <f t="shared" si="265"/>
        <v>4.9875311720698257E-2</v>
      </c>
      <c r="V1369" s="97">
        <v>11.4</v>
      </c>
      <c r="W1369" s="36">
        <f>RTD("money.excel",,"8422","Price")</f>
        <v>200.5</v>
      </c>
      <c r="X1369" s="67"/>
      <c r="Y1369" s="15">
        <f t="shared" si="260"/>
        <v>200.5</v>
      </c>
      <c r="Z1369" s="3" t="e">
        <f t="shared" si="261"/>
        <v>#DIV/0!</v>
      </c>
      <c r="AA1369" s="174" t="s">
        <v>2185</v>
      </c>
      <c r="AB1369" s="22" t="s">
        <v>737</v>
      </c>
      <c r="AE1369" s="33">
        <f t="shared" si="262"/>
        <v>0</v>
      </c>
      <c r="AF1369" s="43" t="s">
        <v>3354</v>
      </c>
      <c r="AG1369" s="269"/>
      <c r="AI1369" s="64">
        <f t="shared" si="266"/>
        <v>6.7222222222222223E-3</v>
      </c>
      <c r="AJ1369" s="313">
        <f>RTD("money.excel",,$G1369,"PredictVolume")</f>
        <v>726</v>
      </c>
      <c r="AK1369" s="348"/>
    </row>
    <row r="1370" spans="1:37">
      <c r="A1370" s="148" t="s">
        <v>2687</v>
      </c>
      <c r="B1370" s="93">
        <v>-49</v>
      </c>
      <c r="C1370" s="93">
        <v>-41</v>
      </c>
      <c r="D1370" s="93">
        <v>-8</v>
      </c>
      <c r="E1370" s="93">
        <v>35</v>
      </c>
      <c r="F1370" s="6">
        <v>8.6300000000000008</v>
      </c>
      <c r="G1370" s="81">
        <v>8423</v>
      </c>
      <c r="H1370" s="8" t="s">
        <v>2303</v>
      </c>
      <c r="I1370" s="16" t="s">
        <v>700</v>
      </c>
      <c r="J1370" s="75">
        <v>72.819999999999993</v>
      </c>
      <c r="K1370" s="75">
        <v>38.26</v>
      </c>
      <c r="N1370" s="325">
        <f t="shared" si="267"/>
        <v>111.07999999999998</v>
      </c>
      <c r="O1370" s="27"/>
      <c r="P1370" s="56"/>
      <c r="Q1370" s="26"/>
      <c r="S1370" s="330">
        <v>3.56</v>
      </c>
      <c r="T1370" s="34">
        <v>0.9</v>
      </c>
      <c r="U1370" s="366" t="e">
        <f t="shared" ref="U1370:U1401" si="268">T1370/W1370</f>
        <v>#VALUE!</v>
      </c>
      <c r="V1370" s="97">
        <v>0.94</v>
      </c>
      <c r="W1370" s="13" t="str">
        <f>RTD("money.excel",,"8423","Price")</f>
        <v>無資料</v>
      </c>
      <c r="X1370" s="67"/>
      <c r="Y1370" s="15" t="e">
        <f t="shared" ref="Y1370:Y1432" si="269">W1370-X1370</f>
        <v>#VALUE!</v>
      </c>
      <c r="Z1370" s="3" t="e">
        <f t="shared" ref="Z1370:Z1432" si="270">Y1370/X1370</f>
        <v>#VALUE!</v>
      </c>
      <c r="AB1370" s="16" t="s">
        <v>700</v>
      </c>
      <c r="AE1370" s="33">
        <f t="shared" ref="AE1370:AE1432" si="271">AD1370-AC1370</f>
        <v>0</v>
      </c>
      <c r="AF1370" s="43" t="s">
        <v>2996</v>
      </c>
      <c r="AG1370" s="128"/>
      <c r="AI1370" s="64">
        <f t="shared" ref="AI1370:AI1401" si="272">AJ1370/(A1370*10000)</f>
        <v>0</v>
      </c>
      <c r="AJ1370" s="313">
        <f>RTD("money.excel",,$G1370,"PredictVolume")</f>
        <v>0</v>
      </c>
      <c r="AK1370" s="348"/>
    </row>
    <row r="1371" spans="1:37">
      <c r="A1371" s="148" t="s">
        <v>1692</v>
      </c>
      <c r="B1371" s="93">
        <v>-231</v>
      </c>
      <c r="C1371" s="93">
        <v>-581</v>
      </c>
      <c r="D1371" s="93">
        <v>58</v>
      </c>
      <c r="E1371" s="93">
        <v>58</v>
      </c>
      <c r="F1371" s="6">
        <v>-9.09</v>
      </c>
      <c r="G1371" s="81">
        <v>8426</v>
      </c>
      <c r="H1371" s="8" t="s">
        <v>2303</v>
      </c>
      <c r="I1371" s="16" t="s">
        <v>701</v>
      </c>
      <c r="J1371" s="75">
        <v>75.39</v>
      </c>
      <c r="K1371" s="75">
        <v>66.37</v>
      </c>
      <c r="L1371" s="75">
        <v>2.0699999999999998</v>
      </c>
      <c r="N1371" s="325">
        <f t="shared" si="267"/>
        <v>143.82999999999998</v>
      </c>
      <c r="O1371" s="27"/>
      <c r="P1371" s="56"/>
      <c r="Q1371" s="26"/>
      <c r="S1371" s="330">
        <v>64.08</v>
      </c>
      <c r="T1371" s="34">
        <v>0</v>
      </c>
      <c r="U1371" s="366" t="e">
        <f t="shared" si="268"/>
        <v>#VALUE!</v>
      </c>
      <c r="V1371" s="58">
        <v>-2.52</v>
      </c>
      <c r="W1371" s="13" t="str">
        <f>RTD("money.excel",,"8426","Price")</f>
        <v>無資料</v>
      </c>
      <c r="X1371" s="67"/>
      <c r="Y1371" s="15" t="e">
        <f t="shared" si="269"/>
        <v>#VALUE!</v>
      </c>
      <c r="Z1371" s="3" t="e">
        <f t="shared" si="270"/>
        <v>#VALUE!</v>
      </c>
      <c r="AB1371" s="16" t="s">
        <v>701</v>
      </c>
      <c r="AE1371" s="33">
        <f t="shared" si="271"/>
        <v>0</v>
      </c>
      <c r="AF1371" s="43" t="s">
        <v>2997</v>
      </c>
      <c r="AG1371" s="269"/>
      <c r="AI1371" s="64">
        <f t="shared" si="272"/>
        <v>0</v>
      </c>
      <c r="AJ1371" s="313">
        <f>RTD("money.excel",,$G1371,"PredictVolume")</f>
        <v>0</v>
      </c>
      <c r="AK1371" s="348"/>
    </row>
    <row r="1372" spans="1:37">
      <c r="A1372" s="148" t="s">
        <v>1922</v>
      </c>
      <c r="B1372" s="93">
        <v>-335</v>
      </c>
      <c r="C1372" s="93">
        <v>-284</v>
      </c>
      <c r="D1372" s="93">
        <v>47</v>
      </c>
      <c r="E1372" s="93">
        <v>-41</v>
      </c>
      <c r="F1372" s="6">
        <v>-5.19</v>
      </c>
      <c r="G1372" s="81">
        <v>8427</v>
      </c>
      <c r="H1372" s="8" t="s">
        <v>2303</v>
      </c>
      <c r="I1372" s="22" t="s">
        <v>738</v>
      </c>
      <c r="J1372" s="75">
        <v>91.3</v>
      </c>
      <c r="K1372" s="75">
        <v>35.39</v>
      </c>
      <c r="L1372" s="75">
        <v>1.46</v>
      </c>
      <c r="N1372" s="325">
        <f t="shared" si="267"/>
        <v>128.15</v>
      </c>
      <c r="O1372" s="27"/>
      <c r="P1372" s="56"/>
      <c r="Q1372" s="26"/>
      <c r="S1372" s="330">
        <v>45.4</v>
      </c>
      <c r="T1372" s="34">
        <v>0</v>
      </c>
      <c r="U1372" s="366" t="e">
        <f t="shared" si="268"/>
        <v>#VALUE!</v>
      </c>
      <c r="V1372" s="97">
        <v>-1.1499999999999999</v>
      </c>
      <c r="W1372" s="13" t="str">
        <f>RTD("money.excel",,"8427","Price")</f>
        <v>商品錯誤</v>
      </c>
      <c r="X1372" s="67"/>
      <c r="Y1372" s="15" t="e">
        <f t="shared" si="269"/>
        <v>#VALUE!</v>
      </c>
      <c r="Z1372" s="3" t="e">
        <f t="shared" si="270"/>
        <v>#VALUE!</v>
      </c>
      <c r="AA1372" s="174" t="s">
        <v>1943</v>
      </c>
      <c r="AB1372" s="22" t="s">
        <v>738</v>
      </c>
      <c r="AE1372" s="33">
        <f t="shared" si="271"/>
        <v>0</v>
      </c>
      <c r="AF1372" s="43" t="s">
        <v>3355</v>
      </c>
      <c r="AG1372" s="128"/>
      <c r="AI1372" s="64" t="e">
        <f t="shared" si="272"/>
        <v>#VALUE!</v>
      </c>
      <c r="AJ1372" s="313" t="str">
        <f>RTD("money.excel",,$G1372,"PredictVolume")</f>
        <v>商品錯誤</v>
      </c>
      <c r="AK1372" s="348"/>
    </row>
    <row r="1373" spans="1:37">
      <c r="A1373" s="132" t="s">
        <v>1929</v>
      </c>
      <c r="B1373" s="82">
        <v>-28</v>
      </c>
      <c r="C1373" s="82">
        <v>-19</v>
      </c>
      <c r="D1373" s="82">
        <v>-4</v>
      </c>
      <c r="E1373" s="82">
        <v>-5</v>
      </c>
      <c r="F1373" s="58">
        <v>17.14</v>
      </c>
      <c r="G1373" s="81">
        <v>8435</v>
      </c>
      <c r="H1373" s="8" t="s">
        <v>2303</v>
      </c>
      <c r="I1373" s="16" t="s">
        <v>702</v>
      </c>
      <c r="J1373" s="330">
        <v>45.19</v>
      </c>
      <c r="K1373" s="330">
        <v>0.12</v>
      </c>
      <c r="L1373" s="330">
        <v>2.9</v>
      </c>
      <c r="N1373" s="325">
        <f t="shared" si="267"/>
        <v>48.209999999999994</v>
      </c>
      <c r="O1373" s="27"/>
      <c r="P1373" s="56"/>
      <c r="Q1373" s="26"/>
      <c r="S1373" s="330">
        <v>0</v>
      </c>
      <c r="T1373" s="67">
        <v>3.5</v>
      </c>
      <c r="U1373" s="366">
        <f t="shared" si="268"/>
        <v>5.4432348367029551E-2</v>
      </c>
      <c r="V1373" s="97">
        <v>3.54</v>
      </c>
      <c r="W1373" s="36">
        <f>RTD("money.excel",,"8435","Price")</f>
        <v>64.3</v>
      </c>
      <c r="X1373" s="67"/>
      <c r="Y1373" s="15">
        <f t="shared" si="269"/>
        <v>64.3</v>
      </c>
      <c r="Z1373" s="3" t="e">
        <f t="shared" si="270"/>
        <v>#DIV/0!</v>
      </c>
      <c r="AA1373" s="174" t="s">
        <v>1986</v>
      </c>
      <c r="AB1373" s="16" t="s">
        <v>702</v>
      </c>
      <c r="AE1373" s="33">
        <f t="shared" si="271"/>
        <v>0</v>
      </c>
      <c r="AF1373" s="43" t="s">
        <v>2998</v>
      </c>
      <c r="AG1373" s="128"/>
      <c r="AI1373" s="64">
        <f t="shared" si="272"/>
        <v>2.050473186119874E-3</v>
      </c>
      <c r="AJ1373" s="313">
        <f>RTD("money.excel",,$G1373,"PredictVolume")</f>
        <v>65</v>
      </c>
      <c r="AK1373" s="348"/>
    </row>
    <row r="1374" spans="1:37">
      <c r="A1374" s="132" t="s">
        <v>1556</v>
      </c>
      <c r="B1374" s="82">
        <v>-76</v>
      </c>
      <c r="C1374" s="82">
        <v>-80</v>
      </c>
      <c r="D1374" s="81">
        <v>-17</v>
      </c>
      <c r="E1374" s="82">
        <v>-68</v>
      </c>
      <c r="F1374" s="58">
        <v>38.020000000000003</v>
      </c>
      <c r="G1374" s="81">
        <v>8437</v>
      </c>
      <c r="H1374" s="8" t="s">
        <v>2303</v>
      </c>
      <c r="I1374" s="16" t="s">
        <v>703</v>
      </c>
      <c r="J1374" s="330">
        <v>59.89</v>
      </c>
      <c r="K1374" s="330">
        <v>49.92</v>
      </c>
      <c r="L1374" s="330">
        <v>0.48</v>
      </c>
      <c r="N1374" s="325">
        <f t="shared" si="267"/>
        <v>110.29</v>
      </c>
      <c r="O1374" s="27"/>
      <c r="P1374" s="56"/>
      <c r="Q1374" s="26"/>
      <c r="S1374" s="330">
        <v>0</v>
      </c>
      <c r="T1374" s="67">
        <v>3</v>
      </c>
      <c r="U1374" s="366">
        <f t="shared" si="268"/>
        <v>2.5316455696202531E-2</v>
      </c>
      <c r="V1374" s="97">
        <v>2.72</v>
      </c>
      <c r="W1374" s="13">
        <f>RTD("money.excel",,"8437","Price")</f>
        <v>118.5</v>
      </c>
      <c r="X1374" s="67"/>
      <c r="Y1374" s="15">
        <f t="shared" si="269"/>
        <v>118.5</v>
      </c>
      <c r="Z1374" s="3" t="e">
        <f t="shared" si="270"/>
        <v>#DIV/0!</v>
      </c>
      <c r="AA1374" s="174" t="s">
        <v>1986</v>
      </c>
      <c r="AB1374" s="16" t="s">
        <v>703</v>
      </c>
      <c r="AE1374" s="33">
        <f t="shared" si="271"/>
        <v>0</v>
      </c>
      <c r="AF1374" s="43" t="s">
        <v>2999</v>
      </c>
      <c r="AG1374" s="128"/>
      <c r="AI1374" s="64">
        <f t="shared" si="272"/>
        <v>7.9331941544885176E-4</v>
      </c>
      <c r="AJ1374" s="313">
        <f>RTD("money.excel",,$G1374,"PredictVolume")</f>
        <v>38</v>
      </c>
      <c r="AK1374" s="348"/>
    </row>
    <row r="1375" spans="1:37">
      <c r="A1375" s="148" t="s">
        <v>5736</v>
      </c>
      <c r="B1375" s="81">
        <v>307</v>
      </c>
      <c r="C1375" s="81">
        <v>189</v>
      </c>
      <c r="D1375" s="81">
        <v>47</v>
      </c>
      <c r="E1375" s="82">
        <v>-41</v>
      </c>
      <c r="F1375" s="6">
        <v>6.56</v>
      </c>
      <c r="G1375" s="81">
        <v>8438</v>
      </c>
      <c r="H1375" s="8" t="s">
        <v>2303</v>
      </c>
      <c r="I1375" s="22" t="s">
        <v>6471</v>
      </c>
      <c r="J1375" s="330">
        <v>94.75</v>
      </c>
      <c r="K1375" s="330">
        <v>0</v>
      </c>
      <c r="L1375" s="330"/>
      <c r="M1375" s="330"/>
      <c r="N1375" s="325">
        <f t="shared" ref="N1375" si="273">J1375+K1375+L1375+M1375</f>
        <v>94.75</v>
      </c>
      <c r="O1375" s="27"/>
      <c r="P1375" s="56"/>
      <c r="Q1375" s="26"/>
      <c r="S1375" s="330">
        <v>45.4</v>
      </c>
      <c r="T1375" s="34">
        <v>0.9</v>
      </c>
      <c r="U1375" s="366">
        <f t="shared" si="268"/>
        <v>2.2222222222222223E-2</v>
      </c>
      <c r="V1375" s="58" t="s">
        <v>4029</v>
      </c>
      <c r="W1375" s="13">
        <f>RTD("money.excel",,"8438","Price")</f>
        <v>40.5</v>
      </c>
      <c r="X1375" s="67"/>
      <c r="Y1375" s="15">
        <f t="shared" ref="Y1375" si="274">W1375-X1375</f>
        <v>40.5</v>
      </c>
      <c r="Z1375" s="3" t="e">
        <f t="shared" ref="Z1375" si="275">Y1375/X1375</f>
        <v>#DIV/0!</v>
      </c>
      <c r="AA1375" s="174" t="s">
        <v>1943</v>
      </c>
      <c r="AB1375" s="22" t="s">
        <v>6471</v>
      </c>
      <c r="AE1375" s="33">
        <f t="shared" ref="AE1375" si="276">AD1375-AC1375</f>
        <v>0</v>
      </c>
      <c r="AF1375" s="128" t="s">
        <v>6478</v>
      </c>
      <c r="AG1375" s="243"/>
      <c r="AI1375" s="64">
        <f t="shared" si="272"/>
        <v>3.0476947535771064E-2</v>
      </c>
      <c r="AJ1375" s="313">
        <f>RTD("money.excel",,$G1375,"PredictVolume")</f>
        <v>1917</v>
      </c>
      <c r="AK1375" s="348"/>
    </row>
    <row r="1376" spans="1:37">
      <c r="A1376" s="148" t="s">
        <v>2635</v>
      </c>
      <c r="B1376" s="93">
        <v>6</v>
      </c>
      <c r="C1376" s="93">
        <v>-13</v>
      </c>
      <c r="D1376" s="93">
        <v>-14</v>
      </c>
      <c r="E1376" s="93">
        <v>30</v>
      </c>
      <c r="F1376" s="6">
        <v>1.62</v>
      </c>
      <c r="G1376" s="81">
        <v>8440</v>
      </c>
      <c r="H1376" s="8" t="s">
        <v>2303</v>
      </c>
      <c r="I1376" s="16" t="s">
        <v>704</v>
      </c>
      <c r="J1376" s="75">
        <v>73.5</v>
      </c>
      <c r="K1376" s="75">
        <v>0</v>
      </c>
      <c r="L1376" s="75">
        <v>7.0000000000000007E-2</v>
      </c>
      <c r="N1376" s="325">
        <f t="shared" si="267"/>
        <v>73.569999999999993</v>
      </c>
      <c r="O1376" s="27"/>
      <c r="P1376" s="56"/>
      <c r="Q1376" s="26"/>
      <c r="S1376" s="330">
        <v>51.05</v>
      </c>
      <c r="T1376" s="34">
        <v>0.3</v>
      </c>
      <c r="U1376" s="366">
        <f t="shared" si="268"/>
        <v>5.1282051282051282E-3</v>
      </c>
      <c r="V1376" s="97">
        <v>0.6</v>
      </c>
      <c r="W1376" s="13">
        <f>RTD("money.excel",,"8440","Price")</f>
        <v>58.5</v>
      </c>
      <c r="X1376" s="67"/>
      <c r="Y1376" s="15">
        <f t="shared" si="269"/>
        <v>58.5</v>
      </c>
      <c r="Z1376" s="3" t="e">
        <f t="shared" si="270"/>
        <v>#DIV/0!</v>
      </c>
      <c r="AB1376" s="16" t="s">
        <v>704</v>
      </c>
      <c r="AE1376" s="33">
        <f t="shared" si="271"/>
        <v>0</v>
      </c>
      <c r="AF1376" s="43" t="s">
        <v>3000</v>
      </c>
      <c r="AG1376" s="128"/>
      <c r="AI1376" s="64">
        <f t="shared" si="272"/>
        <v>1.6263157894736842</v>
      </c>
      <c r="AJ1376" s="313">
        <f>RTD("money.excel",,$G1376,"PredictVolume")</f>
        <v>61800</v>
      </c>
      <c r="AK1376" s="348"/>
    </row>
    <row r="1377" spans="1:37">
      <c r="A1377" s="148" t="s">
        <v>2497</v>
      </c>
      <c r="B1377" s="82">
        <v>-136</v>
      </c>
      <c r="C1377" s="82">
        <v>-117</v>
      </c>
      <c r="D1377" s="81">
        <v>50</v>
      </c>
      <c r="E1377" s="82">
        <v>-32</v>
      </c>
      <c r="F1377" s="6">
        <v>-1.1100000000000001</v>
      </c>
      <c r="G1377" s="81">
        <v>8442</v>
      </c>
      <c r="H1377" s="8" t="s">
        <v>2303</v>
      </c>
      <c r="I1377" s="22" t="s">
        <v>759</v>
      </c>
      <c r="J1377" s="75">
        <v>68.22</v>
      </c>
      <c r="K1377" s="75">
        <v>63.72</v>
      </c>
      <c r="N1377" s="325">
        <f t="shared" si="267"/>
        <v>131.94</v>
      </c>
      <c r="O1377" s="27"/>
      <c r="P1377" s="56"/>
      <c r="Q1377" s="26"/>
      <c r="T1377" s="34">
        <v>0.3</v>
      </c>
      <c r="U1377" s="366">
        <f t="shared" si="268"/>
        <v>6.0544904137235121E-3</v>
      </c>
      <c r="V1377" s="58">
        <v>-2.56</v>
      </c>
      <c r="W1377" s="13">
        <f>RTD("money.excel",,"8442","Price")</f>
        <v>49.55</v>
      </c>
      <c r="X1377" s="67"/>
      <c r="Y1377" s="15">
        <f t="shared" si="269"/>
        <v>49.55</v>
      </c>
      <c r="Z1377" s="3" t="e">
        <f t="shared" si="270"/>
        <v>#DIV/0!</v>
      </c>
      <c r="AA1377" s="174" t="s">
        <v>1943</v>
      </c>
      <c r="AB1377" s="22" t="s">
        <v>759</v>
      </c>
      <c r="AE1377" s="33">
        <f t="shared" si="271"/>
        <v>0</v>
      </c>
      <c r="AF1377" s="43" t="s">
        <v>2642</v>
      </c>
      <c r="AG1377" s="51"/>
      <c r="AI1377" s="64">
        <f t="shared" si="272"/>
        <v>2.5833333333333333E-3</v>
      </c>
      <c r="AJ1377" s="313">
        <f>RTD("money.excel",,$G1377,"PredictVolume")</f>
        <v>155</v>
      </c>
      <c r="AK1377" s="108"/>
    </row>
    <row r="1378" spans="1:37">
      <c r="A1378" s="148" t="s">
        <v>3655</v>
      </c>
      <c r="B1378" s="81">
        <v>300</v>
      </c>
      <c r="C1378" s="81">
        <v>229</v>
      </c>
      <c r="D1378" s="81">
        <v>35</v>
      </c>
      <c r="E1378" s="81">
        <v>10</v>
      </c>
      <c r="F1378" s="6">
        <v>4.12</v>
      </c>
      <c r="G1378" s="81">
        <v>8444</v>
      </c>
      <c r="H1378" s="8" t="s">
        <v>2303</v>
      </c>
      <c r="I1378" s="16" t="s">
        <v>5954</v>
      </c>
      <c r="J1378" s="330">
        <v>76.13</v>
      </c>
      <c r="K1378" s="330">
        <v>65.7</v>
      </c>
      <c r="L1378" s="330">
        <v>9.34</v>
      </c>
      <c r="N1378" s="325">
        <f t="shared" si="267"/>
        <v>151.16999999999999</v>
      </c>
      <c r="O1378" s="27"/>
      <c r="P1378" s="56"/>
      <c r="Q1378" s="26"/>
      <c r="S1378" s="330">
        <v>0.05</v>
      </c>
      <c r="T1378" s="34">
        <v>0</v>
      </c>
      <c r="U1378" s="366">
        <f t="shared" si="268"/>
        <v>0</v>
      </c>
      <c r="V1378" s="58">
        <v>1.71</v>
      </c>
      <c r="W1378" s="13">
        <f>RTD("money.excel",,"8444","Price")</f>
        <v>104</v>
      </c>
      <c r="X1378" s="67"/>
      <c r="Y1378" s="15">
        <f t="shared" si="269"/>
        <v>104</v>
      </c>
      <c r="Z1378" s="3" t="e">
        <f t="shared" si="270"/>
        <v>#DIV/0!</v>
      </c>
      <c r="AB1378" s="16" t="s">
        <v>5954</v>
      </c>
      <c r="AE1378" s="33">
        <f t="shared" si="271"/>
        <v>0</v>
      </c>
      <c r="AF1378" s="122" t="s">
        <v>3001</v>
      </c>
      <c r="AG1378" s="128"/>
      <c r="AI1378" s="64">
        <f t="shared" si="272"/>
        <v>6.7928730512249443E-4</v>
      </c>
      <c r="AJ1378" s="313">
        <f>RTD("money.excel",,$G1378,"PredictVolume")</f>
        <v>61</v>
      </c>
      <c r="AK1378" s="348"/>
    </row>
    <row r="1379" spans="1:37">
      <c r="A1379" s="148" t="s">
        <v>2735</v>
      </c>
      <c r="B1379" s="93">
        <v>-17</v>
      </c>
      <c r="C1379" s="93">
        <v>-9</v>
      </c>
      <c r="D1379" s="93">
        <v>22</v>
      </c>
      <c r="E1379" s="93">
        <v>11</v>
      </c>
      <c r="F1379" s="6">
        <v>3.36</v>
      </c>
      <c r="G1379" s="81">
        <v>8463</v>
      </c>
      <c r="H1379" s="8" t="s">
        <v>2303</v>
      </c>
      <c r="I1379" s="22" t="s">
        <v>739</v>
      </c>
      <c r="J1379" s="75">
        <v>81.260000000000005</v>
      </c>
      <c r="K1379" s="75">
        <v>0.74</v>
      </c>
      <c r="L1379" s="75">
        <v>10.52</v>
      </c>
      <c r="N1379" s="325">
        <f t="shared" si="267"/>
        <v>92.52</v>
      </c>
      <c r="O1379" s="27"/>
      <c r="P1379" s="56"/>
      <c r="Q1379" s="26"/>
      <c r="S1379" s="330">
        <v>48.77</v>
      </c>
      <c r="T1379" s="34">
        <v>0.77</v>
      </c>
      <c r="U1379" s="366">
        <f t="shared" si="268"/>
        <v>2.7065026362038665E-2</v>
      </c>
      <c r="V1379" s="58">
        <v>0.87</v>
      </c>
      <c r="W1379" s="36">
        <f>RTD("money.excel",,"8463","Price")</f>
        <v>28.45</v>
      </c>
      <c r="X1379" s="67"/>
      <c r="Y1379" s="15">
        <f t="shared" si="269"/>
        <v>28.45</v>
      </c>
      <c r="Z1379" s="3" t="e">
        <f t="shared" si="270"/>
        <v>#DIV/0!</v>
      </c>
      <c r="AB1379" s="22" t="s">
        <v>739</v>
      </c>
      <c r="AE1379" s="33">
        <f t="shared" si="271"/>
        <v>0</v>
      </c>
      <c r="AF1379" s="43" t="s">
        <v>3356</v>
      </c>
      <c r="AG1379" s="128"/>
      <c r="AI1379" s="64">
        <f t="shared" si="272"/>
        <v>2.0000000000000001E-4</v>
      </c>
      <c r="AJ1379" s="313">
        <f>RTD("money.excel",,$G1379,"PredictVolume")</f>
        <v>30</v>
      </c>
      <c r="AK1379" s="348"/>
    </row>
    <row r="1380" spans="1:37">
      <c r="A1380" s="132" t="s">
        <v>1844</v>
      </c>
      <c r="B1380" s="81">
        <v>5</v>
      </c>
      <c r="C1380" s="81">
        <v>10</v>
      </c>
      <c r="D1380" s="81">
        <v>7</v>
      </c>
      <c r="E1380" s="81">
        <v>11</v>
      </c>
      <c r="F1380" s="58">
        <v>28.37</v>
      </c>
      <c r="G1380" s="81">
        <v>8464</v>
      </c>
      <c r="H1380" s="206" t="s">
        <v>2303</v>
      </c>
      <c r="I1380" s="22" t="s">
        <v>273</v>
      </c>
      <c r="J1380" s="330">
        <v>72.3</v>
      </c>
      <c r="K1380" s="75">
        <v>47.97</v>
      </c>
      <c r="L1380" s="75">
        <v>12.68</v>
      </c>
      <c r="N1380" s="325">
        <f t="shared" si="267"/>
        <v>132.94999999999999</v>
      </c>
      <c r="O1380" s="27"/>
      <c r="P1380" s="56"/>
      <c r="Q1380" s="26"/>
      <c r="S1380" s="330">
        <v>0.08</v>
      </c>
      <c r="T1380" s="67">
        <v>10</v>
      </c>
      <c r="U1380" s="366">
        <f t="shared" si="268"/>
        <v>3.0959752321981424E-2</v>
      </c>
      <c r="V1380" s="97">
        <v>16.37</v>
      </c>
      <c r="W1380" s="13">
        <f>RTD("money.excel",,"8464","Price")</f>
        <v>323</v>
      </c>
      <c r="X1380" s="67"/>
      <c r="Y1380" s="15">
        <f t="shared" si="269"/>
        <v>323</v>
      </c>
      <c r="Z1380" s="3" t="e">
        <f t="shared" si="270"/>
        <v>#DIV/0!</v>
      </c>
      <c r="AA1380" s="174" t="s">
        <v>2185</v>
      </c>
      <c r="AB1380" s="22" t="s">
        <v>273</v>
      </c>
      <c r="AE1380" s="33">
        <f t="shared" si="271"/>
        <v>0</v>
      </c>
      <c r="AF1380" s="122" t="s">
        <v>1486</v>
      </c>
      <c r="AG1380" s="269"/>
      <c r="AI1380" s="64">
        <f t="shared" si="272"/>
        <v>1.3276450511945392E-3</v>
      </c>
      <c r="AJ1380" s="313">
        <f>RTD("money.excel",,$G1380,"PredictVolume")</f>
        <v>389</v>
      </c>
      <c r="AK1380" s="348"/>
    </row>
    <row r="1381" spans="1:37">
      <c r="A1381" s="132" t="s">
        <v>2212</v>
      </c>
      <c r="B1381" s="81">
        <v>29</v>
      </c>
      <c r="C1381" s="81">
        <v>69</v>
      </c>
      <c r="D1381" s="82">
        <v>-18</v>
      </c>
      <c r="E1381" s="82">
        <v>-25</v>
      </c>
      <c r="F1381" s="58">
        <v>12.65</v>
      </c>
      <c r="G1381" s="81">
        <v>8466</v>
      </c>
      <c r="H1381" s="8" t="s">
        <v>2303</v>
      </c>
      <c r="I1381" s="22" t="s">
        <v>1160</v>
      </c>
      <c r="J1381" s="75">
        <v>80.92</v>
      </c>
      <c r="K1381" s="75">
        <v>61.33</v>
      </c>
      <c r="L1381" s="75">
        <v>3.91</v>
      </c>
      <c r="N1381" s="325">
        <f t="shared" si="267"/>
        <v>146.16</v>
      </c>
      <c r="O1381" s="27"/>
      <c r="P1381" s="56"/>
      <c r="Q1381" s="26"/>
      <c r="S1381" s="330">
        <v>47.7</v>
      </c>
      <c r="T1381" s="67">
        <v>3</v>
      </c>
      <c r="U1381" s="366">
        <f t="shared" si="268"/>
        <v>6.0180541624874621E-2</v>
      </c>
      <c r="V1381" s="58">
        <v>4.22</v>
      </c>
      <c r="W1381" s="13">
        <f>RTD("money.excel",,"8466","Price")</f>
        <v>49.85</v>
      </c>
      <c r="X1381" s="67"/>
      <c r="Y1381" s="15">
        <f t="shared" si="269"/>
        <v>49.85</v>
      </c>
      <c r="Z1381" s="3" t="e">
        <f t="shared" si="270"/>
        <v>#DIV/0!</v>
      </c>
      <c r="AA1381" s="174" t="s">
        <v>1986</v>
      </c>
      <c r="AB1381" s="22" t="s">
        <v>1160</v>
      </c>
      <c r="AE1381" s="33">
        <f t="shared" si="271"/>
        <v>0</v>
      </c>
      <c r="AF1381" s="43" t="s">
        <v>3357</v>
      </c>
      <c r="AG1381" s="125"/>
      <c r="AI1381" s="64">
        <f t="shared" si="272"/>
        <v>2.1180030257186082E-4</v>
      </c>
      <c r="AJ1381" s="313">
        <f>RTD("money.excel",,$G1381,"PredictVolume")</f>
        <v>14</v>
      </c>
      <c r="AK1381" s="83"/>
    </row>
    <row r="1382" spans="1:37">
      <c r="A1382" s="148" t="s">
        <v>3687</v>
      </c>
      <c r="B1382" s="93">
        <v>-51</v>
      </c>
      <c r="C1382" s="93">
        <v>-43</v>
      </c>
      <c r="D1382" s="93">
        <v>-24</v>
      </c>
      <c r="E1382" s="93">
        <v>-35</v>
      </c>
      <c r="F1382" s="6">
        <v>6.69</v>
      </c>
      <c r="G1382" s="81">
        <v>8467</v>
      </c>
      <c r="H1382" s="8" t="s">
        <v>2303</v>
      </c>
      <c r="I1382" s="22" t="s">
        <v>740</v>
      </c>
      <c r="J1382" s="75">
        <v>84.73</v>
      </c>
      <c r="K1382" s="75">
        <v>43.1</v>
      </c>
      <c r="L1382" s="75">
        <v>0.77</v>
      </c>
      <c r="N1382" s="325">
        <f t="shared" si="267"/>
        <v>128.60000000000002</v>
      </c>
      <c r="O1382" s="27"/>
      <c r="P1382" s="56"/>
      <c r="Q1382" s="26"/>
      <c r="S1382" s="330">
        <v>15.3</v>
      </c>
      <c r="T1382" s="34">
        <v>0</v>
      </c>
      <c r="U1382" s="366">
        <f t="shared" si="268"/>
        <v>0</v>
      </c>
      <c r="V1382" s="97">
        <v>0.48</v>
      </c>
      <c r="W1382" s="13">
        <f>RTD("money.excel",,"8467","Price")</f>
        <v>38.6</v>
      </c>
      <c r="X1382" s="67"/>
      <c r="Y1382" s="15">
        <f t="shared" si="269"/>
        <v>38.6</v>
      </c>
      <c r="Z1382" s="3" t="e">
        <f t="shared" si="270"/>
        <v>#DIV/0!</v>
      </c>
      <c r="AA1382" s="174" t="s">
        <v>1943</v>
      </c>
      <c r="AB1382" s="22" t="s">
        <v>740</v>
      </c>
      <c r="AE1382" s="33">
        <f t="shared" si="271"/>
        <v>0</v>
      </c>
      <c r="AF1382" s="43" t="s">
        <v>4078</v>
      </c>
      <c r="AG1382" s="128"/>
      <c r="AI1382" s="64">
        <f t="shared" si="272"/>
        <v>1.4141414141414141E-4</v>
      </c>
      <c r="AJ1382" s="313">
        <f>RTD("money.excel",,$G1382,"PredictVolume")</f>
        <v>7</v>
      </c>
      <c r="AK1382" s="348"/>
    </row>
    <row r="1383" spans="1:37">
      <c r="A1383" s="132" t="s">
        <v>1793</v>
      </c>
      <c r="B1383" s="82">
        <v>-35</v>
      </c>
      <c r="C1383" s="82">
        <v>-20</v>
      </c>
      <c r="D1383" s="81">
        <v>46</v>
      </c>
      <c r="E1383" s="81">
        <v>2</v>
      </c>
      <c r="F1383" s="58">
        <v>12.52</v>
      </c>
      <c r="G1383" s="81">
        <v>8473</v>
      </c>
      <c r="H1383" s="8" t="s">
        <v>2303</v>
      </c>
      <c r="I1383" s="22" t="s">
        <v>741</v>
      </c>
      <c r="J1383" s="75">
        <v>74.010000000000005</v>
      </c>
      <c r="K1383" s="75">
        <v>0.9</v>
      </c>
      <c r="L1383" s="75">
        <v>1.32</v>
      </c>
      <c r="N1383" s="325">
        <f t="shared" si="267"/>
        <v>76.23</v>
      </c>
      <c r="O1383" s="27"/>
      <c r="P1383" s="56"/>
      <c r="Q1383" s="26"/>
      <c r="S1383" s="330">
        <v>0</v>
      </c>
      <c r="T1383" s="34">
        <v>1.7</v>
      </c>
      <c r="U1383" s="366">
        <f t="shared" si="268"/>
        <v>5.362776025236593E-2</v>
      </c>
      <c r="V1383" s="58">
        <v>1.1499999999999999</v>
      </c>
      <c r="W1383" s="36">
        <f>RTD("money.excel",,"8473","Price")</f>
        <v>31.7</v>
      </c>
      <c r="X1383" s="67"/>
      <c r="Y1383" s="15">
        <f t="shared" si="269"/>
        <v>31.7</v>
      </c>
      <c r="Z1383" s="3" t="e">
        <f t="shared" si="270"/>
        <v>#DIV/0!</v>
      </c>
      <c r="AB1383" s="22" t="s">
        <v>741</v>
      </c>
      <c r="AE1383" s="33">
        <f t="shared" si="271"/>
        <v>0</v>
      </c>
      <c r="AF1383" s="43" t="s">
        <v>3358</v>
      </c>
      <c r="AG1383" s="128"/>
      <c r="AI1383" s="64">
        <f t="shared" si="272"/>
        <v>4.1044776119402983E-4</v>
      </c>
      <c r="AJ1383" s="313">
        <f>RTD("money.excel",,$G1383,"PredictVolume")</f>
        <v>55</v>
      </c>
      <c r="AK1383" s="348"/>
    </row>
    <row r="1384" spans="1:37">
      <c r="A1384" s="148" t="s">
        <v>2075</v>
      </c>
      <c r="B1384" s="81">
        <v>56</v>
      </c>
      <c r="C1384" s="81">
        <v>85</v>
      </c>
      <c r="D1384" s="82">
        <v>-12</v>
      </c>
      <c r="E1384" s="81">
        <v>88</v>
      </c>
      <c r="F1384" s="6">
        <v>-2.2599999999999998</v>
      </c>
      <c r="G1384" s="81">
        <v>8476</v>
      </c>
      <c r="H1384" s="8" t="s">
        <v>2303</v>
      </c>
      <c r="I1384" s="16" t="s">
        <v>705</v>
      </c>
      <c r="J1384" s="330">
        <v>62.97</v>
      </c>
      <c r="K1384" s="330">
        <v>0.41</v>
      </c>
      <c r="L1384" s="330"/>
      <c r="M1384" s="330">
        <v>39.08</v>
      </c>
      <c r="N1384" s="325">
        <f t="shared" ref="N1384" si="277">K1384+J1384+L1384+M1384</f>
        <v>102.46</v>
      </c>
      <c r="O1384" s="27"/>
      <c r="P1384" s="56"/>
      <c r="Q1384" s="26"/>
      <c r="T1384" s="34">
        <v>0</v>
      </c>
      <c r="U1384" s="366">
        <f t="shared" si="268"/>
        <v>0</v>
      </c>
      <c r="V1384" s="58">
        <v>-0.35</v>
      </c>
      <c r="W1384" s="36">
        <f>RTD("money.excel",,"8476","Price")</f>
        <v>58.4</v>
      </c>
      <c r="X1384" s="67"/>
      <c r="Y1384" s="15">
        <f t="shared" si="269"/>
        <v>58.4</v>
      </c>
      <c r="Z1384" s="3" t="e">
        <f t="shared" si="270"/>
        <v>#DIV/0!</v>
      </c>
      <c r="AB1384" s="16" t="s">
        <v>705</v>
      </c>
      <c r="AE1384" s="33">
        <f t="shared" si="271"/>
        <v>0</v>
      </c>
      <c r="AF1384" s="43" t="s">
        <v>3002</v>
      </c>
      <c r="AG1384" s="128"/>
      <c r="AI1384" s="64">
        <f t="shared" si="272"/>
        <v>1.4468085106382979E-3</v>
      </c>
      <c r="AJ1384" s="313">
        <f>RTD("money.excel",,$G1384,"PredictVolume")</f>
        <v>102</v>
      </c>
      <c r="AK1384" s="348"/>
    </row>
    <row r="1385" spans="1:37">
      <c r="A1385" s="132" t="s">
        <v>3589</v>
      </c>
      <c r="B1385" s="81">
        <v>950</v>
      </c>
      <c r="C1385" s="95">
        <v>5608</v>
      </c>
      <c r="D1385" s="81">
        <v>9</v>
      </c>
      <c r="E1385" s="81">
        <v>228</v>
      </c>
      <c r="F1385" s="58">
        <v>19.52</v>
      </c>
      <c r="G1385" s="81">
        <v>8478</v>
      </c>
      <c r="H1385" s="8" t="s">
        <v>2303</v>
      </c>
      <c r="I1385" s="22" t="s">
        <v>1161</v>
      </c>
      <c r="J1385" s="330">
        <v>83.59</v>
      </c>
      <c r="K1385" s="330">
        <v>43.84</v>
      </c>
      <c r="L1385" s="75">
        <v>7.35</v>
      </c>
      <c r="M1385" s="75">
        <v>20.260000000000002</v>
      </c>
      <c r="N1385" s="75">
        <f t="shared" ref="N1385:N1432" si="278">J1385+K1385+L1385+M1385</f>
        <v>155.04</v>
      </c>
      <c r="O1385" s="27"/>
      <c r="P1385" s="56"/>
      <c r="Q1385" s="26"/>
      <c r="R1385" s="308" t="s">
        <v>4373</v>
      </c>
      <c r="S1385" s="330">
        <v>0.5</v>
      </c>
      <c r="T1385" s="34">
        <v>1.02</v>
      </c>
      <c r="U1385" s="366">
        <f t="shared" si="268"/>
        <v>6.538461538461539E-3</v>
      </c>
      <c r="V1385" s="58">
        <v>8.41</v>
      </c>
      <c r="W1385" s="13">
        <f>RTD("money.excel",,"8478","Price")</f>
        <v>156</v>
      </c>
      <c r="X1385" s="67"/>
      <c r="Y1385" s="15">
        <f t="shared" si="269"/>
        <v>156</v>
      </c>
      <c r="Z1385" s="3" t="e">
        <f t="shared" si="270"/>
        <v>#DIV/0!</v>
      </c>
      <c r="AA1385" s="174" t="s">
        <v>1943</v>
      </c>
      <c r="AB1385" s="22" t="s">
        <v>1161</v>
      </c>
      <c r="AE1385" s="33">
        <f t="shared" si="271"/>
        <v>0</v>
      </c>
      <c r="AF1385" s="43" t="s">
        <v>3359</v>
      </c>
      <c r="AG1385" s="271"/>
      <c r="AI1385" s="64">
        <f t="shared" si="272"/>
        <v>4.6220472440944883E-2</v>
      </c>
      <c r="AJ1385" s="313">
        <f>RTD("money.excel",,$G1385,"PredictVolume")</f>
        <v>4109</v>
      </c>
      <c r="AK1385" s="348"/>
    </row>
    <row r="1386" spans="1:37">
      <c r="A1386" s="132" t="s">
        <v>1889</v>
      </c>
      <c r="B1386" s="81">
        <v>41</v>
      </c>
      <c r="C1386" s="81">
        <v>41</v>
      </c>
      <c r="D1386" s="81">
        <v>1</v>
      </c>
      <c r="E1386" s="82">
        <v>-12</v>
      </c>
      <c r="F1386" s="58">
        <v>18.920000000000002</v>
      </c>
      <c r="G1386" s="81">
        <v>8480</v>
      </c>
      <c r="H1386" s="8" t="s">
        <v>2303</v>
      </c>
      <c r="I1386" s="22" t="s">
        <v>742</v>
      </c>
      <c r="J1386" s="330">
        <v>89.49</v>
      </c>
      <c r="K1386" s="75">
        <v>87.28</v>
      </c>
      <c r="L1386" s="330">
        <v>0.19</v>
      </c>
      <c r="N1386" s="325">
        <f t="shared" si="278"/>
        <v>176.95999999999998</v>
      </c>
      <c r="O1386" s="27"/>
      <c r="P1386" s="56"/>
      <c r="Q1386" s="26"/>
      <c r="S1386" s="330">
        <v>0</v>
      </c>
      <c r="T1386" s="67">
        <v>6</v>
      </c>
      <c r="U1386" s="366">
        <f t="shared" si="268"/>
        <v>7.8947368421052627E-2</v>
      </c>
      <c r="V1386" s="97">
        <v>9.9600000000000009</v>
      </c>
      <c r="W1386" s="13">
        <f>RTD("money.excel",,"8480","Price")</f>
        <v>76</v>
      </c>
      <c r="X1386" s="67"/>
      <c r="Y1386" s="15">
        <f t="shared" si="269"/>
        <v>76</v>
      </c>
      <c r="Z1386" s="3" t="e">
        <f t="shared" si="270"/>
        <v>#DIV/0!</v>
      </c>
      <c r="AA1386" s="174" t="s">
        <v>2185</v>
      </c>
      <c r="AB1386" s="22" t="s">
        <v>742</v>
      </c>
      <c r="AE1386" s="33">
        <f t="shared" si="271"/>
        <v>0</v>
      </c>
      <c r="AF1386" s="43" t="s">
        <v>3057</v>
      </c>
      <c r="AG1386" s="128"/>
      <c r="AI1386" s="64">
        <f t="shared" si="272"/>
        <v>2.1374045801526719E-3</v>
      </c>
      <c r="AJ1386" s="313">
        <f>RTD("money.excel",,$G1386,"PredictVolume")</f>
        <v>84</v>
      </c>
      <c r="AK1386" s="348"/>
    </row>
    <row r="1387" spans="1:37">
      <c r="A1387" s="132" t="s">
        <v>2266</v>
      </c>
      <c r="B1387" s="93">
        <v>332</v>
      </c>
      <c r="C1387" s="93">
        <v>-22</v>
      </c>
      <c r="D1387" s="93">
        <v>7</v>
      </c>
      <c r="E1387" s="93">
        <v>62</v>
      </c>
      <c r="F1387" s="58">
        <v>16.2</v>
      </c>
      <c r="G1387" s="81">
        <v>8481</v>
      </c>
      <c r="H1387" s="8" t="s">
        <v>2303</v>
      </c>
      <c r="I1387" s="22" t="s">
        <v>743</v>
      </c>
      <c r="J1387" s="75">
        <v>68.98</v>
      </c>
      <c r="K1387" s="330">
        <v>2.39</v>
      </c>
      <c r="L1387" s="75">
        <v>0.4</v>
      </c>
      <c r="N1387" s="325">
        <f t="shared" si="278"/>
        <v>71.77000000000001</v>
      </c>
      <c r="O1387" s="27"/>
      <c r="P1387" s="56"/>
      <c r="Q1387" s="26"/>
      <c r="S1387" s="330">
        <v>38.81</v>
      </c>
      <c r="T1387" s="67">
        <v>7</v>
      </c>
      <c r="U1387" s="366">
        <f t="shared" si="268"/>
        <v>0.11075949367088607</v>
      </c>
      <c r="V1387" s="97">
        <v>12.51</v>
      </c>
      <c r="W1387" s="13">
        <f>RTD("money.excel",,"8481","Price")</f>
        <v>63.2</v>
      </c>
      <c r="X1387" s="67"/>
      <c r="Y1387" s="15">
        <f t="shared" si="269"/>
        <v>63.2</v>
      </c>
      <c r="Z1387" s="3" t="e">
        <f t="shared" si="270"/>
        <v>#DIV/0!</v>
      </c>
      <c r="AA1387" s="174" t="s">
        <v>1986</v>
      </c>
      <c r="AB1387" s="22" t="s">
        <v>743</v>
      </c>
      <c r="AE1387" s="33">
        <f t="shared" si="271"/>
        <v>0</v>
      </c>
      <c r="AF1387" s="43" t="s">
        <v>3360</v>
      </c>
      <c r="AG1387" s="128"/>
      <c r="AI1387" s="64">
        <f t="shared" si="272"/>
        <v>1.4414414414414415E-3</v>
      </c>
      <c r="AJ1387" s="313">
        <f>RTD("money.excel",,$G1387,"PredictVolume")</f>
        <v>96</v>
      </c>
      <c r="AK1387" s="348"/>
    </row>
    <row r="1388" spans="1:37">
      <c r="A1388" s="148" t="s">
        <v>2455</v>
      </c>
      <c r="B1388" s="81">
        <v>53</v>
      </c>
      <c r="C1388" s="81">
        <v>51</v>
      </c>
      <c r="D1388" s="81">
        <v>10</v>
      </c>
      <c r="E1388" s="81">
        <v>8</v>
      </c>
      <c r="F1388" s="6">
        <v>15.11</v>
      </c>
      <c r="G1388" s="81">
        <v>8482</v>
      </c>
      <c r="H1388" s="8" t="s">
        <v>2303</v>
      </c>
      <c r="I1388" s="22" t="s">
        <v>1143</v>
      </c>
      <c r="J1388" s="75">
        <v>93.24</v>
      </c>
      <c r="K1388" s="330">
        <v>90.6</v>
      </c>
      <c r="L1388" s="330">
        <v>0.89</v>
      </c>
      <c r="N1388" s="325">
        <f t="shared" si="278"/>
        <v>184.72999999999996</v>
      </c>
      <c r="O1388" s="27"/>
      <c r="P1388" s="56"/>
      <c r="Q1388" s="26"/>
      <c r="S1388" s="330">
        <v>0.01</v>
      </c>
      <c r="T1388" s="67">
        <v>4.8</v>
      </c>
      <c r="U1388" s="366">
        <f t="shared" si="268"/>
        <v>6.575342465753424E-2</v>
      </c>
      <c r="V1388" s="97">
        <v>7.23</v>
      </c>
      <c r="W1388" s="13">
        <f>RTD("money.excel",,"8482","Price")</f>
        <v>73</v>
      </c>
      <c r="X1388" s="67"/>
      <c r="Y1388" s="15">
        <f t="shared" si="269"/>
        <v>73</v>
      </c>
      <c r="Z1388" s="3" t="e">
        <f t="shared" si="270"/>
        <v>#DIV/0!</v>
      </c>
      <c r="AA1388" s="174" t="s">
        <v>1986</v>
      </c>
      <c r="AB1388" s="22" t="s">
        <v>1143</v>
      </c>
      <c r="AE1388" s="33">
        <f t="shared" si="271"/>
        <v>0</v>
      </c>
      <c r="AF1388" s="43" t="s">
        <v>2991</v>
      </c>
      <c r="AG1388" s="128"/>
      <c r="AI1388" s="64">
        <f t="shared" si="272"/>
        <v>2.090909090909091E-4</v>
      </c>
      <c r="AJ1388" s="313">
        <f>RTD("money.excel",,$G1388,"PredictVolume")</f>
        <v>23</v>
      </c>
      <c r="AK1388" s="348"/>
    </row>
    <row r="1389" spans="1:37">
      <c r="A1389" s="148" t="s">
        <v>2030</v>
      </c>
      <c r="B1389" s="93">
        <v>-231</v>
      </c>
      <c r="C1389" s="93">
        <v>-117</v>
      </c>
      <c r="D1389" s="93">
        <v>-31</v>
      </c>
      <c r="E1389" s="93">
        <v>31</v>
      </c>
      <c r="F1389" s="6">
        <v>-1.1200000000000001</v>
      </c>
      <c r="G1389" s="81">
        <v>8488</v>
      </c>
      <c r="H1389" s="8" t="s">
        <v>2303</v>
      </c>
      <c r="I1389" s="22" t="s">
        <v>744</v>
      </c>
      <c r="J1389" s="75">
        <v>87.88</v>
      </c>
      <c r="K1389" s="75">
        <v>77.650000000000006</v>
      </c>
      <c r="L1389" s="75">
        <v>1.49</v>
      </c>
      <c r="N1389" s="325">
        <f t="shared" si="278"/>
        <v>167.02</v>
      </c>
      <c r="O1389" s="27"/>
      <c r="P1389" s="56"/>
      <c r="Q1389" s="26"/>
      <c r="S1389" s="330">
        <v>8.24</v>
      </c>
      <c r="T1389" s="34">
        <v>0.3</v>
      </c>
      <c r="U1389" s="366" t="e">
        <f t="shared" si="268"/>
        <v>#VALUE!</v>
      </c>
      <c r="V1389" s="58">
        <v>0.75</v>
      </c>
      <c r="W1389" s="13" t="str">
        <f>RTD("money.excel",,"8488","Price")</f>
        <v>無資料</v>
      </c>
      <c r="X1389" s="67"/>
      <c r="Y1389" s="15" t="e">
        <f t="shared" si="269"/>
        <v>#VALUE!</v>
      </c>
      <c r="Z1389" s="3" t="e">
        <f t="shared" si="270"/>
        <v>#VALUE!</v>
      </c>
      <c r="AA1389" s="174" t="s">
        <v>1943</v>
      </c>
      <c r="AB1389" s="22" t="s">
        <v>744</v>
      </c>
      <c r="AE1389" s="33">
        <f t="shared" si="271"/>
        <v>0</v>
      </c>
      <c r="AF1389" s="43" t="s">
        <v>3361</v>
      </c>
      <c r="AG1389" s="128"/>
      <c r="AI1389" s="64">
        <f t="shared" si="272"/>
        <v>0</v>
      </c>
      <c r="AJ1389" s="313">
        <f>RTD("money.excel",,$G1389,"PredictVolume")</f>
        <v>0</v>
      </c>
      <c r="AK1389" s="348"/>
    </row>
    <row r="1390" spans="1:37">
      <c r="A1390" s="132" t="s">
        <v>2676</v>
      </c>
      <c r="B1390" s="81">
        <v>25</v>
      </c>
      <c r="C1390" s="81">
        <v>38</v>
      </c>
      <c r="D1390" s="81">
        <v>7</v>
      </c>
      <c r="E1390" s="81">
        <v>7</v>
      </c>
      <c r="F1390" s="58">
        <v>39.340000000000003</v>
      </c>
      <c r="G1390" s="81">
        <v>8499</v>
      </c>
      <c r="H1390" s="210" t="s">
        <v>2303</v>
      </c>
      <c r="I1390" s="22" t="s">
        <v>5955</v>
      </c>
      <c r="J1390" s="330">
        <v>72.11</v>
      </c>
      <c r="K1390" s="330">
        <v>69.83</v>
      </c>
      <c r="L1390" s="330">
        <v>6.1</v>
      </c>
      <c r="N1390" s="325">
        <f t="shared" si="278"/>
        <v>148.04</v>
      </c>
      <c r="O1390" s="27"/>
      <c r="P1390" s="56"/>
      <c r="Q1390" s="26"/>
      <c r="S1390" s="330">
        <v>2.5299999999999998</v>
      </c>
      <c r="T1390" s="67">
        <v>8</v>
      </c>
      <c r="U1390" s="366">
        <f t="shared" si="268"/>
        <v>6.2992125984251968E-2</v>
      </c>
      <c r="V1390" s="58">
        <v>13.09</v>
      </c>
      <c r="W1390" s="13">
        <f>RTD("money.excel",,"8499","Price")</f>
        <v>127</v>
      </c>
      <c r="X1390" s="67"/>
      <c r="Y1390" s="15">
        <f t="shared" si="269"/>
        <v>127</v>
      </c>
      <c r="Z1390" s="3" t="e">
        <f t="shared" si="270"/>
        <v>#DIV/0!</v>
      </c>
      <c r="AA1390" s="174" t="s">
        <v>2185</v>
      </c>
      <c r="AB1390" s="22" t="s">
        <v>5955</v>
      </c>
      <c r="AE1390" s="33">
        <f t="shared" si="271"/>
        <v>0</v>
      </c>
      <c r="AF1390" s="124" t="s">
        <v>2173</v>
      </c>
      <c r="AG1390" s="128"/>
      <c r="AI1390" s="64">
        <f t="shared" si="272"/>
        <v>6.5510597302504813E-4</v>
      </c>
      <c r="AJ1390" s="313">
        <f>RTD("money.excel",,$G1390,"PredictVolume")</f>
        <v>34</v>
      </c>
      <c r="AK1390" s="348"/>
    </row>
    <row r="1391" spans="1:37">
      <c r="A1391" s="132" t="s">
        <v>1829</v>
      </c>
      <c r="B1391" s="93">
        <v>-98</v>
      </c>
      <c r="C1391" s="93">
        <v>-97</v>
      </c>
      <c r="D1391" s="93">
        <v>2</v>
      </c>
      <c r="E1391" s="93">
        <v>41</v>
      </c>
      <c r="F1391" s="6">
        <v>0.2</v>
      </c>
      <c r="G1391" s="81">
        <v>8905</v>
      </c>
      <c r="H1391" s="8" t="s">
        <v>2303</v>
      </c>
      <c r="I1391" s="16" t="s">
        <v>706</v>
      </c>
      <c r="J1391" s="75">
        <v>67.92</v>
      </c>
      <c r="K1391" s="75">
        <v>0.17</v>
      </c>
      <c r="L1391" s="75">
        <v>3.23</v>
      </c>
      <c r="N1391" s="325">
        <f t="shared" si="278"/>
        <v>71.320000000000007</v>
      </c>
      <c r="O1391" s="27"/>
      <c r="P1391" s="56"/>
      <c r="Q1391" s="26"/>
      <c r="S1391" s="330">
        <v>27.96</v>
      </c>
      <c r="T1391" s="34">
        <v>0.3</v>
      </c>
      <c r="U1391" s="366">
        <f t="shared" si="268"/>
        <v>1.3129102844638949E-2</v>
      </c>
      <c r="V1391" s="97">
        <v>-1.24</v>
      </c>
      <c r="W1391" s="13">
        <f>RTD("money.excel",,"8905","Price")</f>
        <v>22.85</v>
      </c>
      <c r="X1391" s="67"/>
      <c r="Y1391" s="15">
        <f t="shared" si="269"/>
        <v>22.85</v>
      </c>
      <c r="Z1391" s="3" t="e">
        <f t="shared" si="270"/>
        <v>#DIV/0!</v>
      </c>
      <c r="AB1391" s="16" t="s">
        <v>706</v>
      </c>
      <c r="AE1391" s="33">
        <f t="shared" si="271"/>
        <v>0</v>
      </c>
      <c r="AF1391" s="43" t="s">
        <v>3003</v>
      </c>
      <c r="AG1391" s="128"/>
      <c r="AI1391" s="64">
        <f t="shared" si="272"/>
        <v>1.3949579831932773E-3</v>
      </c>
      <c r="AJ1391" s="313">
        <f>RTD("money.excel",,$G1391,"PredictVolume")</f>
        <v>166</v>
      </c>
      <c r="AK1391" s="348"/>
    </row>
    <row r="1392" spans="1:37">
      <c r="A1392" s="148" t="s">
        <v>3598</v>
      </c>
      <c r="B1392" s="93">
        <v>-100</v>
      </c>
      <c r="C1392" s="93">
        <v>-264</v>
      </c>
      <c r="D1392" s="93">
        <v>-5</v>
      </c>
      <c r="E1392" s="93">
        <v>2</v>
      </c>
      <c r="F1392" s="6">
        <v>-5.56</v>
      </c>
      <c r="G1392" s="81">
        <v>8906</v>
      </c>
      <c r="H1392" s="8" t="s">
        <v>2303</v>
      </c>
      <c r="I1392" s="16" t="s">
        <v>707</v>
      </c>
      <c r="J1392" s="330">
        <v>83.38</v>
      </c>
      <c r="K1392" s="330">
        <v>0</v>
      </c>
      <c r="N1392" s="325">
        <f t="shared" si="278"/>
        <v>83.38</v>
      </c>
      <c r="O1392" s="27"/>
      <c r="P1392" s="56"/>
      <c r="Q1392" s="26"/>
      <c r="S1392" s="330">
        <v>18.690000000000001</v>
      </c>
      <c r="T1392" s="34">
        <v>0.1</v>
      </c>
      <c r="U1392" s="366">
        <f t="shared" si="268"/>
        <v>5.3908355795148251E-3</v>
      </c>
      <c r="V1392" s="97">
        <v>0.08</v>
      </c>
      <c r="W1392" s="13">
        <f>RTD("money.excel",,"8906","Price")</f>
        <v>18.55</v>
      </c>
      <c r="X1392" s="67"/>
      <c r="Y1392" s="15">
        <f t="shared" si="269"/>
        <v>18.55</v>
      </c>
      <c r="Z1392" s="3" t="e">
        <f t="shared" si="270"/>
        <v>#DIV/0!</v>
      </c>
      <c r="AA1392" s="174" t="s">
        <v>1943</v>
      </c>
      <c r="AB1392" s="16" t="s">
        <v>707</v>
      </c>
      <c r="AE1392" s="33">
        <f t="shared" si="271"/>
        <v>0</v>
      </c>
      <c r="AF1392" s="43" t="s">
        <v>3004</v>
      </c>
      <c r="AG1392" s="128"/>
      <c r="AI1392" s="64">
        <f t="shared" si="272"/>
        <v>2.3529411764705883E-4</v>
      </c>
      <c r="AJ1392" s="313">
        <f>RTD("money.excel",,$G1392,"PredictVolume")</f>
        <v>8</v>
      </c>
      <c r="AK1392" s="348"/>
    </row>
    <row r="1393" spans="1:37">
      <c r="A1393" s="148" t="s">
        <v>1866</v>
      </c>
      <c r="B1393" s="82">
        <v>-28</v>
      </c>
      <c r="C1393" s="82">
        <v>-18</v>
      </c>
      <c r="D1393" s="81">
        <v>49</v>
      </c>
      <c r="E1393" s="81">
        <v>6</v>
      </c>
      <c r="F1393" s="6">
        <v>6.06</v>
      </c>
      <c r="G1393" s="81">
        <v>8916</v>
      </c>
      <c r="H1393" s="8" t="s">
        <v>2303</v>
      </c>
      <c r="I1393" s="16" t="s">
        <v>165</v>
      </c>
      <c r="J1393" s="330">
        <v>55.58</v>
      </c>
      <c r="K1393" s="330">
        <v>2.29</v>
      </c>
      <c r="L1393" s="330">
        <v>1.5</v>
      </c>
      <c r="N1393" s="325">
        <f t="shared" si="278"/>
        <v>59.37</v>
      </c>
      <c r="O1393" s="27"/>
      <c r="P1393" s="56"/>
      <c r="Q1393" s="26"/>
      <c r="S1393" s="330">
        <v>0</v>
      </c>
      <c r="T1393" s="67">
        <v>3</v>
      </c>
      <c r="U1393" s="366">
        <f t="shared" si="268"/>
        <v>7.0588235294117646E-2</v>
      </c>
      <c r="V1393" s="58">
        <v>2.63</v>
      </c>
      <c r="W1393" s="36">
        <f>RTD("money.excel",,"8916","Price")</f>
        <v>42.5</v>
      </c>
      <c r="X1393" s="67"/>
      <c r="Y1393" s="15">
        <f t="shared" si="269"/>
        <v>42.5</v>
      </c>
      <c r="Z1393" s="3" t="e">
        <f t="shared" si="270"/>
        <v>#DIV/0!</v>
      </c>
      <c r="AA1393" s="174" t="s">
        <v>2185</v>
      </c>
      <c r="AB1393" s="16" t="s">
        <v>165</v>
      </c>
      <c r="AE1393" s="33">
        <f t="shared" si="271"/>
        <v>0</v>
      </c>
      <c r="AF1393" s="122" t="s">
        <v>1487</v>
      </c>
      <c r="AG1393" s="128"/>
      <c r="AI1393" s="64">
        <f t="shared" si="272"/>
        <v>2.2137404580152673E-3</v>
      </c>
      <c r="AJ1393" s="313">
        <f>RTD("money.excel",,$G1393,"PredictVolume")</f>
        <v>290</v>
      </c>
      <c r="AK1393" s="348"/>
    </row>
    <row r="1394" spans="1:37">
      <c r="A1394" s="148" t="s">
        <v>3588</v>
      </c>
      <c r="B1394" s="93">
        <v>-6</v>
      </c>
      <c r="C1394" s="93">
        <v>-21</v>
      </c>
      <c r="D1394" s="93">
        <v>-18</v>
      </c>
      <c r="E1394" s="93">
        <v>5</v>
      </c>
      <c r="F1394" s="6">
        <v>0.54</v>
      </c>
      <c r="G1394" s="81">
        <v>8921</v>
      </c>
      <c r="H1394" s="8" t="s">
        <v>2303</v>
      </c>
      <c r="I1394" s="16" t="s">
        <v>708</v>
      </c>
      <c r="J1394" s="75">
        <v>84.84</v>
      </c>
      <c r="K1394" s="75">
        <v>0.32</v>
      </c>
      <c r="N1394" s="325">
        <f t="shared" si="278"/>
        <v>85.16</v>
      </c>
      <c r="O1394" s="27"/>
      <c r="P1394" s="56"/>
      <c r="Q1394" s="26"/>
      <c r="S1394" s="330">
        <v>42.83</v>
      </c>
      <c r="T1394" s="34">
        <v>0.42</v>
      </c>
      <c r="U1394" s="366" t="e">
        <f t="shared" si="268"/>
        <v>#VALUE!</v>
      </c>
      <c r="V1394" s="97">
        <v>0.42</v>
      </c>
      <c r="W1394" s="13" t="str">
        <f>RTD("money.excel",,"8921","Price")</f>
        <v>無資料</v>
      </c>
      <c r="X1394" s="67"/>
      <c r="Y1394" s="15" t="e">
        <f t="shared" si="269"/>
        <v>#VALUE!</v>
      </c>
      <c r="Z1394" s="3" t="e">
        <f t="shared" si="270"/>
        <v>#VALUE!</v>
      </c>
      <c r="AB1394" s="16" t="s">
        <v>708</v>
      </c>
      <c r="AE1394" s="33">
        <f t="shared" si="271"/>
        <v>0</v>
      </c>
      <c r="AF1394" s="43" t="s">
        <v>3005</v>
      </c>
      <c r="AG1394" s="128"/>
      <c r="AI1394" s="64">
        <f t="shared" si="272"/>
        <v>0</v>
      </c>
      <c r="AJ1394" s="313">
        <f>RTD("money.excel",,$G1394,"PredictVolume")</f>
        <v>0</v>
      </c>
      <c r="AK1394" s="348"/>
    </row>
    <row r="1395" spans="1:37">
      <c r="A1395" s="132" t="s">
        <v>1740</v>
      </c>
      <c r="B1395" s="81">
        <v>299</v>
      </c>
      <c r="C1395" s="81">
        <v>207</v>
      </c>
      <c r="D1395" s="82">
        <v>-18</v>
      </c>
      <c r="E1395" s="81">
        <v>8</v>
      </c>
      <c r="F1395" s="58">
        <v>25.92</v>
      </c>
      <c r="G1395" s="81">
        <v>8924</v>
      </c>
      <c r="H1395" s="8" t="s">
        <v>2303</v>
      </c>
      <c r="I1395" s="16" t="s">
        <v>709</v>
      </c>
      <c r="J1395" s="330">
        <v>31.25</v>
      </c>
      <c r="K1395" s="75">
        <v>6.34</v>
      </c>
      <c r="L1395" s="75">
        <v>16.989999999999998</v>
      </c>
      <c r="M1395" s="330">
        <v>21.81</v>
      </c>
      <c r="N1395" s="325">
        <f t="shared" si="278"/>
        <v>76.39</v>
      </c>
      <c r="O1395" s="27" t="s">
        <v>6447</v>
      </c>
      <c r="P1395" s="56" t="s">
        <v>6448</v>
      </c>
      <c r="Q1395" s="26" t="s">
        <v>6449</v>
      </c>
      <c r="R1395" s="309" t="s">
        <v>4373</v>
      </c>
      <c r="S1395" s="330">
        <v>1.39</v>
      </c>
      <c r="T1395" s="67">
        <v>5</v>
      </c>
      <c r="U1395" s="366">
        <f t="shared" si="268"/>
        <v>3.5714285714285712E-2</v>
      </c>
      <c r="V1395" s="97">
        <v>17.37</v>
      </c>
      <c r="W1395" s="36">
        <f>RTD("money.excel",,"8924","Price")</f>
        <v>140</v>
      </c>
      <c r="X1395" s="67"/>
      <c r="Y1395" s="15">
        <f t="shared" si="269"/>
        <v>140</v>
      </c>
      <c r="Z1395" s="3" t="e">
        <f t="shared" si="270"/>
        <v>#DIV/0!</v>
      </c>
      <c r="AA1395" s="174" t="s">
        <v>2185</v>
      </c>
      <c r="AB1395" s="16" t="s">
        <v>709</v>
      </c>
      <c r="AE1395" s="33">
        <f t="shared" si="271"/>
        <v>0</v>
      </c>
      <c r="AF1395" s="43" t="s">
        <v>3784</v>
      </c>
      <c r="AG1395" s="128"/>
      <c r="AI1395" s="64">
        <f t="shared" si="272"/>
        <v>7.8639618138424804E-3</v>
      </c>
      <c r="AJ1395" s="313">
        <f>RTD("money.excel",,$G1395,"PredictVolume")</f>
        <v>659</v>
      </c>
      <c r="AK1395" s="348">
        <v>32.590000000000003</v>
      </c>
    </row>
    <row r="1396" spans="1:37">
      <c r="A1396" s="148" t="s">
        <v>1865</v>
      </c>
      <c r="B1396" s="82">
        <v>-24</v>
      </c>
      <c r="C1396" s="82">
        <v>-23</v>
      </c>
      <c r="D1396" s="82">
        <v>-33</v>
      </c>
      <c r="E1396" s="81">
        <v>22</v>
      </c>
      <c r="F1396" s="6">
        <v>6.6</v>
      </c>
      <c r="G1396" s="81">
        <v>8928</v>
      </c>
      <c r="H1396" s="8" t="s">
        <v>2303</v>
      </c>
      <c r="I1396" s="16" t="s">
        <v>710</v>
      </c>
      <c r="J1396" s="75">
        <v>38.130000000000003</v>
      </c>
      <c r="K1396" s="75">
        <v>0.94</v>
      </c>
      <c r="L1396" s="330">
        <v>5.37</v>
      </c>
      <c r="N1396" s="325">
        <f t="shared" si="278"/>
        <v>44.44</v>
      </c>
      <c r="O1396" s="27"/>
      <c r="P1396" s="56"/>
      <c r="Q1396" s="26"/>
      <c r="S1396" s="330">
        <v>0</v>
      </c>
      <c r="T1396" s="34">
        <v>1.6</v>
      </c>
      <c r="U1396" s="366">
        <f t="shared" si="268"/>
        <v>4.3419267299864318E-2</v>
      </c>
      <c r="V1396" s="97">
        <v>2.5</v>
      </c>
      <c r="W1396" s="36">
        <f>RTD("money.excel",,"8928","Price")</f>
        <v>36.85</v>
      </c>
      <c r="X1396" s="67"/>
      <c r="Y1396" s="15">
        <f t="shared" si="269"/>
        <v>36.85</v>
      </c>
      <c r="Z1396" s="3" t="e">
        <f t="shared" si="270"/>
        <v>#DIV/0!</v>
      </c>
      <c r="AA1396" s="174" t="s">
        <v>1943</v>
      </c>
      <c r="AB1396" s="16" t="s">
        <v>710</v>
      </c>
      <c r="AE1396" s="33">
        <f t="shared" si="271"/>
        <v>0</v>
      </c>
      <c r="AF1396" s="43" t="s">
        <v>3784</v>
      </c>
      <c r="AG1396" s="128"/>
      <c r="AI1396" s="64">
        <f t="shared" si="272"/>
        <v>5.2259332023575642E-3</v>
      </c>
      <c r="AJ1396" s="313">
        <f>RTD("money.excel",,$G1396,"PredictVolume")</f>
        <v>266</v>
      </c>
      <c r="AK1396" s="348"/>
    </row>
    <row r="1397" spans="1:37">
      <c r="A1397" s="148" t="s">
        <v>3539</v>
      </c>
      <c r="B1397" s="81">
        <v>144</v>
      </c>
      <c r="C1397" s="81">
        <v>289</v>
      </c>
      <c r="D1397" s="81">
        <v>29</v>
      </c>
      <c r="E1397" s="81">
        <v>0</v>
      </c>
      <c r="F1397" s="6">
        <v>3.18</v>
      </c>
      <c r="G1397" s="81">
        <v>8929</v>
      </c>
      <c r="H1397" s="8" t="s">
        <v>2303</v>
      </c>
      <c r="I1397" s="16" t="s">
        <v>711</v>
      </c>
      <c r="J1397" s="330">
        <v>41.82</v>
      </c>
      <c r="K1397" s="75">
        <v>0.17</v>
      </c>
      <c r="L1397" s="75">
        <v>5.33</v>
      </c>
      <c r="N1397" s="325">
        <f t="shared" si="278"/>
        <v>47.32</v>
      </c>
      <c r="O1397" s="27"/>
      <c r="P1397" s="56"/>
      <c r="Q1397" s="26"/>
      <c r="S1397" s="330">
        <v>0</v>
      </c>
      <c r="T1397" s="34">
        <v>0.5</v>
      </c>
      <c r="U1397" s="366">
        <f t="shared" si="268"/>
        <v>2.4038461538461536E-2</v>
      </c>
      <c r="V1397" s="97">
        <v>0.51</v>
      </c>
      <c r="W1397" s="36">
        <f>RTD("money.excel",,"8929","Price")</f>
        <v>20.8</v>
      </c>
      <c r="X1397" s="67"/>
      <c r="Y1397" s="15">
        <f t="shared" si="269"/>
        <v>20.8</v>
      </c>
      <c r="Z1397" s="3" t="e">
        <f t="shared" si="270"/>
        <v>#DIV/0!</v>
      </c>
      <c r="AB1397" s="16" t="s">
        <v>711</v>
      </c>
      <c r="AE1397" s="33">
        <f t="shared" si="271"/>
        <v>0</v>
      </c>
      <c r="AF1397" s="43" t="s">
        <v>3006</v>
      </c>
      <c r="AG1397" s="128"/>
      <c r="AI1397" s="64">
        <f t="shared" si="272"/>
        <v>1.1857707509881425E-4</v>
      </c>
      <c r="AJ1397" s="313">
        <f>RTD("money.excel",,$G1397,"PredictVolume")</f>
        <v>6</v>
      </c>
      <c r="AK1397" s="348"/>
    </row>
    <row r="1398" spans="1:37">
      <c r="A1398" s="148" t="s">
        <v>1673</v>
      </c>
      <c r="B1398" s="81">
        <v>63</v>
      </c>
      <c r="C1398" s="81">
        <v>84</v>
      </c>
      <c r="D1398" s="82">
        <v>-5</v>
      </c>
      <c r="E1398" s="81">
        <v>18</v>
      </c>
      <c r="F1398" s="6">
        <v>-1.84</v>
      </c>
      <c r="G1398" s="81">
        <v>8932</v>
      </c>
      <c r="H1398" s="8" t="s">
        <v>2303</v>
      </c>
      <c r="I1398" s="16" t="s">
        <v>712</v>
      </c>
      <c r="J1398" s="75">
        <v>51.26</v>
      </c>
      <c r="K1398" s="75">
        <v>17.71</v>
      </c>
      <c r="N1398" s="325">
        <f t="shared" si="278"/>
        <v>68.97</v>
      </c>
      <c r="O1398" s="27"/>
      <c r="P1398" s="56"/>
      <c r="Q1398" s="26"/>
      <c r="T1398" s="34">
        <v>0</v>
      </c>
      <c r="U1398" s="366">
        <f t="shared" si="268"/>
        <v>0</v>
      </c>
      <c r="V1398" s="58">
        <v>-0.67</v>
      </c>
      <c r="W1398" s="36">
        <f>RTD("money.excel",,"8932","Price")</f>
        <v>26</v>
      </c>
      <c r="X1398" s="67"/>
      <c r="Y1398" s="15">
        <f t="shared" si="269"/>
        <v>26</v>
      </c>
      <c r="Z1398" s="3" t="e">
        <f t="shared" si="270"/>
        <v>#DIV/0!</v>
      </c>
      <c r="AB1398" s="16" t="s">
        <v>712</v>
      </c>
      <c r="AE1398" s="33">
        <f t="shared" si="271"/>
        <v>0</v>
      </c>
      <c r="AF1398" s="43" t="s">
        <v>3007</v>
      </c>
      <c r="AG1398" s="128"/>
      <c r="AI1398" s="64">
        <f t="shared" si="272"/>
        <v>3.3277870216306153E-5</v>
      </c>
      <c r="AJ1398" s="313">
        <f>RTD("money.excel",,$G1398,"PredictVolume")</f>
        <v>2</v>
      </c>
      <c r="AK1398" s="348"/>
    </row>
    <row r="1399" spans="1:37">
      <c r="A1399" s="148" t="s">
        <v>1844</v>
      </c>
      <c r="B1399" s="81">
        <v>104</v>
      </c>
      <c r="C1399" s="81">
        <v>96</v>
      </c>
      <c r="D1399" s="82">
        <v>-8</v>
      </c>
      <c r="E1399" s="81">
        <v>12</v>
      </c>
      <c r="F1399" s="6">
        <v>-0.21</v>
      </c>
      <c r="G1399" s="81">
        <v>8933</v>
      </c>
      <c r="H1399" s="8" t="s">
        <v>2303</v>
      </c>
      <c r="I1399" s="16" t="s">
        <v>713</v>
      </c>
      <c r="J1399" s="330">
        <v>46.92</v>
      </c>
      <c r="K1399" s="330">
        <v>1.4</v>
      </c>
      <c r="L1399" s="330"/>
      <c r="N1399" s="325">
        <f t="shared" si="278"/>
        <v>48.32</v>
      </c>
      <c r="O1399" s="27"/>
      <c r="P1399" s="56"/>
      <c r="Q1399" s="26"/>
      <c r="T1399" s="34">
        <v>0</v>
      </c>
      <c r="U1399" s="366">
        <f t="shared" si="268"/>
        <v>0</v>
      </c>
      <c r="V1399" s="97">
        <v>0.05</v>
      </c>
      <c r="W1399" s="36">
        <f>RTD("money.excel",,"8933","Price")</f>
        <v>12.2</v>
      </c>
      <c r="X1399" s="67"/>
      <c r="Y1399" s="15">
        <f t="shared" si="269"/>
        <v>12.2</v>
      </c>
      <c r="Z1399" s="3" t="e">
        <f t="shared" si="270"/>
        <v>#DIV/0!</v>
      </c>
      <c r="AA1399" s="174" t="s">
        <v>1943</v>
      </c>
      <c r="AB1399" s="16" t="s">
        <v>713</v>
      </c>
      <c r="AE1399" s="33">
        <f t="shared" si="271"/>
        <v>0</v>
      </c>
      <c r="AF1399" s="43" t="s">
        <v>2892</v>
      </c>
      <c r="AG1399" s="128"/>
      <c r="AI1399" s="64">
        <f t="shared" si="272"/>
        <v>8.8395904436860072E-4</v>
      </c>
      <c r="AJ1399" s="313">
        <f>RTD("money.excel",,$G1399,"PredictVolume")</f>
        <v>259</v>
      </c>
      <c r="AK1399" s="348"/>
    </row>
    <row r="1400" spans="1:37">
      <c r="A1400" s="132" t="s">
        <v>3607</v>
      </c>
      <c r="B1400" s="93">
        <v>-130</v>
      </c>
      <c r="C1400" s="93">
        <v>-77</v>
      </c>
      <c r="D1400" s="93">
        <v>-11</v>
      </c>
      <c r="E1400" s="93">
        <v>25</v>
      </c>
      <c r="F1400" s="58">
        <v>0.45</v>
      </c>
      <c r="G1400" s="81">
        <v>8935</v>
      </c>
      <c r="H1400" s="8" t="s">
        <v>2303</v>
      </c>
      <c r="I1400" s="16" t="s">
        <v>714</v>
      </c>
      <c r="J1400" s="75">
        <v>37.19</v>
      </c>
      <c r="K1400" s="75">
        <v>0.97</v>
      </c>
      <c r="N1400" s="325">
        <f t="shared" si="278"/>
        <v>38.159999999999997</v>
      </c>
      <c r="O1400" s="27"/>
      <c r="P1400" s="56"/>
      <c r="Q1400" s="26"/>
      <c r="S1400" s="330">
        <v>18.22</v>
      </c>
      <c r="T1400" s="34">
        <v>0</v>
      </c>
      <c r="U1400" s="366">
        <f t="shared" si="268"/>
        <v>0</v>
      </c>
      <c r="V1400" s="97">
        <v>-0.27</v>
      </c>
      <c r="W1400" s="36">
        <f>RTD("money.excel",,"8935","Price")</f>
        <v>13.6</v>
      </c>
      <c r="X1400" s="67"/>
      <c r="Y1400" s="15">
        <f t="shared" si="269"/>
        <v>13.6</v>
      </c>
      <c r="Z1400" s="3" t="e">
        <f t="shared" si="270"/>
        <v>#DIV/0!</v>
      </c>
      <c r="AB1400" s="16" t="s">
        <v>714</v>
      </c>
      <c r="AE1400" s="33">
        <f t="shared" si="271"/>
        <v>0</v>
      </c>
      <c r="AF1400" s="43" t="s">
        <v>3008</v>
      </c>
      <c r="AG1400" s="128"/>
      <c r="AI1400" s="64">
        <f t="shared" si="272"/>
        <v>4.1637010676156584E-3</v>
      </c>
      <c r="AJ1400" s="313">
        <f>RTD("money.excel",,$G1400,"PredictVolume")</f>
        <v>351</v>
      </c>
      <c r="AK1400" s="348"/>
    </row>
    <row r="1401" spans="1:37">
      <c r="A1401" s="132" t="s">
        <v>1796</v>
      </c>
      <c r="B1401" s="81">
        <v>170</v>
      </c>
      <c r="C1401" s="81">
        <v>127</v>
      </c>
      <c r="D1401" s="81">
        <v>12</v>
      </c>
      <c r="E1401" s="81">
        <v>38</v>
      </c>
      <c r="F1401" s="58">
        <v>13.36</v>
      </c>
      <c r="G1401" s="81">
        <v>8936</v>
      </c>
      <c r="H1401" s="8" t="s">
        <v>2303</v>
      </c>
      <c r="I1401" s="16" t="s">
        <v>716</v>
      </c>
      <c r="J1401" s="75">
        <v>37.35</v>
      </c>
      <c r="K1401" s="75">
        <v>7.01</v>
      </c>
      <c r="L1401" s="75">
        <v>29.02</v>
      </c>
      <c r="N1401" s="325">
        <f t="shared" si="278"/>
        <v>73.38</v>
      </c>
      <c r="O1401" s="27"/>
      <c r="P1401" s="56"/>
      <c r="Q1401" s="26"/>
      <c r="S1401" s="330">
        <v>0.47</v>
      </c>
      <c r="T1401" s="34">
        <v>0.25</v>
      </c>
      <c r="U1401" s="366">
        <f t="shared" si="268"/>
        <v>1.2077294685990338E-2</v>
      </c>
      <c r="V1401" s="97">
        <v>1.1499999999999999</v>
      </c>
      <c r="W1401" s="36">
        <f>RTD("money.excel",,"8936","Price")</f>
        <v>20.7</v>
      </c>
      <c r="X1401" s="67"/>
      <c r="Y1401" s="15">
        <f t="shared" si="269"/>
        <v>20.7</v>
      </c>
      <c r="Z1401" s="3" t="e">
        <f t="shared" si="270"/>
        <v>#DIV/0!</v>
      </c>
      <c r="AA1401" s="174" t="s">
        <v>1943</v>
      </c>
      <c r="AB1401" s="16" t="s">
        <v>716</v>
      </c>
      <c r="AE1401" s="33">
        <f t="shared" si="271"/>
        <v>0</v>
      </c>
      <c r="AF1401" s="43" t="s">
        <v>3766</v>
      </c>
      <c r="AG1401" s="128"/>
      <c r="AI1401" s="64">
        <f t="shared" si="272"/>
        <v>2.1854838709677417E-3</v>
      </c>
      <c r="AJ1401" s="313">
        <f>RTD("money.excel",,$G1401,"PredictVolume")</f>
        <v>542</v>
      </c>
      <c r="AK1401" s="348"/>
    </row>
    <row r="1402" spans="1:37">
      <c r="A1402" s="148" t="s">
        <v>1754</v>
      </c>
      <c r="B1402" s="93">
        <v>-665</v>
      </c>
      <c r="C1402" s="93">
        <v>-30</v>
      </c>
      <c r="D1402" s="93">
        <v>-1</v>
      </c>
      <c r="E1402" s="93">
        <v>-38</v>
      </c>
      <c r="F1402" s="6">
        <v>-12.38</v>
      </c>
      <c r="G1402" s="81">
        <v>8937</v>
      </c>
      <c r="H1402" s="8" t="s">
        <v>2303</v>
      </c>
      <c r="I1402" s="16" t="s">
        <v>717</v>
      </c>
      <c r="J1402" s="75">
        <v>68.739999999999995</v>
      </c>
      <c r="K1402" s="75">
        <v>0.23</v>
      </c>
      <c r="L1402" s="75">
        <v>6.72</v>
      </c>
      <c r="N1402" s="325">
        <f t="shared" si="278"/>
        <v>75.69</v>
      </c>
      <c r="O1402" s="27"/>
      <c r="P1402" s="56"/>
      <c r="Q1402" s="26"/>
      <c r="S1402" s="330">
        <v>20.07</v>
      </c>
      <c r="T1402" s="34">
        <v>0</v>
      </c>
      <c r="U1402" s="366">
        <f t="shared" ref="U1402:U1432" si="279">T1402/W1402</f>
        <v>0</v>
      </c>
      <c r="V1402" s="97">
        <v>-0.05</v>
      </c>
      <c r="W1402" s="13">
        <f>RTD("money.excel",,"8937","Price")</f>
        <v>12.25</v>
      </c>
      <c r="X1402" s="67"/>
      <c r="Y1402" s="15">
        <f t="shared" si="269"/>
        <v>12.25</v>
      </c>
      <c r="Z1402" s="3" t="e">
        <f t="shared" si="270"/>
        <v>#DIV/0!</v>
      </c>
      <c r="AB1402" s="16" t="s">
        <v>717</v>
      </c>
      <c r="AE1402" s="33">
        <f t="shared" si="271"/>
        <v>0</v>
      </c>
      <c r="AF1402" s="43" t="s">
        <v>3009</v>
      </c>
      <c r="AG1402" s="128"/>
      <c r="AI1402" s="64">
        <f t="shared" ref="AI1402:AI1432" si="280">AJ1402/(A1402*10000)</f>
        <v>1.2413793103448277E-4</v>
      </c>
      <c r="AJ1402" s="313">
        <f>RTD("money.excel",,$G1402,"PredictVolume")</f>
        <v>9</v>
      </c>
      <c r="AK1402" s="348"/>
    </row>
    <row r="1403" spans="1:37">
      <c r="A1403" s="132" t="s">
        <v>1845</v>
      </c>
      <c r="B1403" s="81">
        <v>144</v>
      </c>
      <c r="C1403" s="81">
        <v>119</v>
      </c>
      <c r="D1403" s="81">
        <v>0</v>
      </c>
      <c r="E1403" s="81">
        <v>13</v>
      </c>
      <c r="F1403" s="58">
        <v>11.15</v>
      </c>
      <c r="G1403" s="81">
        <v>8938</v>
      </c>
      <c r="H1403" s="8" t="s">
        <v>2303</v>
      </c>
      <c r="I1403" s="16" t="s">
        <v>97</v>
      </c>
      <c r="J1403" s="75">
        <v>52.06</v>
      </c>
      <c r="K1403" s="75">
        <v>11.41</v>
      </c>
      <c r="L1403" s="75">
        <v>5.09</v>
      </c>
      <c r="M1403" s="75">
        <v>15.15</v>
      </c>
      <c r="N1403" s="325">
        <f t="shared" si="278"/>
        <v>83.710000000000008</v>
      </c>
      <c r="O1403" s="27" t="s">
        <v>6237</v>
      </c>
      <c r="P1403" s="56"/>
      <c r="Q1403" s="26"/>
      <c r="R1403" s="309" t="s">
        <v>6236</v>
      </c>
      <c r="S1403" s="330">
        <v>1.21</v>
      </c>
      <c r="T1403" s="34">
        <v>2.7</v>
      </c>
      <c r="U1403" s="366">
        <f t="shared" si="279"/>
        <v>3.506493506493507E-2</v>
      </c>
      <c r="V1403" s="58">
        <v>9</v>
      </c>
      <c r="W1403" s="36">
        <f>RTD("money.excel",,"8938","Price")</f>
        <v>77</v>
      </c>
      <c r="X1403" s="67"/>
      <c r="Y1403" s="15">
        <f t="shared" si="269"/>
        <v>77</v>
      </c>
      <c r="Z1403" s="3" t="e">
        <f t="shared" si="270"/>
        <v>#DIV/0!</v>
      </c>
      <c r="AA1403" s="174" t="s">
        <v>1943</v>
      </c>
      <c r="AB1403" s="16" t="s">
        <v>97</v>
      </c>
      <c r="AE1403" s="33">
        <f t="shared" si="271"/>
        <v>0</v>
      </c>
      <c r="AF1403" s="43" t="s">
        <v>3784</v>
      </c>
      <c r="AG1403" s="128"/>
      <c r="AI1403" s="64">
        <f t="shared" si="280"/>
        <v>4.5925925925925926E-3</v>
      </c>
      <c r="AJ1403" s="313">
        <f>RTD("money.excel",,$G1403,"PredictVolume")</f>
        <v>620</v>
      </c>
      <c r="AK1403" s="348">
        <v>15.38</v>
      </c>
    </row>
    <row r="1404" spans="1:37">
      <c r="A1404" s="132" t="s">
        <v>1818</v>
      </c>
      <c r="B1404" s="82">
        <v>-13</v>
      </c>
      <c r="C1404" s="82">
        <v>-65</v>
      </c>
      <c r="D1404" s="81">
        <v>16</v>
      </c>
      <c r="E1404" s="81">
        <v>22</v>
      </c>
      <c r="F1404" s="58">
        <v>15.62</v>
      </c>
      <c r="G1404" s="81">
        <v>8942</v>
      </c>
      <c r="H1404" s="8" t="s">
        <v>2303</v>
      </c>
      <c r="I1404" s="16" t="s">
        <v>5956</v>
      </c>
      <c r="J1404" s="330">
        <v>47.62</v>
      </c>
      <c r="K1404" s="330">
        <v>21.84</v>
      </c>
      <c r="L1404" s="75">
        <v>3.84</v>
      </c>
      <c r="N1404" s="325">
        <f t="shared" si="278"/>
        <v>73.3</v>
      </c>
      <c r="O1404" s="27"/>
      <c r="P1404" s="56"/>
      <c r="Q1404" s="26"/>
      <c r="S1404" s="330">
        <v>0.02</v>
      </c>
      <c r="T1404" s="67">
        <v>3</v>
      </c>
      <c r="U1404" s="366">
        <f t="shared" si="279"/>
        <v>4.4378698224852076E-2</v>
      </c>
      <c r="V1404" s="97">
        <v>5.77</v>
      </c>
      <c r="W1404" s="36">
        <f>RTD("money.excel",,"8942","Price")</f>
        <v>67.599999999999994</v>
      </c>
      <c r="X1404" s="67"/>
      <c r="Y1404" s="15">
        <f t="shared" si="269"/>
        <v>67.599999999999994</v>
      </c>
      <c r="Z1404" s="3" t="e">
        <f t="shared" si="270"/>
        <v>#DIV/0!</v>
      </c>
      <c r="AA1404" s="174" t="s">
        <v>1986</v>
      </c>
      <c r="AB1404" s="16" t="s">
        <v>5956</v>
      </c>
      <c r="AE1404" s="33">
        <f t="shared" si="271"/>
        <v>0</v>
      </c>
      <c r="AF1404" s="122" t="s">
        <v>3010</v>
      </c>
      <c r="AG1404" s="128"/>
      <c r="AI1404" s="64">
        <f t="shared" si="280"/>
        <v>8.6060606060606062E-4</v>
      </c>
      <c r="AJ1404" s="313">
        <f>RTD("money.excel",,$G1404,"PredictVolume")</f>
        <v>142</v>
      </c>
      <c r="AK1404" s="348"/>
    </row>
    <row r="1405" spans="1:37">
      <c r="A1405" s="132" t="s">
        <v>1825</v>
      </c>
      <c r="B1405" s="82">
        <v>-7</v>
      </c>
      <c r="C1405" s="81">
        <v>7</v>
      </c>
      <c r="D1405" s="82">
        <v>-10</v>
      </c>
      <c r="E1405" s="81">
        <v>1</v>
      </c>
      <c r="F1405" s="58">
        <v>11.18</v>
      </c>
      <c r="G1405" s="81">
        <v>9802</v>
      </c>
      <c r="H1405" s="8" t="s">
        <v>2303</v>
      </c>
      <c r="I1405" s="22" t="s">
        <v>1162</v>
      </c>
      <c r="J1405" s="330">
        <v>66.52</v>
      </c>
      <c r="K1405" s="330">
        <v>42.97</v>
      </c>
      <c r="L1405" s="330">
        <v>4.1900000000000004</v>
      </c>
      <c r="N1405" s="325">
        <f t="shared" si="278"/>
        <v>113.67999999999999</v>
      </c>
      <c r="O1405" s="27"/>
      <c r="P1405" s="56"/>
      <c r="Q1405" s="26"/>
      <c r="S1405" s="330">
        <v>9.64</v>
      </c>
      <c r="T1405" s="34">
        <v>1.7</v>
      </c>
      <c r="U1405" s="366">
        <f t="shared" si="279"/>
        <v>1.5813953488372091E-2</v>
      </c>
      <c r="V1405" s="58">
        <v>4.88</v>
      </c>
      <c r="W1405" s="13">
        <f>RTD("money.excel",,"9802","Price")</f>
        <v>107.5</v>
      </c>
      <c r="X1405" s="67"/>
      <c r="Y1405" s="15">
        <f t="shared" si="269"/>
        <v>107.5</v>
      </c>
      <c r="Z1405" s="3" t="e">
        <f t="shared" si="270"/>
        <v>#DIV/0!</v>
      </c>
      <c r="AA1405" s="174" t="s">
        <v>1943</v>
      </c>
      <c r="AB1405" s="22" t="s">
        <v>1162</v>
      </c>
      <c r="AE1405" s="33">
        <f t="shared" si="271"/>
        <v>0</v>
      </c>
      <c r="AF1405" s="43" t="s">
        <v>2287</v>
      </c>
      <c r="AG1405" s="269"/>
      <c r="AI1405" s="64">
        <f t="shared" si="280"/>
        <v>2.0698924731182796E-3</v>
      </c>
      <c r="AJ1405" s="313">
        <f>RTD("money.excel",,$G1405,"PredictVolume")</f>
        <v>385</v>
      </c>
      <c r="AK1405" s="348"/>
    </row>
    <row r="1406" spans="1:37">
      <c r="A1406" s="148" t="s">
        <v>3688</v>
      </c>
      <c r="B1406" s="93">
        <v>-19</v>
      </c>
      <c r="C1406" s="93">
        <v>36</v>
      </c>
      <c r="D1406" s="93">
        <v>-85</v>
      </c>
      <c r="E1406" s="93">
        <v>965</v>
      </c>
      <c r="F1406" s="6">
        <v>-2.92</v>
      </c>
      <c r="G1406" s="81">
        <v>9902</v>
      </c>
      <c r="H1406" s="8" t="s">
        <v>2303</v>
      </c>
      <c r="I1406" s="22" t="s">
        <v>745</v>
      </c>
      <c r="J1406" s="75">
        <v>44.88</v>
      </c>
      <c r="K1406" s="75">
        <v>0.15</v>
      </c>
      <c r="L1406" s="75">
        <v>10.09</v>
      </c>
      <c r="N1406" s="325">
        <f t="shared" si="278"/>
        <v>55.120000000000005</v>
      </c>
      <c r="O1406" s="27"/>
      <c r="P1406" s="56"/>
      <c r="Q1406" s="26"/>
      <c r="S1406" s="330">
        <v>22.93</v>
      </c>
      <c r="T1406" s="34">
        <v>0.3</v>
      </c>
      <c r="U1406" s="366">
        <f t="shared" si="279"/>
        <v>2.4896265560165973E-2</v>
      </c>
      <c r="V1406" s="97">
        <v>0.33</v>
      </c>
      <c r="W1406" s="36">
        <f>RTD("money.excel",,"9902","Price")</f>
        <v>12.05</v>
      </c>
      <c r="X1406" s="67"/>
      <c r="Y1406" s="15">
        <f t="shared" si="269"/>
        <v>12.05</v>
      </c>
      <c r="Z1406" s="3" t="e">
        <f t="shared" si="270"/>
        <v>#DIV/0!</v>
      </c>
      <c r="AB1406" s="22" t="s">
        <v>745</v>
      </c>
      <c r="AE1406" s="33">
        <f t="shared" si="271"/>
        <v>0</v>
      </c>
      <c r="AF1406" s="43" t="s">
        <v>3362</v>
      </c>
      <c r="AG1406" s="128"/>
      <c r="AI1406" s="64">
        <f t="shared" si="280"/>
        <v>1.346938775510204E-3</v>
      </c>
      <c r="AJ1406" s="313">
        <f>RTD("money.excel",,$G1406,"PredictVolume")</f>
        <v>132</v>
      </c>
      <c r="AK1406" s="348"/>
    </row>
    <row r="1407" spans="1:37">
      <c r="A1407" s="148" t="s">
        <v>2164</v>
      </c>
      <c r="B1407" s="82">
        <v>-87</v>
      </c>
      <c r="C1407" s="82">
        <v>-143</v>
      </c>
      <c r="D1407" s="82">
        <v>-6</v>
      </c>
      <c r="E1407" s="82">
        <v>-17</v>
      </c>
      <c r="F1407" s="6">
        <v>-2.44</v>
      </c>
      <c r="G1407" s="81">
        <v>9904</v>
      </c>
      <c r="H1407" s="8" t="s">
        <v>2303</v>
      </c>
      <c r="I1407" s="22" t="s">
        <v>284</v>
      </c>
      <c r="J1407" s="75">
        <v>75.48</v>
      </c>
      <c r="K1407" s="330">
        <v>53.86</v>
      </c>
      <c r="L1407" s="330">
        <v>1.63</v>
      </c>
      <c r="N1407" s="325">
        <f t="shared" si="278"/>
        <v>130.97</v>
      </c>
      <c r="O1407" s="27"/>
      <c r="P1407" s="56"/>
      <c r="Q1407" s="26"/>
      <c r="S1407" s="330">
        <v>0.05</v>
      </c>
      <c r="T1407" s="34">
        <v>1.25</v>
      </c>
      <c r="U1407" s="366">
        <f t="shared" si="279"/>
        <v>4.1390728476821195E-2</v>
      </c>
      <c r="V1407" s="97">
        <v>1.64</v>
      </c>
      <c r="W1407" s="13">
        <f>RTD("money.excel",,"9904","Price")</f>
        <v>30.2</v>
      </c>
      <c r="X1407" s="67"/>
      <c r="Y1407" s="15">
        <f t="shared" si="269"/>
        <v>30.2</v>
      </c>
      <c r="Z1407" s="3" t="e">
        <f t="shared" si="270"/>
        <v>#DIV/0!</v>
      </c>
      <c r="AA1407" s="174" t="s">
        <v>1943</v>
      </c>
      <c r="AB1407" s="22" t="s">
        <v>284</v>
      </c>
      <c r="AE1407" s="33">
        <f t="shared" si="271"/>
        <v>0</v>
      </c>
      <c r="AF1407" s="122" t="s">
        <v>1488</v>
      </c>
      <c r="AG1407" s="128"/>
      <c r="AI1407" s="64">
        <f t="shared" si="280"/>
        <v>1.6333333333333334E-3</v>
      </c>
      <c r="AJ1407" s="313">
        <f>RTD("money.excel",,$G1407,"PredictVolume")</f>
        <v>4802</v>
      </c>
      <c r="AK1407" s="348"/>
    </row>
    <row r="1408" spans="1:37">
      <c r="A1408" s="148" t="s">
        <v>2197</v>
      </c>
      <c r="B1408" s="93">
        <v>28</v>
      </c>
      <c r="C1408" s="93">
        <v>24</v>
      </c>
      <c r="D1408" s="93">
        <v>3</v>
      </c>
      <c r="E1408" s="93">
        <v>47</v>
      </c>
      <c r="F1408" s="6">
        <v>9.7200000000000006</v>
      </c>
      <c r="G1408" s="81">
        <v>9905</v>
      </c>
      <c r="H1408" s="8" t="s">
        <v>2303</v>
      </c>
      <c r="I1408" s="22" t="s">
        <v>746</v>
      </c>
      <c r="J1408" s="75">
        <v>79.31</v>
      </c>
      <c r="K1408" s="75">
        <v>3.42</v>
      </c>
      <c r="L1408" s="75">
        <v>0.03</v>
      </c>
      <c r="N1408" s="325">
        <f t="shared" si="278"/>
        <v>82.76</v>
      </c>
      <c r="O1408" s="27"/>
      <c r="P1408" s="56"/>
      <c r="Q1408" s="26"/>
      <c r="S1408" s="330">
        <v>17.61</v>
      </c>
      <c r="T1408" s="34">
        <v>1.5</v>
      </c>
      <c r="U1408" s="366">
        <f t="shared" si="279"/>
        <v>5.6179775280898875E-2</v>
      </c>
      <c r="V1408" s="97">
        <v>1.83</v>
      </c>
      <c r="W1408" s="13">
        <f>RTD("money.excel",,"9905","Price")</f>
        <v>26.7</v>
      </c>
      <c r="X1408" s="67"/>
      <c r="Y1408" s="15">
        <f t="shared" si="269"/>
        <v>26.7</v>
      </c>
      <c r="Z1408" s="3" t="e">
        <f t="shared" si="270"/>
        <v>#DIV/0!</v>
      </c>
      <c r="AB1408" s="22" t="s">
        <v>746</v>
      </c>
      <c r="AE1408" s="33">
        <f t="shared" si="271"/>
        <v>0</v>
      </c>
      <c r="AF1408" s="43" t="s">
        <v>3363</v>
      </c>
      <c r="AG1408" s="128"/>
      <c r="AI1408" s="64">
        <f t="shared" si="280"/>
        <v>1.2131147540983607E-4</v>
      </c>
      <c r="AJ1408" s="313">
        <f>RTD("money.excel",,$G1408,"PredictVolume")</f>
        <v>37</v>
      </c>
      <c r="AK1408" s="348"/>
    </row>
    <row r="1409" spans="1:37">
      <c r="A1409" s="148" t="s">
        <v>3689</v>
      </c>
      <c r="B1409" s="81">
        <v>83</v>
      </c>
      <c r="C1409" s="81">
        <v>26</v>
      </c>
      <c r="D1409" s="82">
        <v>-8</v>
      </c>
      <c r="E1409" s="82">
        <v>-9</v>
      </c>
      <c r="F1409" s="6">
        <v>4.8</v>
      </c>
      <c r="G1409" s="81">
        <v>9907</v>
      </c>
      <c r="H1409" s="17" t="s">
        <v>2303</v>
      </c>
      <c r="I1409" s="160" t="s">
        <v>74</v>
      </c>
      <c r="J1409" s="330">
        <v>72.72</v>
      </c>
      <c r="K1409" s="75">
        <v>14.51</v>
      </c>
      <c r="L1409" s="330">
        <v>1.22</v>
      </c>
      <c r="N1409" s="325">
        <f t="shared" si="278"/>
        <v>88.45</v>
      </c>
      <c r="O1409" s="27"/>
      <c r="P1409" s="56"/>
      <c r="Q1409" s="26"/>
      <c r="S1409" s="330">
        <v>0.01</v>
      </c>
      <c r="T1409" s="199">
        <v>0.53</v>
      </c>
      <c r="U1409" s="366">
        <f t="shared" si="279"/>
        <v>3.4193548387096775E-2</v>
      </c>
      <c r="V1409" s="97">
        <v>0.57999999999999996</v>
      </c>
      <c r="W1409" s="13">
        <f>RTD("money.excel",,"9907","Price")</f>
        <v>15.5</v>
      </c>
      <c r="X1409" s="67"/>
      <c r="Y1409" s="15">
        <f t="shared" si="269"/>
        <v>15.5</v>
      </c>
      <c r="Z1409" s="3" t="e">
        <f t="shared" si="270"/>
        <v>#DIV/0!</v>
      </c>
      <c r="AB1409" s="22" t="s">
        <v>74</v>
      </c>
      <c r="AE1409" s="33">
        <f t="shared" si="271"/>
        <v>0</v>
      </c>
      <c r="AF1409" s="122" t="s">
        <v>3364</v>
      </c>
      <c r="AG1409" s="128"/>
      <c r="AI1409" s="64">
        <f t="shared" si="280"/>
        <v>5.9713375796178348E-3</v>
      </c>
      <c r="AJ1409" s="313">
        <f>RTD("money.excel",,$G1409,"PredictVolume")</f>
        <v>9375</v>
      </c>
      <c r="AK1409" s="348"/>
    </row>
    <row r="1410" spans="1:37">
      <c r="A1410" s="148" t="s">
        <v>2389</v>
      </c>
      <c r="B1410" s="82">
        <v>-23</v>
      </c>
      <c r="C1410" s="82">
        <v>-21</v>
      </c>
      <c r="D1410" s="81">
        <v>10</v>
      </c>
      <c r="E1410" s="82">
        <v>-1</v>
      </c>
      <c r="F1410" s="6">
        <v>9.98</v>
      </c>
      <c r="G1410" s="81">
        <v>9910</v>
      </c>
      <c r="H1410" s="8" t="s">
        <v>2303</v>
      </c>
      <c r="I1410" s="22" t="s">
        <v>5957</v>
      </c>
      <c r="J1410" s="330">
        <v>87.45</v>
      </c>
      <c r="K1410" s="330">
        <v>18.88</v>
      </c>
      <c r="L1410" s="330">
        <v>0.11</v>
      </c>
      <c r="N1410" s="325">
        <f t="shared" si="278"/>
        <v>106.44</v>
      </c>
      <c r="O1410" s="27"/>
      <c r="P1410" s="56"/>
      <c r="Q1410" s="26"/>
      <c r="S1410" s="330">
        <v>0.01</v>
      </c>
      <c r="T1410" s="67">
        <v>3.7</v>
      </c>
      <c r="U1410" s="366">
        <f t="shared" si="279"/>
        <v>1.9628647214854113E-2</v>
      </c>
      <c r="V1410" s="58">
        <v>5.77</v>
      </c>
      <c r="W1410" s="36">
        <f>RTD("money.excel",,"9910","Price")</f>
        <v>188.5</v>
      </c>
      <c r="X1410" s="67"/>
      <c r="Y1410" s="15">
        <f t="shared" si="269"/>
        <v>188.5</v>
      </c>
      <c r="Z1410" s="3" t="e">
        <f t="shared" si="270"/>
        <v>#DIV/0!</v>
      </c>
      <c r="AA1410" s="174" t="s">
        <v>2185</v>
      </c>
      <c r="AB1410" s="22" t="s">
        <v>5957</v>
      </c>
      <c r="AE1410" s="33">
        <f t="shared" si="271"/>
        <v>0</v>
      </c>
      <c r="AF1410" s="122" t="s">
        <v>1488</v>
      </c>
      <c r="AG1410" s="269"/>
      <c r="AI1410" s="64">
        <f t="shared" si="280"/>
        <v>5.2213393870601584E-4</v>
      </c>
      <c r="AJ1410" s="313">
        <f>RTD("money.excel",,$G1410,"PredictVolume")</f>
        <v>460</v>
      </c>
      <c r="AK1410" s="348"/>
    </row>
    <row r="1411" spans="1:37">
      <c r="A1411" s="132" t="s">
        <v>2141</v>
      </c>
      <c r="B1411" s="81">
        <v>11</v>
      </c>
      <c r="C1411" s="81">
        <v>15</v>
      </c>
      <c r="D1411" s="82">
        <v>-17</v>
      </c>
      <c r="E1411" s="81">
        <v>40</v>
      </c>
      <c r="F1411" s="58">
        <v>15.2</v>
      </c>
      <c r="G1411" s="81">
        <v>9911</v>
      </c>
      <c r="H1411" s="8" t="s">
        <v>2303</v>
      </c>
      <c r="I1411" s="22" t="s">
        <v>747</v>
      </c>
      <c r="J1411" s="330">
        <v>75.599999999999994</v>
      </c>
      <c r="K1411" s="75">
        <v>22.86</v>
      </c>
      <c r="L1411" s="330">
        <v>1.69</v>
      </c>
      <c r="N1411" s="325">
        <f t="shared" si="278"/>
        <v>100.14999999999999</v>
      </c>
      <c r="O1411" s="27"/>
      <c r="P1411" s="56"/>
      <c r="Q1411" s="26"/>
      <c r="S1411" s="330">
        <v>9.07</v>
      </c>
      <c r="T1411" s="34">
        <v>2.65</v>
      </c>
      <c r="U1411" s="366">
        <f t="shared" si="279"/>
        <v>4.0151515151515153E-2</v>
      </c>
      <c r="V1411" s="97">
        <v>4.08</v>
      </c>
      <c r="W1411" s="13">
        <f>RTD("money.excel",,"9911","Price")</f>
        <v>66</v>
      </c>
      <c r="X1411" s="67"/>
      <c r="Y1411" s="15">
        <f t="shared" si="269"/>
        <v>66</v>
      </c>
      <c r="Z1411" s="3" t="e">
        <f t="shared" si="270"/>
        <v>#DIV/0!</v>
      </c>
      <c r="AA1411" s="174" t="s">
        <v>1943</v>
      </c>
      <c r="AB1411" s="22" t="s">
        <v>747</v>
      </c>
      <c r="AE1411" s="33">
        <f t="shared" si="271"/>
        <v>0</v>
      </c>
      <c r="AF1411" s="43" t="s">
        <v>3365</v>
      </c>
      <c r="AG1411" s="128"/>
      <c r="AI1411" s="64">
        <f t="shared" si="280"/>
        <v>7.9185520361990951E-4</v>
      </c>
      <c r="AJ1411" s="313">
        <f>RTD("money.excel",,$G1411,"PredictVolume")</f>
        <v>175</v>
      </c>
      <c r="AK1411" s="348"/>
    </row>
    <row r="1412" spans="1:37">
      <c r="A1412" s="148" t="s">
        <v>1846</v>
      </c>
      <c r="B1412" s="81">
        <v>58</v>
      </c>
      <c r="C1412" s="81">
        <v>16</v>
      </c>
      <c r="D1412" s="81">
        <v>6</v>
      </c>
      <c r="E1412" s="81">
        <v>0</v>
      </c>
      <c r="F1412" s="6">
        <v>0.55000000000000004</v>
      </c>
      <c r="G1412" s="81">
        <v>9914</v>
      </c>
      <c r="H1412" s="8" t="s">
        <v>2303</v>
      </c>
      <c r="I1412" s="22" t="s">
        <v>31</v>
      </c>
      <c r="J1412" s="75">
        <v>72.7</v>
      </c>
      <c r="K1412" s="75">
        <v>45.95</v>
      </c>
      <c r="L1412" s="330">
        <v>0.51</v>
      </c>
      <c r="N1412" s="325">
        <f t="shared" si="278"/>
        <v>119.16000000000001</v>
      </c>
      <c r="O1412" s="27"/>
      <c r="P1412" s="56"/>
      <c r="Q1412" s="26"/>
      <c r="S1412" s="330">
        <v>0.06</v>
      </c>
      <c r="T1412" s="67">
        <v>7</v>
      </c>
      <c r="U1412" s="366">
        <f t="shared" si="279"/>
        <v>2.6119402985074626E-2</v>
      </c>
      <c r="V1412" s="97">
        <v>13.36</v>
      </c>
      <c r="W1412" s="13">
        <f>RTD("money.excel",,"9914","Price")</f>
        <v>268</v>
      </c>
      <c r="X1412" s="67"/>
      <c r="Y1412" s="15">
        <f t="shared" si="269"/>
        <v>268</v>
      </c>
      <c r="Z1412" s="3" t="e">
        <f t="shared" si="270"/>
        <v>#DIV/0!</v>
      </c>
      <c r="AA1412" s="174" t="s">
        <v>2185</v>
      </c>
      <c r="AB1412" s="22" t="s">
        <v>31</v>
      </c>
      <c r="AE1412" s="33">
        <f t="shared" si="271"/>
        <v>0</v>
      </c>
      <c r="AF1412" s="122" t="s">
        <v>2892</v>
      </c>
      <c r="AG1412" s="128"/>
      <c r="AI1412" s="64">
        <f t="shared" si="280"/>
        <v>1.2608695652173913E-3</v>
      </c>
      <c r="AJ1412" s="313">
        <f>RTD("money.excel",,$G1412,"PredictVolume")</f>
        <v>377</v>
      </c>
      <c r="AK1412" s="348"/>
    </row>
    <row r="1413" spans="1:37">
      <c r="A1413" s="132" t="s">
        <v>1847</v>
      </c>
      <c r="B1413" s="81">
        <v>3</v>
      </c>
      <c r="C1413" s="81">
        <v>0</v>
      </c>
      <c r="D1413" s="82">
        <v>-4</v>
      </c>
      <c r="E1413" s="81">
        <v>4</v>
      </c>
      <c r="F1413" s="58">
        <v>19.100000000000001</v>
      </c>
      <c r="G1413" s="81">
        <v>9917</v>
      </c>
      <c r="H1413" s="8" t="s">
        <v>2303</v>
      </c>
      <c r="I1413" s="22" t="s">
        <v>1965</v>
      </c>
      <c r="J1413" s="330">
        <v>78.45</v>
      </c>
      <c r="K1413" s="75">
        <v>41.91</v>
      </c>
      <c r="L1413" s="75">
        <v>0.01</v>
      </c>
      <c r="N1413" s="325">
        <f t="shared" si="278"/>
        <v>120.37</v>
      </c>
      <c r="O1413" s="27"/>
      <c r="P1413" s="56"/>
      <c r="Q1413" s="26"/>
      <c r="S1413" s="330">
        <v>0</v>
      </c>
      <c r="T1413" s="67">
        <v>5</v>
      </c>
      <c r="U1413" s="366">
        <f t="shared" si="279"/>
        <v>4.8309178743961352E-2</v>
      </c>
      <c r="V1413" s="97">
        <v>5.42</v>
      </c>
      <c r="W1413" s="13">
        <f>RTD("money.excel",,"9917","Price")</f>
        <v>103.5</v>
      </c>
      <c r="X1413" s="67"/>
      <c r="Y1413" s="15">
        <f t="shared" si="269"/>
        <v>103.5</v>
      </c>
      <c r="Z1413" s="3" t="e">
        <f t="shared" si="270"/>
        <v>#DIV/0!</v>
      </c>
      <c r="AA1413" s="174" t="s">
        <v>2185</v>
      </c>
      <c r="AB1413" s="22" t="s">
        <v>1965</v>
      </c>
      <c r="AE1413" s="33">
        <f t="shared" si="271"/>
        <v>0</v>
      </c>
      <c r="AF1413" s="122" t="s">
        <v>3366</v>
      </c>
      <c r="AG1413" s="128"/>
      <c r="AI1413" s="64">
        <f t="shared" si="280"/>
        <v>3.6807095343680712E-4</v>
      </c>
      <c r="AJ1413" s="313">
        <f>RTD("money.excel",,$G1413,"PredictVolume")</f>
        <v>166</v>
      </c>
      <c r="AK1413" s="348"/>
    </row>
    <row r="1414" spans="1:37">
      <c r="A1414" s="148" t="s">
        <v>1928</v>
      </c>
      <c r="B1414" s="82">
        <v>-85</v>
      </c>
      <c r="C1414" s="82">
        <v>-75</v>
      </c>
      <c r="D1414" s="81">
        <v>6</v>
      </c>
      <c r="E1414" s="82">
        <v>-15</v>
      </c>
      <c r="F1414" s="6">
        <v>5.15</v>
      </c>
      <c r="G1414" s="81">
        <v>9919</v>
      </c>
      <c r="H1414" s="8" t="s">
        <v>2303</v>
      </c>
      <c r="I1414" s="22" t="s">
        <v>748</v>
      </c>
      <c r="J1414" s="75">
        <v>44.29</v>
      </c>
      <c r="K1414" s="330">
        <v>4.58</v>
      </c>
      <c r="L1414" s="330">
        <v>17.3</v>
      </c>
      <c r="M1414" s="330">
        <v>27.12</v>
      </c>
      <c r="N1414" s="325">
        <f t="shared" si="278"/>
        <v>93.29</v>
      </c>
      <c r="O1414" s="27"/>
      <c r="P1414" s="56"/>
      <c r="Q1414" s="26"/>
      <c r="R1414" s="308" t="s">
        <v>4372</v>
      </c>
      <c r="S1414" s="330">
        <v>3.96</v>
      </c>
      <c r="T1414" s="67">
        <v>3</v>
      </c>
      <c r="U1414" s="366">
        <f t="shared" si="279"/>
        <v>0.13574660633484162</v>
      </c>
      <c r="V1414" s="97">
        <v>1.51</v>
      </c>
      <c r="W1414" s="36">
        <f>RTD("money.excel",,"9919","Price")</f>
        <v>22.1</v>
      </c>
      <c r="X1414" s="67"/>
      <c r="Y1414" s="15">
        <f t="shared" si="269"/>
        <v>22.1</v>
      </c>
      <c r="Z1414" s="3" t="e">
        <f t="shared" si="270"/>
        <v>#DIV/0!</v>
      </c>
      <c r="AA1414" s="174" t="s">
        <v>2185</v>
      </c>
      <c r="AB1414" s="22" t="s">
        <v>748</v>
      </c>
      <c r="AE1414" s="33">
        <f t="shared" si="271"/>
        <v>0</v>
      </c>
      <c r="AF1414" s="43" t="s">
        <v>3060</v>
      </c>
      <c r="AG1414" s="128"/>
      <c r="AI1414" s="64">
        <f t="shared" si="280"/>
        <v>3.8E-3</v>
      </c>
      <c r="AJ1414" s="313">
        <f>RTD("money.excel",,$G1414,"PredictVolume")</f>
        <v>741</v>
      </c>
      <c r="AK1414" s="22">
        <v>62.6</v>
      </c>
    </row>
    <row r="1415" spans="1:37">
      <c r="A1415" s="148" t="s">
        <v>1848</v>
      </c>
      <c r="B1415" s="81">
        <v>30</v>
      </c>
      <c r="C1415" s="81">
        <v>37</v>
      </c>
      <c r="D1415" s="82">
        <v>-4</v>
      </c>
      <c r="E1415" s="81">
        <v>19</v>
      </c>
      <c r="F1415" s="6">
        <v>9.93</v>
      </c>
      <c r="G1415" s="81">
        <v>9921</v>
      </c>
      <c r="H1415" s="8" t="s">
        <v>2303</v>
      </c>
      <c r="I1415" s="22" t="s">
        <v>5958</v>
      </c>
      <c r="J1415" s="75">
        <v>68.37</v>
      </c>
      <c r="K1415" s="75">
        <v>51.34</v>
      </c>
      <c r="L1415" s="75">
        <v>0.48</v>
      </c>
      <c r="N1415" s="325">
        <f t="shared" si="278"/>
        <v>120.19000000000001</v>
      </c>
      <c r="O1415" s="27"/>
      <c r="P1415" s="56"/>
      <c r="Q1415" s="26"/>
      <c r="S1415" s="330">
        <v>0.03</v>
      </c>
      <c r="T1415" s="67">
        <v>8</v>
      </c>
      <c r="U1415" s="366">
        <f t="shared" si="279"/>
        <v>2.8880866425992781E-2</v>
      </c>
      <c r="V1415" s="97">
        <v>13.2</v>
      </c>
      <c r="W1415" s="13">
        <f>RTD("money.excel",,"9921","Price")</f>
        <v>277</v>
      </c>
      <c r="X1415" s="67"/>
      <c r="Y1415" s="15">
        <f t="shared" si="269"/>
        <v>277</v>
      </c>
      <c r="Z1415" s="3" t="e">
        <f t="shared" si="270"/>
        <v>#DIV/0!</v>
      </c>
      <c r="AA1415" s="174" t="s">
        <v>2185</v>
      </c>
      <c r="AB1415" s="22" t="s">
        <v>5958</v>
      </c>
      <c r="AE1415" s="33">
        <f t="shared" si="271"/>
        <v>0</v>
      </c>
      <c r="AF1415" s="122" t="s">
        <v>2892</v>
      </c>
      <c r="AG1415" s="128"/>
      <c r="AI1415" s="64">
        <f t="shared" si="280"/>
        <v>4.613333333333333E-3</v>
      </c>
      <c r="AJ1415" s="313">
        <f>RTD("money.excel",,$G1415,"PredictVolume")</f>
        <v>1730</v>
      </c>
      <c r="AK1415" s="348"/>
    </row>
    <row r="1416" spans="1:37">
      <c r="A1416" s="148" t="s">
        <v>1952</v>
      </c>
      <c r="B1416" s="93">
        <v>-2</v>
      </c>
      <c r="C1416" s="93">
        <v>2</v>
      </c>
      <c r="D1416" s="93">
        <v>-1</v>
      </c>
      <c r="E1416" s="93">
        <v>24</v>
      </c>
      <c r="F1416" s="6">
        <v>14.03</v>
      </c>
      <c r="G1416" s="81">
        <v>9924</v>
      </c>
      <c r="H1416" s="8" t="s">
        <v>2303</v>
      </c>
      <c r="I1416" s="22" t="s">
        <v>749</v>
      </c>
      <c r="J1416" s="75">
        <v>66.2</v>
      </c>
      <c r="K1416" s="75">
        <v>11.7</v>
      </c>
      <c r="L1416" s="75">
        <v>1.52</v>
      </c>
      <c r="N1416" s="325">
        <f t="shared" si="278"/>
        <v>79.42</v>
      </c>
      <c r="O1416" s="27"/>
      <c r="P1416" s="56"/>
      <c r="Q1416" s="26"/>
      <c r="S1416" s="330">
        <v>16.23</v>
      </c>
      <c r="T1416" s="34">
        <v>2.6</v>
      </c>
      <c r="U1416" s="366">
        <f t="shared" si="279"/>
        <v>6.1904761904761907E-2</v>
      </c>
      <c r="V1416" s="97">
        <v>4.37</v>
      </c>
      <c r="W1416" s="13">
        <f>RTD("money.excel",,"9924","Price")</f>
        <v>42</v>
      </c>
      <c r="X1416" s="67"/>
      <c r="Y1416" s="15">
        <f t="shared" si="269"/>
        <v>42</v>
      </c>
      <c r="Z1416" s="3" t="e">
        <f t="shared" si="270"/>
        <v>#DIV/0!</v>
      </c>
      <c r="AB1416" s="22" t="s">
        <v>749</v>
      </c>
      <c r="AE1416" s="33">
        <f t="shared" si="271"/>
        <v>0</v>
      </c>
      <c r="AF1416" s="43" t="s">
        <v>3367</v>
      </c>
      <c r="AG1416" s="128"/>
      <c r="AI1416" s="64">
        <f t="shared" si="280"/>
        <v>4.3617021276595746E-4</v>
      </c>
      <c r="AJ1416" s="313">
        <f>RTD("money.excel",,$G1416,"PredictVolume")</f>
        <v>82</v>
      </c>
      <c r="AK1416" s="348"/>
    </row>
    <row r="1417" spans="1:37">
      <c r="A1417" s="132" t="s">
        <v>1802</v>
      </c>
      <c r="B1417" s="93">
        <v>17</v>
      </c>
      <c r="C1417" s="93">
        <v>17</v>
      </c>
      <c r="D1417" s="93">
        <v>5</v>
      </c>
      <c r="E1417" s="93">
        <v>10</v>
      </c>
      <c r="F1417" s="58">
        <v>12.04</v>
      </c>
      <c r="G1417" s="81">
        <v>9925</v>
      </c>
      <c r="H1417" s="8" t="s">
        <v>2303</v>
      </c>
      <c r="I1417" s="22" t="s">
        <v>5959</v>
      </c>
      <c r="J1417" s="75">
        <v>73.760000000000005</v>
      </c>
      <c r="K1417" s="75">
        <v>17.170000000000002</v>
      </c>
      <c r="L1417" s="75">
        <v>0.15</v>
      </c>
      <c r="N1417" s="325">
        <f t="shared" si="278"/>
        <v>91.080000000000013</v>
      </c>
      <c r="O1417" s="27"/>
      <c r="P1417" s="56"/>
      <c r="Q1417" s="26"/>
      <c r="S1417" s="330">
        <v>16.64</v>
      </c>
      <c r="T1417" s="34">
        <v>2</v>
      </c>
      <c r="U1417" s="366">
        <f t="shared" si="279"/>
        <v>5.0890585241730284E-2</v>
      </c>
      <c r="V1417" s="97">
        <v>2.31</v>
      </c>
      <c r="W1417" s="13">
        <f>RTD("money.excel",,"9925","Price")</f>
        <v>39.299999999999997</v>
      </c>
      <c r="X1417" s="67"/>
      <c r="Y1417" s="15">
        <f t="shared" si="269"/>
        <v>39.299999999999997</v>
      </c>
      <c r="Z1417" s="3" t="e">
        <f t="shared" si="270"/>
        <v>#DIV/0!</v>
      </c>
      <c r="AB1417" s="22" t="s">
        <v>5959</v>
      </c>
      <c r="AE1417" s="33">
        <f t="shared" si="271"/>
        <v>0</v>
      </c>
      <c r="AF1417" s="122" t="s">
        <v>3368</v>
      </c>
      <c r="AG1417" s="128"/>
      <c r="AI1417" s="64">
        <f t="shared" si="280"/>
        <v>2.5064599483204137E-4</v>
      </c>
      <c r="AJ1417" s="313">
        <f>RTD("money.excel",,$G1417,"PredictVolume")</f>
        <v>97</v>
      </c>
      <c r="AK1417" s="348"/>
    </row>
    <row r="1418" spans="1:37">
      <c r="A1418" s="148" t="s">
        <v>1953</v>
      </c>
      <c r="B1418" s="82">
        <v>-54</v>
      </c>
      <c r="C1418" s="82">
        <v>-38</v>
      </c>
      <c r="D1418" s="81">
        <v>4</v>
      </c>
      <c r="E1418" s="82">
        <v>-26</v>
      </c>
      <c r="F1418" s="6">
        <v>4.26</v>
      </c>
      <c r="G1418" s="81">
        <v>9927</v>
      </c>
      <c r="H1418" s="8" t="s">
        <v>2303</v>
      </c>
      <c r="I1418" s="22" t="s">
        <v>750</v>
      </c>
      <c r="J1418" s="75">
        <v>49</v>
      </c>
      <c r="K1418" s="75">
        <v>10.48</v>
      </c>
      <c r="L1418" s="75">
        <v>0.3</v>
      </c>
      <c r="N1418" s="325">
        <f t="shared" si="278"/>
        <v>59.78</v>
      </c>
      <c r="O1418" s="27"/>
      <c r="P1418" s="56"/>
      <c r="Q1418" s="26"/>
      <c r="S1418" s="330">
        <v>0</v>
      </c>
      <c r="T1418" s="34">
        <v>1</v>
      </c>
      <c r="U1418" s="366">
        <f t="shared" si="279"/>
        <v>2.5445292620865142E-2</v>
      </c>
      <c r="V1418" s="97">
        <v>1.68</v>
      </c>
      <c r="W1418" s="36">
        <f>RTD("money.excel",,"9927","Price")</f>
        <v>39.299999999999997</v>
      </c>
      <c r="X1418" s="67"/>
      <c r="Y1418" s="15">
        <f t="shared" si="269"/>
        <v>39.299999999999997</v>
      </c>
      <c r="Z1418" s="3" t="e">
        <f t="shared" si="270"/>
        <v>#DIV/0!</v>
      </c>
      <c r="AA1418" s="174" t="s">
        <v>1943</v>
      </c>
      <c r="AB1418" s="22" t="s">
        <v>750</v>
      </c>
      <c r="AE1418" s="33">
        <f t="shared" si="271"/>
        <v>0</v>
      </c>
      <c r="AF1418" s="43" t="s">
        <v>3369</v>
      </c>
      <c r="AG1418" s="128"/>
      <c r="AI1418" s="64">
        <f t="shared" si="280"/>
        <v>8.5167464114832537E-4</v>
      </c>
      <c r="AJ1418" s="313">
        <f>RTD("money.excel",,$G1418,"PredictVolume")</f>
        <v>178</v>
      </c>
      <c r="AK1418" s="348"/>
    </row>
    <row r="1419" spans="1:37">
      <c r="A1419" s="148" t="s">
        <v>2735</v>
      </c>
      <c r="B1419" s="93">
        <v>67</v>
      </c>
      <c r="C1419" s="93">
        <v>46</v>
      </c>
      <c r="D1419" s="93">
        <v>4</v>
      </c>
      <c r="E1419" s="93">
        <v>2</v>
      </c>
      <c r="F1419" s="6">
        <v>-39</v>
      </c>
      <c r="G1419" s="81">
        <v>9928</v>
      </c>
      <c r="H1419" s="8" t="s">
        <v>2303</v>
      </c>
      <c r="I1419" s="22" t="s">
        <v>751</v>
      </c>
      <c r="J1419" s="75">
        <v>84.8</v>
      </c>
      <c r="K1419" s="75">
        <v>0</v>
      </c>
      <c r="N1419" s="325">
        <f t="shared" si="278"/>
        <v>84.8</v>
      </c>
      <c r="O1419" s="27"/>
      <c r="P1419" s="56"/>
      <c r="Q1419" s="26"/>
      <c r="S1419" s="330">
        <v>60.7</v>
      </c>
      <c r="T1419" s="34">
        <v>0</v>
      </c>
      <c r="U1419" s="366">
        <f t="shared" si="279"/>
        <v>0</v>
      </c>
      <c r="V1419" s="97">
        <v>-0.18</v>
      </c>
      <c r="W1419" s="13">
        <f>RTD("money.excel",,"9928","Price")</f>
        <v>6.67</v>
      </c>
      <c r="X1419" s="67"/>
      <c r="Y1419" s="15">
        <f t="shared" si="269"/>
        <v>6.67</v>
      </c>
      <c r="Z1419" s="3" t="e">
        <f t="shared" si="270"/>
        <v>#DIV/0!</v>
      </c>
      <c r="AB1419" s="22" t="s">
        <v>751</v>
      </c>
      <c r="AE1419" s="33">
        <f t="shared" si="271"/>
        <v>0</v>
      </c>
      <c r="AF1419" s="43" t="s">
        <v>3370</v>
      </c>
      <c r="AG1419" s="128"/>
      <c r="AI1419" s="64">
        <f t="shared" si="280"/>
        <v>7.3333333333333331E-5</v>
      </c>
      <c r="AJ1419" s="313">
        <f>RTD("money.excel",,$G1419,"PredictVolume")</f>
        <v>11</v>
      </c>
      <c r="AK1419" s="348"/>
    </row>
    <row r="1420" spans="1:37">
      <c r="A1420" s="148" t="s">
        <v>2038</v>
      </c>
      <c r="B1420" s="93">
        <v>594</v>
      </c>
      <c r="C1420" s="93">
        <v>100</v>
      </c>
      <c r="D1420" s="93">
        <v>-5</v>
      </c>
      <c r="E1420" s="93">
        <v>-51</v>
      </c>
      <c r="F1420" s="6">
        <v>-0.52</v>
      </c>
      <c r="G1420" s="81">
        <v>9929</v>
      </c>
      <c r="H1420" s="8" t="s">
        <v>2303</v>
      </c>
      <c r="I1420" s="22" t="s">
        <v>752</v>
      </c>
      <c r="J1420" s="75">
        <v>87.42</v>
      </c>
      <c r="K1420" s="75">
        <v>8.3699999999999992</v>
      </c>
      <c r="N1420" s="325">
        <f t="shared" si="278"/>
        <v>95.79</v>
      </c>
      <c r="O1420" s="27"/>
      <c r="P1420" s="56"/>
      <c r="Q1420" s="26"/>
      <c r="S1420" s="330">
        <v>16.5</v>
      </c>
      <c r="T1420" s="34">
        <v>0.4</v>
      </c>
      <c r="U1420" s="366">
        <f t="shared" si="279"/>
        <v>4.4296788482834998E-2</v>
      </c>
      <c r="V1420" s="97">
        <v>5.42</v>
      </c>
      <c r="W1420" s="13">
        <f>RTD("money.excel",,"9929","Price")</f>
        <v>9.0299999999999994</v>
      </c>
      <c r="X1420" s="67"/>
      <c r="Y1420" s="15">
        <f t="shared" si="269"/>
        <v>9.0299999999999994</v>
      </c>
      <c r="Z1420" s="3" t="e">
        <f t="shared" si="270"/>
        <v>#DIV/0!</v>
      </c>
      <c r="AB1420" s="22" t="s">
        <v>752</v>
      </c>
      <c r="AE1420" s="33">
        <f t="shared" si="271"/>
        <v>0</v>
      </c>
      <c r="AF1420" s="43" t="s">
        <v>2993</v>
      </c>
      <c r="AG1420" s="128"/>
      <c r="AI1420" s="64">
        <f t="shared" si="280"/>
        <v>1.683168316831683E-4</v>
      </c>
      <c r="AJ1420" s="313">
        <f>RTD("money.excel",,$G1420,"PredictVolume")</f>
        <v>17</v>
      </c>
      <c r="AK1420" s="348"/>
    </row>
    <row r="1421" spans="1:37">
      <c r="A1421" s="148" t="s">
        <v>1796</v>
      </c>
      <c r="B1421" s="93">
        <v>-11</v>
      </c>
      <c r="C1421" s="93">
        <v>-15</v>
      </c>
      <c r="D1421" s="93">
        <v>8</v>
      </c>
      <c r="E1421" s="93">
        <v>44</v>
      </c>
      <c r="F1421" s="6">
        <v>9.6199999999999992</v>
      </c>
      <c r="G1421" s="81">
        <v>9930</v>
      </c>
      <c r="H1421" s="8" t="s">
        <v>2303</v>
      </c>
      <c r="I1421" s="22" t="s">
        <v>1163</v>
      </c>
      <c r="J1421" s="75">
        <v>79.510000000000005</v>
      </c>
      <c r="K1421" s="75">
        <v>1.95</v>
      </c>
      <c r="L1421" s="75">
        <v>0.04</v>
      </c>
      <c r="N1421" s="325">
        <f t="shared" si="278"/>
        <v>81.500000000000014</v>
      </c>
      <c r="O1421" s="27"/>
      <c r="P1421" s="56"/>
      <c r="Q1421" s="26"/>
      <c r="S1421" s="330">
        <v>68.680000000000007</v>
      </c>
      <c r="T1421" s="34">
        <v>2</v>
      </c>
      <c r="U1421" s="366">
        <f t="shared" si="279"/>
        <v>4.2417815482502653E-2</v>
      </c>
      <c r="V1421" s="97">
        <v>3.07</v>
      </c>
      <c r="W1421" s="13">
        <f>RTD("money.excel",,"9930","Price")</f>
        <v>47.15</v>
      </c>
      <c r="X1421" s="67"/>
      <c r="Y1421" s="15">
        <f t="shared" si="269"/>
        <v>47.15</v>
      </c>
      <c r="Z1421" s="3" t="e">
        <f t="shared" si="270"/>
        <v>#DIV/0!</v>
      </c>
      <c r="AB1421" s="22" t="s">
        <v>1163</v>
      </c>
      <c r="AE1421" s="33">
        <f t="shared" si="271"/>
        <v>0</v>
      </c>
      <c r="AF1421" s="43" t="s">
        <v>3371</v>
      </c>
      <c r="AG1421" s="128"/>
      <c r="AI1421" s="64">
        <f t="shared" si="280"/>
        <v>2.0967741935483871E-4</v>
      </c>
      <c r="AJ1421" s="313">
        <f>RTD("money.excel",,$G1421,"PredictVolume")</f>
        <v>52</v>
      </c>
      <c r="AK1421" s="348"/>
    </row>
    <row r="1422" spans="1:37">
      <c r="A1422" s="148" t="s">
        <v>1849</v>
      </c>
      <c r="B1422" s="81">
        <v>5</v>
      </c>
      <c r="C1422" s="81">
        <v>41</v>
      </c>
      <c r="D1422" s="82">
        <v>-12</v>
      </c>
      <c r="E1422" s="81">
        <v>7</v>
      </c>
      <c r="F1422" s="6">
        <v>3.64</v>
      </c>
      <c r="G1422" s="81">
        <v>9933</v>
      </c>
      <c r="H1422" s="8" t="s">
        <v>2303</v>
      </c>
      <c r="I1422" s="22" t="s">
        <v>134</v>
      </c>
      <c r="J1422" s="330">
        <v>69.31</v>
      </c>
      <c r="K1422" s="330">
        <v>22.58</v>
      </c>
      <c r="L1422" s="330">
        <v>0.93</v>
      </c>
      <c r="N1422" s="325">
        <f t="shared" si="278"/>
        <v>92.820000000000007</v>
      </c>
      <c r="O1422" s="27"/>
      <c r="P1422" s="56"/>
      <c r="Q1422" s="26"/>
      <c r="S1422" s="330">
        <v>0.03</v>
      </c>
      <c r="T1422" s="34">
        <v>2</v>
      </c>
      <c r="U1422" s="366">
        <f t="shared" si="279"/>
        <v>4.5300113250283131E-2</v>
      </c>
      <c r="V1422" s="97">
        <v>1.01</v>
      </c>
      <c r="W1422" s="36">
        <f>RTD("money.excel",,"9933","Price")</f>
        <v>44.15</v>
      </c>
      <c r="X1422" s="67"/>
      <c r="Y1422" s="15">
        <f t="shared" si="269"/>
        <v>44.15</v>
      </c>
      <c r="Z1422" s="3" t="e">
        <f t="shared" si="270"/>
        <v>#DIV/0!</v>
      </c>
      <c r="AA1422" s="174" t="s">
        <v>1943</v>
      </c>
      <c r="AB1422" s="22" t="s">
        <v>134</v>
      </c>
      <c r="AE1422" s="33">
        <f t="shared" si="271"/>
        <v>0</v>
      </c>
      <c r="AF1422" s="122" t="s">
        <v>3372</v>
      </c>
      <c r="AG1422" s="128"/>
      <c r="AI1422" s="64">
        <f t="shared" si="280"/>
        <v>1.2754914809960681E-2</v>
      </c>
      <c r="AJ1422" s="313">
        <f>RTD("money.excel",,$G1422,"PredictVolume")</f>
        <v>9732</v>
      </c>
      <c r="AK1422" s="348"/>
    </row>
    <row r="1423" spans="1:37">
      <c r="A1423" s="148" t="s">
        <v>2370</v>
      </c>
      <c r="B1423" s="82">
        <v>-73</v>
      </c>
      <c r="C1423" s="82">
        <v>-30</v>
      </c>
      <c r="D1423" s="82">
        <v>-5</v>
      </c>
      <c r="E1423" s="81">
        <v>9</v>
      </c>
      <c r="F1423" s="6">
        <v>2.93</v>
      </c>
      <c r="G1423" s="81">
        <v>9934</v>
      </c>
      <c r="H1423" s="8" t="s">
        <v>2303</v>
      </c>
      <c r="I1423" s="22" t="s">
        <v>753</v>
      </c>
      <c r="J1423" s="75">
        <v>59.19</v>
      </c>
      <c r="K1423" s="75">
        <v>18.96</v>
      </c>
      <c r="L1423" s="75">
        <v>4.51</v>
      </c>
      <c r="N1423" s="325">
        <f t="shared" si="278"/>
        <v>82.660000000000011</v>
      </c>
      <c r="O1423" s="27"/>
      <c r="P1423" s="56"/>
      <c r="Q1423" s="26"/>
      <c r="S1423" s="330">
        <v>0</v>
      </c>
      <c r="T1423" s="34">
        <v>0.6</v>
      </c>
      <c r="U1423" s="366">
        <f t="shared" si="279"/>
        <v>4.3010752688172046E-2</v>
      </c>
      <c r="V1423" s="97">
        <v>0.81</v>
      </c>
      <c r="W1423" s="36">
        <f>RTD("money.excel",,"9934","Price")</f>
        <v>13.95</v>
      </c>
      <c r="X1423" s="67"/>
      <c r="Y1423" s="15">
        <f t="shared" si="269"/>
        <v>13.95</v>
      </c>
      <c r="Z1423" s="3" t="e">
        <f t="shared" si="270"/>
        <v>#DIV/0!</v>
      </c>
      <c r="AA1423" s="174" t="s">
        <v>1943</v>
      </c>
      <c r="AB1423" s="22" t="s">
        <v>753</v>
      </c>
      <c r="AE1423" s="33">
        <f t="shared" si="271"/>
        <v>0</v>
      </c>
      <c r="AF1423" s="43" t="s">
        <v>3373</v>
      </c>
      <c r="AG1423" s="128"/>
      <c r="AI1423" s="64">
        <f t="shared" si="280"/>
        <v>1.1117318435754191E-3</v>
      </c>
      <c r="AJ1423" s="313">
        <f>RTD("money.excel",,$G1423,"PredictVolume")</f>
        <v>398</v>
      </c>
      <c r="AK1423" s="348"/>
    </row>
    <row r="1424" spans="1:37">
      <c r="A1424" s="148" t="s">
        <v>1819</v>
      </c>
      <c r="B1424" s="81">
        <v>921</v>
      </c>
      <c r="C1424" s="95">
        <v>2050</v>
      </c>
      <c r="D1424" s="82">
        <v>-23</v>
      </c>
      <c r="E1424" s="82">
        <v>-30</v>
      </c>
      <c r="F1424" s="6">
        <v>7.92</v>
      </c>
      <c r="G1424" s="81">
        <v>9935</v>
      </c>
      <c r="H1424" s="8" t="s">
        <v>2303</v>
      </c>
      <c r="I1424" s="22" t="s">
        <v>754</v>
      </c>
      <c r="J1424" s="330">
        <v>46.4</v>
      </c>
      <c r="K1424" s="75">
        <v>4.91</v>
      </c>
      <c r="L1424" s="75">
        <v>10.31</v>
      </c>
      <c r="N1424" s="325">
        <f t="shared" si="278"/>
        <v>61.620000000000005</v>
      </c>
      <c r="O1424" s="27"/>
      <c r="P1424" s="56"/>
      <c r="Q1424" s="26"/>
      <c r="S1424" s="330">
        <v>0.03</v>
      </c>
      <c r="T1424" s="34">
        <v>0.88</v>
      </c>
      <c r="U1424" s="366">
        <f t="shared" si="279"/>
        <v>4.9438202247191011E-2</v>
      </c>
      <c r="V1424" s="97">
        <v>2.56</v>
      </c>
      <c r="W1424" s="36">
        <f>RTD("money.excel",,"9935","Price")</f>
        <v>17.8</v>
      </c>
      <c r="X1424" s="67"/>
      <c r="Y1424" s="15">
        <f t="shared" si="269"/>
        <v>17.8</v>
      </c>
      <c r="Z1424" s="3" t="e">
        <f t="shared" si="270"/>
        <v>#DIV/0!</v>
      </c>
      <c r="AB1424" s="22" t="s">
        <v>754</v>
      </c>
      <c r="AE1424" s="33">
        <f t="shared" si="271"/>
        <v>0</v>
      </c>
      <c r="AF1424" s="43" t="s">
        <v>1486</v>
      </c>
      <c r="AG1424" s="128"/>
      <c r="AI1424" s="64">
        <f t="shared" si="280"/>
        <v>5.0887573964497038E-4</v>
      </c>
      <c r="AJ1424" s="313">
        <f>RTD("money.excel",,$G1424,"PredictVolume")</f>
        <v>86</v>
      </c>
      <c r="AK1424" s="348"/>
    </row>
    <row r="1425" spans="1:37">
      <c r="A1425" s="132" t="s">
        <v>2172</v>
      </c>
      <c r="B1425" s="81">
        <v>3</v>
      </c>
      <c r="C1425" s="81">
        <v>1</v>
      </c>
      <c r="D1425" s="82">
        <v>-1</v>
      </c>
      <c r="E1425" s="81">
        <v>6</v>
      </c>
      <c r="F1425" s="58">
        <v>19.05</v>
      </c>
      <c r="G1425" s="81">
        <v>9938</v>
      </c>
      <c r="H1425" s="8" t="s">
        <v>2303</v>
      </c>
      <c r="I1425" s="22" t="s">
        <v>148</v>
      </c>
      <c r="J1425" s="75">
        <v>70.31</v>
      </c>
      <c r="K1425" s="75">
        <v>30.96</v>
      </c>
      <c r="L1425" s="330">
        <v>6.46</v>
      </c>
      <c r="N1425" s="325">
        <f t="shared" si="278"/>
        <v>107.73</v>
      </c>
      <c r="O1425" s="27"/>
      <c r="P1425" s="56"/>
      <c r="Q1425" s="26"/>
      <c r="S1425" s="330">
        <v>0.11</v>
      </c>
      <c r="T1425" s="67">
        <v>3</v>
      </c>
      <c r="U1425" s="366">
        <f t="shared" si="279"/>
        <v>4.1208791208791208E-2</v>
      </c>
      <c r="V1425" s="97">
        <v>5.21</v>
      </c>
      <c r="W1425" s="36">
        <f>RTD("money.excel",,"9938","Price")</f>
        <v>72.8</v>
      </c>
      <c r="X1425" s="67"/>
      <c r="Y1425" s="15">
        <f t="shared" si="269"/>
        <v>72.8</v>
      </c>
      <c r="Z1425" s="3" t="e">
        <f t="shared" si="270"/>
        <v>#DIV/0!</v>
      </c>
      <c r="AA1425" s="174" t="s">
        <v>2185</v>
      </c>
      <c r="AB1425" s="22" t="s">
        <v>148</v>
      </c>
      <c r="AE1425" s="33">
        <f t="shared" si="271"/>
        <v>0</v>
      </c>
      <c r="AF1425" s="122" t="s">
        <v>3374</v>
      </c>
      <c r="AG1425" s="128"/>
      <c r="AI1425" s="64">
        <f t="shared" si="280"/>
        <v>3.4530201342281878E-3</v>
      </c>
      <c r="AJ1425" s="313">
        <f>RTD("money.excel",,$G1425,"PredictVolume")</f>
        <v>1029</v>
      </c>
      <c r="AK1425" s="348"/>
    </row>
    <row r="1426" spans="1:37">
      <c r="A1426" s="132" t="s">
        <v>1813</v>
      </c>
      <c r="B1426" s="81">
        <v>19</v>
      </c>
      <c r="C1426" s="82">
        <v>-5</v>
      </c>
      <c r="D1426" s="81">
        <v>6</v>
      </c>
      <c r="E1426" s="82">
        <v>-3</v>
      </c>
      <c r="F1426" s="58">
        <v>12.51</v>
      </c>
      <c r="G1426" s="81">
        <v>9939</v>
      </c>
      <c r="H1426" s="8" t="s">
        <v>2303</v>
      </c>
      <c r="I1426" s="22" t="s">
        <v>755</v>
      </c>
      <c r="J1426" s="330">
        <v>51.78</v>
      </c>
      <c r="K1426" s="330">
        <v>26.05</v>
      </c>
      <c r="L1426" s="330">
        <v>3.44</v>
      </c>
      <c r="N1426" s="325">
        <f t="shared" si="278"/>
        <v>81.27</v>
      </c>
      <c r="O1426" s="27"/>
      <c r="P1426" s="56"/>
      <c r="Q1426" s="26"/>
      <c r="S1426" s="330">
        <v>0.02</v>
      </c>
      <c r="T1426" s="67">
        <v>3.6</v>
      </c>
      <c r="U1426" s="366">
        <f t="shared" si="279"/>
        <v>4.7872340425531915E-2</v>
      </c>
      <c r="V1426" s="97">
        <v>5.71</v>
      </c>
      <c r="W1426" s="36">
        <f>RTD("money.excel",,"9939","Price")</f>
        <v>75.2</v>
      </c>
      <c r="X1426" s="67"/>
      <c r="Y1426" s="15">
        <f t="shared" si="269"/>
        <v>75.2</v>
      </c>
      <c r="Z1426" s="3" t="e">
        <f t="shared" si="270"/>
        <v>#DIV/0!</v>
      </c>
      <c r="AA1426" s="174" t="s">
        <v>2185</v>
      </c>
      <c r="AB1426" s="22" t="s">
        <v>755</v>
      </c>
      <c r="AE1426" s="33">
        <f t="shared" si="271"/>
        <v>0</v>
      </c>
      <c r="AF1426" s="43" t="s">
        <v>3361</v>
      </c>
      <c r="AG1426" s="128"/>
      <c r="AI1426" s="64">
        <f t="shared" si="280"/>
        <v>1.9337979094076656E-3</v>
      </c>
      <c r="AJ1426" s="313">
        <f>RTD("money.excel",,$G1426,"PredictVolume")</f>
        <v>555</v>
      </c>
      <c r="AK1426" s="348"/>
    </row>
    <row r="1427" spans="1:37">
      <c r="A1427" s="132" t="s">
        <v>2431</v>
      </c>
      <c r="B1427" s="82">
        <v>-53</v>
      </c>
      <c r="C1427" s="82">
        <v>-52</v>
      </c>
      <c r="D1427" s="81">
        <v>6</v>
      </c>
      <c r="E1427" s="81">
        <v>44</v>
      </c>
      <c r="F1427" s="58">
        <v>11.02</v>
      </c>
      <c r="G1427" s="81">
        <v>9940</v>
      </c>
      <c r="H1427" s="8" t="s">
        <v>2303</v>
      </c>
      <c r="I1427" s="22" t="s">
        <v>104</v>
      </c>
      <c r="J1427" s="75">
        <v>81.31</v>
      </c>
      <c r="K1427" s="330">
        <v>5.07</v>
      </c>
      <c r="L1427" s="330">
        <v>0.22</v>
      </c>
      <c r="N1427" s="325">
        <f t="shared" si="278"/>
        <v>86.6</v>
      </c>
      <c r="O1427" s="27"/>
      <c r="P1427" s="56"/>
      <c r="Q1427" s="26"/>
      <c r="T1427" s="34">
        <v>1.7</v>
      </c>
      <c r="U1427" s="366">
        <f t="shared" si="279"/>
        <v>4.7954866008462618E-2</v>
      </c>
      <c r="V1427" s="97">
        <v>2.11</v>
      </c>
      <c r="W1427" s="36">
        <f>RTD("money.excel",,"9940","Price")</f>
        <v>35.450000000000003</v>
      </c>
      <c r="X1427" s="67"/>
      <c r="Y1427" s="15">
        <f t="shared" si="269"/>
        <v>35.450000000000003</v>
      </c>
      <c r="Z1427" s="3" t="e">
        <f t="shared" si="270"/>
        <v>#DIV/0!</v>
      </c>
      <c r="AA1427" s="174" t="s">
        <v>1943</v>
      </c>
      <c r="AB1427" s="22" t="s">
        <v>104</v>
      </c>
      <c r="AE1427" s="33">
        <f t="shared" si="271"/>
        <v>0</v>
      </c>
      <c r="AF1427" s="122" t="s">
        <v>1489</v>
      </c>
      <c r="AG1427" s="128"/>
      <c r="AI1427" s="64">
        <f t="shared" si="280"/>
        <v>4.4293478260869565E-4</v>
      </c>
      <c r="AJ1427" s="313">
        <f>RTD("money.excel",,$G1427,"PredictVolume")</f>
        <v>326</v>
      </c>
      <c r="AK1427" s="348"/>
    </row>
    <row r="1428" spans="1:37">
      <c r="A1428" s="132" t="s">
        <v>2331</v>
      </c>
      <c r="B1428" s="82">
        <v>-4</v>
      </c>
      <c r="C1428" s="82">
        <v>-7</v>
      </c>
      <c r="D1428" s="81">
        <v>4</v>
      </c>
      <c r="E1428" s="81">
        <v>3</v>
      </c>
      <c r="F1428" s="58">
        <v>13.29</v>
      </c>
      <c r="G1428" s="81">
        <v>9941</v>
      </c>
      <c r="H1428" s="8" t="s">
        <v>2303</v>
      </c>
      <c r="I1428" s="22" t="s">
        <v>135</v>
      </c>
      <c r="J1428" s="330">
        <v>67.97</v>
      </c>
      <c r="K1428" s="330">
        <v>5.48</v>
      </c>
      <c r="L1428" s="330">
        <v>1.08</v>
      </c>
      <c r="N1428" s="325">
        <f t="shared" si="278"/>
        <v>74.53</v>
      </c>
      <c r="O1428" s="27"/>
      <c r="P1428" s="56"/>
      <c r="Q1428" s="26"/>
      <c r="S1428" s="330">
        <v>0</v>
      </c>
      <c r="T1428" s="67">
        <v>6.2</v>
      </c>
      <c r="U1428" s="366">
        <f t="shared" si="279"/>
        <v>2.8054298642533938E-2</v>
      </c>
      <c r="V1428" s="97">
        <v>9.9</v>
      </c>
      <c r="W1428" s="36">
        <f>RTD("money.excel",,"9941","Price")</f>
        <v>221</v>
      </c>
      <c r="X1428" s="67"/>
      <c r="Y1428" s="15">
        <f t="shared" si="269"/>
        <v>221</v>
      </c>
      <c r="Z1428" s="3" t="e">
        <f t="shared" si="270"/>
        <v>#DIV/0!</v>
      </c>
      <c r="AA1428" s="174" t="s">
        <v>2185</v>
      </c>
      <c r="AB1428" s="22" t="s">
        <v>135</v>
      </c>
      <c r="AE1428" s="33">
        <f t="shared" si="271"/>
        <v>0</v>
      </c>
      <c r="AF1428" s="122" t="s">
        <v>2565</v>
      </c>
      <c r="AG1428" s="128"/>
      <c r="AI1428" s="64">
        <f t="shared" si="280"/>
        <v>8.8524096385542168E-3</v>
      </c>
      <c r="AJ1428" s="313">
        <f>RTD("money.excel",,$G1428,"PredictVolume")</f>
        <v>2939</v>
      </c>
      <c r="AK1428" s="348"/>
    </row>
    <row r="1429" spans="1:37">
      <c r="A1429" s="132" t="s">
        <v>1894</v>
      </c>
      <c r="B1429" s="93">
        <v>7</v>
      </c>
      <c r="C1429" s="93">
        <v>-14</v>
      </c>
      <c r="D1429" s="93">
        <v>-3</v>
      </c>
      <c r="E1429" s="93">
        <v>-7</v>
      </c>
      <c r="F1429" s="58">
        <v>19.37</v>
      </c>
      <c r="G1429" s="81">
        <v>9942</v>
      </c>
      <c r="H1429" s="8" t="s">
        <v>2303</v>
      </c>
      <c r="I1429" s="22" t="s">
        <v>756</v>
      </c>
      <c r="J1429" s="75">
        <v>58.75</v>
      </c>
      <c r="K1429" s="75">
        <v>5.04</v>
      </c>
      <c r="L1429" s="75">
        <v>1.23</v>
      </c>
      <c r="N1429" s="325">
        <f t="shared" si="278"/>
        <v>65.02</v>
      </c>
      <c r="O1429" s="27"/>
      <c r="P1429" s="56"/>
      <c r="Q1429" s="26"/>
      <c r="S1429" s="330">
        <v>23.6</v>
      </c>
      <c r="T1429" s="67">
        <v>4.2</v>
      </c>
      <c r="U1429" s="366">
        <f t="shared" si="279"/>
        <v>4.740406320541761E-2</v>
      </c>
      <c r="V1429" s="97">
        <v>4.6399999999999997</v>
      </c>
      <c r="W1429" s="13">
        <f>RTD("money.excel",,"9942","Price")</f>
        <v>88.6</v>
      </c>
      <c r="X1429" s="67"/>
      <c r="Y1429" s="15">
        <f t="shared" si="269"/>
        <v>88.6</v>
      </c>
      <c r="Z1429" s="3" t="e">
        <f t="shared" si="270"/>
        <v>#DIV/0!</v>
      </c>
      <c r="AA1429" s="174" t="s">
        <v>1986</v>
      </c>
      <c r="AB1429" s="22" t="s">
        <v>756</v>
      </c>
      <c r="AE1429" s="33">
        <f t="shared" si="271"/>
        <v>0</v>
      </c>
      <c r="AF1429" s="43" t="s">
        <v>3375</v>
      </c>
      <c r="AG1429" s="128"/>
      <c r="AI1429" s="64">
        <f t="shared" si="280"/>
        <v>7.331730769230769E-4</v>
      </c>
      <c r="AJ1429" s="313">
        <f>RTD("money.excel",,$G1429,"PredictVolume")</f>
        <v>61</v>
      </c>
      <c r="AK1429" s="348"/>
    </row>
    <row r="1430" spans="1:37">
      <c r="A1430" s="148" t="s">
        <v>3545</v>
      </c>
      <c r="B1430" s="93">
        <v>504</v>
      </c>
      <c r="C1430" s="93">
        <v>57</v>
      </c>
      <c r="D1430" s="93">
        <v>24</v>
      </c>
      <c r="E1430" s="93">
        <v>34</v>
      </c>
      <c r="F1430" s="6">
        <v>6.27</v>
      </c>
      <c r="G1430" s="81">
        <v>9944</v>
      </c>
      <c r="H1430" s="8" t="s">
        <v>2303</v>
      </c>
      <c r="I1430" s="22" t="s">
        <v>757</v>
      </c>
      <c r="J1430" s="75">
        <v>79.97</v>
      </c>
      <c r="K1430" s="75">
        <v>5.73</v>
      </c>
      <c r="L1430" s="75">
        <v>24.03</v>
      </c>
      <c r="N1430" s="325">
        <f t="shared" si="278"/>
        <v>109.73</v>
      </c>
      <c r="O1430" s="27"/>
      <c r="P1430" s="56"/>
      <c r="Q1430" s="26"/>
      <c r="S1430" s="330">
        <v>23.09</v>
      </c>
      <c r="T1430" s="34">
        <v>0.4</v>
      </c>
      <c r="U1430" s="366">
        <f t="shared" si="279"/>
        <v>1.8912529550827426E-2</v>
      </c>
      <c r="V1430" s="97">
        <v>0.69</v>
      </c>
      <c r="W1430" s="13">
        <f>RTD("money.excel",,"9944","Price")</f>
        <v>21.15</v>
      </c>
      <c r="X1430" s="67"/>
      <c r="Y1430" s="15">
        <f t="shared" si="269"/>
        <v>21.15</v>
      </c>
      <c r="Z1430" s="3" t="e">
        <f t="shared" si="270"/>
        <v>#DIV/0!</v>
      </c>
      <c r="AB1430" s="22" t="s">
        <v>757</v>
      </c>
      <c r="AE1430" s="33">
        <f t="shared" si="271"/>
        <v>0</v>
      </c>
      <c r="AF1430" s="43" t="s">
        <v>3376</v>
      </c>
      <c r="AG1430" s="128"/>
      <c r="AI1430" s="64">
        <f t="shared" si="280"/>
        <v>8.6238532110091747E-4</v>
      </c>
      <c r="AJ1430" s="313">
        <f>RTD("money.excel",,$G1430,"PredictVolume")</f>
        <v>94</v>
      </c>
      <c r="AK1430" s="348"/>
    </row>
    <row r="1431" spans="1:37">
      <c r="A1431" s="132" t="s">
        <v>4312</v>
      </c>
      <c r="B1431" s="81">
        <v>79</v>
      </c>
      <c r="C1431" s="81">
        <v>122</v>
      </c>
      <c r="D1431" s="81">
        <v>1</v>
      </c>
      <c r="E1431" s="81">
        <v>30</v>
      </c>
      <c r="F1431" s="58">
        <v>13.8</v>
      </c>
      <c r="G1431" s="81">
        <v>9945</v>
      </c>
      <c r="H1431" s="8" t="s">
        <v>2303</v>
      </c>
      <c r="I1431" s="22" t="s">
        <v>29</v>
      </c>
      <c r="J1431" s="75">
        <v>62.76</v>
      </c>
      <c r="K1431" s="330">
        <v>15.02</v>
      </c>
      <c r="L1431" s="330">
        <v>2.06</v>
      </c>
      <c r="N1431" s="325">
        <f t="shared" si="278"/>
        <v>79.84</v>
      </c>
      <c r="O1431" s="27"/>
      <c r="P1431" s="56"/>
      <c r="Q1431" s="26"/>
      <c r="S1431" s="330">
        <v>4.62</v>
      </c>
      <c r="T1431" s="67">
        <v>5</v>
      </c>
      <c r="U1431" s="366">
        <f t="shared" si="279"/>
        <v>6.9348127600554796E-2</v>
      </c>
      <c r="V1431" s="58">
        <v>9.3000000000000007</v>
      </c>
      <c r="W1431" s="36">
        <f>RTD("money.excel",,"9945","Price")</f>
        <v>72.099999999999994</v>
      </c>
      <c r="X1431" s="67"/>
      <c r="Y1431" s="15">
        <f t="shared" si="269"/>
        <v>72.099999999999994</v>
      </c>
      <c r="Z1431" s="3" t="e">
        <f t="shared" si="270"/>
        <v>#DIV/0!</v>
      </c>
      <c r="AA1431" s="174" t="s">
        <v>2185</v>
      </c>
      <c r="AB1431" s="22" t="s">
        <v>29</v>
      </c>
      <c r="AE1431" s="33">
        <f t="shared" si="271"/>
        <v>0</v>
      </c>
      <c r="AF1431" s="122" t="s">
        <v>1514</v>
      </c>
      <c r="AG1431" s="128"/>
      <c r="AI1431" s="64">
        <f t="shared" si="280"/>
        <v>2.2514285714285713E-3</v>
      </c>
      <c r="AJ1431" s="313">
        <f>RTD("money.excel",,$G1431,"PredictVolume")</f>
        <v>4728</v>
      </c>
      <c r="AK1431" s="348"/>
    </row>
    <row r="1432" spans="1:37">
      <c r="A1432" s="148" t="s">
        <v>1856</v>
      </c>
      <c r="B1432" s="93">
        <v>-343</v>
      </c>
      <c r="C1432" s="93">
        <v>-505</v>
      </c>
      <c r="D1432" s="93">
        <v>-43</v>
      </c>
      <c r="E1432" s="93">
        <v>107</v>
      </c>
      <c r="F1432" s="6">
        <v>-5.24</v>
      </c>
      <c r="G1432" s="81">
        <v>9955</v>
      </c>
      <c r="H1432" s="8" t="s">
        <v>2303</v>
      </c>
      <c r="I1432" s="22" t="s">
        <v>758</v>
      </c>
      <c r="J1432" s="75">
        <v>62.7</v>
      </c>
      <c r="K1432" s="75">
        <v>0.36</v>
      </c>
      <c r="L1432" s="75">
        <v>5.31</v>
      </c>
      <c r="N1432" s="325">
        <f t="shared" si="278"/>
        <v>68.37</v>
      </c>
      <c r="O1432" s="27"/>
      <c r="P1432" s="56"/>
      <c r="Q1432" s="26"/>
      <c r="S1432" s="330">
        <v>37.71</v>
      </c>
      <c r="T1432" s="34">
        <v>0</v>
      </c>
      <c r="U1432" s="366">
        <f t="shared" si="279"/>
        <v>0</v>
      </c>
      <c r="V1432" s="97">
        <v>-1.2</v>
      </c>
      <c r="W1432" s="13">
        <f>RTD("money.excel",,"9955","Price")</f>
        <v>24.95</v>
      </c>
      <c r="X1432" s="67"/>
      <c r="Y1432" s="15">
        <f t="shared" si="269"/>
        <v>24.95</v>
      </c>
      <c r="Z1432" s="3" t="e">
        <f t="shared" si="270"/>
        <v>#DIV/0!</v>
      </c>
      <c r="AB1432" s="22" t="s">
        <v>758</v>
      </c>
      <c r="AE1432" s="33">
        <f t="shared" si="271"/>
        <v>0</v>
      </c>
      <c r="AF1432" s="43" t="s">
        <v>3354</v>
      </c>
      <c r="AG1432" s="128"/>
      <c r="AI1432" s="64">
        <f t="shared" si="280"/>
        <v>1.1524271844660193E-2</v>
      </c>
      <c r="AJ1432" s="313">
        <f>RTD("money.excel",,$G1432,"PredictVolume")</f>
        <v>1187</v>
      </c>
      <c r="AK1432" s="348"/>
    </row>
    <row r="1433" spans="1:37">
      <c r="A1433" s="148"/>
      <c r="B1433" s="93"/>
      <c r="C1433" s="93"/>
      <c r="D1433" s="93"/>
      <c r="E1433" s="93"/>
      <c r="F1433" s="6"/>
      <c r="G1433" s="81"/>
      <c r="H1433" s="8"/>
      <c r="I1433" s="22"/>
      <c r="J1433" s="75"/>
      <c r="K1433" s="75"/>
      <c r="N1433" s="325"/>
      <c r="O1433" s="27"/>
      <c r="P1433" s="56"/>
      <c r="Q1433" s="26"/>
      <c r="T1433" s="34"/>
      <c r="V1433" s="97"/>
      <c r="W1433" s="13"/>
      <c r="X1433" s="67"/>
      <c r="Y1433" s="15"/>
      <c r="Z1433" s="3"/>
      <c r="AB1433" s="22"/>
      <c r="AE1433" s="33"/>
      <c r="AF1433" s="43"/>
      <c r="AG1433" s="128"/>
      <c r="AI1433" s="8"/>
      <c r="AJ1433" s="50"/>
      <c r="AK1433" s="348"/>
    </row>
    <row r="1434" spans="1:37">
      <c r="A1434" s="132" t="s">
        <v>1854</v>
      </c>
      <c r="B1434" s="93" t="s">
        <v>1657</v>
      </c>
      <c r="C1434" s="93" t="s">
        <v>1658</v>
      </c>
      <c r="D1434" s="93" t="s">
        <v>1659</v>
      </c>
      <c r="E1434" s="93" t="s">
        <v>1660</v>
      </c>
      <c r="F1434" s="8" t="s">
        <v>1122</v>
      </c>
      <c r="G1434" s="27" t="s">
        <v>932</v>
      </c>
      <c r="H1434" s="55" t="s">
        <v>342</v>
      </c>
      <c r="I1434" s="8" t="s">
        <v>931</v>
      </c>
      <c r="J1434" s="324" t="s">
        <v>1529</v>
      </c>
      <c r="K1434" s="324" t="s">
        <v>1217</v>
      </c>
      <c r="L1434" s="324" t="s">
        <v>298</v>
      </c>
      <c r="M1434" s="324" t="s">
        <v>1115</v>
      </c>
      <c r="N1434" s="324" t="s">
        <v>6091</v>
      </c>
      <c r="O1434" s="27" t="s">
        <v>6253</v>
      </c>
      <c r="P1434" s="56" t="s">
        <v>6219</v>
      </c>
      <c r="Q1434" s="26" t="s">
        <v>6313</v>
      </c>
      <c r="R1434" s="309" t="s">
        <v>4371</v>
      </c>
      <c r="S1434" s="335" t="s">
        <v>4398</v>
      </c>
      <c r="T1434" s="10" t="s">
        <v>75</v>
      </c>
      <c r="U1434" s="364" t="s">
        <v>6152</v>
      </c>
      <c r="V1434" s="69" t="s">
        <v>4022</v>
      </c>
      <c r="W1434" s="28" t="s">
        <v>2</v>
      </c>
      <c r="X1434" s="17" t="s">
        <v>1465</v>
      </c>
      <c r="Y1434" s="14" t="s">
        <v>5</v>
      </c>
      <c r="Z1434" s="21" t="s">
        <v>3</v>
      </c>
      <c r="AA1434" s="322" t="s">
        <v>117</v>
      </c>
      <c r="AB1434" s="8" t="s">
        <v>931</v>
      </c>
      <c r="AC1434" s="73" t="s">
        <v>1466</v>
      </c>
      <c r="AD1434" s="74" t="s">
        <v>1223</v>
      </c>
      <c r="AE1434" s="32" t="s">
        <v>1224</v>
      </c>
      <c r="AF1434" s="43"/>
      <c r="AG1434" s="269"/>
      <c r="AI1434" s="8" t="s">
        <v>4414</v>
      </c>
      <c r="AJ1434" s="50" t="s">
        <v>4121</v>
      </c>
      <c r="AK1434" s="348" t="s">
        <v>6074</v>
      </c>
    </row>
    <row r="1435" spans="1:37">
      <c r="A1435" s="132" t="s">
        <v>5851</v>
      </c>
      <c r="B1435" s="81">
        <v>33</v>
      </c>
      <c r="C1435" s="81">
        <v>48</v>
      </c>
      <c r="D1435" s="81">
        <v>4</v>
      </c>
      <c r="E1435" s="81">
        <v>57</v>
      </c>
      <c r="F1435" s="58">
        <v>-4.49</v>
      </c>
      <c r="G1435" s="81">
        <v>1316</v>
      </c>
      <c r="H1435" s="8" t="s">
        <v>931</v>
      </c>
      <c r="I1435" s="22" t="s">
        <v>808</v>
      </c>
      <c r="J1435" s="75">
        <v>46.07</v>
      </c>
      <c r="K1435" s="75">
        <v>10.130000000000001</v>
      </c>
      <c r="L1435" s="330">
        <v>73.209999999999994</v>
      </c>
      <c r="M1435" s="330">
        <v>12.23</v>
      </c>
      <c r="N1435" s="75">
        <f t="shared" ref="N1435" si="281">J1435+K1435+L1435+M1435</f>
        <v>141.63999999999999</v>
      </c>
      <c r="O1435" s="27" t="s">
        <v>6159</v>
      </c>
      <c r="P1435" s="56"/>
      <c r="Q1435" s="26"/>
      <c r="R1435" s="309" t="s">
        <v>6197</v>
      </c>
      <c r="S1435" s="330">
        <v>5.73</v>
      </c>
      <c r="T1435" s="34">
        <v>0</v>
      </c>
      <c r="U1435" s="366">
        <f t="shared" ref="U1435:U1466" si="282">T1435/W1435</f>
        <v>0</v>
      </c>
      <c r="V1435" s="97">
        <v>-0.2</v>
      </c>
      <c r="W1435" s="36">
        <f>RTD("money.excel",,"1316","Price")</f>
        <v>19.5</v>
      </c>
      <c r="X1435" s="67"/>
      <c r="Y1435" s="15">
        <f t="shared" ref="Y1435" si="283">W1435-X1435</f>
        <v>19.5</v>
      </c>
      <c r="Z1435" s="3" t="e">
        <f t="shared" ref="Z1435" si="284">Y1435/X1435</f>
        <v>#DIV/0!</v>
      </c>
      <c r="AA1435" s="174" t="s">
        <v>1943</v>
      </c>
      <c r="AB1435" s="22" t="s">
        <v>808</v>
      </c>
      <c r="AE1435" s="33">
        <f t="shared" ref="AE1435" si="285">AD1435-AC1435</f>
        <v>0</v>
      </c>
      <c r="AF1435" s="43" t="s">
        <v>2902</v>
      </c>
      <c r="AG1435" s="128"/>
      <c r="AI1435" s="64">
        <f t="shared" ref="AI1435:AI1466" si="286">AJ1435/(A1435*10000)</f>
        <v>1.0900862068965518E-2</v>
      </c>
      <c r="AJ1435" s="313">
        <f>RTD("money.excel",,$G1435,"PredictVolume")</f>
        <v>2529</v>
      </c>
      <c r="AK1435" s="348">
        <v>51.04</v>
      </c>
    </row>
    <row r="1436" spans="1:37">
      <c r="A1436" s="132" t="s">
        <v>1900</v>
      </c>
      <c r="B1436" s="93">
        <v>-69</v>
      </c>
      <c r="C1436" s="93">
        <v>-51</v>
      </c>
      <c r="D1436" s="93">
        <v>463</v>
      </c>
      <c r="E1436" s="93">
        <v>-19</v>
      </c>
      <c r="F1436" s="58">
        <v>20.010000000000002</v>
      </c>
      <c r="G1436" s="81">
        <v>1436</v>
      </c>
      <c r="H1436" s="8" t="s">
        <v>931</v>
      </c>
      <c r="I1436" s="22" t="s">
        <v>953</v>
      </c>
      <c r="J1436" s="75">
        <v>89.17</v>
      </c>
      <c r="K1436" s="75">
        <v>7.0000000000000007E-2</v>
      </c>
      <c r="L1436" s="75">
        <v>1.2</v>
      </c>
      <c r="N1436" s="325">
        <f t="shared" ref="N1436:N1498" si="287">J1436+K1436+L1436+M1436</f>
        <v>90.44</v>
      </c>
      <c r="O1436" s="27"/>
      <c r="P1436" s="56"/>
      <c r="Q1436" s="26"/>
      <c r="S1436" s="330">
        <v>26.03</v>
      </c>
      <c r="T1436" s="34">
        <v>2</v>
      </c>
      <c r="U1436" s="366">
        <f t="shared" si="282"/>
        <v>3.5398230088495575E-2</v>
      </c>
      <c r="V1436" s="97">
        <v>1.88</v>
      </c>
      <c r="W1436" s="36">
        <f>RTD("money.excel",,"1436","Price")</f>
        <v>56.5</v>
      </c>
      <c r="X1436" s="67"/>
      <c r="Y1436" s="15">
        <f t="shared" ref="Y1436:Y1498" si="288">W1436-X1436</f>
        <v>56.5</v>
      </c>
      <c r="Z1436" s="3" t="e">
        <f t="shared" ref="Z1436:Z1498" si="289">Y1436/X1436</f>
        <v>#DIV/0!</v>
      </c>
      <c r="AB1436" s="22" t="s">
        <v>953</v>
      </c>
      <c r="AE1436" s="33">
        <f t="shared" ref="AE1436:AE1498" si="290">AD1436-AC1436</f>
        <v>0</v>
      </c>
      <c r="AF1436" s="43" t="s">
        <v>1614</v>
      </c>
      <c r="AG1436" s="128"/>
      <c r="AI1436" s="64">
        <f t="shared" si="286"/>
        <v>3.9748953974895398E-4</v>
      </c>
      <c r="AJ1436" s="313">
        <f>RTD("money.excel",,$G1436,"PredictVolume")</f>
        <v>38</v>
      </c>
      <c r="AK1436" s="348"/>
    </row>
    <row r="1437" spans="1:37">
      <c r="A1437" s="132" t="s">
        <v>3548</v>
      </c>
      <c r="B1437" s="82">
        <v>-81</v>
      </c>
      <c r="C1437" s="82">
        <v>-121</v>
      </c>
      <c r="D1437" s="237">
        <v>61868</v>
      </c>
      <c r="E1437" s="95"/>
      <c r="F1437" s="303">
        <v>-2147</v>
      </c>
      <c r="G1437" s="81">
        <v>1438</v>
      </c>
      <c r="H1437" s="8" t="s">
        <v>931</v>
      </c>
      <c r="I1437" s="22" t="s">
        <v>3714</v>
      </c>
      <c r="J1437" s="75">
        <v>64.11</v>
      </c>
      <c r="K1437" s="330">
        <v>0.57999999999999996</v>
      </c>
      <c r="L1437" s="75">
        <v>4.3899999999999997</v>
      </c>
      <c r="N1437" s="325">
        <f t="shared" si="287"/>
        <v>69.08</v>
      </c>
      <c r="O1437" s="27"/>
      <c r="P1437" s="56"/>
      <c r="Q1437" s="26"/>
      <c r="R1437" s="308" t="s">
        <v>4372</v>
      </c>
      <c r="S1437" s="330">
        <v>0.26</v>
      </c>
      <c r="T1437" s="34">
        <v>0</v>
      </c>
      <c r="U1437" s="366">
        <f t="shared" si="282"/>
        <v>0</v>
      </c>
      <c r="V1437" s="58">
        <v>0.08</v>
      </c>
      <c r="W1437" s="36">
        <f>RTD("money.excel",,"1438","Price")</f>
        <v>30.5</v>
      </c>
      <c r="X1437" s="67"/>
      <c r="Y1437" s="15">
        <f t="shared" si="288"/>
        <v>30.5</v>
      </c>
      <c r="Z1437" s="3" t="e">
        <f t="shared" si="289"/>
        <v>#DIV/0!</v>
      </c>
      <c r="AB1437" s="22" t="s">
        <v>3714</v>
      </c>
      <c r="AE1437" s="33">
        <f t="shared" si="290"/>
        <v>0</v>
      </c>
      <c r="AF1437" s="43" t="s">
        <v>5109</v>
      </c>
      <c r="AG1437" s="128"/>
      <c r="AI1437" s="64">
        <f t="shared" si="286"/>
        <v>8.7078651685393261E-4</v>
      </c>
      <c r="AJ1437" s="313">
        <f>RTD("money.excel",,$G1437,"PredictVolume")</f>
        <v>62</v>
      </c>
      <c r="AK1437" s="348"/>
    </row>
    <row r="1438" spans="1:37">
      <c r="A1438" s="148" t="s">
        <v>2451</v>
      </c>
      <c r="B1438" s="93">
        <v>-53</v>
      </c>
      <c r="C1438" s="93">
        <v>312</v>
      </c>
      <c r="D1438" s="93">
        <v>-36</v>
      </c>
      <c r="E1438" s="93">
        <v>79</v>
      </c>
      <c r="F1438" s="6">
        <v>4.54</v>
      </c>
      <c r="G1438" s="81">
        <v>1442</v>
      </c>
      <c r="H1438" s="8" t="s">
        <v>931</v>
      </c>
      <c r="I1438" s="22" t="s">
        <v>954</v>
      </c>
      <c r="J1438" s="75">
        <v>68.900000000000006</v>
      </c>
      <c r="K1438" s="75">
        <v>3.36</v>
      </c>
      <c r="L1438" s="75">
        <v>2.27</v>
      </c>
      <c r="N1438" s="325">
        <f t="shared" si="287"/>
        <v>74.53</v>
      </c>
      <c r="O1438" s="27"/>
      <c r="P1438" s="56"/>
      <c r="Q1438" s="26"/>
      <c r="S1438" s="330">
        <v>0</v>
      </c>
      <c r="T1438" s="34">
        <v>0.5</v>
      </c>
      <c r="U1438" s="366">
        <f t="shared" si="282"/>
        <v>2.2421524663677129E-2</v>
      </c>
      <c r="V1438" s="97">
        <v>0.25</v>
      </c>
      <c r="W1438" s="36">
        <f>RTD("money.excel",,"1442","Price")</f>
        <v>22.3</v>
      </c>
      <c r="X1438" s="67"/>
      <c r="Y1438" s="15">
        <f t="shared" si="288"/>
        <v>22.3</v>
      </c>
      <c r="Z1438" s="3" t="e">
        <f t="shared" si="289"/>
        <v>#DIV/0!</v>
      </c>
      <c r="AA1438" s="174" t="s">
        <v>1943</v>
      </c>
      <c r="AB1438" s="22" t="s">
        <v>954</v>
      </c>
      <c r="AE1438" s="33">
        <f t="shared" si="290"/>
        <v>0</v>
      </c>
      <c r="AF1438" s="43" t="s">
        <v>2835</v>
      </c>
      <c r="AG1438" s="269"/>
      <c r="AI1438" s="64">
        <f t="shared" si="286"/>
        <v>3.0327868852459019E-4</v>
      </c>
      <c r="AJ1438" s="313">
        <f>RTD("money.excel",,$G1438,"PredictVolume")</f>
        <v>111</v>
      </c>
      <c r="AK1438" s="348"/>
    </row>
    <row r="1439" spans="1:37">
      <c r="A1439" s="148" t="s">
        <v>2385</v>
      </c>
      <c r="B1439" s="93">
        <v>21</v>
      </c>
      <c r="C1439" s="93">
        <v>17</v>
      </c>
      <c r="D1439" s="93">
        <v>-98</v>
      </c>
      <c r="E1439" s="142">
        <v>1297</v>
      </c>
      <c r="F1439" s="6">
        <v>-99.99</v>
      </c>
      <c r="G1439" s="81">
        <v>1805</v>
      </c>
      <c r="H1439" s="8" t="s">
        <v>931</v>
      </c>
      <c r="I1439" s="22" t="s">
        <v>955</v>
      </c>
      <c r="J1439" s="75">
        <v>70.67</v>
      </c>
      <c r="K1439" s="75">
        <v>0.13</v>
      </c>
      <c r="N1439" s="325">
        <f t="shared" si="287"/>
        <v>70.8</v>
      </c>
      <c r="O1439" s="27"/>
      <c r="P1439" s="56"/>
      <c r="Q1439" s="26"/>
      <c r="S1439" s="330">
        <v>10.31</v>
      </c>
      <c r="T1439" s="34">
        <v>0</v>
      </c>
      <c r="U1439" s="366">
        <f t="shared" si="282"/>
        <v>0</v>
      </c>
      <c r="V1439" s="97">
        <v>-0.62</v>
      </c>
      <c r="W1439" s="13">
        <f>RTD("money.excel",,"1805","Price")</f>
        <v>13.45</v>
      </c>
      <c r="X1439" s="67"/>
      <c r="Y1439" s="15">
        <f t="shared" si="288"/>
        <v>13.45</v>
      </c>
      <c r="Z1439" s="3" t="e">
        <f t="shared" si="289"/>
        <v>#DIV/0!</v>
      </c>
      <c r="AB1439" s="22" t="s">
        <v>955</v>
      </c>
      <c r="AE1439" s="33">
        <f t="shared" si="290"/>
        <v>0</v>
      </c>
      <c r="AF1439" s="43" t="s">
        <v>1615</v>
      </c>
      <c r="AG1439" s="269"/>
      <c r="AI1439" s="64">
        <f t="shared" si="286"/>
        <v>2.3000000000000001E-4</v>
      </c>
      <c r="AJ1439" s="313">
        <f>RTD("money.excel",,$G1439,"PredictVolume")</f>
        <v>23</v>
      </c>
      <c r="AK1439" s="348"/>
    </row>
    <row r="1440" spans="1:37">
      <c r="A1440" s="148" t="s">
        <v>3715</v>
      </c>
      <c r="B1440" s="82">
        <v>-82</v>
      </c>
      <c r="C1440" s="81">
        <v>623</v>
      </c>
      <c r="D1440" s="81">
        <v>65</v>
      </c>
      <c r="E1440" s="81">
        <v>418</v>
      </c>
      <c r="F1440" s="6">
        <v>5.28</v>
      </c>
      <c r="G1440" s="81">
        <v>1808</v>
      </c>
      <c r="H1440" s="8" t="s">
        <v>931</v>
      </c>
      <c r="I1440" s="22" t="s">
        <v>956</v>
      </c>
      <c r="J1440" s="330">
        <v>83.03</v>
      </c>
      <c r="K1440" s="75">
        <v>4.8899999999999997</v>
      </c>
      <c r="L1440" s="330">
        <v>4.8</v>
      </c>
      <c r="N1440" s="325">
        <f t="shared" si="287"/>
        <v>92.72</v>
      </c>
      <c r="O1440" s="27"/>
      <c r="P1440" s="56"/>
      <c r="Q1440" s="26"/>
      <c r="S1440" s="330">
        <v>0</v>
      </c>
      <c r="T1440" s="34">
        <v>0.8</v>
      </c>
      <c r="U1440" s="366">
        <f t="shared" si="282"/>
        <v>1.4545454545454545E-2</v>
      </c>
      <c r="V1440" s="58">
        <v>0.35</v>
      </c>
      <c r="W1440" s="36">
        <f>RTD("money.excel",,"1808","Price")</f>
        <v>55</v>
      </c>
      <c r="X1440" s="67"/>
      <c r="Y1440" s="15">
        <f t="shared" si="288"/>
        <v>55</v>
      </c>
      <c r="Z1440" s="3" t="e">
        <f t="shared" si="289"/>
        <v>#DIV/0!</v>
      </c>
      <c r="AA1440" s="174" t="s">
        <v>1943</v>
      </c>
      <c r="AB1440" s="22" t="s">
        <v>956</v>
      </c>
      <c r="AE1440" s="33">
        <f t="shared" si="290"/>
        <v>0</v>
      </c>
      <c r="AF1440" s="43" t="s">
        <v>4028</v>
      </c>
      <c r="AG1440" s="128"/>
      <c r="AI1440" s="64">
        <f t="shared" si="286"/>
        <v>3.1351351351351352E-4</v>
      </c>
      <c r="AJ1440" s="313">
        <f>RTD("money.excel",,$G1440,"PredictVolume")</f>
        <v>116</v>
      </c>
      <c r="AK1440" s="348"/>
    </row>
    <row r="1441" spans="1:37">
      <c r="A1441" s="148" t="s">
        <v>1946</v>
      </c>
      <c r="B1441" s="82">
        <v>-85</v>
      </c>
      <c r="C1441" s="82">
        <v>-109</v>
      </c>
      <c r="D1441" s="82">
        <v>-7</v>
      </c>
      <c r="E1441" s="81">
        <v>257</v>
      </c>
      <c r="F1441" s="6">
        <v>-1.69</v>
      </c>
      <c r="G1441" s="81">
        <v>2501</v>
      </c>
      <c r="H1441" s="8" t="s">
        <v>931</v>
      </c>
      <c r="I1441" s="22" t="s">
        <v>957</v>
      </c>
      <c r="J1441" s="75">
        <v>82.94</v>
      </c>
      <c r="K1441" s="75">
        <v>8.6</v>
      </c>
      <c r="L1441" s="75">
        <v>0.69</v>
      </c>
      <c r="N1441" s="325">
        <f t="shared" si="287"/>
        <v>92.22999999999999</v>
      </c>
      <c r="O1441" s="27"/>
      <c r="P1441" s="56"/>
      <c r="Q1441" s="26"/>
      <c r="S1441" s="330">
        <v>0</v>
      </c>
      <c r="T1441" s="34">
        <v>1</v>
      </c>
      <c r="U1441" s="366">
        <f t="shared" si="282"/>
        <v>5.3475935828877004E-2</v>
      </c>
      <c r="V1441" s="97">
        <v>1.28</v>
      </c>
      <c r="W1441" s="36">
        <f>RTD("money.excel",,"2501","Price")</f>
        <v>18.7</v>
      </c>
      <c r="X1441" s="67"/>
      <c r="Y1441" s="15">
        <f t="shared" si="288"/>
        <v>18.7</v>
      </c>
      <c r="Z1441" s="3" t="e">
        <f t="shared" si="289"/>
        <v>#DIV/0!</v>
      </c>
      <c r="AA1441" s="174" t="s">
        <v>1943</v>
      </c>
      <c r="AB1441" s="22" t="s">
        <v>957</v>
      </c>
      <c r="AE1441" s="33">
        <f t="shared" si="290"/>
        <v>0</v>
      </c>
      <c r="AF1441" s="43" t="s">
        <v>1490</v>
      </c>
      <c r="AG1441" s="128"/>
      <c r="AI1441" s="64">
        <f t="shared" si="286"/>
        <v>2.4173913043478261E-4</v>
      </c>
      <c r="AJ1441" s="313">
        <f>RTD("money.excel",,$G1441,"PredictVolume")</f>
        <v>278</v>
      </c>
      <c r="AK1441" s="348"/>
    </row>
    <row r="1442" spans="1:37">
      <c r="A1442" s="132" t="s">
        <v>2156</v>
      </c>
      <c r="B1442" s="81">
        <v>25</v>
      </c>
      <c r="C1442" s="81">
        <v>60</v>
      </c>
      <c r="D1442" s="81">
        <v>8</v>
      </c>
      <c r="E1442" s="81">
        <v>8</v>
      </c>
      <c r="F1442" s="58">
        <v>13.91</v>
      </c>
      <c r="G1442" s="81">
        <v>2504</v>
      </c>
      <c r="H1442" s="8" t="s">
        <v>931</v>
      </c>
      <c r="I1442" s="22" t="s">
        <v>958</v>
      </c>
      <c r="J1442" s="75">
        <v>65.290000000000006</v>
      </c>
      <c r="K1442" s="75">
        <v>11.68</v>
      </c>
      <c r="L1442" s="75">
        <v>7.34</v>
      </c>
      <c r="N1442" s="325">
        <f t="shared" si="287"/>
        <v>84.31</v>
      </c>
      <c r="O1442" s="27"/>
      <c r="P1442" s="56"/>
      <c r="Q1442" s="26"/>
      <c r="S1442" s="330">
        <v>0.13</v>
      </c>
      <c r="T1442" s="34">
        <v>1.5</v>
      </c>
      <c r="U1442" s="366">
        <f t="shared" si="282"/>
        <v>5.4744525547445258E-2</v>
      </c>
      <c r="V1442" s="58">
        <v>2.23</v>
      </c>
      <c r="W1442" s="36">
        <f>RTD("money.excel",,"2504","Price")</f>
        <v>27.4</v>
      </c>
      <c r="X1442" s="67"/>
      <c r="Y1442" s="15">
        <f t="shared" si="288"/>
        <v>27.4</v>
      </c>
      <c r="Z1442" s="3" t="e">
        <f t="shared" si="289"/>
        <v>#DIV/0!</v>
      </c>
      <c r="AA1442" s="174" t="s">
        <v>1943</v>
      </c>
      <c r="AB1442" s="22" t="s">
        <v>958</v>
      </c>
      <c r="AE1442" s="33">
        <f t="shared" si="290"/>
        <v>0</v>
      </c>
      <c r="AF1442" s="43" t="s">
        <v>2298</v>
      </c>
      <c r="AG1442" s="128"/>
      <c r="AI1442" s="64">
        <f t="shared" si="286"/>
        <v>1.6449152542372882E-3</v>
      </c>
      <c r="AJ1442" s="313">
        <f>RTD("money.excel",,$G1442,"PredictVolume")</f>
        <v>1941</v>
      </c>
      <c r="AK1442" s="348"/>
    </row>
    <row r="1443" spans="1:37">
      <c r="A1443" s="132" t="s">
        <v>2518</v>
      </c>
      <c r="B1443" s="95">
        <v>1204</v>
      </c>
      <c r="C1443" s="95">
        <v>2288</v>
      </c>
      <c r="D1443" s="82">
        <v>-65</v>
      </c>
      <c r="E1443" s="81">
        <v>849</v>
      </c>
      <c r="F1443" s="58">
        <v>18.52</v>
      </c>
      <c r="G1443" s="81">
        <v>2505</v>
      </c>
      <c r="H1443" s="8" t="s">
        <v>931</v>
      </c>
      <c r="I1443" s="22" t="s">
        <v>959</v>
      </c>
      <c r="J1443" s="330">
        <v>65.02</v>
      </c>
      <c r="K1443" s="330">
        <v>6.29</v>
      </c>
      <c r="L1443" s="330">
        <v>8.3000000000000007</v>
      </c>
      <c r="N1443" s="325">
        <f t="shared" si="287"/>
        <v>79.61</v>
      </c>
      <c r="O1443" s="27"/>
      <c r="P1443" s="56"/>
      <c r="Q1443" s="26"/>
      <c r="S1443" s="330">
        <v>0.39</v>
      </c>
      <c r="T1443" s="34">
        <v>0.5</v>
      </c>
      <c r="U1443" s="366">
        <f t="shared" si="282"/>
        <v>2.2271714922048998E-2</v>
      </c>
      <c r="V1443" s="58">
        <v>8.76</v>
      </c>
      <c r="W1443" s="36">
        <f>RTD("money.excel",,"2505","Price")</f>
        <v>22.45</v>
      </c>
      <c r="X1443" s="67"/>
      <c r="Y1443" s="15">
        <f t="shared" si="288"/>
        <v>22.45</v>
      </c>
      <c r="Z1443" s="3" t="e">
        <f t="shared" si="289"/>
        <v>#DIV/0!</v>
      </c>
      <c r="AA1443" s="174" t="s">
        <v>1943</v>
      </c>
      <c r="AB1443" s="22" t="s">
        <v>959</v>
      </c>
      <c r="AE1443" s="33">
        <f t="shared" si="290"/>
        <v>0</v>
      </c>
      <c r="AF1443" s="43" t="s">
        <v>2403</v>
      </c>
      <c r="AG1443" s="128"/>
      <c r="AI1443" s="64">
        <f t="shared" si="286"/>
        <v>6.3157894736842106E-4</v>
      </c>
      <c r="AJ1443" s="313">
        <f>RTD("money.excel",,$G1443,"PredictVolume")</f>
        <v>240</v>
      </c>
      <c r="AK1443" s="348"/>
    </row>
    <row r="1444" spans="1:37">
      <c r="A1444" s="148" t="s">
        <v>1802</v>
      </c>
      <c r="B1444" s="208">
        <v>-1822</v>
      </c>
      <c r="C1444" s="93">
        <v>-870</v>
      </c>
      <c r="D1444" s="93">
        <v>224</v>
      </c>
      <c r="E1444" s="93">
        <v>858</v>
      </c>
      <c r="F1444" s="6">
        <v>-9.3800000000000008</v>
      </c>
      <c r="G1444" s="81">
        <v>2506</v>
      </c>
      <c r="H1444" s="8" t="s">
        <v>931</v>
      </c>
      <c r="I1444" s="22" t="s">
        <v>960</v>
      </c>
      <c r="J1444" s="75">
        <v>79.41</v>
      </c>
      <c r="K1444" s="75">
        <v>3.33</v>
      </c>
      <c r="L1444" s="75">
        <v>3.22</v>
      </c>
      <c r="N1444" s="325">
        <f t="shared" si="287"/>
        <v>85.96</v>
      </c>
      <c r="O1444" s="27"/>
      <c r="P1444" s="56"/>
      <c r="Q1444" s="26"/>
      <c r="S1444" s="330">
        <v>13.48</v>
      </c>
      <c r="T1444" s="34">
        <v>0.4</v>
      </c>
      <c r="U1444" s="366">
        <f t="shared" si="282"/>
        <v>4.3956043956043959E-2</v>
      </c>
      <c r="V1444" s="97">
        <v>-0.15</v>
      </c>
      <c r="W1444" s="13">
        <f>RTD("money.excel",,"2506","Price")</f>
        <v>9.1</v>
      </c>
      <c r="X1444" s="67"/>
      <c r="Y1444" s="15">
        <f t="shared" si="288"/>
        <v>9.1</v>
      </c>
      <c r="Z1444" s="3" t="e">
        <f t="shared" si="289"/>
        <v>#DIV/0!</v>
      </c>
      <c r="AB1444" s="22" t="s">
        <v>960</v>
      </c>
      <c r="AE1444" s="33">
        <f t="shared" si="290"/>
        <v>0</v>
      </c>
      <c r="AF1444" s="43" t="s">
        <v>1616</v>
      </c>
      <c r="AG1444" s="128"/>
      <c r="AI1444" s="64">
        <f t="shared" si="286"/>
        <v>1.3695090439276486E-4</v>
      </c>
      <c r="AJ1444" s="313">
        <f>RTD("money.excel",,$G1444,"PredictVolume")</f>
        <v>53</v>
      </c>
      <c r="AK1444" s="348"/>
    </row>
    <row r="1445" spans="1:37">
      <c r="A1445" s="132" t="s">
        <v>3658</v>
      </c>
      <c r="B1445" s="93">
        <v>-83</v>
      </c>
      <c r="C1445" s="93">
        <v>-67</v>
      </c>
      <c r="D1445" s="93">
        <v>-84</v>
      </c>
      <c r="E1445" s="93">
        <v>39</v>
      </c>
      <c r="F1445" s="58">
        <v>21.26</v>
      </c>
      <c r="G1445" s="81">
        <v>2509</v>
      </c>
      <c r="H1445" s="8" t="s">
        <v>931</v>
      </c>
      <c r="I1445" s="22" t="s">
        <v>961</v>
      </c>
      <c r="J1445" s="75">
        <v>83.69</v>
      </c>
      <c r="K1445" s="75">
        <v>1.61</v>
      </c>
      <c r="L1445" s="75">
        <v>20.170000000000002</v>
      </c>
      <c r="N1445" s="325">
        <f t="shared" si="287"/>
        <v>105.47</v>
      </c>
      <c r="O1445" s="27"/>
      <c r="P1445" s="56"/>
      <c r="Q1445" s="26"/>
      <c r="S1445" s="330">
        <v>25.54</v>
      </c>
      <c r="T1445" s="34">
        <v>1.2</v>
      </c>
      <c r="U1445" s="366">
        <f t="shared" si="282"/>
        <v>6.741573033707865E-2</v>
      </c>
      <c r="V1445" s="97">
        <v>1.08</v>
      </c>
      <c r="W1445" s="13">
        <f>RTD("money.excel",,"2509","Price")</f>
        <v>17.8</v>
      </c>
      <c r="X1445" s="67"/>
      <c r="Y1445" s="15">
        <f t="shared" si="288"/>
        <v>17.8</v>
      </c>
      <c r="Z1445" s="3" t="e">
        <f t="shared" si="289"/>
        <v>#DIV/0!</v>
      </c>
      <c r="AB1445" s="22" t="s">
        <v>961</v>
      </c>
      <c r="AE1445" s="33">
        <f t="shared" si="290"/>
        <v>0</v>
      </c>
      <c r="AF1445" s="43" t="s">
        <v>2403</v>
      </c>
      <c r="AG1445" s="128"/>
      <c r="AI1445" s="64">
        <f t="shared" si="286"/>
        <v>2.5446428571428571E-4</v>
      </c>
      <c r="AJ1445" s="313">
        <f>RTD("money.excel",,$G1445,"PredictVolume")</f>
        <v>57</v>
      </c>
      <c r="AK1445" s="348"/>
    </row>
    <row r="1446" spans="1:37">
      <c r="A1446" s="148" t="s">
        <v>2044</v>
      </c>
      <c r="B1446" s="82">
        <v>-90</v>
      </c>
      <c r="C1446" s="82">
        <v>-125</v>
      </c>
      <c r="D1446" s="82">
        <v>-13</v>
      </c>
      <c r="E1446" s="81">
        <v>19</v>
      </c>
      <c r="F1446" s="6">
        <v>-2.97</v>
      </c>
      <c r="G1446" s="81">
        <v>2511</v>
      </c>
      <c r="H1446" s="8" t="s">
        <v>931</v>
      </c>
      <c r="I1446" s="22" t="s">
        <v>962</v>
      </c>
      <c r="J1446" s="75">
        <v>73.34</v>
      </c>
      <c r="K1446" s="75">
        <v>8.49</v>
      </c>
      <c r="L1446" s="75">
        <v>1.08</v>
      </c>
      <c r="N1446" s="325">
        <f t="shared" si="287"/>
        <v>82.91</v>
      </c>
      <c r="O1446" s="27"/>
      <c r="P1446" s="56"/>
      <c r="Q1446" s="26"/>
      <c r="S1446" s="330">
        <v>0</v>
      </c>
      <c r="T1446" s="34">
        <v>0.4</v>
      </c>
      <c r="U1446" s="366">
        <f t="shared" si="282"/>
        <v>3.0188679245283019E-2</v>
      </c>
      <c r="V1446" s="97">
        <v>0.49</v>
      </c>
      <c r="W1446" s="36">
        <f>RTD("money.excel",,"2511","Price")</f>
        <v>13.25</v>
      </c>
      <c r="X1446" s="67"/>
      <c r="Y1446" s="15">
        <f t="shared" si="288"/>
        <v>13.25</v>
      </c>
      <c r="Z1446" s="3" t="e">
        <f t="shared" si="289"/>
        <v>#DIV/0!</v>
      </c>
      <c r="AA1446" s="174" t="s">
        <v>1943</v>
      </c>
      <c r="AB1446" s="22" t="s">
        <v>962</v>
      </c>
      <c r="AE1446" s="33">
        <f t="shared" si="290"/>
        <v>0</v>
      </c>
      <c r="AF1446" s="43" t="s">
        <v>1618</v>
      </c>
      <c r="AG1446" s="128"/>
      <c r="AI1446" s="64">
        <f t="shared" si="286"/>
        <v>5.0925925925925921E-4</v>
      </c>
      <c r="AJ1446" s="313">
        <f>RTD("money.excel",,$G1446,"PredictVolume")</f>
        <v>825</v>
      </c>
      <c r="AK1446" s="348"/>
    </row>
    <row r="1447" spans="1:37">
      <c r="A1447" s="148" t="s">
        <v>1826</v>
      </c>
      <c r="B1447" s="208">
        <v>-3703</v>
      </c>
      <c r="C1447" s="208">
        <v>-1739</v>
      </c>
      <c r="D1447" s="93">
        <v>-4</v>
      </c>
      <c r="E1447" s="93">
        <v>177</v>
      </c>
      <c r="F1447" s="6">
        <v>-0.52</v>
      </c>
      <c r="G1447" s="81">
        <v>2516</v>
      </c>
      <c r="H1447" s="8" t="s">
        <v>931</v>
      </c>
      <c r="I1447" s="22" t="s">
        <v>963</v>
      </c>
      <c r="J1447" s="75">
        <v>61.08</v>
      </c>
      <c r="K1447" s="75">
        <v>2.15</v>
      </c>
      <c r="L1447" s="75">
        <v>14.64</v>
      </c>
      <c r="N1447" s="325">
        <f t="shared" si="287"/>
        <v>77.87</v>
      </c>
      <c r="O1447" s="27"/>
      <c r="P1447" s="56"/>
      <c r="Q1447" s="26"/>
      <c r="S1447" s="330">
        <v>7.61</v>
      </c>
      <c r="T1447" s="34">
        <v>0</v>
      </c>
      <c r="U1447" s="366">
        <f t="shared" si="282"/>
        <v>0</v>
      </c>
      <c r="V1447" s="97">
        <v>-3.11</v>
      </c>
      <c r="W1447" s="13">
        <f>RTD("money.excel",,"2516","Price")</f>
        <v>5.83</v>
      </c>
      <c r="X1447" s="67"/>
      <c r="Y1447" s="15">
        <f t="shared" si="288"/>
        <v>5.83</v>
      </c>
      <c r="Z1447" s="3" t="e">
        <f t="shared" si="289"/>
        <v>#DIV/0!</v>
      </c>
      <c r="AB1447" s="22" t="s">
        <v>963</v>
      </c>
      <c r="AE1447" s="33">
        <f t="shared" si="290"/>
        <v>0</v>
      </c>
      <c r="AF1447" s="43" t="s">
        <v>1620</v>
      </c>
      <c r="AG1447" s="128"/>
      <c r="AI1447" s="64">
        <f t="shared" si="286"/>
        <v>8.0530973451327435E-4</v>
      </c>
      <c r="AJ1447" s="313">
        <f>RTD("money.excel",,$G1447,"PredictVolume")</f>
        <v>182</v>
      </c>
      <c r="AK1447" s="348"/>
    </row>
    <row r="1448" spans="1:37">
      <c r="A1448" s="132" t="s">
        <v>4346</v>
      </c>
      <c r="B1448" s="81">
        <v>91</v>
      </c>
      <c r="C1448" s="81">
        <v>80</v>
      </c>
      <c r="D1448" s="82">
        <v>-11</v>
      </c>
      <c r="E1448" s="82">
        <v>-51</v>
      </c>
      <c r="F1448" s="58">
        <v>19.5</v>
      </c>
      <c r="G1448" s="81">
        <v>2520</v>
      </c>
      <c r="H1448" s="8" t="s">
        <v>931</v>
      </c>
      <c r="I1448" s="22" t="s">
        <v>964</v>
      </c>
      <c r="J1448" s="330">
        <v>64.7</v>
      </c>
      <c r="K1448" s="75">
        <v>21.31</v>
      </c>
      <c r="L1448" s="330">
        <v>5.65</v>
      </c>
      <c r="N1448" s="325">
        <f t="shared" si="287"/>
        <v>91.660000000000011</v>
      </c>
      <c r="O1448" s="27"/>
      <c r="P1448" s="56"/>
      <c r="Q1448" s="26"/>
      <c r="S1448" s="330">
        <v>0.32</v>
      </c>
      <c r="T1448" s="67">
        <v>3.4</v>
      </c>
      <c r="U1448" s="366">
        <f t="shared" si="282"/>
        <v>9.1644204851752009E-2</v>
      </c>
      <c r="V1448" s="58">
        <v>9.1300000000000008</v>
      </c>
      <c r="W1448" s="36">
        <f>RTD("money.excel",,"2520","Price")</f>
        <v>37.1</v>
      </c>
      <c r="X1448" s="67"/>
      <c r="Y1448" s="15">
        <f t="shared" si="288"/>
        <v>37.1</v>
      </c>
      <c r="Z1448" s="3" t="e">
        <f t="shared" si="289"/>
        <v>#DIV/0!</v>
      </c>
      <c r="AA1448" s="174" t="s">
        <v>2185</v>
      </c>
      <c r="AB1448" s="22" t="s">
        <v>964</v>
      </c>
      <c r="AE1448" s="33">
        <f t="shared" si="290"/>
        <v>0</v>
      </c>
      <c r="AF1448" s="43" t="s">
        <v>2403</v>
      </c>
      <c r="AG1448" s="128"/>
      <c r="AI1448" s="64">
        <f t="shared" si="286"/>
        <v>9.458483754512635E-4</v>
      </c>
      <c r="AJ1448" s="313">
        <f>RTD("money.excel",,$G1448,"PredictVolume")</f>
        <v>524</v>
      </c>
      <c r="AK1448" s="348"/>
    </row>
    <row r="1449" spans="1:37">
      <c r="A1449" s="132" t="s">
        <v>2536</v>
      </c>
      <c r="B1449" s="81">
        <v>4</v>
      </c>
      <c r="C1449" s="81">
        <v>15</v>
      </c>
      <c r="D1449" s="82">
        <v>-19</v>
      </c>
      <c r="E1449" s="82">
        <v>-1</v>
      </c>
      <c r="F1449" s="58">
        <v>25.57</v>
      </c>
      <c r="G1449" s="81">
        <v>2524</v>
      </c>
      <c r="H1449" s="8" t="s">
        <v>931</v>
      </c>
      <c r="I1449" s="22" t="s">
        <v>965</v>
      </c>
      <c r="J1449" s="330">
        <v>89.48</v>
      </c>
      <c r="K1449" s="75">
        <v>1.91</v>
      </c>
      <c r="L1449" s="75">
        <v>7.63</v>
      </c>
      <c r="N1449" s="325">
        <f t="shared" si="287"/>
        <v>99.02</v>
      </c>
      <c r="O1449" s="27"/>
      <c r="P1449" s="56"/>
      <c r="Q1449" s="26"/>
      <c r="S1449" s="330">
        <v>0.01</v>
      </c>
      <c r="T1449" s="34">
        <v>0</v>
      </c>
      <c r="U1449" s="366">
        <f t="shared" si="282"/>
        <v>0</v>
      </c>
      <c r="V1449" s="97">
        <v>4.46</v>
      </c>
      <c r="W1449" s="36">
        <f>RTD("money.excel",,"2524","Price")</f>
        <v>36.65</v>
      </c>
      <c r="X1449" s="67"/>
      <c r="Y1449" s="15">
        <f t="shared" si="288"/>
        <v>36.65</v>
      </c>
      <c r="Z1449" s="3" t="e">
        <f t="shared" si="289"/>
        <v>#DIV/0!</v>
      </c>
      <c r="AB1449" s="22" t="s">
        <v>965</v>
      </c>
      <c r="AE1449" s="33">
        <f t="shared" si="290"/>
        <v>0</v>
      </c>
      <c r="AF1449" s="43" t="s">
        <v>2403</v>
      </c>
      <c r="AG1449" s="128"/>
      <c r="AI1449" s="64">
        <f t="shared" si="286"/>
        <v>4.5283018867924528E-4</v>
      </c>
      <c r="AJ1449" s="313">
        <f>RTD("money.excel",,$G1449,"PredictVolume")</f>
        <v>168</v>
      </c>
      <c r="AK1449" s="348"/>
    </row>
    <row r="1450" spans="1:37">
      <c r="A1450" s="132" t="s">
        <v>3717</v>
      </c>
      <c r="B1450" s="93">
        <v>-65</v>
      </c>
      <c r="C1450" s="93">
        <v>-71</v>
      </c>
      <c r="D1450" s="93">
        <v>13</v>
      </c>
      <c r="E1450" s="93">
        <v>233</v>
      </c>
      <c r="F1450" s="58">
        <v>10.59</v>
      </c>
      <c r="G1450" s="81">
        <v>2527</v>
      </c>
      <c r="H1450" s="8" t="s">
        <v>931</v>
      </c>
      <c r="I1450" s="22" t="s">
        <v>966</v>
      </c>
      <c r="J1450" s="75">
        <v>84.14</v>
      </c>
      <c r="K1450" s="75">
        <v>26.09</v>
      </c>
      <c r="L1450" s="75">
        <v>10.029999999999999</v>
      </c>
      <c r="N1450" s="325">
        <f t="shared" si="287"/>
        <v>120.26</v>
      </c>
      <c r="O1450" s="27"/>
      <c r="P1450" s="56"/>
      <c r="Q1450" s="26"/>
      <c r="S1450" s="330">
        <v>27.74</v>
      </c>
      <c r="T1450" s="34">
        <v>1.4</v>
      </c>
      <c r="U1450" s="366">
        <f t="shared" si="282"/>
        <v>4.7781569965870303E-2</v>
      </c>
      <c r="V1450" s="97">
        <v>1.49</v>
      </c>
      <c r="W1450" s="13">
        <f>RTD("money.excel",,"2527","Price")</f>
        <v>29.3</v>
      </c>
      <c r="X1450" s="67"/>
      <c r="Y1450" s="15">
        <f t="shared" si="288"/>
        <v>29.3</v>
      </c>
      <c r="Z1450" s="3" t="e">
        <f t="shared" si="289"/>
        <v>#DIV/0!</v>
      </c>
      <c r="AB1450" s="22" t="s">
        <v>966</v>
      </c>
      <c r="AE1450" s="33">
        <f t="shared" si="290"/>
        <v>0</v>
      </c>
      <c r="AF1450" s="43" t="s">
        <v>1621</v>
      </c>
      <c r="AG1450" s="128"/>
      <c r="AI1450" s="64">
        <f t="shared" si="286"/>
        <v>2.6259259259259261E-3</v>
      </c>
      <c r="AJ1450" s="313">
        <f>RTD("money.excel",,$G1450,"PredictVolume")</f>
        <v>709</v>
      </c>
      <c r="AK1450" s="348"/>
    </row>
    <row r="1451" spans="1:37">
      <c r="A1451" s="148" t="s">
        <v>2513</v>
      </c>
      <c r="B1451" s="93">
        <v>-638</v>
      </c>
      <c r="C1451" s="93">
        <v>-202</v>
      </c>
      <c r="D1451" s="93">
        <v>-62</v>
      </c>
      <c r="E1451" s="142">
        <v>1242</v>
      </c>
      <c r="F1451" s="6">
        <v>-11.73</v>
      </c>
      <c r="G1451" s="81">
        <v>2528</v>
      </c>
      <c r="H1451" s="8" t="s">
        <v>931</v>
      </c>
      <c r="I1451" s="22" t="s">
        <v>967</v>
      </c>
      <c r="J1451" s="75">
        <v>85.14</v>
      </c>
      <c r="K1451" s="75">
        <v>0.04</v>
      </c>
      <c r="L1451" s="75">
        <v>1.68</v>
      </c>
      <c r="N1451" s="325">
        <f t="shared" si="287"/>
        <v>86.860000000000014</v>
      </c>
      <c r="O1451" s="27"/>
      <c r="P1451" s="56"/>
      <c r="Q1451" s="26"/>
      <c r="S1451" s="330">
        <v>55.08</v>
      </c>
      <c r="T1451" s="34">
        <v>0</v>
      </c>
      <c r="U1451" s="366">
        <f t="shared" si="282"/>
        <v>0</v>
      </c>
      <c r="V1451" s="97">
        <v>-0.75</v>
      </c>
      <c r="W1451" s="13">
        <f>RTD("money.excel",,"2528","Price")</f>
        <v>21.2</v>
      </c>
      <c r="X1451" s="67"/>
      <c r="Y1451" s="15">
        <f t="shared" si="288"/>
        <v>21.2</v>
      </c>
      <c r="Z1451" s="3" t="e">
        <f t="shared" si="289"/>
        <v>#DIV/0!</v>
      </c>
      <c r="AB1451" s="22" t="s">
        <v>967</v>
      </c>
      <c r="AE1451" s="33">
        <f t="shared" si="290"/>
        <v>0</v>
      </c>
      <c r="AF1451" s="43" t="s">
        <v>1617</v>
      </c>
      <c r="AG1451" s="128"/>
      <c r="AI1451" s="64">
        <f t="shared" si="286"/>
        <v>3.0303030303030302E-5</v>
      </c>
      <c r="AJ1451" s="313">
        <f>RTD("money.excel",,$G1451,"PredictVolume")</f>
        <v>10</v>
      </c>
      <c r="AK1451" s="348"/>
    </row>
    <row r="1452" spans="1:37">
      <c r="A1452" s="148" t="s">
        <v>2575</v>
      </c>
      <c r="B1452" s="82">
        <v>-27</v>
      </c>
      <c r="C1452" s="81">
        <v>5</v>
      </c>
      <c r="D1452" s="81">
        <v>4</v>
      </c>
      <c r="E1452" s="81">
        <v>7</v>
      </c>
      <c r="F1452" s="75">
        <v>-73.180000000000007</v>
      </c>
      <c r="G1452" s="81">
        <v>2530</v>
      </c>
      <c r="H1452" s="8" t="s">
        <v>931</v>
      </c>
      <c r="I1452" s="22" t="s">
        <v>968</v>
      </c>
      <c r="J1452" s="330">
        <v>71.48</v>
      </c>
      <c r="K1452" s="75">
        <v>0.59</v>
      </c>
      <c r="L1452" s="75">
        <v>6.09</v>
      </c>
      <c r="N1452" s="325">
        <f t="shared" si="287"/>
        <v>78.160000000000011</v>
      </c>
      <c r="O1452" s="27"/>
      <c r="P1452" s="56"/>
      <c r="Q1452" s="26"/>
      <c r="S1452" s="330">
        <v>0</v>
      </c>
      <c r="T1452" s="34">
        <v>0</v>
      </c>
      <c r="U1452" s="366">
        <f t="shared" si="282"/>
        <v>0</v>
      </c>
      <c r="V1452" s="58">
        <v>-0.33</v>
      </c>
      <c r="W1452" s="36">
        <f>RTD("money.excel",,"2530","Price")</f>
        <v>14.5</v>
      </c>
      <c r="X1452" s="67"/>
      <c r="Y1452" s="15">
        <f t="shared" si="288"/>
        <v>14.5</v>
      </c>
      <c r="Z1452" s="3" t="e">
        <f t="shared" si="289"/>
        <v>#DIV/0!</v>
      </c>
      <c r="AA1452" s="174" t="s">
        <v>1943</v>
      </c>
      <c r="AB1452" s="22" t="s">
        <v>968</v>
      </c>
      <c r="AE1452" s="33">
        <f t="shared" si="290"/>
        <v>0</v>
      </c>
      <c r="AF1452" s="43" t="s">
        <v>2403</v>
      </c>
      <c r="AG1452" s="244"/>
      <c r="AI1452" s="64">
        <f t="shared" si="286"/>
        <v>2.9038461538461537E-4</v>
      </c>
      <c r="AJ1452" s="313">
        <f>RTD("money.excel",,$G1452,"PredictVolume")</f>
        <v>151</v>
      </c>
      <c r="AK1452" s="348"/>
    </row>
    <row r="1453" spans="1:37">
      <c r="A1453" s="132" t="s">
        <v>3718</v>
      </c>
      <c r="B1453" s="93">
        <v>-68</v>
      </c>
      <c r="C1453" s="93">
        <v>-64</v>
      </c>
      <c r="D1453" s="93">
        <v>-9</v>
      </c>
      <c r="E1453" s="93">
        <v>160</v>
      </c>
      <c r="F1453" s="58">
        <v>25.61</v>
      </c>
      <c r="G1453" s="81">
        <v>2534</v>
      </c>
      <c r="H1453" s="8" t="s">
        <v>931</v>
      </c>
      <c r="I1453" s="22" t="s">
        <v>969</v>
      </c>
      <c r="J1453" s="75">
        <v>68.349999999999994</v>
      </c>
      <c r="K1453" s="75">
        <v>19.760000000000002</v>
      </c>
      <c r="L1453" s="75">
        <v>13.12</v>
      </c>
      <c r="N1453" s="325">
        <f t="shared" si="287"/>
        <v>101.23</v>
      </c>
      <c r="O1453" s="27"/>
      <c r="P1453" s="56"/>
      <c r="Q1453" s="26"/>
      <c r="S1453" s="330">
        <v>10.01</v>
      </c>
      <c r="T1453" s="34">
        <v>1</v>
      </c>
      <c r="U1453" s="366">
        <f t="shared" si="282"/>
        <v>4.1152263374485597E-2</v>
      </c>
      <c r="V1453" s="97">
        <v>1.08</v>
      </c>
      <c r="W1453" s="13">
        <f>RTD("money.excel",,"2534","Price")</f>
        <v>24.3</v>
      </c>
      <c r="X1453" s="67"/>
      <c r="Y1453" s="15">
        <f t="shared" si="288"/>
        <v>24.3</v>
      </c>
      <c r="Z1453" s="3" t="e">
        <f t="shared" si="289"/>
        <v>#DIV/0!</v>
      </c>
      <c r="AB1453" s="22" t="s">
        <v>969</v>
      </c>
      <c r="AE1453" s="33">
        <f t="shared" si="290"/>
        <v>0</v>
      </c>
      <c r="AF1453" s="43" t="s">
        <v>3732</v>
      </c>
      <c r="AG1453" s="128"/>
      <c r="AI1453" s="64">
        <f t="shared" si="286"/>
        <v>2.4451476793248945E-3</v>
      </c>
      <c r="AJ1453" s="313">
        <f>RTD("money.excel",,$G1453,"PredictVolume")</f>
        <v>1159</v>
      </c>
      <c r="AK1453" s="348"/>
    </row>
    <row r="1454" spans="1:37">
      <c r="A1454" s="148" t="s">
        <v>3719</v>
      </c>
      <c r="B1454" s="81">
        <v>61</v>
      </c>
      <c r="C1454" s="81">
        <v>55</v>
      </c>
      <c r="D1454" s="81">
        <v>26</v>
      </c>
      <c r="E1454" s="81">
        <v>57</v>
      </c>
      <c r="F1454" s="6">
        <v>8.23</v>
      </c>
      <c r="G1454" s="81">
        <v>2535</v>
      </c>
      <c r="H1454" s="8" t="s">
        <v>931</v>
      </c>
      <c r="I1454" s="22" t="s">
        <v>970</v>
      </c>
      <c r="J1454" s="330">
        <v>40.56</v>
      </c>
      <c r="K1454" s="330">
        <v>13.85</v>
      </c>
      <c r="L1454" s="330">
        <v>2.29</v>
      </c>
      <c r="N1454" s="325">
        <f t="shared" si="287"/>
        <v>56.7</v>
      </c>
      <c r="O1454" s="27"/>
      <c r="P1454" s="56"/>
      <c r="Q1454" s="26"/>
      <c r="S1454" s="330">
        <v>0.23</v>
      </c>
      <c r="T1454" s="34">
        <v>2.5099999999999998</v>
      </c>
      <c r="U1454" s="366">
        <f t="shared" si="282"/>
        <v>7.3177842565597673E-2</v>
      </c>
      <c r="V1454" s="97">
        <v>3.77</v>
      </c>
      <c r="W1454" s="36">
        <f>RTD("money.excel",,"2535","Price")</f>
        <v>34.299999999999997</v>
      </c>
      <c r="X1454" s="67"/>
      <c r="Y1454" s="15">
        <f t="shared" si="288"/>
        <v>34.299999999999997</v>
      </c>
      <c r="Z1454" s="3" t="e">
        <f t="shared" si="289"/>
        <v>#DIV/0!</v>
      </c>
      <c r="AA1454" s="174" t="s">
        <v>1943</v>
      </c>
      <c r="AB1454" s="22" t="s">
        <v>970</v>
      </c>
      <c r="AE1454" s="33">
        <f t="shared" si="290"/>
        <v>0</v>
      </c>
      <c r="AF1454" s="43" t="s">
        <v>2501</v>
      </c>
      <c r="AG1454" s="269"/>
      <c r="AI1454" s="64">
        <f t="shared" si="286"/>
        <v>4.2784431137724548E-3</v>
      </c>
      <c r="AJ1454" s="313">
        <f>RTD("money.excel",,$G1454,"PredictVolume")</f>
        <v>1429</v>
      </c>
      <c r="AK1454" s="348"/>
    </row>
    <row r="1455" spans="1:37">
      <c r="A1455" s="132" t="s">
        <v>2331</v>
      </c>
      <c r="B1455" s="93">
        <v>21</v>
      </c>
      <c r="C1455" s="93">
        <v>40</v>
      </c>
      <c r="D1455" s="93">
        <v>10</v>
      </c>
      <c r="E1455" s="93">
        <v>-73</v>
      </c>
      <c r="F1455" s="58">
        <v>19.239999999999998</v>
      </c>
      <c r="G1455" s="81">
        <v>2536</v>
      </c>
      <c r="H1455" s="8" t="s">
        <v>931</v>
      </c>
      <c r="I1455" s="22" t="s">
        <v>971</v>
      </c>
      <c r="J1455" s="75">
        <v>76.09</v>
      </c>
      <c r="K1455" s="75">
        <v>19.350000000000001</v>
      </c>
      <c r="L1455" s="330">
        <v>1.79</v>
      </c>
      <c r="N1455" s="325">
        <f t="shared" si="287"/>
        <v>97.23</v>
      </c>
      <c r="O1455" s="27"/>
      <c r="P1455" s="56"/>
      <c r="Q1455" s="26"/>
      <c r="S1455" s="330">
        <v>31.71</v>
      </c>
      <c r="T1455" s="34">
        <v>1.2</v>
      </c>
      <c r="U1455" s="366">
        <f t="shared" si="282"/>
        <v>5.3097345132743355E-2</v>
      </c>
      <c r="V1455" s="97">
        <v>1.85</v>
      </c>
      <c r="W1455" s="13">
        <f>RTD("money.excel",,"2536","Price")</f>
        <v>22.6</v>
      </c>
      <c r="X1455" s="67"/>
      <c r="Y1455" s="15">
        <f t="shared" si="288"/>
        <v>22.6</v>
      </c>
      <c r="Z1455" s="3" t="e">
        <f t="shared" si="289"/>
        <v>#DIV/0!</v>
      </c>
      <c r="AB1455" s="22" t="s">
        <v>971</v>
      </c>
      <c r="AE1455" s="33">
        <f t="shared" si="290"/>
        <v>0</v>
      </c>
      <c r="AF1455" s="43" t="s">
        <v>2403</v>
      </c>
      <c r="AG1455" s="128"/>
      <c r="AI1455" s="64">
        <f t="shared" si="286"/>
        <v>1.5662650602409639E-4</v>
      </c>
      <c r="AJ1455" s="313">
        <f>RTD("money.excel",,$G1455,"PredictVolume")</f>
        <v>52</v>
      </c>
      <c r="AK1455" s="348"/>
    </row>
    <row r="1456" spans="1:37">
      <c r="A1456" s="132" t="s">
        <v>2779</v>
      </c>
      <c r="B1456" s="93">
        <v>325</v>
      </c>
      <c r="C1456" s="93">
        <v>424</v>
      </c>
      <c r="D1456" s="93">
        <v>-1</v>
      </c>
      <c r="E1456" s="93">
        <v>-99</v>
      </c>
      <c r="F1456" s="58">
        <v>16.190000000000001</v>
      </c>
      <c r="G1456" s="81">
        <v>2537</v>
      </c>
      <c r="H1456" s="8" t="s">
        <v>931</v>
      </c>
      <c r="I1456" s="22" t="s">
        <v>972</v>
      </c>
      <c r="J1456" s="75">
        <v>64.03</v>
      </c>
      <c r="K1456" s="75">
        <v>0.77</v>
      </c>
      <c r="L1456" s="75">
        <v>14.69</v>
      </c>
      <c r="N1456" s="325">
        <f t="shared" si="287"/>
        <v>79.489999999999995</v>
      </c>
      <c r="O1456" s="27"/>
      <c r="P1456" s="56"/>
      <c r="Q1456" s="26"/>
      <c r="S1456" s="330">
        <v>23.48</v>
      </c>
      <c r="T1456" s="34">
        <v>0.4</v>
      </c>
      <c r="U1456" s="366">
        <f t="shared" si="282"/>
        <v>3.9408866995073892E-2</v>
      </c>
      <c r="V1456" s="97">
        <v>0.59</v>
      </c>
      <c r="W1456" s="13">
        <f>RTD("money.excel",,"2537","Price")</f>
        <v>10.15</v>
      </c>
      <c r="X1456" s="67"/>
      <c r="Y1456" s="15">
        <f t="shared" si="288"/>
        <v>10.15</v>
      </c>
      <c r="Z1456" s="3" t="e">
        <f t="shared" si="289"/>
        <v>#DIV/0!</v>
      </c>
      <c r="AB1456" s="22" t="s">
        <v>972</v>
      </c>
      <c r="AE1456" s="33">
        <f t="shared" si="290"/>
        <v>0</v>
      </c>
      <c r="AF1456" s="43" t="s">
        <v>2576</v>
      </c>
      <c r="AG1456" s="128"/>
      <c r="AI1456" s="64">
        <f t="shared" si="286"/>
        <v>1.8333333333333333E-3</v>
      </c>
      <c r="AJ1456" s="313">
        <f>RTD("money.excel",,$G1456,"PredictVolume")</f>
        <v>550</v>
      </c>
      <c r="AK1456" s="348"/>
    </row>
    <row r="1457" spans="1:37">
      <c r="A1457" s="148" t="s">
        <v>3505</v>
      </c>
      <c r="B1457" s="208">
        <v>-1581</v>
      </c>
      <c r="C1457" s="93">
        <v>70</v>
      </c>
      <c r="D1457" s="93">
        <v>-95</v>
      </c>
      <c r="E1457" s="93">
        <v>-65</v>
      </c>
      <c r="F1457" s="6">
        <v>-11.32</v>
      </c>
      <c r="G1457" s="81">
        <v>2538</v>
      </c>
      <c r="H1457" s="8" t="s">
        <v>931</v>
      </c>
      <c r="I1457" s="22" t="s">
        <v>973</v>
      </c>
      <c r="J1457" s="75">
        <v>62.68</v>
      </c>
      <c r="K1457" s="75">
        <v>14.1</v>
      </c>
      <c r="L1457" s="75">
        <v>3.78</v>
      </c>
      <c r="N1457" s="325">
        <f t="shared" si="287"/>
        <v>80.56</v>
      </c>
      <c r="O1457" s="27"/>
      <c r="P1457" s="56"/>
      <c r="Q1457" s="26"/>
      <c r="S1457" s="330">
        <v>8.2200000000000006</v>
      </c>
      <c r="T1457" s="34">
        <v>0.5</v>
      </c>
      <c r="U1457" s="366">
        <f t="shared" si="282"/>
        <v>4.0816326530612242E-2</v>
      </c>
      <c r="V1457" s="97">
        <v>-0.32</v>
      </c>
      <c r="W1457" s="13">
        <f>RTD("money.excel",,"2538","Price")</f>
        <v>12.25</v>
      </c>
      <c r="X1457" s="67"/>
      <c r="Y1457" s="15">
        <f t="shared" si="288"/>
        <v>12.25</v>
      </c>
      <c r="Z1457" s="3" t="e">
        <f t="shared" si="289"/>
        <v>#DIV/0!</v>
      </c>
      <c r="AB1457" s="22" t="s">
        <v>973</v>
      </c>
      <c r="AE1457" s="33">
        <f t="shared" si="290"/>
        <v>0</v>
      </c>
      <c r="AF1457" s="43" t="s">
        <v>2403</v>
      </c>
      <c r="AG1457" s="269"/>
      <c r="AI1457" s="64">
        <f t="shared" si="286"/>
        <v>2.4452054794520547E-3</v>
      </c>
      <c r="AJ1457" s="313">
        <f>RTD("money.excel",,$G1457,"PredictVolume")</f>
        <v>1071</v>
      </c>
      <c r="AK1457" s="348"/>
    </row>
    <row r="1458" spans="1:37">
      <c r="A1458" s="132" t="s">
        <v>2334</v>
      </c>
      <c r="B1458" s="93">
        <v>-35</v>
      </c>
      <c r="C1458" s="93">
        <v>-26</v>
      </c>
      <c r="D1458" s="93">
        <v>-91</v>
      </c>
      <c r="E1458" s="93">
        <v>-51</v>
      </c>
      <c r="F1458" s="58">
        <v>18.739999999999998</v>
      </c>
      <c r="G1458" s="81">
        <v>2539</v>
      </c>
      <c r="H1458" s="8" t="s">
        <v>931</v>
      </c>
      <c r="I1458" s="22" t="s">
        <v>974</v>
      </c>
      <c r="J1458" s="75">
        <v>93.38</v>
      </c>
      <c r="K1458" s="75">
        <v>0.09</v>
      </c>
      <c r="L1458" s="75">
        <v>0.12</v>
      </c>
      <c r="N1458" s="325">
        <f t="shared" si="287"/>
        <v>93.59</v>
      </c>
      <c r="O1458" s="27"/>
      <c r="P1458" s="56"/>
      <c r="Q1458" s="26"/>
      <c r="S1458" s="330">
        <v>21</v>
      </c>
      <c r="T1458" s="34">
        <v>1.6</v>
      </c>
      <c r="U1458" s="366">
        <f t="shared" si="282"/>
        <v>5.1529790660225443E-2</v>
      </c>
      <c r="V1458" s="97">
        <v>1.61</v>
      </c>
      <c r="W1458" s="13">
        <f>RTD("money.excel",,"2539","Price")</f>
        <v>31.05</v>
      </c>
      <c r="X1458" s="67"/>
      <c r="Y1458" s="15">
        <f t="shared" si="288"/>
        <v>31.05</v>
      </c>
      <c r="Z1458" s="3" t="e">
        <f t="shared" si="289"/>
        <v>#DIV/0!</v>
      </c>
      <c r="AB1458" s="22" t="s">
        <v>974</v>
      </c>
      <c r="AE1458" s="33">
        <f t="shared" si="290"/>
        <v>0</v>
      </c>
      <c r="AF1458" s="43" t="s">
        <v>2403</v>
      </c>
      <c r="AG1458" s="128"/>
      <c r="AI1458" s="64">
        <f t="shared" si="286"/>
        <v>2.1645796064400716E-4</v>
      </c>
      <c r="AJ1458" s="313">
        <f>RTD("money.excel",,$G1458,"PredictVolume")</f>
        <v>121</v>
      </c>
      <c r="AK1458" s="348"/>
    </row>
    <row r="1459" spans="1:37">
      <c r="A1459" s="132" t="s">
        <v>1809</v>
      </c>
      <c r="B1459" s="81">
        <v>353</v>
      </c>
      <c r="C1459" s="81">
        <v>195</v>
      </c>
      <c r="D1459" s="82">
        <v>-11</v>
      </c>
      <c r="E1459" s="81">
        <v>213</v>
      </c>
      <c r="F1459" s="58">
        <v>27.62</v>
      </c>
      <c r="G1459" s="81">
        <v>2540</v>
      </c>
      <c r="H1459" s="8" t="s">
        <v>931</v>
      </c>
      <c r="I1459" s="22" t="s">
        <v>975</v>
      </c>
      <c r="J1459" s="75">
        <v>95.8</v>
      </c>
      <c r="K1459" s="75">
        <v>0.24</v>
      </c>
      <c r="L1459" s="75">
        <v>0.9</v>
      </c>
      <c r="N1459" s="325">
        <f t="shared" si="287"/>
        <v>96.94</v>
      </c>
      <c r="O1459" s="27"/>
      <c r="P1459" s="56"/>
      <c r="Q1459" s="26"/>
      <c r="S1459" s="330">
        <v>0.04</v>
      </c>
      <c r="T1459" s="34">
        <v>2</v>
      </c>
      <c r="U1459" s="366">
        <f t="shared" si="282"/>
        <v>2.1645021645021644E-2</v>
      </c>
      <c r="V1459" s="97">
        <v>6.18</v>
      </c>
      <c r="W1459" s="36">
        <f>RTD("money.excel",,"2540","Price")</f>
        <v>92.4</v>
      </c>
      <c r="X1459" s="67"/>
      <c r="Y1459" s="15">
        <f t="shared" si="288"/>
        <v>92.4</v>
      </c>
      <c r="Z1459" s="3" t="e">
        <f t="shared" si="289"/>
        <v>#DIV/0!</v>
      </c>
      <c r="AA1459" s="174" t="s">
        <v>1943</v>
      </c>
      <c r="AB1459" s="22" t="s">
        <v>975</v>
      </c>
      <c r="AE1459" s="33">
        <f t="shared" si="290"/>
        <v>0</v>
      </c>
      <c r="AF1459" s="43" t="s">
        <v>2469</v>
      </c>
      <c r="AG1459" s="128"/>
      <c r="AI1459" s="64">
        <f t="shared" si="286"/>
        <v>9.5890410958904105E-5</v>
      </c>
      <c r="AJ1459" s="313">
        <f>RTD("money.excel",,$G1459,"PredictVolume")</f>
        <v>14</v>
      </c>
      <c r="AK1459" s="348"/>
    </row>
    <row r="1460" spans="1:37">
      <c r="A1460" s="132" t="s">
        <v>3720</v>
      </c>
      <c r="B1460" s="82">
        <v>-19</v>
      </c>
      <c r="C1460" s="81">
        <v>17</v>
      </c>
      <c r="D1460" s="82">
        <v>-6</v>
      </c>
      <c r="E1460" s="81">
        <v>261</v>
      </c>
      <c r="F1460" s="58">
        <v>16.91</v>
      </c>
      <c r="G1460" s="81">
        <v>2542</v>
      </c>
      <c r="H1460" s="8" t="s">
        <v>931</v>
      </c>
      <c r="I1460" s="22" t="s">
        <v>28</v>
      </c>
      <c r="J1460" s="330">
        <v>62.06</v>
      </c>
      <c r="K1460" s="330">
        <v>18.45</v>
      </c>
      <c r="L1460" s="330">
        <v>1.25</v>
      </c>
      <c r="N1460" s="325">
        <f t="shared" si="287"/>
        <v>81.760000000000005</v>
      </c>
      <c r="O1460" s="27"/>
      <c r="P1460" s="56"/>
      <c r="Q1460" s="26"/>
      <c r="S1460" s="330">
        <v>0</v>
      </c>
      <c r="T1460" s="34">
        <v>2</v>
      </c>
      <c r="U1460" s="366">
        <f t="shared" si="282"/>
        <v>4.0899795501022497E-2</v>
      </c>
      <c r="V1460" s="58">
        <v>2.21</v>
      </c>
      <c r="W1460" s="36">
        <f>RTD("money.excel",,"2542","Price")</f>
        <v>48.9</v>
      </c>
      <c r="X1460" s="67"/>
      <c r="Y1460" s="15">
        <f t="shared" si="288"/>
        <v>48.9</v>
      </c>
      <c r="Z1460" s="3" t="e">
        <f t="shared" si="289"/>
        <v>#DIV/0!</v>
      </c>
      <c r="AA1460" s="174" t="s">
        <v>1943</v>
      </c>
      <c r="AB1460" s="22" t="s">
        <v>28</v>
      </c>
      <c r="AE1460" s="33">
        <f t="shared" si="290"/>
        <v>0</v>
      </c>
      <c r="AF1460" s="122" t="s">
        <v>2403</v>
      </c>
      <c r="AG1460" s="128"/>
      <c r="AI1460" s="64">
        <f t="shared" si="286"/>
        <v>2.72015503875969E-3</v>
      </c>
      <c r="AJ1460" s="313">
        <f>RTD("money.excel",,$G1460,"PredictVolume")</f>
        <v>3509</v>
      </c>
      <c r="AK1460" s="348"/>
    </row>
    <row r="1461" spans="1:37">
      <c r="A1461" s="148" t="s">
        <v>2583</v>
      </c>
      <c r="B1461" s="81">
        <v>805</v>
      </c>
      <c r="C1461" s="81">
        <v>553</v>
      </c>
      <c r="D1461" s="81">
        <v>5</v>
      </c>
      <c r="E1461" s="81">
        <v>17</v>
      </c>
      <c r="F1461" s="6">
        <v>1.29</v>
      </c>
      <c r="G1461" s="81">
        <v>2543</v>
      </c>
      <c r="H1461" s="8" t="s">
        <v>931</v>
      </c>
      <c r="I1461" s="22" t="s">
        <v>976</v>
      </c>
      <c r="J1461" s="330">
        <v>84.89</v>
      </c>
      <c r="K1461" s="330">
        <v>0.21</v>
      </c>
      <c r="N1461" s="325">
        <f t="shared" si="287"/>
        <v>85.1</v>
      </c>
      <c r="O1461" s="27"/>
      <c r="P1461" s="56"/>
      <c r="Q1461" s="26"/>
      <c r="T1461" s="34">
        <v>0</v>
      </c>
      <c r="U1461" s="366">
        <f t="shared" si="282"/>
        <v>0</v>
      </c>
      <c r="V1461" s="97">
        <v>0.15</v>
      </c>
      <c r="W1461" s="36">
        <f>RTD("money.excel",,"2543","Price")</f>
        <v>7.54</v>
      </c>
      <c r="X1461" s="67"/>
      <c r="Y1461" s="15">
        <f t="shared" si="288"/>
        <v>7.54</v>
      </c>
      <c r="Z1461" s="3" t="e">
        <f t="shared" si="289"/>
        <v>#DIV/0!</v>
      </c>
      <c r="AA1461" s="174" t="s">
        <v>1943</v>
      </c>
      <c r="AB1461" s="22" t="s">
        <v>976</v>
      </c>
      <c r="AE1461" s="33">
        <f t="shared" si="290"/>
        <v>0</v>
      </c>
      <c r="AF1461" s="43" t="s">
        <v>346</v>
      </c>
      <c r="AG1461" s="269"/>
      <c r="AI1461" s="64">
        <f t="shared" si="286"/>
        <v>3.3057851239669423E-5</v>
      </c>
      <c r="AJ1461" s="313">
        <f>RTD("money.excel",,$G1461,"PredictVolume")</f>
        <v>8</v>
      </c>
      <c r="AK1461" s="348"/>
    </row>
    <row r="1462" spans="1:37">
      <c r="A1462" s="132" t="s">
        <v>3721</v>
      </c>
      <c r="B1462" s="93">
        <v>910</v>
      </c>
      <c r="C1462" s="142">
        <v>1218</v>
      </c>
      <c r="D1462" s="93">
        <v>-14</v>
      </c>
      <c r="E1462" s="93">
        <v>-26</v>
      </c>
      <c r="F1462" s="58">
        <v>35.159999999999997</v>
      </c>
      <c r="G1462" s="81">
        <v>2545</v>
      </c>
      <c r="H1462" s="8" t="s">
        <v>931</v>
      </c>
      <c r="I1462" s="22" t="s">
        <v>977</v>
      </c>
      <c r="J1462" s="75">
        <v>76.489999999999995</v>
      </c>
      <c r="K1462" s="75">
        <v>4</v>
      </c>
      <c r="L1462" s="75">
        <v>4.21</v>
      </c>
      <c r="N1462" s="325">
        <f t="shared" si="287"/>
        <v>84.699999999999989</v>
      </c>
      <c r="O1462" s="27"/>
      <c r="P1462" s="56"/>
      <c r="Q1462" s="26"/>
      <c r="S1462" s="330">
        <v>37.869999999999997</v>
      </c>
      <c r="T1462" s="67">
        <v>4.5</v>
      </c>
      <c r="U1462" s="366">
        <f t="shared" si="282"/>
        <v>0.1079136690647482</v>
      </c>
      <c r="V1462" s="97">
        <v>5.33</v>
      </c>
      <c r="W1462" s="13">
        <f>RTD("money.excel",,"2545","Price")</f>
        <v>41.7</v>
      </c>
      <c r="X1462" s="67"/>
      <c r="Y1462" s="15">
        <f t="shared" si="288"/>
        <v>41.7</v>
      </c>
      <c r="Z1462" s="3" t="e">
        <f t="shared" si="289"/>
        <v>#DIV/0!</v>
      </c>
      <c r="AA1462" s="174" t="s">
        <v>2185</v>
      </c>
      <c r="AB1462" s="22" t="s">
        <v>977</v>
      </c>
      <c r="AE1462" s="33">
        <f t="shared" si="290"/>
        <v>0</v>
      </c>
      <c r="AF1462" s="43" t="s">
        <v>2403</v>
      </c>
      <c r="AG1462" s="128"/>
      <c r="AI1462" s="64">
        <f t="shared" si="286"/>
        <v>1.6452599388379204E-3</v>
      </c>
      <c r="AJ1462" s="313">
        <f>RTD("money.excel",,$G1462,"PredictVolume")</f>
        <v>538</v>
      </c>
      <c r="AK1462" s="348"/>
    </row>
    <row r="1463" spans="1:37">
      <c r="A1463" s="148" t="s">
        <v>1927</v>
      </c>
      <c r="B1463" s="93">
        <v>21</v>
      </c>
      <c r="C1463" s="93">
        <v>27</v>
      </c>
      <c r="D1463" s="93">
        <v>-13</v>
      </c>
      <c r="E1463" s="93">
        <v>22</v>
      </c>
      <c r="F1463" s="6">
        <v>5.22</v>
      </c>
      <c r="G1463" s="81">
        <v>2546</v>
      </c>
      <c r="H1463" s="8" t="s">
        <v>931</v>
      </c>
      <c r="I1463" s="22" t="s">
        <v>978</v>
      </c>
      <c r="J1463" s="75">
        <v>61.57</v>
      </c>
      <c r="K1463" s="75">
        <v>0.28000000000000003</v>
      </c>
      <c r="L1463" s="75">
        <v>1.1000000000000001</v>
      </c>
      <c r="N1463" s="325">
        <f t="shared" si="287"/>
        <v>62.95</v>
      </c>
      <c r="O1463" s="27"/>
      <c r="P1463" s="56"/>
      <c r="Q1463" s="26"/>
      <c r="S1463" s="330">
        <v>37.46</v>
      </c>
      <c r="T1463" s="67">
        <v>3.6</v>
      </c>
      <c r="U1463" s="366">
        <f t="shared" si="282"/>
        <v>6.9498069498069498E-2</v>
      </c>
      <c r="V1463" s="97">
        <v>2.91</v>
      </c>
      <c r="W1463" s="13">
        <f>RTD("money.excel",,"2546","Price")</f>
        <v>51.8</v>
      </c>
      <c r="X1463" s="67"/>
      <c r="Y1463" s="15">
        <f t="shared" si="288"/>
        <v>51.8</v>
      </c>
      <c r="Z1463" s="3" t="e">
        <f t="shared" si="289"/>
        <v>#DIV/0!</v>
      </c>
      <c r="AA1463" s="174" t="s">
        <v>1986</v>
      </c>
      <c r="AB1463" s="22" t="s">
        <v>978</v>
      </c>
      <c r="AE1463" s="33">
        <f t="shared" si="290"/>
        <v>0</v>
      </c>
      <c r="AF1463" s="43" t="s">
        <v>3731</v>
      </c>
      <c r="AG1463" s="128"/>
      <c r="AI1463" s="64">
        <f t="shared" si="286"/>
        <v>5.9433962264150947E-4</v>
      </c>
      <c r="AJ1463" s="313">
        <f>RTD("money.excel",,$G1463,"PredictVolume")</f>
        <v>63</v>
      </c>
      <c r="AK1463" s="348"/>
    </row>
    <row r="1464" spans="1:37">
      <c r="A1464" s="148" t="s">
        <v>3722</v>
      </c>
      <c r="B1464" s="82">
        <v>-86</v>
      </c>
      <c r="C1464" s="82">
        <v>-85</v>
      </c>
      <c r="D1464" s="82">
        <v>-1</v>
      </c>
      <c r="E1464" s="81">
        <v>28</v>
      </c>
      <c r="F1464" s="6">
        <v>9.67</v>
      </c>
      <c r="G1464" s="81">
        <v>2547</v>
      </c>
      <c r="H1464" s="8" t="s">
        <v>931</v>
      </c>
      <c r="I1464" s="22" t="s">
        <v>979</v>
      </c>
      <c r="J1464" s="330">
        <v>68.86</v>
      </c>
      <c r="K1464" s="330">
        <v>22.12</v>
      </c>
      <c r="L1464" s="75">
        <v>3.88</v>
      </c>
      <c r="N1464" s="325">
        <f t="shared" si="287"/>
        <v>94.86</v>
      </c>
      <c r="O1464" s="27"/>
      <c r="P1464" s="56"/>
      <c r="Q1464" s="26"/>
      <c r="S1464" s="330">
        <v>13.89</v>
      </c>
      <c r="T1464" s="34">
        <v>0.62</v>
      </c>
      <c r="U1464" s="366">
        <f t="shared" si="282"/>
        <v>5.9903381642512077E-2</v>
      </c>
      <c r="V1464" s="97">
        <v>0.69</v>
      </c>
      <c r="W1464" s="36">
        <f>RTD("money.excel",,"2547","Price")</f>
        <v>10.35</v>
      </c>
      <c r="X1464" s="67"/>
      <c r="Y1464" s="15">
        <f t="shared" si="288"/>
        <v>10.35</v>
      </c>
      <c r="Z1464" s="3" t="e">
        <f t="shared" si="289"/>
        <v>#DIV/0!</v>
      </c>
      <c r="AA1464" s="174" t="s">
        <v>1943</v>
      </c>
      <c r="AB1464" s="22" t="s">
        <v>979</v>
      </c>
      <c r="AE1464" s="33">
        <f t="shared" si="290"/>
        <v>0</v>
      </c>
      <c r="AF1464" s="43" t="s">
        <v>2403</v>
      </c>
      <c r="AG1464" s="128"/>
      <c r="AI1464" s="64">
        <f t="shared" si="286"/>
        <v>6.155555555555556E-4</v>
      </c>
      <c r="AJ1464" s="313">
        <f>RTD("money.excel",,$G1464,"PredictVolume")</f>
        <v>554</v>
      </c>
      <c r="AK1464" s="348"/>
    </row>
    <row r="1465" spans="1:37">
      <c r="A1465" s="132" t="s">
        <v>2395</v>
      </c>
      <c r="B1465" s="82">
        <v>-24</v>
      </c>
      <c r="C1465" s="82">
        <v>-21</v>
      </c>
      <c r="D1465" s="82">
        <v>-89</v>
      </c>
      <c r="E1465" s="81">
        <v>109</v>
      </c>
      <c r="F1465" s="58">
        <v>21.47</v>
      </c>
      <c r="G1465" s="81">
        <v>2548</v>
      </c>
      <c r="H1465" s="8" t="s">
        <v>931</v>
      </c>
      <c r="I1465" s="22" t="s">
        <v>980</v>
      </c>
      <c r="J1465" s="75">
        <v>55.42</v>
      </c>
      <c r="K1465" s="75">
        <v>25.83</v>
      </c>
      <c r="L1465" s="330">
        <v>0.31</v>
      </c>
      <c r="N1465" s="325">
        <f t="shared" si="287"/>
        <v>81.56</v>
      </c>
      <c r="O1465" s="27"/>
      <c r="P1465" s="56"/>
      <c r="Q1465" s="26"/>
      <c r="S1465" s="330">
        <v>0</v>
      </c>
      <c r="T1465" s="67">
        <v>7</v>
      </c>
      <c r="U1465" s="366">
        <f t="shared" si="282"/>
        <v>7.7177508269018744E-2</v>
      </c>
      <c r="V1465" s="58">
        <v>8.08</v>
      </c>
      <c r="W1465" s="36">
        <f>RTD("money.excel",,"2548","Price")</f>
        <v>90.7</v>
      </c>
      <c r="X1465" s="67"/>
      <c r="Y1465" s="15">
        <f t="shared" si="288"/>
        <v>90.7</v>
      </c>
      <c r="Z1465" s="3" t="e">
        <f t="shared" si="289"/>
        <v>#DIV/0!</v>
      </c>
      <c r="AA1465" s="174" t="s">
        <v>2185</v>
      </c>
      <c r="AB1465" s="22" t="s">
        <v>980</v>
      </c>
      <c r="AE1465" s="33">
        <f t="shared" si="290"/>
        <v>0</v>
      </c>
      <c r="AF1465" s="43" t="s">
        <v>2403</v>
      </c>
      <c r="AG1465" s="128"/>
      <c r="AI1465" s="64">
        <f t="shared" si="286"/>
        <v>1.5434782608695651E-3</v>
      </c>
      <c r="AJ1465" s="313">
        <f>RTD("money.excel",,$G1465,"PredictVolume")</f>
        <v>426</v>
      </c>
      <c r="AK1465" s="348"/>
    </row>
    <row r="1466" spans="1:37">
      <c r="A1466" s="132" t="s">
        <v>2385</v>
      </c>
      <c r="B1466" s="93">
        <v>289</v>
      </c>
      <c r="C1466" s="93">
        <v>395</v>
      </c>
      <c r="D1466" s="93">
        <v>-95</v>
      </c>
      <c r="E1466" s="142">
        <v>1351</v>
      </c>
      <c r="F1466" s="58">
        <v>21.08</v>
      </c>
      <c r="G1466" s="81">
        <v>2596</v>
      </c>
      <c r="H1466" s="8" t="s">
        <v>931</v>
      </c>
      <c r="I1466" s="16" t="s">
        <v>933</v>
      </c>
      <c r="J1466" s="330">
        <v>67.42</v>
      </c>
      <c r="K1466" s="330">
        <v>0.01</v>
      </c>
      <c r="L1466" s="330">
        <v>3.91</v>
      </c>
      <c r="N1466" s="325">
        <f t="shared" si="287"/>
        <v>71.34</v>
      </c>
      <c r="O1466" s="27"/>
      <c r="P1466" s="56"/>
      <c r="Q1466" s="26"/>
      <c r="S1466" s="330">
        <v>54.32</v>
      </c>
      <c r="T1466" s="34">
        <v>1</v>
      </c>
      <c r="U1466" s="366">
        <f t="shared" si="282"/>
        <v>4.5662100456621009E-2</v>
      </c>
      <c r="V1466" s="97">
        <v>1.45</v>
      </c>
      <c r="W1466" s="36">
        <f>RTD("money.excel",,"2596","Price")</f>
        <v>21.9</v>
      </c>
      <c r="X1466" s="67"/>
      <c r="Y1466" s="15">
        <f t="shared" si="288"/>
        <v>21.9</v>
      </c>
      <c r="Z1466" s="3" t="e">
        <f t="shared" si="289"/>
        <v>#DIV/0!</v>
      </c>
      <c r="AB1466" s="16" t="s">
        <v>933</v>
      </c>
      <c r="AE1466" s="33">
        <f t="shared" si="290"/>
        <v>0</v>
      </c>
      <c r="AF1466" s="43" t="s">
        <v>2403</v>
      </c>
      <c r="AG1466" s="128"/>
      <c r="AI1466" s="64">
        <f t="shared" si="286"/>
        <v>5.1000000000000004E-4</v>
      </c>
      <c r="AJ1466" s="313">
        <f>RTD("money.excel",,$G1466,"PredictVolume")</f>
        <v>51</v>
      </c>
      <c r="AK1466" s="348"/>
    </row>
    <row r="1467" spans="1:37">
      <c r="A1467" s="148" t="s">
        <v>1845</v>
      </c>
      <c r="B1467" s="81">
        <v>43</v>
      </c>
      <c r="C1467" s="81">
        <v>65</v>
      </c>
      <c r="D1467" s="81">
        <v>1</v>
      </c>
      <c r="E1467" s="81">
        <v>9</v>
      </c>
      <c r="F1467" s="6">
        <v>3.13</v>
      </c>
      <c r="G1467" s="81">
        <v>2597</v>
      </c>
      <c r="H1467" s="8" t="s">
        <v>931</v>
      </c>
      <c r="I1467" s="22" t="s">
        <v>981</v>
      </c>
      <c r="J1467" s="75">
        <v>79.25</v>
      </c>
      <c r="K1467" s="75">
        <v>0.79</v>
      </c>
      <c r="L1467" s="75">
        <v>0.32</v>
      </c>
      <c r="N1467" s="325">
        <f t="shared" si="287"/>
        <v>80.36</v>
      </c>
      <c r="O1467" s="27"/>
      <c r="P1467" s="56"/>
      <c r="Q1467" s="26"/>
      <c r="S1467" s="330">
        <v>0</v>
      </c>
      <c r="T1467" s="67">
        <v>10.199999999999999</v>
      </c>
      <c r="U1467" s="366">
        <f t="shared" ref="U1467:U1498" si="291">T1467/W1467</f>
        <v>7.4725274725274723E-2</v>
      </c>
      <c r="V1467" s="97">
        <v>7.48</v>
      </c>
      <c r="W1467" s="36">
        <f>RTD("money.excel",,"2597","Price")</f>
        <v>136.5</v>
      </c>
      <c r="X1467" s="67"/>
      <c r="Y1467" s="15">
        <f t="shared" si="288"/>
        <v>136.5</v>
      </c>
      <c r="Z1467" s="3" t="e">
        <f t="shared" si="289"/>
        <v>#DIV/0!</v>
      </c>
      <c r="AA1467" s="174" t="s">
        <v>1986</v>
      </c>
      <c r="AB1467" s="22" t="s">
        <v>981</v>
      </c>
      <c r="AE1467" s="33">
        <f t="shared" si="290"/>
        <v>0</v>
      </c>
      <c r="AF1467" s="43" t="s">
        <v>3730</v>
      </c>
      <c r="AG1467" s="128"/>
      <c r="AI1467" s="64">
        <f t="shared" ref="AI1467:AI1498" si="292">AJ1467/(A1467*10000)</f>
        <v>1.1555555555555555E-3</v>
      </c>
      <c r="AJ1467" s="313">
        <f>RTD("money.excel",,$G1467,"PredictVolume")</f>
        <v>156</v>
      </c>
      <c r="AK1467" s="348"/>
    </row>
    <row r="1468" spans="1:37">
      <c r="A1468" s="148" t="s">
        <v>3723</v>
      </c>
      <c r="B1468" s="82">
        <v>-714</v>
      </c>
      <c r="C1468" s="81">
        <v>23</v>
      </c>
      <c r="D1468" s="81">
        <v>0</v>
      </c>
      <c r="E1468" s="81">
        <v>4</v>
      </c>
      <c r="F1468" s="75">
        <v>-164.75</v>
      </c>
      <c r="G1468" s="81">
        <v>2841</v>
      </c>
      <c r="H1468" s="8" t="s">
        <v>931</v>
      </c>
      <c r="I1468" s="22" t="s">
        <v>982</v>
      </c>
      <c r="J1468" s="330">
        <v>38.24</v>
      </c>
      <c r="K1468" s="75">
        <v>6.1</v>
      </c>
      <c r="L1468" s="75">
        <v>0</v>
      </c>
      <c r="N1468" s="325">
        <f t="shared" si="287"/>
        <v>44.34</v>
      </c>
      <c r="O1468" s="27"/>
      <c r="P1468" s="56"/>
      <c r="Q1468" s="26"/>
      <c r="S1468" s="330">
        <v>0.06</v>
      </c>
      <c r="T1468" s="34">
        <v>0</v>
      </c>
      <c r="U1468" s="366">
        <f t="shared" si="291"/>
        <v>0</v>
      </c>
      <c r="V1468" s="97">
        <v>-2.41</v>
      </c>
      <c r="W1468" s="36">
        <f>RTD("money.excel",,"2841","Price")</f>
        <v>3.7</v>
      </c>
      <c r="X1468" s="67"/>
      <c r="Y1468" s="15">
        <f t="shared" si="288"/>
        <v>3.7</v>
      </c>
      <c r="Z1468" s="3" t="e">
        <f t="shared" si="289"/>
        <v>#DIV/0!</v>
      </c>
      <c r="AB1468" s="22" t="s">
        <v>982</v>
      </c>
      <c r="AE1468" s="33">
        <f t="shared" si="290"/>
        <v>0</v>
      </c>
      <c r="AF1468" s="43" t="s">
        <v>3906</v>
      </c>
      <c r="AG1468" s="125"/>
      <c r="AI1468" s="64">
        <f t="shared" si="292"/>
        <v>1.5394736842105263E-3</v>
      </c>
      <c r="AJ1468" s="313">
        <f>RTD("money.excel",,$G1468,"PredictVolume")</f>
        <v>1170</v>
      </c>
      <c r="AK1468" s="83"/>
    </row>
    <row r="1469" spans="1:37">
      <c r="A1469" s="132" t="s">
        <v>3724</v>
      </c>
      <c r="B1469" s="93">
        <v>-92</v>
      </c>
      <c r="C1469" s="93">
        <v>109</v>
      </c>
      <c r="D1469" s="93">
        <v>-40</v>
      </c>
      <c r="E1469" s="93">
        <v>-15</v>
      </c>
      <c r="F1469" s="58">
        <v>26.15</v>
      </c>
      <c r="G1469" s="81">
        <v>2923</v>
      </c>
      <c r="H1469" s="8" t="s">
        <v>931</v>
      </c>
      <c r="I1469" s="22" t="s">
        <v>995</v>
      </c>
      <c r="J1469" s="75">
        <v>99.31</v>
      </c>
      <c r="K1469" s="75">
        <v>99.19</v>
      </c>
      <c r="N1469" s="325">
        <f t="shared" si="287"/>
        <v>198.5</v>
      </c>
      <c r="O1469" s="27"/>
      <c r="P1469" s="56"/>
      <c r="Q1469" s="26"/>
      <c r="S1469" s="330">
        <v>58.55</v>
      </c>
      <c r="T1469" s="34">
        <v>1.2</v>
      </c>
      <c r="U1469" s="366">
        <f t="shared" si="291"/>
        <v>4.9180327868852458E-2</v>
      </c>
      <c r="V1469" s="58">
        <v>0.68</v>
      </c>
      <c r="W1469" s="13">
        <f>RTD("money.excel",,"2923","Price")</f>
        <v>24.4</v>
      </c>
      <c r="X1469" s="67"/>
      <c r="Y1469" s="15">
        <f t="shared" si="288"/>
        <v>24.4</v>
      </c>
      <c r="Z1469" s="3" t="e">
        <f t="shared" si="289"/>
        <v>#DIV/0!</v>
      </c>
      <c r="AB1469" s="22" t="s">
        <v>995</v>
      </c>
      <c r="AE1469" s="33">
        <f t="shared" si="290"/>
        <v>0</v>
      </c>
      <c r="AF1469" s="43" t="s">
        <v>3729</v>
      </c>
      <c r="AG1469" s="128"/>
      <c r="AI1469" s="64">
        <f t="shared" si="292"/>
        <v>4.1379310344827587E-5</v>
      </c>
      <c r="AJ1469" s="313">
        <f>RTD("money.excel",,$G1469,"PredictVolume")</f>
        <v>72</v>
      </c>
      <c r="AK1469" s="348"/>
    </row>
    <row r="1470" spans="1:37">
      <c r="A1470" s="148" t="s">
        <v>2162</v>
      </c>
      <c r="B1470" s="93">
        <v>-49</v>
      </c>
      <c r="C1470" s="93">
        <v>-40</v>
      </c>
      <c r="D1470" s="93">
        <v>116</v>
      </c>
      <c r="E1470" s="93">
        <v>737</v>
      </c>
      <c r="F1470" s="6">
        <v>-14.06</v>
      </c>
      <c r="G1470" s="81">
        <v>3052</v>
      </c>
      <c r="H1470" s="8" t="s">
        <v>931</v>
      </c>
      <c r="I1470" s="22" t="s">
        <v>983</v>
      </c>
      <c r="J1470" s="75">
        <v>62.35</v>
      </c>
      <c r="K1470" s="75">
        <v>1.35</v>
      </c>
      <c r="L1470" s="75">
        <v>5.0199999999999996</v>
      </c>
      <c r="N1470" s="325">
        <f t="shared" si="287"/>
        <v>68.72</v>
      </c>
      <c r="O1470" s="27"/>
      <c r="P1470" s="56"/>
      <c r="Q1470" s="26"/>
      <c r="S1470" s="330">
        <v>7.09</v>
      </c>
      <c r="T1470" s="34">
        <v>0.8</v>
      </c>
      <c r="U1470" s="366">
        <f t="shared" si="291"/>
        <v>7.8431372549019621E-2</v>
      </c>
      <c r="V1470" s="97">
        <v>1.59</v>
      </c>
      <c r="W1470" s="13">
        <f>RTD("money.excel",,"3052","Price")</f>
        <v>10.199999999999999</v>
      </c>
      <c r="X1470" s="67"/>
      <c r="Y1470" s="15">
        <f t="shared" si="288"/>
        <v>10.199999999999999</v>
      </c>
      <c r="Z1470" s="3" t="e">
        <f t="shared" si="289"/>
        <v>#DIV/0!</v>
      </c>
      <c r="AB1470" s="22" t="s">
        <v>983</v>
      </c>
      <c r="AE1470" s="33">
        <f t="shared" si="290"/>
        <v>0</v>
      </c>
      <c r="AF1470" s="43" t="s">
        <v>1622</v>
      </c>
      <c r="AG1470" s="269"/>
      <c r="AI1470" s="64">
        <f t="shared" si="292"/>
        <v>7.5000000000000002E-4</v>
      </c>
      <c r="AJ1470" s="313">
        <f>RTD("money.excel",,$G1470,"PredictVolume")</f>
        <v>171</v>
      </c>
      <c r="AK1470" s="348"/>
    </row>
    <row r="1471" spans="1:37">
      <c r="A1471" s="132" t="s">
        <v>2333</v>
      </c>
      <c r="B1471" s="81">
        <v>218</v>
      </c>
      <c r="C1471" s="81">
        <v>229</v>
      </c>
      <c r="D1471" s="81">
        <v>1</v>
      </c>
      <c r="E1471" s="81">
        <v>-99</v>
      </c>
      <c r="F1471" s="58">
        <v>23.8</v>
      </c>
      <c r="G1471" s="81">
        <v>3056</v>
      </c>
      <c r="H1471" s="8" t="s">
        <v>931</v>
      </c>
      <c r="I1471" s="22" t="s">
        <v>984</v>
      </c>
      <c r="J1471" s="75">
        <v>42.66</v>
      </c>
      <c r="K1471" s="75">
        <v>7.65</v>
      </c>
      <c r="L1471" s="75">
        <v>10.53</v>
      </c>
      <c r="N1471" s="325">
        <f t="shared" si="287"/>
        <v>60.839999999999996</v>
      </c>
      <c r="O1471" s="27"/>
      <c r="P1471" s="56"/>
      <c r="Q1471" s="26"/>
      <c r="R1471" s="308" t="s">
        <v>4373</v>
      </c>
      <c r="S1471" s="330">
        <v>0</v>
      </c>
      <c r="T1471" s="67">
        <v>4.4000000000000004</v>
      </c>
      <c r="U1471" s="366">
        <f t="shared" si="291"/>
        <v>0.11210191082802548</v>
      </c>
      <c r="V1471" s="97">
        <v>7.1</v>
      </c>
      <c r="W1471" s="36">
        <f>RTD("money.excel",,"3056","Price")</f>
        <v>39.25</v>
      </c>
      <c r="X1471" s="67"/>
      <c r="Y1471" s="15">
        <f t="shared" si="288"/>
        <v>39.25</v>
      </c>
      <c r="Z1471" s="3" t="e">
        <f t="shared" si="289"/>
        <v>#DIV/0!</v>
      </c>
      <c r="AA1471" s="174" t="s">
        <v>1986</v>
      </c>
      <c r="AB1471" s="22" t="s">
        <v>984</v>
      </c>
      <c r="AE1471" s="33">
        <f t="shared" si="290"/>
        <v>0</v>
      </c>
      <c r="AF1471" s="43" t="s">
        <v>2403</v>
      </c>
      <c r="AG1471" s="128"/>
      <c r="AI1471" s="64">
        <f t="shared" si="292"/>
        <v>3.2511848341232226E-3</v>
      </c>
      <c r="AJ1471" s="313">
        <f>RTD("money.excel",,$G1471,"PredictVolume")</f>
        <v>686</v>
      </c>
      <c r="AK1471" s="348"/>
    </row>
    <row r="1472" spans="1:37">
      <c r="A1472" s="148" t="s">
        <v>2282</v>
      </c>
      <c r="B1472" s="93">
        <v>-74</v>
      </c>
      <c r="C1472" s="93">
        <v>-64</v>
      </c>
      <c r="D1472" s="93">
        <v>108</v>
      </c>
      <c r="E1472" s="93">
        <v>270</v>
      </c>
      <c r="F1472" s="6">
        <v>9.7100000000000009</v>
      </c>
      <c r="G1472" s="81">
        <v>3188</v>
      </c>
      <c r="H1472" s="8" t="s">
        <v>931</v>
      </c>
      <c r="I1472" s="16" t="s">
        <v>934</v>
      </c>
      <c r="J1472" s="75">
        <v>76.989999999999995</v>
      </c>
      <c r="K1472" s="75">
        <v>0</v>
      </c>
      <c r="L1472" s="75">
        <v>4.24</v>
      </c>
      <c r="N1472" s="325">
        <f t="shared" si="287"/>
        <v>81.22999999999999</v>
      </c>
      <c r="O1472" s="27"/>
      <c r="P1472" s="56"/>
      <c r="Q1472" s="26"/>
      <c r="S1472" s="330">
        <v>48.12</v>
      </c>
      <c r="T1472" s="34">
        <v>0.3</v>
      </c>
      <c r="U1472" s="366">
        <f t="shared" si="291"/>
        <v>1.8808777429467086E-2</v>
      </c>
      <c r="V1472" s="97">
        <v>0.49</v>
      </c>
      <c r="W1472" s="36">
        <f>RTD("money.excel",,"3188","Price")</f>
        <v>15.95</v>
      </c>
      <c r="X1472" s="67"/>
      <c r="Y1472" s="15">
        <f t="shared" si="288"/>
        <v>15.95</v>
      </c>
      <c r="Z1472" s="3" t="e">
        <f t="shared" si="289"/>
        <v>#DIV/0!</v>
      </c>
      <c r="AB1472" s="16" t="s">
        <v>934</v>
      </c>
      <c r="AE1472" s="33">
        <f t="shared" si="290"/>
        <v>0</v>
      </c>
      <c r="AF1472" s="43" t="s">
        <v>3189</v>
      </c>
      <c r="AG1472" s="269"/>
      <c r="AI1472" s="64">
        <f t="shared" si="292"/>
        <v>2.5000000000000001E-4</v>
      </c>
      <c r="AJ1472" s="313">
        <f>RTD("money.excel",,$G1472,"PredictVolume")</f>
        <v>30</v>
      </c>
      <c r="AK1472" s="348"/>
    </row>
    <row r="1473" spans="1:37">
      <c r="A1473" s="148" t="s">
        <v>3725</v>
      </c>
      <c r="B1473" s="93">
        <v>-30</v>
      </c>
      <c r="C1473" s="93">
        <v>-12</v>
      </c>
      <c r="D1473" s="93">
        <v>-38</v>
      </c>
      <c r="E1473" s="93">
        <v>-26</v>
      </c>
      <c r="F1473" s="6">
        <v>9.1300000000000008</v>
      </c>
      <c r="G1473" s="81">
        <v>3266</v>
      </c>
      <c r="H1473" s="8" t="s">
        <v>931</v>
      </c>
      <c r="I1473" s="22" t="s">
        <v>985</v>
      </c>
      <c r="J1473" s="75">
        <v>88.91</v>
      </c>
      <c r="K1473" s="75">
        <v>4.92</v>
      </c>
      <c r="L1473" s="75">
        <v>3.7</v>
      </c>
      <c r="N1473" s="325">
        <f t="shared" si="287"/>
        <v>97.53</v>
      </c>
      <c r="O1473" s="27"/>
      <c r="P1473" s="56"/>
      <c r="Q1473" s="26"/>
      <c r="S1473" s="330">
        <v>16.02</v>
      </c>
      <c r="T1473" s="34">
        <v>0</v>
      </c>
      <c r="U1473" s="366">
        <f t="shared" si="291"/>
        <v>0</v>
      </c>
      <c r="V1473" s="97">
        <v>0.4</v>
      </c>
      <c r="W1473" s="13">
        <f>RTD("money.excel",,"3266","Price")</f>
        <v>13.45</v>
      </c>
      <c r="X1473" s="67"/>
      <c r="Y1473" s="15">
        <f t="shared" si="288"/>
        <v>13.45</v>
      </c>
      <c r="Z1473" s="3" t="e">
        <f t="shared" si="289"/>
        <v>#DIV/0!</v>
      </c>
      <c r="AB1473" s="22" t="s">
        <v>985</v>
      </c>
      <c r="AE1473" s="33">
        <f t="shared" si="290"/>
        <v>0</v>
      </c>
      <c r="AF1473" s="43" t="s">
        <v>2403</v>
      </c>
      <c r="AG1473" s="128"/>
      <c r="AI1473" s="64">
        <f t="shared" si="292"/>
        <v>1.0227272727272727E-4</v>
      </c>
      <c r="AJ1473" s="313">
        <f>RTD("money.excel",,$G1473,"PredictVolume")</f>
        <v>36</v>
      </c>
      <c r="AK1473" s="348"/>
    </row>
    <row r="1474" spans="1:37">
      <c r="A1474" s="148" t="s">
        <v>3536</v>
      </c>
      <c r="B1474" s="81">
        <v>1</v>
      </c>
      <c r="C1474" s="81">
        <v>16</v>
      </c>
      <c r="D1474" s="81">
        <v>5</v>
      </c>
      <c r="E1474" s="81">
        <v>270</v>
      </c>
      <c r="F1474" s="6">
        <v>6.44</v>
      </c>
      <c r="G1474" s="81">
        <v>3489</v>
      </c>
      <c r="H1474" s="8" t="s">
        <v>931</v>
      </c>
      <c r="I1474" s="16" t="s">
        <v>935</v>
      </c>
      <c r="J1474" s="330">
        <v>78.63</v>
      </c>
      <c r="K1474" s="75">
        <v>0.08</v>
      </c>
      <c r="L1474" s="75">
        <v>12.54</v>
      </c>
      <c r="N1474" s="325">
        <f t="shared" si="287"/>
        <v>91.25</v>
      </c>
      <c r="O1474" s="27"/>
      <c r="P1474" s="56"/>
      <c r="Q1474" s="26"/>
      <c r="S1474" s="330">
        <v>70.989999999999995</v>
      </c>
      <c r="T1474" s="34">
        <v>0.3</v>
      </c>
      <c r="U1474" s="366">
        <f t="shared" si="291"/>
        <v>2.8301886792452831E-2</v>
      </c>
      <c r="V1474" s="58">
        <v>0.32</v>
      </c>
      <c r="W1474" s="36">
        <f>RTD("money.excel",,"3489","Price")</f>
        <v>10.6</v>
      </c>
      <c r="X1474" s="67"/>
      <c r="Y1474" s="15">
        <f t="shared" si="288"/>
        <v>10.6</v>
      </c>
      <c r="Z1474" s="3" t="e">
        <f t="shared" si="289"/>
        <v>#DIV/0!</v>
      </c>
      <c r="AB1474" s="16" t="s">
        <v>935</v>
      </c>
      <c r="AE1474" s="33">
        <f t="shared" si="290"/>
        <v>0</v>
      </c>
      <c r="AF1474" s="43" t="s">
        <v>2403</v>
      </c>
      <c r="AG1474" s="128"/>
      <c r="AI1474" s="64">
        <f t="shared" si="292"/>
        <v>4.0914560770156439E-4</v>
      </c>
      <c r="AJ1474" s="313">
        <f>RTD("money.excel",,$G1474,"PredictVolume")</f>
        <v>34</v>
      </c>
      <c r="AK1474" s="348"/>
    </row>
    <row r="1475" spans="1:37">
      <c r="A1475" s="148" t="s">
        <v>2464</v>
      </c>
      <c r="B1475" s="82">
        <v>-1</v>
      </c>
      <c r="C1475" s="82">
        <v>-11</v>
      </c>
      <c r="D1475" s="82">
        <v>-8</v>
      </c>
      <c r="E1475" s="81">
        <v>31</v>
      </c>
      <c r="F1475" s="6">
        <v>8.67</v>
      </c>
      <c r="G1475" s="81">
        <v>3703</v>
      </c>
      <c r="H1475" s="8" t="s">
        <v>931</v>
      </c>
      <c r="I1475" s="22" t="s">
        <v>5960</v>
      </c>
      <c r="J1475" s="75">
        <v>76.16</v>
      </c>
      <c r="K1475" s="75">
        <v>21.69</v>
      </c>
      <c r="L1475" s="330">
        <v>5.55</v>
      </c>
      <c r="N1475" s="325">
        <f t="shared" si="287"/>
        <v>103.39999999999999</v>
      </c>
      <c r="O1475" s="27"/>
      <c r="P1475" s="56"/>
      <c r="Q1475" s="26"/>
      <c r="S1475" s="330">
        <v>0.82</v>
      </c>
      <c r="T1475" s="34">
        <v>1.4</v>
      </c>
      <c r="U1475" s="366">
        <f t="shared" si="291"/>
        <v>5.9574468085106379E-2</v>
      </c>
      <c r="V1475" s="97">
        <v>1.87</v>
      </c>
      <c r="W1475" s="36">
        <f>RTD("money.excel",,"3703","Price")</f>
        <v>23.5</v>
      </c>
      <c r="X1475" s="67"/>
      <c r="Y1475" s="15">
        <f t="shared" si="288"/>
        <v>23.5</v>
      </c>
      <c r="Z1475" s="3" t="e">
        <f t="shared" si="289"/>
        <v>#DIV/0!</v>
      </c>
      <c r="AA1475" s="174" t="s">
        <v>1943</v>
      </c>
      <c r="AB1475" s="22" t="s">
        <v>5960</v>
      </c>
      <c r="AE1475" s="33">
        <f t="shared" si="290"/>
        <v>0</v>
      </c>
      <c r="AF1475" s="122" t="s">
        <v>2465</v>
      </c>
      <c r="AG1475" s="128"/>
      <c r="AI1475" s="64">
        <f t="shared" si="292"/>
        <v>4.4714459295261237E-4</v>
      </c>
      <c r="AJ1475" s="313">
        <f>RTD("money.excel",,$G1475,"PredictVolume")</f>
        <v>368</v>
      </c>
      <c r="AK1475" s="348"/>
    </row>
    <row r="1476" spans="1:37">
      <c r="A1476" s="148" t="s">
        <v>2333</v>
      </c>
      <c r="B1476" s="82">
        <v>26</v>
      </c>
      <c r="C1476" s="82">
        <v>-136</v>
      </c>
      <c r="D1476" s="81">
        <v>10</v>
      </c>
      <c r="E1476" s="82">
        <v>-49</v>
      </c>
      <c r="F1476" s="58">
        <v>-19.88</v>
      </c>
      <c r="G1476" s="81">
        <v>4113</v>
      </c>
      <c r="H1476" s="8" t="s">
        <v>931</v>
      </c>
      <c r="I1476" s="16" t="s">
        <v>936</v>
      </c>
      <c r="J1476" s="75">
        <v>62.87</v>
      </c>
      <c r="K1476" s="75">
        <v>0.27</v>
      </c>
      <c r="L1476" s="75">
        <v>1.83</v>
      </c>
      <c r="N1476" s="325">
        <f t="shared" si="287"/>
        <v>64.97</v>
      </c>
      <c r="O1476" s="27"/>
      <c r="P1476" s="56"/>
      <c r="Q1476" s="26"/>
      <c r="S1476" s="330">
        <v>0</v>
      </c>
      <c r="T1476" s="34">
        <v>0.3</v>
      </c>
      <c r="U1476" s="366">
        <f t="shared" si="291"/>
        <v>2.1126760563380281E-2</v>
      </c>
      <c r="V1476" s="58">
        <v>-0.5</v>
      </c>
      <c r="W1476" s="36">
        <f>RTD("money.excel",,"4113","Price")</f>
        <v>14.2</v>
      </c>
      <c r="X1476" s="67"/>
      <c r="Y1476" s="15">
        <f t="shared" si="288"/>
        <v>14.2</v>
      </c>
      <c r="Z1476" s="3" t="e">
        <f t="shared" si="289"/>
        <v>#DIV/0!</v>
      </c>
      <c r="AA1476" s="174" t="s">
        <v>1943</v>
      </c>
      <c r="AB1476" s="16" t="s">
        <v>936</v>
      </c>
      <c r="AE1476" s="33">
        <f t="shared" si="290"/>
        <v>0</v>
      </c>
      <c r="AF1476" s="43" t="s">
        <v>2576</v>
      </c>
      <c r="AI1476" s="64">
        <f t="shared" si="292"/>
        <v>4.4075829383886255E-4</v>
      </c>
      <c r="AJ1476" s="313">
        <f>RTD("money.excel",,$G1476,"PredictVolume")</f>
        <v>93</v>
      </c>
    </row>
    <row r="1477" spans="1:37">
      <c r="A1477" s="132" t="s">
        <v>2497</v>
      </c>
      <c r="B1477" s="93">
        <v>-1</v>
      </c>
      <c r="C1477" s="93">
        <v>182</v>
      </c>
      <c r="D1477" s="93">
        <v>2</v>
      </c>
      <c r="E1477" s="93">
        <v>0</v>
      </c>
      <c r="F1477" s="58">
        <v>13.4</v>
      </c>
      <c r="G1477" s="81">
        <v>4416</v>
      </c>
      <c r="H1477" s="8" t="s">
        <v>931</v>
      </c>
      <c r="I1477" s="16" t="s">
        <v>937</v>
      </c>
      <c r="J1477" s="75">
        <v>94.01</v>
      </c>
      <c r="K1477" s="75">
        <v>0</v>
      </c>
      <c r="L1477" s="75">
        <v>0.79</v>
      </c>
      <c r="N1477" s="325">
        <f t="shared" si="287"/>
        <v>94.800000000000011</v>
      </c>
      <c r="O1477" s="27"/>
      <c r="P1477" s="56"/>
      <c r="Q1477" s="26"/>
      <c r="S1477" s="330">
        <v>29.19</v>
      </c>
      <c r="T1477" s="34">
        <v>0</v>
      </c>
      <c r="U1477" s="366">
        <f t="shared" si="291"/>
        <v>0</v>
      </c>
      <c r="V1477" s="97">
        <v>-1.95</v>
      </c>
      <c r="W1477" s="36">
        <f>RTD("money.excel",,"4416","Price")</f>
        <v>114</v>
      </c>
      <c r="X1477" s="67"/>
      <c r="Y1477" s="15">
        <f t="shared" si="288"/>
        <v>114</v>
      </c>
      <c r="Z1477" s="3" t="e">
        <f t="shared" si="289"/>
        <v>#DIV/0!</v>
      </c>
      <c r="AB1477" s="16" t="s">
        <v>937</v>
      </c>
      <c r="AE1477" s="33">
        <f t="shared" si="290"/>
        <v>0</v>
      </c>
      <c r="AF1477" s="43" t="s">
        <v>3190</v>
      </c>
      <c r="AG1477" s="128"/>
      <c r="AI1477" s="64">
        <f t="shared" si="292"/>
        <v>6.666666666666667E-5</v>
      </c>
      <c r="AJ1477" s="313">
        <f>RTD("money.excel",,$G1477,"PredictVolume")</f>
        <v>4</v>
      </c>
      <c r="AK1477" s="348"/>
    </row>
    <row r="1478" spans="1:37">
      <c r="A1478" s="132" t="s">
        <v>1807</v>
      </c>
      <c r="B1478" s="82">
        <v>-11</v>
      </c>
      <c r="C1478" s="82">
        <v>-14</v>
      </c>
      <c r="D1478" s="82">
        <v>-19</v>
      </c>
      <c r="E1478" s="81">
        <v>61</v>
      </c>
      <c r="F1478" s="58">
        <v>11.02</v>
      </c>
      <c r="G1478" s="81">
        <v>4907</v>
      </c>
      <c r="H1478" s="8" t="s">
        <v>931</v>
      </c>
      <c r="I1478" s="16" t="s">
        <v>938</v>
      </c>
      <c r="J1478" s="330">
        <v>85.11</v>
      </c>
      <c r="K1478" s="75">
        <v>0.13</v>
      </c>
      <c r="L1478" s="75">
        <v>1.56</v>
      </c>
      <c r="N1478" s="325">
        <f t="shared" si="287"/>
        <v>86.8</v>
      </c>
      <c r="O1478" s="27"/>
      <c r="P1478" s="56"/>
      <c r="Q1478" s="26"/>
      <c r="S1478" s="330">
        <v>0</v>
      </c>
      <c r="T1478" s="34">
        <v>1.2</v>
      </c>
      <c r="U1478" s="366">
        <f t="shared" si="291"/>
        <v>4.9382716049382713E-2</v>
      </c>
      <c r="V1478" s="58">
        <v>1.2</v>
      </c>
      <c r="W1478" s="36">
        <f>RTD("money.excel",,"4907","Price")</f>
        <v>24.3</v>
      </c>
      <c r="X1478" s="67"/>
      <c r="Y1478" s="15">
        <f t="shared" si="288"/>
        <v>24.3</v>
      </c>
      <c r="Z1478" s="3" t="e">
        <f t="shared" si="289"/>
        <v>#DIV/0!</v>
      </c>
      <c r="AB1478" s="16" t="s">
        <v>938</v>
      </c>
      <c r="AE1478" s="33">
        <f t="shared" si="290"/>
        <v>0</v>
      </c>
      <c r="AF1478" s="43" t="s">
        <v>3191</v>
      </c>
      <c r="AG1478" s="128"/>
      <c r="AI1478" s="64">
        <f t="shared" si="292"/>
        <v>8.4745762711864406E-6</v>
      </c>
      <c r="AJ1478" s="313">
        <f>RTD("money.excel",,$G1478,"PredictVolume")</f>
        <v>1</v>
      </c>
      <c r="AK1478" s="348"/>
    </row>
    <row r="1479" spans="1:37">
      <c r="A1479" s="132" t="s">
        <v>2420</v>
      </c>
      <c r="B1479" s="93">
        <v>-5</v>
      </c>
      <c r="C1479" s="93">
        <v>-4</v>
      </c>
      <c r="D1479" s="93">
        <v>-25</v>
      </c>
      <c r="E1479" s="93">
        <v>-23</v>
      </c>
      <c r="F1479" s="58">
        <v>19.55</v>
      </c>
      <c r="G1479" s="81">
        <v>5206</v>
      </c>
      <c r="H1479" s="8" t="s">
        <v>931</v>
      </c>
      <c r="I1479" s="16" t="s">
        <v>939</v>
      </c>
      <c r="J1479" s="75">
        <v>82.94</v>
      </c>
      <c r="K1479" s="75">
        <v>10.58</v>
      </c>
      <c r="L1479" s="75">
        <v>1.57</v>
      </c>
      <c r="N1479" s="325">
        <f t="shared" si="287"/>
        <v>95.089999999999989</v>
      </c>
      <c r="O1479" s="27"/>
      <c r="P1479" s="56"/>
      <c r="Q1479" s="26"/>
      <c r="S1479" s="330">
        <v>47.08</v>
      </c>
      <c r="T1479" s="34">
        <v>1.25</v>
      </c>
      <c r="U1479" s="366">
        <f t="shared" si="291"/>
        <v>7.8864353312302835E-2</v>
      </c>
      <c r="V1479" s="97">
        <v>3.15</v>
      </c>
      <c r="W1479" s="36">
        <f>RTD("money.excel",,"5206","Price")</f>
        <v>15.85</v>
      </c>
      <c r="X1479" s="67"/>
      <c r="Y1479" s="15">
        <f t="shared" si="288"/>
        <v>15.85</v>
      </c>
      <c r="Z1479" s="3" t="e">
        <f t="shared" si="289"/>
        <v>#DIV/0!</v>
      </c>
      <c r="AB1479" s="16" t="s">
        <v>939</v>
      </c>
      <c r="AE1479" s="33">
        <f t="shared" si="290"/>
        <v>0</v>
      </c>
      <c r="AF1479" s="43" t="s">
        <v>2403</v>
      </c>
      <c r="AG1479" s="128"/>
      <c r="AI1479" s="64">
        <f t="shared" si="292"/>
        <v>1.2903225806451613E-4</v>
      </c>
      <c r="AJ1479" s="313">
        <f>RTD("money.excel",,$G1479,"PredictVolume")</f>
        <v>20</v>
      </c>
      <c r="AK1479" s="348"/>
    </row>
    <row r="1480" spans="1:37">
      <c r="A1480" s="148" t="s">
        <v>3624</v>
      </c>
      <c r="B1480" s="82">
        <v>-171</v>
      </c>
      <c r="C1480" s="81">
        <v>29</v>
      </c>
      <c r="D1480" s="81">
        <v>414</v>
      </c>
      <c r="E1480" s="81">
        <v>658</v>
      </c>
      <c r="F1480" s="6">
        <v>4.5599999999999996</v>
      </c>
      <c r="G1480" s="81">
        <v>5213</v>
      </c>
      <c r="H1480" s="8" t="s">
        <v>931</v>
      </c>
      <c r="I1480" s="16" t="s">
        <v>940</v>
      </c>
      <c r="J1480" s="330">
        <v>79.680000000000007</v>
      </c>
      <c r="K1480" s="75">
        <v>1.58</v>
      </c>
      <c r="L1480" s="330">
        <v>1.54</v>
      </c>
      <c r="N1480" s="325">
        <f t="shared" si="287"/>
        <v>82.800000000000011</v>
      </c>
      <c r="O1480" s="27"/>
      <c r="P1480" s="56"/>
      <c r="Q1480" s="26"/>
      <c r="S1480" s="330">
        <v>0</v>
      </c>
      <c r="T1480" s="34">
        <v>2</v>
      </c>
      <c r="U1480" s="366">
        <f t="shared" si="291"/>
        <v>8.5106382978723402E-2</v>
      </c>
      <c r="V1480" s="58">
        <v>1.76</v>
      </c>
      <c r="W1480" s="36">
        <f>RTD("money.excel",,"5213","Price")</f>
        <v>23.5</v>
      </c>
      <c r="X1480" s="67"/>
      <c r="Y1480" s="15">
        <f t="shared" si="288"/>
        <v>23.5</v>
      </c>
      <c r="Z1480" s="3" t="e">
        <f t="shared" si="289"/>
        <v>#DIV/0!</v>
      </c>
      <c r="AA1480" s="174" t="s">
        <v>1943</v>
      </c>
      <c r="AB1480" s="16" t="s">
        <v>940</v>
      </c>
      <c r="AE1480" s="33">
        <f t="shared" si="290"/>
        <v>0</v>
      </c>
      <c r="AF1480" s="43" t="s">
        <v>2403</v>
      </c>
      <c r="AG1480" s="128"/>
      <c r="AI1480" s="64">
        <f t="shared" si="292"/>
        <v>3.4971098265895956E-4</v>
      </c>
      <c r="AJ1480" s="313">
        <f>RTD("money.excel",,$G1480,"PredictVolume")</f>
        <v>121</v>
      </c>
      <c r="AK1480" s="348"/>
    </row>
    <row r="1481" spans="1:37">
      <c r="A1481" s="148" t="s">
        <v>1826</v>
      </c>
      <c r="B1481" s="82">
        <v>-634</v>
      </c>
      <c r="C1481" s="82">
        <v>-5</v>
      </c>
      <c r="D1481" s="81">
        <v>1</v>
      </c>
      <c r="E1481" s="81">
        <v>23</v>
      </c>
      <c r="F1481" s="6">
        <v>-78.25</v>
      </c>
      <c r="G1481" s="81">
        <v>5324</v>
      </c>
      <c r="H1481" s="8" t="s">
        <v>931</v>
      </c>
      <c r="I1481" s="16" t="s">
        <v>941</v>
      </c>
      <c r="J1481" s="75">
        <v>69.38</v>
      </c>
      <c r="K1481" s="75">
        <v>5.54</v>
      </c>
      <c r="L1481" s="330"/>
      <c r="N1481" s="325">
        <f t="shared" si="287"/>
        <v>74.92</v>
      </c>
      <c r="O1481" s="27"/>
      <c r="P1481" s="56"/>
      <c r="Q1481" s="26"/>
      <c r="T1481" s="34">
        <v>0</v>
      </c>
      <c r="U1481" s="366">
        <f t="shared" si="291"/>
        <v>0</v>
      </c>
      <c r="V1481" s="58">
        <v>-0.97</v>
      </c>
      <c r="W1481" s="36">
        <f>RTD("money.excel",,"5324","Price")</f>
        <v>9.35</v>
      </c>
      <c r="X1481" s="67"/>
      <c r="Y1481" s="15">
        <f t="shared" si="288"/>
        <v>9.35</v>
      </c>
      <c r="Z1481" s="3" t="e">
        <f t="shared" si="289"/>
        <v>#DIV/0!</v>
      </c>
      <c r="AB1481" s="16" t="s">
        <v>941</v>
      </c>
      <c r="AE1481" s="33">
        <f t="shared" si="290"/>
        <v>0</v>
      </c>
      <c r="AF1481" s="43" t="s">
        <v>3192</v>
      </c>
      <c r="AG1481" s="128"/>
      <c r="AI1481" s="64">
        <f t="shared" si="292"/>
        <v>2.4336283185840709E-4</v>
      </c>
      <c r="AJ1481" s="313">
        <f>RTD("money.excel",,$G1481,"PredictVolume")</f>
        <v>55</v>
      </c>
      <c r="AK1481" s="348"/>
    </row>
    <row r="1482" spans="1:37">
      <c r="A1482" s="132" t="s">
        <v>3593</v>
      </c>
      <c r="B1482" s="93">
        <v>-104</v>
      </c>
      <c r="C1482" s="93">
        <v>-106</v>
      </c>
      <c r="D1482" s="93">
        <v>0</v>
      </c>
      <c r="E1482" s="93">
        <v>-1</v>
      </c>
      <c r="F1482" s="153">
        <v>-924.9</v>
      </c>
      <c r="G1482" s="81">
        <v>5455</v>
      </c>
      <c r="H1482" s="8" t="s">
        <v>931</v>
      </c>
      <c r="I1482" s="16" t="s">
        <v>3625</v>
      </c>
      <c r="J1482" s="75">
        <v>74.91</v>
      </c>
      <c r="K1482" s="75">
        <v>1.41</v>
      </c>
      <c r="L1482" s="75">
        <v>0.91</v>
      </c>
      <c r="N1482" s="325">
        <f t="shared" si="287"/>
        <v>77.22999999999999</v>
      </c>
      <c r="O1482" s="27"/>
      <c r="P1482" s="56"/>
      <c r="Q1482" s="26"/>
      <c r="S1482" s="330">
        <v>40.99</v>
      </c>
      <c r="T1482" s="34">
        <v>0</v>
      </c>
      <c r="U1482" s="366">
        <f t="shared" si="291"/>
        <v>0</v>
      </c>
      <c r="V1482" s="97">
        <v>-0.21</v>
      </c>
      <c r="W1482" s="36">
        <f>RTD("money.excel",,"5455","Price")</f>
        <v>29.6</v>
      </c>
      <c r="X1482" s="67"/>
      <c r="Y1482" s="15">
        <f t="shared" si="288"/>
        <v>29.6</v>
      </c>
      <c r="Z1482" s="3" t="e">
        <f t="shared" si="289"/>
        <v>#DIV/0!</v>
      </c>
      <c r="AB1482" s="16" t="s">
        <v>3625</v>
      </c>
      <c r="AE1482" s="33">
        <f t="shared" si="290"/>
        <v>0</v>
      </c>
      <c r="AF1482" s="43" t="s">
        <v>3626</v>
      </c>
      <c r="AG1482" s="128"/>
      <c r="AI1482" s="64">
        <f t="shared" si="292"/>
        <v>4.5801526717557249E-5</v>
      </c>
      <c r="AJ1482" s="313">
        <f>RTD("money.excel",,$G1482,"PredictVolume")</f>
        <v>3</v>
      </c>
      <c r="AK1482" s="348"/>
    </row>
    <row r="1483" spans="1:37">
      <c r="A1483" s="132" t="s">
        <v>1823</v>
      </c>
      <c r="B1483" s="81">
        <v>69</v>
      </c>
      <c r="C1483" s="81">
        <v>68</v>
      </c>
      <c r="D1483" s="81">
        <v>-78</v>
      </c>
      <c r="E1483" s="81">
        <v>73</v>
      </c>
      <c r="F1483" s="58">
        <v>23.12</v>
      </c>
      <c r="G1483" s="81">
        <v>5508</v>
      </c>
      <c r="H1483" s="8" t="s">
        <v>931</v>
      </c>
      <c r="I1483" s="16" t="s">
        <v>1145</v>
      </c>
      <c r="J1483" s="75">
        <v>76.209999999999994</v>
      </c>
      <c r="K1483" s="75">
        <v>0.56000000000000005</v>
      </c>
      <c r="L1483" s="75">
        <v>7.26</v>
      </c>
      <c r="N1483" s="325">
        <f t="shared" si="287"/>
        <v>84.03</v>
      </c>
      <c r="O1483" s="27"/>
      <c r="P1483" s="56"/>
      <c r="Q1483" s="26"/>
      <c r="S1483" s="330">
        <v>0</v>
      </c>
      <c r="T1483" s="67">
        <v>3.34</v>
      </c>
      <c r="U1483" s="366">
        <f t="shared" si="291"/>
        <v>4.3264248704663208E-2</v>
      </c>
      <c r="V1483" s="97">
        <v>3.72</v>
      </c>
      <c r="W1483" s="36">
        <f>RTD("money.excel",,"5508","Price")</f>
        <v>77.2</v>
      </c>
      <c r="X1483" s="67"/>
      <c r="Y1483" s="15">
        <f t="shared" si="288"/>
        <v>77.2</v>
      </c>
      <c r="Z1483" s="3" t="e">
        <f t="shared" si="289"/>
        <v>#DIV/0!</v>
      </c>
      <c r="AA1483" s="174" t="s">
        <v>1986</v>
      </c>
      <c r="AB1483" s="16" t="s">
        <v>1145</v>
      </c>
      <c r="AE1483" s="33">
        <f t="shared" si="290"/>
        <v>0</v>
      </c>
      <c r="AF1483" s="43" t="s">
        <v>2403</v>
      </c>
      <c r="AG1483" s="128"/>
      <c r="AI1483" s="64">
        <f t="shared" si="292"/>
        <v>2.4654377880184331E-3</v>
      </c>
      <c r="AJ1483" s="313">
        <f>RTD("money.excel",,$G1483,"PredictVolume")</f>
        <v>535</v>
      </c>
      <c r="AK1483" s="348"/>
    </row>
    <row r="1484" spans="1:37">
      <c r="A1484" s="148" t="s">
        <v>2644</v>
      </c>
      <c r="B1484" s="93">
        <v>-32</v>
      </c>
      <c r="C1484" s="93">
        <v>-46</v>
      </c>
      <c r="D1484" s="93">
        <v>-60</v>
      </c>
      <c r="E1484" s="93">
        <v>28</v>
      </c>
      <c r="F1484" s="6">
        <v>6.47</v>
      </c>
      <c r="G1484" s="81">
        <v>5511</v>
      </c>
      <c r="H1484" s="8" t="s">
        <v>931</v>
      </c>
      <c r="I1484" s="16" t="s">
        <v>942</v>
      </c>
      <c r="J1484" s="75">
        <v>76.39</v>
      </c>
      <c r="K1484" s="75">
        <v>1.33</v>
      </c>
      <c r="L1484" s="75">
        <v>4</v>
      </c>
      <c r="N1484" s="325">
        <f t="shared" si="287"/>
        <v>81.72</v>
      </c>
      <c r="O1484" s="27"/>
      <c r="P1484" s="56"/>
      <c r="Q1484" s="26"/>
      <c r="S1484" s="330">
        <v>24.34</v>
      </c>
      <c r="T1484" s="34">
        <v>2</v>
      </c>
      <c r="U1484" s="366">
        <f t="shared" si="291"/>
        <v>6.5466448445171854E-2</v>
      </c>
      <c r="V1484" s="97">
        <v>4.2</v>
      </c>
      <c r="W1484" s="36">
        <f>RTD("money.excel",,"5511","Price")</f>
        <v>30.55</v>
      </c>
      <c r="X1484" s="67"/>
      <c r="Y1484" s="15">
        <f t="shared" si="288"/>
        <v>30.55</v>
      </c>
      <c r="Z1484" s="3" t="e">
        <f t="shared" si="289"/>
        <v>#DIV/0!</v>
      </c>
      <c r="AB1484" s="16" t="s">
        <v>942</v>
      </c>
      <c r="AE1484" s="33">
        <f t="shared" si="290"/>
        <v>0</v>
      </c>
      <c r="AF1484" s="43" t="s">
        <v>346</v>
      </c>
      <c r="AG1484" s="128"/>
      <c r="AI1484" s="64">
        <f t="shared" si="292"/>
        <v>2.1238938053097346E-4</v>
      </c>
      <c r="AJ1484" s="313">
        <f>RTD("money.excel",,$G1484,"PredictVolume")</f>
        <v>24</v>
      </c>
      <c r="AK1484" s="348"/>
    </row>
    <row r="1485" spans="1:37">
      <c r="A1485" s="132" t="s">
        <v>3627</v>
      </c>
      <c r="B1485" s="82">
        <v>-80</v>
      </c>
      <c r="C1485" s="82">
        <v>-58</v>
      </c>
      <c r="D1485" s="82">
        <v>-32</v>
      </c>
      <c r="E1485" s="82">
        <v>-10</v>
      </c>
      <c r="F1485" s="58">
        <v>10.77</v>
      </c>
      <c r="G1485" s="81">
        <v>5512</v>
      </c>
      <c r="H1485" s="8" t="s">
        <v>931</v>
      </c>
      <c r="I1485" s="16" t="s">
        <v>5961</v>
      </c>
      <c r="J1485" s="330">
        <v>53.99</v>
      </c>
      <c r="K1485" s="75">
        <v>6.71</v>
      </c>
      <c r="L1485" s="330">
        <v>4.54</v>
      </c>
      <c r="N1485" s="325">
        <f t="shared" si="287"/>
        <v>65.240000000000009</v>
      </c>
      <c r="O1485" s="27"/>
      <c r="P1485" s="56"/>
      <c r="Q1485" s="26"/>
      <c r="S1485" s="330">
        <v>0</v>
      </c>
      <c r="T1485" s="34">
        <v>0.6</v>
      </c>
      <c r="U1485" s="366">
        <f t="shared" si="291"/>
        <v>6.637168141592921E-2</v>
      </c>
      <c r="V1485" s="58">
        <v>0.14000000000000001</v>
      </c>
      <c r="W1485" s="36">
        <f>RTD("money.excel",,"5512","Price")</f>
        <v>9.0399999999999991</v>
      </c>
      <c r="X1485" s="67"/>
      <c r="Y1485" s="15">
        <f t="shared" si="288"/>
        <v>9.0399999999999991</v>
      </c>
      <c r="Z1485" s="3" t="e">
        <f t="shared" si="289"/>
        <v>#DIV/0!</v>
      </c>
      <c r="AB1485" s="16" t="s">
        <v>5961</v>
      </c>
      <c r="AE1485" s="33">
        <f t="shared" si="290"/>
        <v>0</v>
      </c>
      <c r="AF1485" s="122" t="s">
        <v>2403</v>
      </c>
      <c r="AG1485" s="128"/>
      <c r="AI1485" s="64">
        <f t="shared" si="292"/>
        <v>4.2876344086021506E-4</v>
      </c>
      <c r="AJ1485" s="313">
        <f>RTD("money.excel",,$G1485,"PredictVolume")</f>
        <v>319</v>
      </c>
      <c r="AK1485" s="348"/>
    </row>
    <row r="1486" spans="1:37">
      <c r="A1486" s="132" t="s">
        <v>1815</v>
      </c>
      <c r="B1486" s="93">
        <v>-37</v>
      </c>
      <c r="C1486" s="93">
        <v>-41</v>
      </c>
      <c r="D1486" s="93">
        <v>4</v>
      </c>
      <c r="E1486" s="93">
        <v>-14</v>
      </c>
      <c r="F1486" s="58">
        <v>33.479999999999997</v>
      </c>
      <c r="G1486" s="81">
        <v>5514</v>
      </c>
      <c r="H1486" s="8" t="s">
        <v>931</v>
      </c>
      <c r="I1486" s="16" t="s">
        <v>943</v>
      </c>
      <c r="J1486" s="75">
        <v>87.15</v>
      </c>
      <c r="K1486" s="75">
        <v>0</v>
      </c>
      <c r="L1486" s="75">
        <v>1.21</v>
      </c>
      <c r="N1486" s="325">
        <f t="shared" si="287"/>
        <v>88.36</v>
      </c>
      <c r="O1486" s="27"/>
      <c r="P1486" s="56"/>
      <c r="Q1486" s="26"/>
      <c r="S1486" s="330">
        <v>21.3</v>
      </c>
      <c r="T1486" s="34">
        <v>1.2</v>
      </c>
      <c r="U1486" s="366">
        <f t="shared" si="291"/>
        <v>5.9259259259259255E-2</v>
      </c>
      <c r="V1486" s="97">
        <v>1.1499999999999999</v>
      </c>
      <c r="W1486" s="36">
        <f>RTD("money.excel",,"5514","Price")</f>
        <v>20.25</v>
      </c>
      <c r="X1486" s="67"/>
      <c r="Y1486" s="15">
        <f t="shared" si="288"/>
        <v>20.25</v>
      </c>
      <c r="Z1486" s="3" t="e">
        <f t="shared" si="289"/>
        <v>#DIV/0!</v>
      </c>
      <c r="AB1486" s="16" t="s">
        <v>943</v>
      </c>
      <c r="AE1486" s="33">
        <f t="shared" si="290"/>
        <v>0</v>
      </c>
      <c r="AF1486" s="43" t="s">
        <v>2403</v>
      </c>
      <c r="AG1486" s="128"/>
      <c r="AI1486" s="64">
        <f t="shared" si="292"/>
        <v>1.1855670103092784E-4</v>
      </c>
      <c r="AJ1486" s="313">
        <f>RTD("money.excel",,$G1486,"PredictVolume")</f>
        <v>23</v>
      </c>
      <c r="AK1486" s="348"/>
    </row>
    <row r="1487" spans="1:37">
      <c r="A1487" s="148" t="s">
        <v>2351</v>
      </c>
      <c r="B1487" s="81">
        <v>69</v>
      </c>
      <c r="C1487" s="81">
        <v>25</v>
      </c>
      <c r="D1487" s="82">
        <v>-14</v>
      </c>
      <c r="E1487" s="81">
        <v>38</v>
      </c>
      <c r="F1487" s="6">
        <v>3.99</v>
      </c>
      <c r="G1487" s="81">
        <v>5515</v>
      </c>
      <c r="H1487" s="8" t="s">
        <v>931</v>
      </c>
      <c r="I1487" s="22" t="s">
        <v>986</v>
      </c>
      <c r="J1487" s="330">
        <v>61.62</v>
      </c>
      <c r="K1487" s="75">
        <v>5.36</v>
      </c>
      <c r="L1487" s="75">
        <v>3.48</v>
      </c>
      <c r="N1487" s="325">
        <f t="shared" si="287"/>
        <v>70.460000000000008</v>
      </c>
      <c r="O1487" s="27"/>
      <c r="P1487" s="56"/>
      <c r="Q1487" s="26"/>
      <c r="S1487" s="330">
        <v>0</v>
      </c>
      <c r="T1487" s="34">
        <v>0.8</v>
      </c>
      <c r="U1487" s="366">
        <f t="shared" si="291"/>
        <v>5.8823529411764712E-2</v>
      </c>
      <c r="V1487" s="97">
        <v>1.43</v>
      </c>
      <c r="W1487" s="36">
        <f>RTD("money.excel",,"5515","Price")</f>
        <v>13.6</v>
      </c>
      <c r="X1487" s="67"/>
      <c r="Y1487" s="15">
        <f t="shared" si="288"/>
        <v>13.6</v>
      </c>
      <c r="Z1487" s="3" t="e">
        <f t="shared" si="289"/>
        <v>#DIV/0!</v>
      </c>
      <c r="AA1487" s="174" t="s">
        <v>1943</v>
      </c>
      <c r="AB1487" s="22" t="s">
        <v>986</v>
      </c>
      <c r="AE1487" s="33">
        <f t="shared" si="290"/>
        <v>0</v>
      </c>
      <c r="AF1487" s="43" t="s">
        <v>2352</v>
      </c>
      <c r="AG1487" s="128"/>
      <c r="AI1487" s="64">
        <f t="shared" si="292"/>
        <v>4.9805447470817115E-4</v>
      </c>
      <c r="AJ1487" s="313">
        <f>RTD("money.excel",,$G1487,"PredictVolume")</f>
        <v>128</v>
      </c>
      <c r="AK1487" s="348"/>
    </row>
    <row r="1488" spans="1:37">
      <c r="A1488" s="148" t="s">
        <v>2725</v>
      </c>
      <c r="B1488" s="93">
        <v>94</v>
      </c>
      <c r="C1488" s="93">
        <v>64</v>
      </c>
      <c r="D1488" s="93">
        <v>-59</v>
      </c>
      <c r="E1488" s="93">
        <v>691</v>
      </c>
      <c r="F1488" s="6">
        <v>5.17</v>
      </c>
      <c r="G1488" s="81">
        <v>5516</v>
      </c>
      <c r="H1488" s="8" t="s">
        <v>931</v>
      </c>
      <c r="I1488" s="16" t="s">
        <v>944</v>
      </c>
      <c r="J1488" s="75">
        <v>82.8</v>
      </c>
      <c r="K1488" s="75">
        <v>0</v>
      </c>
      <c r="L1488" s="75">
        <v>17.100000000000001</v>
      </c>
      <c r="N1488" s="325">
        <f t="shared" si="287"/>
        <v>99.9</v>
      </c>
      <c r="O1488" s="27"/>
      <c r="P1488" s="56"/>
      <c r="Q1488" s="26"/>
      <c r="S1488" s="330">
        <v>56.26</v>
      </c>
      <c r="T1488" s="34">
        <v>0.3</v>
      </c>
      <c r="U1488" s="366">
        <f t="shared" si="291"/>
        <v>1.948051948051948E-2</v>
      </c>
      <c r="V1488" s="97">
        <v>2.99</v>
      </c>
      <c r="W1488" s="36">
        <f>RTD("money.excel",,"5516","Price")</f>
        <v>15.4</v>
      </c>
      <c r="X1488" s="67"/>
      <c r="Y1488" s="15">
        <f t="shared" si="288"/>
        <v>15.4</v>
      </c>
      <c r="Z1488" s="3" t="e">
        <f t="shared" si="289"/>
        <v>#DIV/0!</v>
      </c>
      <c r="AB1488" s="16" t="s">
        <v>944</v>
      </c>
      <c r="AE1488" s="33">
        <f t="shared" si="290"/>
        <v>0</v>
      </c>
      <c r="AF1488" s="43" t="s">
        <v>346</v>
      </c>
      <c r="AG1488" s="128"/>
      <c r="AI1488" s="64">
        <f t="shared" si="292"/>
        <v>2.0104438642297652E-3</v>
      </c>
      <c r="AJ1488" s="313">
        <f>RTD("money.excel",,$G1488,"PredictVolume")</f>
        <v>77</v>
      </c>
      <c r="AK1488" s="348"/>
    </row>
    <row r="1489" spans="1:37">
      <c r="A1489" s="132" t="s">
        <v>3726</v>
      </c>
      <c r="B1489" s="93">
        <v>-36</v>
      </c>
      <c r="C1489" s="93">
        <v>-31</v>
      </c>
      <c r="D1489" s="93">
        <v>-93</v>
      </c>
      <c r="E1489" s="93">
        <v>-41</v>
      </c>
      <c r="F1489" s="58">
        <v>13.92</v>
      </c>
      <c r="G1489" s="81">
        <v>5519</v>
      </c>
      <c r="H1489" s="8" t="s">
        <v>931</v>
      </c>
      <c r="I1489" s="22" t="s">
        <v>987</v>
      </c>
      <c r="J1489" s="75">
        <v>65.27</v>
      </c>
      <c r="K1489" s="75">
        <v>0.86</v>
      </c>
      <c r="L1489" s="75">
        <v>7.55</v>
      </c>
      <c r="N1489" s="325">
        <f t="shared" si="287"/>
        <v>73.679999999999993</v>
      </c>
      <c r="O1489" s="27"/>
      <c r="P1489" s="56"/>
      <c r="Q1489" s="26"/>
      <c r="S1489" s="330">
        <v>17.45</v>
      </c>
      <c r="T1489" s="34">
        <v>1.8</v>
      </c>
      <c r="U1489" s="366">
        <f t="shared" si="291"/>
        <v>7.8091106290672452E-2</v>
      </c>
      <c r="V1489" s="97">
        <v>2.0699999999999998</v>
      </c>
      <c r="W1489" s="13">
        <f>RTD("money.excel",,"5519","Price")</f>
        <v>23.05</v>
      </c>
      <c r="X1489" s="67"/>
      <c r="Y1489" s="15">
        <f t="shared" si="288"/>
        <v>23.05</v>
      </c>
      <c r="Z1489" s="3" t="e">
        <f t="shared" si="289"/>
        <v>#DIV/0!</v>
      </c>
      <c r="AB1489" s="22" t="s">
        <v>987</v>
      </c>
      <c r="AE1489" s="33">
        <f t="shared" si="290"/>
        <v>0</v>
      </c>
      <c r="AF1489" s="43" t="s">
        <v>346</v>
      </c>
      <c r="AG1489" s="128"/>
      <c r="AI1489" s="64">
        <f t="shared" si="292"/>
        <v>9.8630136986301367E-4</v>
      </c>
      <c r="AJ1489" s="313">
        <f>RTD("money.excel",,$G1489,"PredictVolume")</f>
        <v>216</v>
      </c>
      <c r="AK1489" s="348"/>
    </row>
    <row r="1490" spans="1:37">
      <c r="A1490" s="132" t="s">
        <v>1899</v>
      </c>
      <c r="B1490" s="93">
        <v>158</v>
      </c>
      <c r="C1490" s="93">
        <v>323</v>
      </c>
      <c r="D1490" s="93">
        <v>-3</v>
      </c>
      <c r="E1490" s="93">
        <v>30</v>
      </c>
      <c r="F1490" s="58">
        <v>13.08</v>
      </c>
      <c r="G1490" s="81">
        <v>5520</v>
      </c>
      <c r="H1490" s="8" t="s">
        <v>931</v>
      </c>
      <c r="I1490" s="16" t="s">
        <v>945</v>
      </c>
      <c r="J1490" s="75">
        <v>84.31</v>
      </c>
      <c r="K1490" s="75">
        <v>0</v>
      </c>
      <c r="L1490" s="75">
        <v>0.06</v>
      </c>
      <c r="N1490" s="325">
        <f t="shared" si="287"/>
        <v>84.37</v>
      </c>
      <c r="O1490" s="27"/>
      <c r="P1490" s="56"/>
      <c r="Q1490" s="26"/>
      <c r="S1490" s="330">
        <v>39.450000000000003</v>
      </c>
      <c r="T1490" s="34">
        <v>1.85</v>
      </c>
      <c r="U1490" s="366">
        <f t="shared" si="291"/>
        <v>3.1197301854974709E-2</v>
      </c>
      <c r="V1490" s="97">
        <v>4.6900000000000004</v>
      </c>
      <c r="W1490" s="36">
        <f>RTD("money.excel",,"5520","Price")</f>
        <v>59.3</v>
      </c>
      <c r="X1490" s="67"/>
      <c r="Y1490" s="15">
        <f t="shared" si="288"/>
        <v>59.3</v>
      </c>
      <c r="Z1490" s="3" t="e">
        <f t="shared" si="289"/>
        <v>#DIV/0!</v>
      </c>
      <c r="AB1490" s="16" t="s">
        <v>945</v>
      </c>
      <c r="AE1490" s="33">
        <f t="shared" si="290"/>
        <v>0</v>
      </c>
      <c r="AF1490" s="43" t="s">
        <v>3193</v>
      </c>
      <c r="AG1490" s="269"/>
      <c r="AI1490" s="64">
        <f t="shared" si="292"/>
        <v>2.1558872305140961E-4</v>
      </c>
      <c r="AJ1490" s="313">
        <f>RTD("money.excel",,$G1490,"PredictVolume")</f>
        <v>13</v>
      </c>
      <c r="AK1490" s="348"/>
    </row>
    <row r="1491" spans="1:37">
      <c r="A1491" s="132" t="s">
        <v>3727</v>
      </c>
      <c r="B1491" s="209">
        <v>48952</v>
      </c>
      <c r="C1491" s="209">
        <v>40663</v>
      </c>
      <c r="D1491" s="93">
        <v>31</v>
      </c>
      <c r="E1491" s="93">
        <v>39</v>
      </c>
      <c r="F1491" s="58">
        <v>22.13</v>
      </c>
      <c r="G1491" s="81">
        <v>5521</v>
      </c>
      <c r="H1491" s="8" t="s">
        <v>931</v>
      </c>
      <c r="I1491" s="22" t="s">
        <v>988</v>
      </c>
      <c r="J1491" s="330">
        <v>61.24</v>
      </c>
      <c r="K1491" s="330">
        <v>7.99</v>
      </c>
      <c r="L1491" s="330">
        <v>22.88</v>
      </c>
      <c r="N1491" s="325">
        <f t="shared" si="287"/>
        <v>92.11</v>
      </c>
      <c r="O1491" s="27"/>
      <c r="P1491" s="56"/>
      <c r="Q1491" s="26"/>
      <c r="S1491" s="330">
        <v>4.6399999999999997</v>
      </c>
      <c r="T1491" s="34">
        <v>0</v>
      </c>
      <c r="U1491" s="366">
        <f t="shared" si="291"/>
        <v>0</v>
      </c>
      <c r="V1491" s="97">
        <v>2.2599999999999998</v>
      </c>
      <c r="W1491" s="13">
        <f>RTD("money.excel",,"5521","Price")</f>
        <v>8.17</v>
      </c>
      <c r="X1491" s="67"/>
      <c r="Y1491" s="15">
        <f t="shared" si="288"/>
        <v>8.17</v>
      </c>
      <c r="Z1491" s="3" t="e">
        <f t="shared" si="289"/>
        <v>#DIV/0!</v>
      </c>
      <c r="AB1491" s="22" t="s">
        <v>988</v>
      </c>
      <c r="AE1491" s="33">
        <f t="shared" si="290"/>
        <v>0</v>
      </c>
      <c r="AF1491" s="43" t="s">
        <v>346</v>
      </c>
      <c r="AG1491" s="128"/>
      <c r="AI1491" s="64">
        <f t="shared" si="292"/>
        <v>1.3288590604026845E-3</v>
      </c>
      <c r="AJ1491" s="313">
        <f>RTD("money.excel",,$G1491,"PredictVolume")</f>
        <v>594</v>
      </c>
      <c r="AK1491" s="348"/>
    </row>
    <row r="1492" spans="1:37">
      <c r="A1492" s="148" t="s">
        <v>2420</v>
      </c>
      <c r="B1492" s="93">
        <v>-80</v>
      </c>
      <c r="C1492" s="93">
        <v>-73</v>
      </c>
      <c r="D1492" s="93">
        <v>-81</v>
      </c>
      <c r="E1492" s="142">
        <v>1624</v>
      </c>
      <c r="F1492" s="6">
        <v>5.15</v>
      </c>
      <c r="G1492" s="81">
        <v>5523</v>
      </c>
      <c r="H1492" s="8" t="s">
        <v>931</v>
      </c>
      <c r="I1492" s="16" t="s">
        <v>946</v>
      </c>
      <c r="J1492" s="75">
        <v>80.180000000000007</v>
      </c>
      <c r="K1492" s="75">
        <v>0</v>
      </c>
      <c r="L1492" s="75">
        <v>0.69</v>
      </c>
      <c r="N1492" s="325">
        <f t="shared" si="287"/>
        <v>80.87</v>
      </c>
      <c r="O1492" s="27"/>
      <c r="P1492" s="56"/>
      <c r="Q1492" s="26"/>
      <c r="S1492" s="330">
        <v>23.61</v>
      </c>
      <c r="T1492" s="34">
        <v>0.5</v>
      </c>
      <c r="U1492" s="366">
        <f t="shared" si="291"/>
        <v>1.779359430604982E-2</v>
      </c>
      <c r="V1492" s="97">
        <v>0.33</v>
      </c>
      <c r="W1492" s="36">
        <f>RTD("money.excel",,"5523","Price")</f>
        <v>28.1</v>
      </c>
      <c r="X1492" s="67"/>
      <c r="Y1492" s="15">
        <f t="shared" si="288"/>
        <v>28.1</v>
      </c>
      <c r="Z1492" s="3" t="e">
        <f t="shared" si="289"/>
        <v>#DIV/0!</v>
      </c>
      <c r="AB1492" s="16" t="s">
        <v>946</v>
      </c>
      <c r="AE1492" s="33">
        <f t="shared" si="290"/>
        <v>0</v>
      </c>
      <c r="AF1492" s="43" t="s">
        <v>2403</v>
      </c>
      <c r="AG1492" s="27"/>
      <c r="AI1492" s="64">
        <f t="shared" si="292"/>
        <v>3.6774193548387097E-4</v>
      </c>
      <c r="AJ1492" s="313">
        <f>RTD("money.excel",,$G1492,"PredictVolume")</f>
        <v>57</v>
      </c>
      <c r="AK1492" s="108"/>
    </row>
    <row r="1493" spans="1:37">
      <c r="A1493" s="132" t="s">
        <v>3728</v>
      </c>
      <c r="B1493" s="82">
        <v>-52</v>
      </c>
      <c r="C1493" s="82">
        <v>-52</v>
      </c>
      <c r="D1493" s="81">
        <v>23</v>
      </c>
      <c r="E1493" s="82">
        <v>-47</v>
      </c>
      <c r="F1493" s="58">
        <v>16.329999999999998</v>
      </c>
      <c r="G1493" s="81">
        <v>5525</v>
      </c>
      <c r="H1493" s="8" t="s">
        <v>931</v>
      </c>
      <c r="I1493" s="22" t="s">
        <v>989</v>
      </c>
      <c r="J1493" s="75">
        <v>84.79</v>
      </c>
      <c r="K1493" s="75">
        <v>2.2400000000000002</v>
      </c>
      <c r="L1493" s="75">
        <v>1.47</v>
      </c>
      <c r="N1493" s="325">
        <f t="shared" si="287"/>
        <v>88.5</v>
      </c>
      <c r="O1493" s="27"/>
      <c r="P1493" s="56"/>
      <c r="Q1493" s="26"/>
      <c r="S1493" s="330">
        <v>27.49</v>
      </c>
      <c r="T1493" s="34">
        <v>0.5</v>
      </c>
      <c r="U1493" s="366">
        <f t="shared" si="291"/>
        <v>1.8450184501845018E-2</v>
      </c>
      <c r="V1493" s="97">
        <v>0.18</v>
      </c>
      <c r="W1493" s="36">
        <f>RTD("money.excel",,"5525","Price")</f>
        <v>27.1</v>
      </c>
      <c r="X1493" s="67"/>
      <c r="Y1493" s="15">
        <f t="shared" si="288"/>
        <v>27.1</v>
      </c>
      <c r="Z1493" s="3" t="e">
        <f t="shared" si="289"/>
        <v>#DIV/0!</v>
      </c>
      <c r="AA1493" s="174" t="s">
        <v>1943</v>
      </c>
      <c r="AB1493" s="22" t="s">
        <v>989</v>
      </c>
      <c r="AE1493" s="33">
        <f t="shared" si="290"/>
        <v>0</v>
      </c>
      <c r="AF1493" s="43" t="s">
        <v>2403</v>
      </c>
      <c r="AG1493" s="128"/>
      <c r="AI1493" s="64">
        <f t="shared" si="292"/>
        <v>9.848484848484849E-5</v>
      </c>
      <c r="AJ1493" s="313">
        <f>RTD("money.excel",,$G1493,"PredictVolume")</f>
        <v>26</v>
      </c>
      <c r="AK1493" s="348"/>
    </row>
    <row r="1494" spans="1:37">
      <c r="A1494" s="148" t="s">
        <v>1878</v>
      </c>
      <c r="B1494" s="93">
        <v>12</v>
      </c>
      <c r="C1494" s="93">
        <v>70</v>
      </c>
      <c r="D1494" s="93">
        <v>128</v>
      </c>
      <c r="E1494" s="93">
        <v>-90</v>
      </c>
      <c r="F1494" s="6">
        <v>-10.68</v>
      </c>
      <c r="G1494" s="81">
        <v>5529</v>
      </c>
      <c r="H1494" s="8" t="s">
        <v>931</v>
      </c>
      <c r="I1494" s="16" t="s">
        <v>947</v>
      </c>
      <c r="J1494" s="75">
        <v>77.400000000000006</v>
      </c>
      <c r="K1494" s="75">
        <v>7.06</v>
      </c>
      <c r="N1494" s="325">
        <f t="shared" si="287"/>
        <v>84.460000000000008</v>
      </c>
      <c r="O1494" s="27"/>
      <c r="P1494" s="56"/>
      <c r="Q1494" s="26"/>
      <c r="S1494" s="330">
        <v>22.15</v>
      </c>
      <c r="T1494" s="34">
        <v>0</v>
      </c>
      <c r="U1494" s="366">
        <f t="shared" si="291"/>
        <v>0</v>
      </c>
      <c r="V1494" s="97">
        <v>-1.51</v>
      </c>
      <c r="W1494" s="36">
        <f>RTD("money.excel",,"5529","Price")</f>
        <v>16.75</v>
      </c>
      <c r="X1494" s="67"/>
      <c r="Y1494" s="15">
        <f t="shared" si="288"/>
        <v>16.75</v>
      </c>
      <c r="Z1494" s="3" t="e">
        <f t="shared" si="289"/>
        <v>#DIV/0!</v>
      </c>
      <c r="AB1494" s="16" t="s">
        <v>947</v>
      </c>
      <c r="AE1494" s="33">
        <f t="shared" si="290"/>
        <v>0</v>
      </c>
      <c r="AF1494" s="43" t="s">
        <v>2403</v>
      </c>
      <c r="AG1494" s="128"/>
      <c r="AI1494" s="64">
        <f t="shared" si="292"/>
        <v>3.1674208144796378E-4</v>
      </c>
      <c r="AJ1494" s="313">
        <f>RTD("money.excel",,$G1494,"PredictVolume")</f>
        <v>28</v>
      </c>
      <c r="AK1494" s="348"/>
    </row>
    <row r="1495" spans="1:37">
      <c r="A1495" s="132" t="s">
        <v>2534</v>
      </c>
      <c r="B1495" s="81">
        <v>23</v>
      </c>
      <c r="C1495" s="82">
        <v>-510</v>
      </c>
      <c r="D1495" s="82">
        <v>-16</v>
      </c>
      <c r="E1495" s="82">
        <v>-44</v>
      </c>
      <c r="F1495" s="58">
        <v>-16.04</v>
      </c>
      <c r="G1495" s="81">
        <v>5531</v>
      </c>
      <c r="H1495" s="8" t="s">
        <v>931</v>
      </c>
      <c r="I1495" s="22" t="s">
        <v>990</v>
      </c>
      <c r="J1495" s="75">
        <v>84.15</v>
      </c>
      <c r="K1495" s="75">
        <v>6.18</v>
      </c>
      <c r="L1495" s="75">
        <v>4.45</v>
      </c>
      <c r="N1495" s="325">
        <f t="shared" si="287"/>
        <v>94.780000000000015</v>
      </c>
      <c r="O1495" s="27"/>
      <c r="P1495" s="56"/>
      <c r="Q1495" s="26"/>
      <c r="S1495" s="330">
        <v>0.13</v>
      </c>
      <c r="T1495" s="34">
        <v>0</v>
      </c>
      <c r="U1495" s="366">
        <f t="shared" si="291"/>
        <v>0</v>
      </c>
      <c r="V1495" s="97">
        <v>0.17</v>
      </c>
      <c r="W1495" s="36">
        <f>RTD("money.excel",,"5531","Price")</f>
        <v>10</v>
      </c>
      <c r="X1495" s="67"/>
      <c r="Y1495" s="15">
        <f t="shared" si="288"/>
        <v>10</v>
      </c>
      <c r="Z1495" s="3" t="e">
        <f t="shared" si="289"/>
        <v>#DIV/0!</v>
      </c>
      <c r="AA1495" s="174" t="s">
        <v>1943</v>
      </c>
      <c r="AB1495" s="22" t="s">
        <v>990</v>
      </c>
      <c r="AE1495" s="33">
        <f t="shared" si="290"/>
        <v>0</v>
      </c>
      <c r="AF1495" s="43" t="s">
        <v>2403</v>
      </c>
      <c r="AG1495" s="128"/>
      <c r="AI1495" s="64">
        <f t="shared" si="292"/>
        <v>4.2169907881269193E-4</v>
      </c>
      <c r="AJ1495" s="313">
        <f>RTD("money.excel",,$G1495,"PredictVolume")</f>
        <v>412</v>
      </c>
      <c r="AK1495" s="348"/>
    </row>
    <row r="1496" spans="1:37">
      <c r="A1496" s="132" t="s">
        <v>2253</v>
      </c>
      <c r="B1496" s="82">
        <v>-24</v>
      </c>
      <c r="C1496" s="82">
        <v>-44</v>
      </c>
      <c r="D1496" s="82">
        <v>-79</v>
      </c>
      <c r="E1496" s="82">
        <v>-34</v>
      </c>
      <c r="F1496" s="6">
        <v>4.59</v>
      </c>
      <c r="G1496" s="81">
        <v>5533</v>
      </c>
      <c r="H1496" s="8" t="s">
        <v>931</v>
      </c>
      <c r="I1496" s="22" t="s">
        <v>991</v>
      </c>
      <c r="J1496" s="75">
        <v>86.99</v>
      </c>
      <c r="K1496" s="75">
        <v>2.95</v>
      </c>
      <c r="L1496" s="75">
        <v>2.31</v>
      </c>
      <c r="N1496" s="325">
        <f t="shared" si="287"/>
        <v>92.25</v>
      </c>
      <c r="O1496" s="27"/>
      <c r="P1496" s="56"/>
      <c r="Q1496" s="26"/>
      <c r="T1496" s="34">
        <v>0.6</v>
      </c>
      <c r="U1496" s="366">
        <f t="shared" si="291"/>
        <v>3.125E-2</v>
      </c>
      <c r="V1496" s="97">
        <v>0.85</v>
      </c>
      <c r="W1496" s="36">
        <f>RTD("money.excel",,"5533","Price")</f>
        <v>19.2</v>
      </c>
      <c r="X1496" s="67"/>
      <c r="Y1496" s="15">
        <f t="shared" si="288"/>
        <v>19.2</v>
      </c>
      <c r="Z1496" s="3" t="e">
        <f t="shared" si="289"/>
        <v>#DIV/0!</v>
      </c>
      <c r="AA1496" s="174" t="s">
        <v>1943</v>
      </c>
      <c r="AB1496" s="22" t="s">
        <v>991</v>
      </c>
      <c r="AE1496" s="33">
        <f t="shared" si="290"/>
        <v>0</v>
      </c>
      <c r="AF1496" s="43" t="s">
        <v>2403</v>
      </c>
      <c r="AG1496" s="128"/>
      <c r="AI1496" s="64">
        <f t="shared" si="292"/>
        <v>6.3157894736842106E-4</v>
      </c>
      <c r="AJ1496" s="313">
        <f>RTD("money.excel",,$G1496,"PredictVolume")</f>
        <v>180</v>
      </c>
      <c r="AK1496" s="348"/>
    </row>
    <row r="1497" spans="1:37">
      <c r="A1497" s="132" t="s">
        <v>2402</v>
      </c>
      <c r="B1497" s="82">
        <v>-84</v>
      </c>
      <c r="C1497" s="82">
        <v>-81</v>
      </c>
      <c r="D1497" s="81">
        <v>17</v>
      </c>
      <c r="E1497" s="82">
        <v>-93</v>
      </c>
      <c r="F1497" s="58">
        <v>22.11</v>
      </c>
      <c r="G1497" s="81">
        <v>5534</v>
      </c>
      <c r="H1497" s="8" t="s">
        <v>931</v>
      </c>
      <c r="I1497" s="22" t="s">
        <v>992</v>
      </c>
      <c r="J1497" s="75">
        <v>63.98</v>
      </c>
      <c r="K1497" s="75">
        <v>12.3</v>
      </c>
      <c r="L1497" s="75">
        <v>0.72</v>
      </c>
      <c r="N1497" s="325">
        <f t="shared" si="287"/>
        <v>77</v>
      </c>
      <c r="O1497" s="27"/>
      <c r="P1497" s="56"/>
      <c r="Q1497" s="26"/>
      <c r="S1497" s="330">
        <v>0.76</v>
      </c>
      <c r="T1497" s="67">
        <v>5</v>
      </c>
      <c r="U1497" s="366">
        <f t="shared" si="291"/>
        <v>6.6755674232309742E-2</v>
      </c>
      <c r="V1497" s="58">
        <v>4.8</v>
      </c>
      <c r="W1497" s="36">
        <f>RTD("money.excel",,"5534","Price")</f>
        <v>74.900000000000006</v>
      </c>
      <c r="X1497" s="67"/>
      <c r="Y1497" s="15">
        <f t="shared" si="288"/>
        <v>74.900000000000006</v>
      </c>
      <c r="Z1497" s="3" t="e">
        <f t="shared" si="289"/>
        <v>#DIV/0!</v>
      </c>
      <c r="AA1497" s="174" t="s">
        <v>2185</v>
      </c>
      <c r="AB1497" s="22" t="s">
        <v>992</v>
      </c>
      <c r="AE1497" s="33">
        <f t="shared" si="290"/>
        <v>0</v>
      </c>
      <c r="AF1497" s="43" t="s">
        <v>2403</v>
      </c>
      <c r="AG1497" s="128"/>
      <c r="AI1497" s="64">
        <f t="shared" si="292"/>
        <v>4.9310344827586212E-4</v>
      </c>
      <c r="AJ1497" s="313">
        <f>RTD("money.excel",,$G1497,"PredictVolume")</f>
        <v>143</v>
      </c>
      <c r="AK1497" s="348"/>
    </row>
    <row r="1498" spans="1:37">
      <c r="A1498" s="148" t="s">
        <v>3551</v>
      </c>
      <c r="B1498" s="81">
        <v>530</v>
      </c>
      <c r="C1498" s="81">
        <v>596</v>
      </c>
      <c r="D1498" s="82">
        <v>-7</v>
      </c>
      <c r="E1498" s="81">
        <v>85</v>
      </c>
      <c r="F1498" s="6">
        <v>8.36</v>
      </c>
      <c r="G1498" s="81">
        <v>5543</v>
      </c>
      <c r="H1498" s="8" t="s">
        <v>931</v>
      </c>
      <c r="I1498" s="16" t="s">
        <v>3628</v>
      </c>
      <c r="J1498" s="330">
        <v>40.729999999999997</v>
      </c>
      <c r="K1498" s="75">
        <v>0.45</v>
      </c>
      <c r="N1498" s="325">
        <f t="shared" si="287"/>
        <v>41.18</v>
      </c>
      <c r="O1498" s="27"/>
      <c r="P1498" s="56"/>
      <c r="Q1498" s="26"/>
      <c r="T1498" s="34">
        <v>1</v>
      </c>
      <c r="U1498" s="366">
        <f t="shared" si="291"/>
        <v>1.6891891891891889E-2</v>
      </c>
      <c r="V1498" s="97">
        <v>2.95</v>
      </c>
      <c r="W1498" s="36">
        <f>RTD("money.excel",,"5543","Price")</f>
        <v>59.2</v>
      </c>
      <c r="X1498" s="67"/>
      <c r="Y1498" s="15">
        <f t="shared" si="288"/>
        <v>59.2</v>
      </c>
      <c r="Z1498" s="3" t="e">
        <f t="shared" si="289"/>
        <v>#DIV/0!</v>
      </c>
      <c r="AB1498" s="16" t="s">
        <v>3628</v>
      </c>
      <c r="AE1498" s="33">
        <f t="shared" si="290"/>
        <v>0</v>
      </c>
      <c r="AF1498" s="43" t="s">
        <v>3629</v>
      </c>
      <c r="AG1498" s="128"/>
      <c r="AI1498" s="64">
        <f t="shared" si="292"/>
        <v>3.7634408602150538E-4</v>
      </c>
      <c r="AJ1498" s="313">
        <f>RTD("money.excel",,$G1498,"PredictVolume")</f>
        <v>14</v>
      </c>
      <c r="AK1498" s="348"/>
    </row>
    <row r="1499" spans="1:37">
      <c r="A1499" s="132" t="s">
        <v>2616</v>
      </c>
      <c r="B1499" s="81">
        <v>80</v>
      </c>
      <c r="C1499" s="81">
        <v>55</v>
      </c>
      <c r="D1499" s="81">
        <v>5</v>
      </c>
      <c r="E1499" s="82">
        <v>-4</v>
      </c>
      <c r="F1499" s="58">
        <v>18.11</v>
      </c>
      <c r="G1499" s="81">
        <v>5546</v>
      </c>
      <c r="H1499" s="8" t="s">
        <v>931</v>
      </c>
      <c r="I1499" s="22" t="s">
        <v>2208</v>
      </c>
      <c r="J1499" s="330">
        <v>72.16</v>
      </c>
      <c r="K1499" s="75">
        <v>55.06</v>
      </c>
      <c r="L1499" s="75">
        <v>2.38</v>
      </c>
      <c r="N1499" s="325">
        <f t="shared" ref="N1499:N1508" si="293">J1499+K1499+L1499+M1499</f>
        <v>129.6</v>
      </c>
      <c r="O1499" s="27"/>
      <c r="P1499" s="56"/>
      <c r="Q1499" s="26"/>
      <c r="S1499" s="330">
        <v>0.09</v>
      </c>
      <c r="T1499" s="67">
        <v>6</v>
      </c>
      <c r="U1499" s="366">
        <f t="shared" ref="U1499:U1508" si="294">T1499/W1499</f>
        <v>9.950248756218906E-2</v>
      </c>
      <c r="V1499" s="97">
        <v>10.16</v>
      </c>
      <c r="W1499" s="13">
        <f>RTD("money.excel",,"5546","Price")</f>
        <v>60.3</v>
      </c>
      <c r="X1499" s="67"/>
      <c r="Y1499" s="15">
        <f t="shared" ref="Y1499:Y1508" si="295">W1499-X1499</f>
        <v>60.3</v>
      </c>
      <c r="Z1499" s="3" t="e">
        <f t="shared" ref="Z1499:Z1508" si="296">Y1499/X1499</f>
        <v>#DIV/0!</v>
      </c>
      <c r="AA1499" s="174" t="s">
        <v>1986</v>
      </c>
      <c r="AB1499" s="22" t="s">
        <v>2208</v>
      </c>
      <c r="AE1499" s="33">
        <f t="shared" ref="AE1499:AE1508" si="297">AD1499-AC1499</f>
        <v>0</v>
      </c>
      <c r="AF1499" s="122" t="s">
        <v>2298</v>
      </c>
      <c r="AG1499" s="128"/>
      <c r="AI1499" s="64">
        <f t="shared" ref="AI1499:AI1508" si="298">AJ1499/(A1499*10000)</f>
        <v>2.875E-4</v>
      </c>
      <c r="AJ1499" s="313">
        <f>RTD("money.excel",,$G1499,"PredictVolume")</f>
        <v>23</v>
      </c>
      <c r="AK1499" s="348"/>
    </row>
    <row r="1500" spans="1:37">
      <c r="A1500" s="132" t="s">
        <v>2178</v>
      </c>
      <c r="B1500" s="95">
        <v>1342</v>
      </c>
      <c r="C1500" s="95">
        <v>1314</v>
      </c>
      <c r="D1500" s="82">
        <v>-96</v>
      </c>
      <c r="E1500" s="82">
        <v>-99</v>
      </c>
      <c r="F1500" s="58">
        <v>24.43</v>
      </c>
      <c r="G1500" s="81">
        <v>6171</v>
      </c>
      <c r="H1500" s="8" t="s">
        <v>931</v>
      </c>
      <c r="I1500" s="16" t="s">
        <v>4341</v>
      </c>
      <c r="J1500" s="75">
        <v>76.44</v>
      </c>
      <c r="K1500" s="330">
        <v>1.32</v>
      </c>
      <c r="L1500" s="75">
        <v>2.87</v>
      </c>
      <c r="N1500" s="325">
        <f t="shared" si="293"/>
        <v>80.63</v>
      </c>
      <c r="O1500" s="27"/>
      <c r="P1500" s="56"/>
      <c r="Q1500" s="26"/>
      <c r="S1500" s="330">
        <v>0.48</v>
      </c>
      <c r="T1500" s="34">
        <v>2.5</v>
      </c>
      <c r="U1500" s="366">
        <f t="shared" si="294"/>
        <v>8.5763293310463132E-2</v>
      </c>
      <c r="V1500" s="58">
        <v>6.31</v>
      </c>
      <c r="W1500" s="36">
        <f>RTD("money.excel",,"6171","Price")</f>
        <v>29.15</v>
      </c>
      <c r="X1500" s="67"/>
      <c r="Y1500" s="15">
        <f t="shared" si="295"/>
        <v>29.15</v>
      </c>
      <c r="Z1500" s="3" t="e">
        <f t="shared" si="296"/>
        <v>#DIV/0!</v>
      </c>
      <c r="AB1500" s="16" t="s">
        <v>4341</v>
      </c>
      <c r="AE1500" s="33">
        <f t="shared" si="297"/>
        <v>0</v>
      </c>
      <c r="AF1500" s="43" t="s">
        <v>5109</v>
      </c>
      <c r="AG1500" s="128"/>
      <c r="AI1500" s="64">
        <f t="shared" si="298"/>
        <v>6.9204152249134946E-4</v>
      </c>
      <c r="AJ1500" s="313">
        <f>RTD("money.excel",,$G1500,"PredictVolume")</f>
        <v>60</v>
      </c>
      <c r="AK1500" s="348"/>
    </row>
    <row r="1501" spans="1:37">
      <c r="A1501" s="132" t="s">
        <v>2518</v>
      </c>
      <c r="B1501" s="82">
        <v>-81</v>
      </c>
      <c r="C1501" s="82">
        <v>-72</v>
      </c>
      <c r="D1501" s="82">
        <v>-1</v>
      </c>
      <c r="E1501" s="82">
        <v>-80</v>
      </c>
      <c r="F1501" s="58">
        <v>13.67</v>
      </c>
      <c r="G1501" s="81">
        <v>6177</v>
      </c>
      <c r="H1501" s="8" t="s">
        <v>931</v>
      </c>
      <c r="I1501" s="22" t="s">
        <v>993</v>
      </c>
      <c r="J1501" s="330">
        <v>66.959999999999994</v>
      </c>
      <c r="K1501" s="330">
        <v>2.08</v>
      </c>
      <c r="L1501" s="75">
        <v>6.69</v>
      </c>
      <c r="N1501" s="325">
        <f t="shared" si="293"/>
        <v>75.72999999999999</v>
      </c>
      <c r="O1501" s="27"/>
      <c r="P1501" s="56"/>
      <c r="Q1501" s="26"/>
      <c r="S1501" s="330">
        <v>0.04</v>
      </c>
      <c r="T1501" s="67">
        <v>3</v>
      </c>
      <c r="U1501" s="366">
        <f t="shared" si="294"/>
        <v>9.8360655737704916E-2</v>
      </c>
      <c r="V1501" s="97">
        <v>0.55000000000000004</v>
      </c>
      <c r="W1501" s="36">
        <f>RTD("money.excel",,"6177","Price")</f>
        <v>30.5</v>
      </c>
      <c r="X1501" s="67"/>
      <c r="Y1501" s="15">
        <f t="shared" si="295"/>
        <v>30.5</v>
      </c>
      <c r="Z1501" s="3" t="e">
        <f t="shared" si="296"/>
        <v>#DIV/0!</v>
      </c>
      <c r="AA1501" s="174" t="s">
        <v>2185</v>
      </c>
      <c r="AB1501" s="22" t="s">
        <v>993</v>
      </c>
      <c r="AE1501" s="33">
        <f t="shared" si="297"/>
        <v>0</v>
      </c>
      <c r="AF1501" s="43" t="s">
        <v>2403</v>
      </c>
      <c r="AG1501" s="128"/>
      <c r="AI1501" s="64">
        <f t="shared" si="298"/>
        <v>5.3157894736842101E-4</v>
      </c>
      <c r="AJ1501" s="313">
        <f>RTD("money.excel",,$G1501,"PredictVolume")</f>
        <v>202</v>
      </c>
      <c r="AK1501" s="348"/>
    </row>
    <row r="1502" spans="1:37">
      <c r="A1502" s="132" t="s">
        <v>2328</v>
      </c>
      <c r="B1502" s="95">
        <v>4456</v>
      </c>
      <c r="C1502" s="95">
        <v>2983</v>
      </c>
      <c r="D1502" s="81">
        <v>100</v>
      </c>
      <c r="E1502" s="82">
        <v>-86</v>
      </c>
      <c r="F1502" s="58">
        <v>16</v>
      </c>
      <c r="G1502" s="81">
        <v>6186</v>
      </c>
      <c r="H1502" s="8" t="s">
        <v>931</v>
      </c>
      <c r="I1502" s="16" t="s">
        <v>948</v>
      </c>
      <c r="J1502" s="75">
        <v>52.55</v>
      </c>
      <c r="K1502" s="330">
        <v>0.98</v>
      </c>
      <c r="L1502" s="75">
        <v>10.62</v>
      </c>
      <c r="N1502" s="325">
        <f t="shared" si="293"/>
        <v>64.149999999999991</v>
      </c>
      <c r="O1502" s="27"/>
      <c r="P1502" s="56"/>
      <c r="Q1502" s="26"/>
      <c r="S1502" s="330">
        <v>0.34</v>
      </c>
      <c r="T1502" s="67">
        <v>3</v>
      </c>
      <c r="U1502" s="366">
        <f t="shared" si="294"/>
        <v>0.11320754716981132</v>
      </c>
      <c r="V1502" s="97">
        <v>3.68</v>
      </c>
      <c r="W1502" s="36">
        <f>RTD("money.excel",,"6186","Price")</f>
        <v>26.5</v>
      </c>
      <c r="X1502" s="67"/>
      <c r="Y1502" s="15">
        <f t="shared" si="295"/>
        <v>26.5</v>
      </c>
      <c r="Z1502" s="3" t="e">
        <f t="shared" si="296"/>
        <v>#DIV/0!</v>
      </c>
      <c r="AA1502" s="174" t="s">
        <v>2185</v>
      </c>
      <c r="AB1502" s="16" t="s">
        <v>948</v>
      </c>
      <c r="AE1502" s="33">
        <f t="shared" si="297"/>
        <v>0</v>
      </c>
      <c r="AF1502" s="43" t="s">
        <v>2403</v>
      </c>
      <c r="AG1502" s="128"/>
      <c r="AI1502" s="64">
        <f t="shared" si="298"/>
        <v>2.2000000000000001E-3</v>
      </c>
      <c r="AJ1502" s="313">
        <f>RTD("money.excel",,$G1502,"PredictVolume")</f>
        <v>286</v>
      </c>
      <c r="AK1502" s="348"/>
    </row>
    <row r="1503" spans="1:37">
      <c r="A1503" s="148" t="s">
        <v>1959</v>
      </c>
      <c r="B1503" s="93">
        <v>295</v>
      </c>
      <c r="C1503" s="93">
        <v>602</v>
      </c>
      <c r="D1503" s="93">
        <v>-78</v>
      </c>
      <c r="E1503" s="93">
        <v>235</v>
      </c>
      <c r="F1503" s="6">
        <v>8.4</v>
      </c>
      <c r="G1503" s="81">
        <v>6212</v>
      </c>
      <c r="H1503" s="8" t="s">
        <v>931</v>
      </c>
      <c r="I1503" s="16" t="s">
        <v>949</v>
      </c>
      <c r="J1503" s="75">
        <v>89.3</v>
      </c>
      <c r="K1503" s="75">
        <v>31.91</v>
      </c>
      <c r="L1503" s="75">
        <v>1.04</v>
      </c>
      <c r="N1503" s="325">
        <f t="shared" si="293"/>
        <v>122.25</v>
      </c>
      <c r="O1503" s="27"/>
      <c r="P1503" s="56"/>
      <c r="Q1503" s="26"/>
      <c r="S1503" s="330">
        <v>9.93</v>
      </c>
      <c r="T1503" s="67">
        <v>3</v>
      </c>
      <c r="U1503" s="366">
        <f t="shared" si="294"/>
        <v>5.1546391752577317E-2</v>
      </c>
      <c r="V1503" s="97">
        <v>3.42</v>
      </c>
      <c r="W1503" s="36">
        <f>RTD("money.excel",,"6212","Price")</f>
        <v>58.2</v>
      </c>
      <c r="X1503" s="67"/>
      <c r="Y1503" s="15">
        <f t="shared" si="295"/>
        <v>58.2</v>
      </c>
      <c r="Z1503" s="3" t="e">
        <f t="shared" si="296"/>
        <v>#DIV/0!</v>
      </c>
      <c r="AA1503" s="174" t="s">
        <v>1986</v>
      </c>
      <c r="AB1503" s="16" t="s">
        <v>949</v>
      </c>
      <c r="AE1503" s="33">
        <f t="shared" si="297"/>
        <v>0</v>
      </c>
      <c r="AF1503" s="43" t="s">
        <v>2403</v>
      </c>
      <c r="AG1503" s="128"/>
      <c r="AI1503" s="64">
        <f t="shared" si="298"/>
        <v>3.3333333333333332E-4</v>
      </c>
      <c r="AJ1503" s="313">
        <f>RTD("money.excel",,$G1503,"PredictVolume")</f>
        <v>34</v>
      </c>
      <c r="AK1503" s="348"/>
    </row>
    <row r="1504" spans="1:37">
      <c r="A1504" s="132" t="s">
        <v>2118</v>
      </c>
      <c r="B1504" s="82">
        <v>-734</v>
      </c>
      <c r="C1504" s="82">
        <v>-6</v>
      </c>
      <c r="D1504" s="82">
        <v>-39.43</v>
      </c>
      <c r="E1504" s="82">
        <v>-52</v>
      </c>
      <c r="F1504" s="58">
        <v>10.58</v>
      </c>
      <c r="G1504" s="81">
        <v>6219</v>
      </c>
      <c r="H1504" s="8" t="s">
        <v>931</v>
      </c>
      <c r="I1504" s="16" t="s">
        <v>950</v>
      </c>
      <c r="J1504" s="75">
        <v>67.989999999999995</v>
      </c>
      <c r="K1504" s="330">
        <v>1.25</v>
      </c>
      <c r="L1504" s="330">
        <v>36.799999999999997</v>
      </c>
      <c r="M1504" s="330">
        <v>30.94</v>
      </c>
      <c r="N1504" s="75">
        <f t="shared" si="293"/>
        <v>136.97999999999999</v>
      </c>
      <c r="O1504" s="27"/>
      <c r="P1504" s="56"/>
      <c r="Q1504" s="26"/>
      <c r="R1504" s="308" t="s">
        <v>4373</v>
      </c>
      <c r="S1504" s="330">
        <v>1.71</v>
      </c>
      <c r="T1504" s="34">
        <v>2</v>
      </c>
      <c r="U1504" s="366">
        <f t="shared" si="294"/>
        <v>0.11049723756906077</v>
      </c>
      <c r="V1504" s="58">
        <v>0.87</v>
      </c>
      <c r="W1504" s="36">
        <f>RTD("money.excel",,"6219","Price")</f>
        <v>18.100000000000001</v>
      </c>
      <c r="X1504" s="67"/>
      <c r="Y1504" s="15">
        <f t="shared" si="295"/>
        <v>18.100000000000001</v>
      </c>
      <c r="Z1504" s="3" t="e">
        <f t="shared" si="296"/>
        <v>#DIV/0!</v>
      </c>
      <c r="AA1504" s="174" t="s">
        <v>1943</v>
      </c>
      <c r="AB1504" s="16" t="s">
        <v>950</v>
      </c>
      <c r="AE1504" s="33">
        <f t="shared" si="297"/>
        <v>0</v>
      </c>
      <c r="AF1504" s="43" t="s">
        <v>2403</v>
      </c>
      <c r="AG1504" s="128"/>
      <c r="AI1504" s="64">
        <f t="shared" si="298"/>
        <v>3.4155844155844155E-2</v>
      </c>
      <c r="AJ1504" s="313">
        <f>RTD("money.excel",,$G1504,"PredictVolume")</f>
        <v>5260</v>
      </c>
      <c r="AK1504" s="348"/>
    </row>
    <row r="1505" spans="1:37">
      <c r="A1505" s="148" t="s">
        <v>1920</v>
      </c>
      <c r="B1505" s="93">
        <v>51</v>
      </c>
      <c r="C1505" s="93">
        <v>43</v>
      </c>
      <c r="D1505" s="93">
        <v>312</v>
      </c>
      <c r="E1505" s="93">
        <v>480</v>
      </c>
      <c r="F1505" s="6">
        <v>-20.88</v>
      </c>
      <c r="G1505" s="81">
        <v>6264</v>
      </c>
      <c r="H1505" s="8" t="s">
        <v>931</v>
      </c>
      <c r="I1505" s="16" t="s">
        <v>951</v>
      </c>
      <c r="J1505" s="75">
        <v>73.34</v>
      </c>
      <c r="K1505" s="75">
        <v>0.03</v>
      </c>
      <c r="N1505" s="325">
        <f t="shared" si="293"/>
        <v>73.37</v>
      </c>
      <c r="O1505" s="27"/>
      <c r="P1505" s="56"/>
      <c r="Q1505" s="26"/>
      <c r="S1505" s="330">
        <v>35.6</v>
      </c>
      <c r="T1505" s="34">
        <v>0</v>
      </c>
      <c r="U1505" s="366">
        <f t="shared" si="294"/>
        <v>0</v>
      </c>
      <c r="V1505" s="97">
        <v>-0.59</v>
      </c>
      <c r="W1505" s="36">
        <f>RTD("money.excel",,"6264","Price")</f>
        <v>9</v>
      </c>
      <c r="X1505" s="67"/>
      <c r="Y1505" s="15">
        <f t="shared" si="295"/>
        <v>9</v>
      </c>
      <c r="Z1505" s="3" t="e">
        <f t="shared" si="296"/>
        <v>#DIV/0!</v>
      </c>
      <c r="AB1505" s="16" t="s">
        <v>951</v>
      </c>
      <c r="AE1505" s="33">
        <f t="shared" si="297"/>
        <v>0</v>
      </c>
      <c r="AF1505" s="43" t="s">
        <v>5109</v>
      </c>
      <c r="AG1505" s="128"/>
      <c r="AI1505" s="64">
        <f t="shared" si="298"/>
        <v>6.2068965517241383E-4</v>
      </c>
      <c r="AJ1505" s="313">
        <f>RTD("money.excel",,$G1505,"PredictVolume")</f>
        <v>72</v>
      </c>
      <c r="AK1505" s="348"/>
    </row>
    <row r="1506" spans="1:37">
      <c r="A1506" s="132" t="s">
        <v>1916</v>
      </c>
      <c r="B1506" s="82">
        <v>-29</v>
      </c>
      <c r="C1506" s="82">
        <v>-29</v>
      </c>
      <c r="D1506" s="81">
        <v>2</v>
      </c>
      <c r="E1506" s="82">
        <v>-6</v>
      </c>
      <c r="F1506" s="58">
        <v>20.2</v>
      </c>
      <c r="G1506" s="81">
        <v>8424</v>
      </c>
      <c r="H1506" s="8" t="s">
        <v>931</v>
      </c>
      <c r="I1506" s="16" t="s">
        <v>952</v>
      </c>
      <c r="J1506" s="75">
        <v>50.7</v>
      </c>
      <c r="K1506" s="330">
        <v>0.82</v>
      </c>
      <c r="L1506" s="75">
        <v>0.17</v>
      </c>
      <c r="N1506" s="325">
        <f t="shared" si="293"/>
        <v>51.690000000000005</v>
      </c>
      <c r="O1506" s="27"/>
      <c r="P1506" s="56"/>
      <c r="Q1506" s="26"/>
      <c r="S1506" s="330">
        <v>0</v>
      </c>
      <c r="T1506" s="67">
        <v>4</v>
      </c>
      <c r="U1506" s="366">
        <f t="shared" si="294"/>
        <v>7.8339208773991378E-2</v>
      </c>
      <c r="V1506" s="97">
        <v>4.0599999999999996</v>
      </c>
      <c r="W1506" s="36">
        <v>51.06</v>
      </c>
      <c r="X1506" s="67"/>
      <c r="Y1506" s="15">
        <f t="shared" si="295"/>
        <v>51.06</v>
      </c>
      <c r="Z1506" s="3" t="e">
        <f t="shared" si="296"/>
        <v>#DIV/0!</v>
      </c>
      <c r="AA1506" s="174" t="s">
        <v>2185</v>
      </c>
      <c r="AB1506" s="16" t="s">
        <v>952</v>
      </c>
      <c r="AE1506" s="33">
        <f t="shared" si="297"/>
        <v>0</v>
      </c>
      <c r="AF1506" s="43" t="s">
        <v>3241</v>
      </c>
      <c r="AG1506" s="128"/>
      <c r="AI1506" s="64">
        <f t="shared" si="298"/>
        <v>4.709141274238227E-4</v>
      </c>
      <c r="AJ1506" s="313">
        <f>RTD("money.excel",,$G1506,"PredictVolume")</f>
        <v>17</v>
      </c>
      <c r="AK1506" s="348"/>
    </row>
    <row r="1507" spans="1:37">
      <c r="A1507" s="148" t="s">
        <v>1564</v>
      </c>
      <c r="B1507" s="93">
        <v>20</v>
      </c>
      <c r="C1507" s="93">
        <v>46</v>
      </c>
      <c r="D1507" s="208">
        <v>3319</v>
      </c>
      <c r="E1507" s="208">
        <v>3631</v>
      </c>
      <c r="F1507" s="6">
        <v>-2.93</v>
      </c>
      <c r="G1507" s="81">
        <v>9906</v>
      </c>
      <c r="H1507" s="8" t="s">
        <v>931</v>
      </c>
      <c r="I1507" s="22" t="s">
        <v>994</v>
      </c>
      <c r="J1507" s="75">
        <v>72.13</v>
      </c>
      <c r="K1507" s="75">
        <v>0.65</v>
      </c>
      <c r="L1507" s="75">
        <v>9.3000000000000007</v>
      </c>
      <c r="N1507" s="325">
        <f t="shared" si="293"/>
        <v>82.08</v>
      </c>
      <c r="O1507" s="27"/>
      <c r="P1507" s="56"/>
      <c r="Q1507" s="26"/>
      <c r="S1507" s="330">
        <v>50.09</v>
      </c>
      <c r="T1507" s="34">
        <v>0</v>
      </c>
      <c r="U1507" s="366">
        <f t="shared" si="294"/>
        <v>0</v>
      </c>
      <c r="V1507" s="97">
        <v>-1.07</v>
      </c>
      <c r="W1507" s="13">
        <f>RTD("money.excel",,"9906","Price")</f>
        <v>52.1</v>
      </c>
      <c r="X1507" s="67"/>
      <c r="Y1507" s="15">
        <f t="shared" si="295"/>
        <v>52.1</v>
      </c>
      <c r="Z1507" s="3" t="e">
        <f t="shared" si="296"/>
        <v>#DIV/0!</v>
      </c>
      <c r="AB1507" s="22" t="s">
        <v>994</v>
      </c>
      <c r="AE1507" s="33">
        <f t="shared" si="297"/>
        <v>0</v>
      </c>
      <c r="AF1507" s="43" t="s">
        <v>2838</v>
      </c>
      <c r="AG1507" s="128"/>
      <c r="AI1507" s="64">
        <f t="shared" si="298"/>
        <v>2.7611044417767108E-4</v>
      </c>
      <c r="AJ1507" s="313">
        <f>RTD("money.excel",,$G1507,"PredictVolume")</f>
        <v>23</v>
      </c>
      <c r="AK1507" s="348"/>
    </row>
    <row r="1508" spans="1:37">
      <c r="A1508" s="132" t="s">
        <v>2372</v>
      </c>
      <c r="B1508" s="93">
        <v>-84</v>
      </c>
      <c r="C1508" s="93">
        <v>-82</v>
      </c>
      <c r="D1508" s="93">
        <v>-60</v>
      </c>
      <c r="E1508" s="93">
        <v>-86</v>
      </c>
      <c r="F1508" s="58">
        <v>18.8</v>
      </c>
      <c r="G1508" s="81">
        <v>9946</v>
      </c>
      <c r="H1508" s="8" t="s">
        <v>931</v>
      </c>
      <c r="I1508" s="22" t="s">
        <v>1144</v>
      </c>
      <c r="J1508" s="75">
        <v>80.41</v>
      </c>
      <c r="K1508" s="75">
        <v>1.77</v>
      </c>
      <c r="L1508" s="75">
        <v>0.7</v>
      </c>
      <c r="N1508" s="325">
        <f t="shared" si="293"/>
        <v>82.88</v>
      </c>
      <c r="O1508" s="27"/>
      <c r="P1508" s="56"/>
      <c r="Q1508" s="26"/>
      <c r="S1508" s="330">
        <v>19.79</v>
      </c>
      <c r="T1508" s="34">
        <v>1.65</v>
      </c>
      <c r="U1508" s="366">
        <f t="shared" si="294"/>
        <v>0.11785714285714285</v>
      </c>
      <c r="V1508" s="97">
        <v>0.6</v>
      </c>
      <c r="W1508" s="13">
        <f>RTD("money.excel",,"9946","Price")</f>
        <v>14</v>
      </c>
      <c r="X1508" s="67"/>
      <c r="Y1508" s="15">
        <f t="shared" si="295"/>
        <v>14</v>
      </c>
      <c r="Z1508" s="3" t="e">
        <f t="shared" si="296"/>
        <v>#DIV/0!</v>
      </c>
      <c r="AB1508" s="22" t="s">
        <v>1144</v>
      </c>
      <c r="AE1508" s="33">
        <f t="shared" si="297"/>
        <v>0</v>
      </c>
      <c r="AF1508" s="43" t="s">
        <v>2403</v>
      </c>
      <c r="AG1508" s="128"/>
      <c r="AI1508" s="64">
        <f t="shared" si="298"/>
        <v>1.4641744548286604E-4</v>
      </c>
      <c r="AJ1508" s="313">
        <f>RTD("money.excel",,$G1508,"PredictVolume")</f>
        <v>47</v>
      </c>
      <c r="AK1508" s="348"/>
    </row>
    <row r="1509" spans="1:37">
      <c r="B1509" s="93"/>
      <c r="C1509" s="93"/>
      <c r="D1509" s="93"/>
      <c r="E1509" s="93"/>
      <c r="F1509" s="58"/>
      <c r="G1509" s="81"/>
      <c r="H1509" s="8"/>
      <c r="I1509" s="22"/>
      <c r="J1509" s="75"/>
      <c r="K1509" s="75"/>
      <c r="N1509" s="325"/>
      <c r="O1509" s="27"/>
      <c r="P1509" s="56"/>
      <c r="Q1509" s="26"/>
      <c r="T1509" s="34"/>
      <c r="V1509" s="97"/>
      <c r="W1509" s="13"/>
      <c r="X1509" s="67"/>
      <c r="Y1509" s="15"/>
      <c r="Z1509" s="3"/>
      <c r="AB1509" s="22"/>
      <c r="AE1509" s="33"/>
      <c r="AF1509" s="43"/>
      <c r="AG1509" s="128"/>
      <c r="AI1509" s="64"/>
      <c r="AJ1509" s="313"/>
      <c r="AK1509" s="348"/>
    </row>
    <row r="1510" spans="1:37">
      <c r="A1510" s="132" t="s">
        <v>1854</v>
      </c>
      <c r="B1510" s="93" t="s">
        <v>1657</v>
      </c>
      <c r="C1510" s="93" t="s">
        <v>1658</v>
      </c>
      <c r="D1510" s="93" t="s">
        <v>1659</v>
      </c>
      <c r="E1510" s="93" t="s">
        <v>1660</v>
      </c>
      <c r="F1510" s="8" t="s">
        <v>1122</v>
      </c>
      <c r="G1510" s="27" t="s">
        <v>914</v>
      </c>
      <c r="H1510" s="55" t="s">
        <v>342</v>
      </c>
      <c r="I1510" s="8" t="s">
        <v>320</v>
      </c>
      <c r="J1510" s="324" t="s">
        <v>266</v>
      </c>
      <c r="K1510" s="324" t="s">
        <v>1217</v>
      </c>
      <c r="L1510" s="324" t="s">
        <v>298</v>
      </c>
      <c r="M1510" s="324" t="s">
        <v>1115</v>
      </c>
      <c r="N1510" s="324" t="s">
        <v>6091</v>
      </c>
      <c r="O1510" s="27" t="s">
        <v>6253</v>
      </c>
      <c r="P1510" s="56" t="s">
        <v>6219</v>
      </c>
      <c r="Q1510" s="26" t="s">
        <v>6313</v>
      </c>
      <c r="R1510" s="309" t="s">
        <v>4371</v>
      </c>
      <c r="S1510" s="335" t="s">
        <v>4398</v>
      </c>
      <c r="T1510" s="10" t="s">
        <v>75</v>
      </c>
      <c r="U1510" s="364" t="s">
        <v>6152</v>
      </c>
      <c r="V1510" s="69" t="s">
        <v>4022</v>
      </c>
      <c r="W1510" s="28" t="s">
        <v>2</v>
      </c>
      <c r="X1510" s="17" t="s">
        <v>1465</v>
      </c>
      <c r="Y1510" s="14" t="s">
        <v>5</v>
      </c>
      <c r="Z1510" s="21" t="s">
        <v>3</v>
      </c>
      <c r="AA1510" s="322" t="s">
        <v>117</v>
      </c>
      <c r="AB1510" s="8" t="s">
        <v>320</v>
      </c>
      <c r="AC1510" s="73" t="s">
        <v>1466</v>
      </c>
      <c r="AD1510" s="74" t="s">
        <v>1223</v>
      </c>
      <c r="AE1510" s="32" t="s">
        <v>1224</v>
      </c>
      <c r="AF1510" s="43"/>
      <c r="AG1510" s="269"/>
      <c r="AI1510" s="8" t="s">
        <v>4414</v>
      </c>
      <c r="AJ1510" s="50" t="s">
        <v>4121</v>
      </c>
      <c r="AK1510" s="348" t="s">
        <v>6074</v>
      </c>
    </row>
    <row r="1511" spans="1:37">
      <c r="A1511" s="148" t="s">
        <v>3796</v>
      </c>
      <c r="B1511" s="81">
        <v>11</v>
      </c>
      <c r="C1511" s="82">
        <v>-11</v>
      </c>
      <c r="D1511" s="82">
        <v>-15</v>
      </c>
      <c r="E1511" s="82">
        <v>-28</v>
      </c>
      <c r="F1511" s="6">
        <v>-7.54</v>
      </c>
      <c r="G1511" s="81">
        <v>2208</v>
      </c>
      <c r="H1511" s="8" t="s">
        <v>6103</v>
      </c>
      <c r="I1511" s="22" t="s">
        <v>99</v>
      </c>
      <c r="J1511" s="330">
        <v>53.32</v>
      </c>
      <c r="K1511" s="330">
        <v>4.3499999999999996</v>
      </c>
      <c r="L1511" s="75">
        <v>6.34</v>
      </c>
      <c r="N1511" s="325">
        <f t="shared" ref="N1511" si="299">J1511+K1511+L1511+M1511</f>
        <v>64.010000000000005</v>
      </c>
      <c r="O1511" s="27"/>
      <c r="P1511" s="56"/>
      <c r="Q1511" s="26"/>
      <c r="S1511" s="330">
        <v>0.02</v>
      </c>
      <c r="T1511" s="34">
        <v>0</v>
      </c>
      <c r="U1511" s="366">
        <f t="shared" ref="U1511:U1539" si="300">T1511/W1511</f>
        <v>0</v>
      </c>
      <c r="V1511" s="58">
        <v>-3.38</v>
      </c>
      <c r="W1511" s="36">
        <f>RTD("money.excel",,"2208","Price")</f>
        <v>21.95</v>
      </c>
      <c r="X1511" s="67"/>
      <c r="Y1511" s="15">
        <f t="shared" ref="Y1511:Y1539" si="301">W1511-X1511</f>
        <v>21.95</v>
      </c>
      <c r="Z1511" s="3" t="e">
        <f t="shared" ref="Z1511:Z1539" si="302">Y1511/X1511</f>
        <v>#DIV/0!</v>
      </c>
      <c r="AA1511" s="174" t="s">
        <v>1943</v>
      </c>
      <c r="AB1511" s="22" t="s">
        <v>99</v>
      </c>
      <c r="AE1511" s="33">
        <f t="shared" ref="AE1511:AE1539" si="303">AD1511-AC1511</f>
        <v>0</v>
      </c>
      <c r="AF1511" s="122" t="s">
        <v>3966</v>
      </c>
      <c r="AG1511" s="128"/>
      <c r="AI1511" s="64">
        <f t="shared" ref="AI1511:AI1539" si="304">AJ1511/(A1511*10000)</f>
        <v>1.7768147345612133E-3</v>
      </c>
      <c r="AJ1511" s="313">
        <f>RTD("money.excel",,$G1511,"PredictVolume")</f>
        <v>1640</v>
      </c>
      <c r="AK1511" s="348"/>
    </row>
    <row r="1512" spans="1:37">
      <c r="A1512" s="132" t="s">
        <v>4153</v>
      </c>
      <c r="B1512" s="95">
        <v>1304</v>
      </c>
      <c r="C1512" s="95">
        <v>1044</v>
      </c>
      <c r="D1512" s="82">
        <v>-3</v>
      </c>
      <c r="E1512" s="81">
        <v>159</v>
      </c>
      <c r="F1512" s="58">
        <v>57.62</v>
      </c>
      <c r="G1512" s="81">
        <v>2603</v>
      </c>
      <c r="H1512" s="8" t="s">
        <v>6103</v>
      </c>
      <c r="I1512" s="22" t="s">
        <v>280</v>
      </c>
      <c r="J1512" s="75">
        <v>59.24</v>
      </c>
      <c r="K1512" s="75">
        <v>30.16</v>
      </c>
      <c r="L1512" s="330">
        <v>21.61</v>
      </c>
      <c r="M1512" s="330">
        <v>14.18</v>
      </c>
      <c r="N1512" s="325">
        <f t="shared" ref="N1512:N1539" si="305">J1512+K1512+L1512+M1512</f>
        <v>125.19</v>
      </c>
      <c r="O1512" s="27"/>
      <c r="P1512" s="56"/>
      <c r="Q1512" s="26"/>
      <c r="R1512" s="308" t="s">
        <v>4375</v>
      </c>
      <c r="S1512" s="330">
        <v>3.12</v>
      </c>
      <c r="T1512" s="34">
        <v>2.4900000000000002</v>
      </c>
      <c r="U1512" s="366">
        <f t="shared" si="300"/>
        <v>1.5562500000000002E-2</v>
      </c>
      <c r="V1512" s="58">
        <v>33.51</v>
      </c>
      <c r="W1512" s="36">
        <f>RTD("money.excel",,"2603","Price")</f>
        <v>160</v>
      </c>
      <c r="X1512" s="67"/>
      <c r="Y1512" s="15">
        <f t="shared" si="301"/>
        <v>160</v>
      </c>
      <c r="Z1512" s="3" t="e">
        <f t="shared" si="302"/>
        <v>#DIV/0!</v>
      </c>
      <c r="AA1512" s="174" t="s">
        <v>1943</v>
      </c>
      <c r="AB1512" s="22" t="s">
        <v>280</v>
      </c>
      <c r="AE1512" s="33">
        <f t="shared" si="303"/>
        <v>0</v>
      </c>
      <c r="AF1512" s="122" t="s">
        <v>4015</v>
      </c>
      <c r="AG1512" s="128"/>
      <c r="AI1512" s="64">
        <f t="shared" si="304"/>
        <v>3.6576181474480149E-2</v>
      </c>
      <c r="AJ1512" s="313">
        <f>RTD("money.excel",,$G1512,"PredictVolume")</f>
        <v>193488</v>
      </c>
      <c r="AK1512" s="348"/>
    </row>
    <row r="1513" spans="1:37">
      <c r="A1513" s="132" t="s">
        <v>2050</v>
      </c>
      <c r="B1513" s="81">
        <v>34</v>
      </c>
      <c r="C1513" s="81">
        <v>8</v>
      </c>
      <c r="D1513" s="82">
        <v>-4</v>
      </c>
      <c r="E1513" s="81">
        <v>84</v>
      </c>
      <c r="F1513" s="58">
        <v>19.77</v>
      </c>
      <c r="G1513" s="81">
        <v>2605</v>
      </c>
      <c r="H1513" s="8" t="s">
        <v>6103</v>
      </c>
      <c r="I1513" s="22" t="s">
        <v>920</v>
      </c>
      <c r="J1513" s="330">
        <v>35.6</v>
      </c>
      <c r="K1513" s="75">
        <v>35.22</v>
      </c>
      <c r="L1513" s="75">
        <v>16.059999999999999</v>
      </c>
      <c r="M1513" s="330">
        <v>5.62</v>
      </c>
      <c r="N1513" s="325">
        <f t="shared" si="305"/>
        <v>92.5</v>
      </c>
      <c r="O1513" s="27"/>
      <c r="P1513" s="56"/>
      <c r="Q1513" s="26"/>
      <c r="R1513" s="308" t="s">
        <v>4374</v>
      </c>
      <c r="S1513" s="330">
        <v>2.2799999999999998</v>
      </c>
      <c r="T1513" s="34">
        <v>0.5</v>
      </c>
      <c r="U1513" s="366">
        <f t="shared" si="300"/>
        <v>1.6891891891891889E-2</v>
      </c>
      <c r="V1513" s="97">
        <v>0.39</v>
      </c>
      <c r="W1513" s="36">
        <f>RTD("money.excel",,"2605","Price")</f>
        <v>29.6</v>
      </c>
      <c r="X1513" s="67"/>
      <c r="Y1513" s="15">
        <f t="shared" si="301"/>
        <v>29.6</v>
      </c>
      <c r="Z1513" s="3" t="e">
        <f t="shared" si="302"/>
        <v>#DIV/0!</v>
      </c>
      <c r="AA1513" s="174" t="s">
        <v>1943</v>
      </c>
      <c r="AB1513" s="22" t="s">
        <v>920</v>
      </c>
      <c r="AE1513" s="33">
        <f t="shared" si="303"/>
        <v>0</v>
      </c>
      <c r="AF1513" s="43" t="s">
        <v>2411</v>
      </c>
      <c r="AG1513" s="128"/>
      <c r="AI1513" s="64">
        <f t="shared" si="304"/>
        <v>4.6188034188034188E-2</v>
      </c>
      <c r="AJ1513" s="313">
        <f>RTD("money.excel",,$G1513,"PredictVolume")</f>
        <v>27020</v>
      </c>
      <c r="AK1513" s="348"/>
    </row>
    <row r="1514" spans="1:37">
      <c r="A1514" s="132" t="s">
        <v>1788</v>
      </c>
      <c r="B1514" s="81">
        <v>586</v>
      </c>
      <c r="C1514" s="81">
        <v>919</v>
      </c>
      <c r="D1514" s="82">
        <v>-2</v>
      </c>
      <c r="E1514" s="81">
        <v>71</v>
      </c>
      <c r="F1514" s="58">
        <v>22.78</v>
      </c>
      <c r="G1514" s="81">
        <v>2606</v>
      </c>
      <c r="H1514" s="8" t="s">
        <v>6103</v>
      </c>
      <c r="I1514" s="22" t="s">
        <v>5962</v>
      </c>
      <c r="J1514" s="75">
        <v>57.55</v>
      </c>
      <c r="K1514" s="75">
        <v>13.99</v>
      </c>
      <c r="L1514" s="75">
        <v>11.45</v>
      </c>
      <c r="M1514" s="330">
        <v>40.49</v>
      </c>
      <c r="N1514" s="325">
        <f t="shared" si="305"/>
        <v>123.47999999999999</v>
      </c>
      <c r="O1514" s="27"/>
      <c r="P1514" s="56"/>
      <c r="Q1514" s="26"/>
      <c r="R1514" s="308" t="s">
        <v>4374</v>
      </c>
      <c r="S1514" s="330">
        <v>3.06</v>
      </c>
      <c r="T1514" s="34">
        <v>1.2</v>
      </c>
      <c r="U1514" s="366">
        <f t="shared" si="300"/>
        <v>1.8433179723502304E-2</v>
      </c>
      <c r="V1514" s="58">
        <v>4.2300000000000004</v>
      </c>
      <c r="W1514" s="36">
        <f>RTD("money.excel",,"2606","Price")</f>
        <v>65.099999999999994</v>
      </c>
      <c r="X1514" s="67"/>
      <c r="Y1514" s="15">
        <f t="shared" si="301"/>
        <v>65.099999999999994</v>
      </c>
      <c r="Z1514" s="3" t="e">
        <f t="shared" si="302"/>
        <v>#DIV/0!</v>
      </c>
      <c r="AA1514" s="174" t="s">
        <v>1943</v>
      </c>
      <c r="AB1514" s="22" t="s">
        <v>5962</v>
      </c>
      <c r="AE1514" s="33">
        <f t="shared" si="303"/>
        <v>0</v>
      </c>
      <c r="AF1514" s="122" t="s">
        <v>4016</v>
      </c>
      <c r="AG1514" s="128"/>
      <c r="AI1514" s="64">
        <f t="shared" si="304"/>
        <v>3.0900591715976332E-2</v>
      </c>
      <c r="AJ1514" s="313">
        <f>RTD("money.excel",,$G1514,"PredictVolume")</f>
        <v>26111</v>
      </c>
      <c r="AK1514" s="348"/>
    </row>
    <row r="1515" spans="1:37">
      <c r="A1515" s="148" t="s">
        <v>3713</v>
      </c>
      <c r="B1515" s="81">
        <v>28</v>
      </c>
      <c r="C1515" s="82">
        <v>-14</v>
      </c>
      <c r="D1515" s="82">
        <v>-6</v>
      </c>
      <c r="E1515" s="81">
        <v>83</v>
      </c>
      <c r="F1515" s="6">
        <v>9.56</v>
      </c>
      <c r="G1515" s="81">
        <v>2607</v>
      </c>
      <c r="H1515" s="8" t="s">
        <v>6103</v>
      </c>
      <c r="I1515" s="22" t="s">
        <v>125</v>
      </c>
      <c r="J1515" s="330">
        <v>68.430000000000007</v>
      </c>
      <c r="K1515" s="330">
        <v>8.06</v>
      </c>
      <c r="L1515" s="75">
        <v>5.82</v>
      </c>
      <c r="M1515" s="330">
        <v>50.66</v>
      </c>
      <c r="N1515" s="75">
        <f t="shared" si="305"/>
        <v>132.97</v>
      </c>
      <c r="O1515" s="27"/>
      <c r="P1515" s="56"/>
      <c r="Q1515" s="26"/>
      <c r="R1515" s="308" t="s">
        <v>4372</v>
      </c>
      <c r="S1515" s="330">
        <v>1.51</v>
      </c>
      <c r="T1515" s="34">
        <v>0.3</v>
      </c>
      <c r="U1515" s="366">
        <f t="shared" si="300"/>
        <v>7.5757575757575751E-3</v>
      </c>
      <c r="V1515" s="58">
        <v>0.79</v>
      </c>
      <c r="W1515" s="36">
        <f>RTD("money.excel",,"2607","Price")</f>
        <v>39.6</v>
      </c>
      <c r="X1515" s="67"/>
      <c r="Y1515" s="15">
        <f t="shared" si="301"/>
        <v>39.6</v>
      </c>
      <c r="Z1515" s="3" t="e">
        <f t="shared" si="302"/>
        <v>#DIV/0!</v>
      </c>
      <c r="AB1515" s="22" t="s">
        <v>125</v>
      </c>
      <c r="AE1515" s="33">
        <f t="shared" si="303"/>
        <v>0</v>
      </c>
      <c r="AF1515" s="122" t="s">
        <v>4017</v>
      </c>
      <c r="AG1515" s="269"/>
      <c r="AI1515" s="64">
        <f t="shared" si="304"/>
        <v>6.7455660377358492E-2</v>
      </c>
      <c r="AJ1515" s="313">
        <f>RTD("money.excel",,$G1515,"PredictVolume")</f>
        <v>71503</v>
      </c>
      <c r="AK1515" s="348"/>
    </row>
    <row r="1516" spans="1:37">
      <c r="A1516" s="132" t="s">
        <v>2343</v>
      </c>
      <c r="B1516" s="82">
        <v>-1</v>
      </c>
      <c r="C1516" s="81">
        <v>2</v>
      </c>
      <c r="D1516" s="81">
        <v>1</v>
      </c>
      <c r="E1516" s="81">
        <v>3</v>
      </c>
      <c r="F1516" s="58">
        <v>14.02</v>
      </c>
      <c r="G1516" s="81">
        <v>2608</v>
      </c>
      <c r="H1516" s="8" t="s">
        <v>6103</v>
      </c>
      <c r="I1516" s="22" t="s">
        <v>1182</v>
      </c>
      <c r="J1516" s="75">
        <v>74.510000000000005</v>
      </c>
      <c r="K1516" s="75">
        <v>9.99</v>
      </c>
      <c r="L1516" s="330">
        <v>3.92</v>
      </c>
      <c r="N1516" s="325">
        <f t="shared" si="305"/>
        <v>88.42</v>
      </c>
      <c r="O1516" s="27"/>
      <c r="P1516" s="56"/>
      <c r="Q1516" s="26"/>
      <c r="S1516" s="330">
        <v>1.92</v>
      </c>
      <c r="T1516" s="34">
        <v>1.68</v>
      </c>
      <c r="U1516" s="366">
        <f t="shared" si="300"/>
        <v>4.0677966101694919E-2</v>
      </c>
      <c r="V1516" s="58">
        <v>3.2</v>
      </c>
      <c r="W1516" s="36">
        <f>RTD("money.excel",,"2608","Price")</f>
        <v>41.3</v>
      </c>
      <c r="X1516" s="67"/>
      <c r="Y1516" s="15">
        <f t="shared" si="301"/>
        <v>41.3</v>
      </c>
      <c r="Z1516" s="3" t="e">
        <f t="shared" si="302"/>
        <v>#DIV/0!</v>
      </c>
      <c r="AA1516" s="174" t="s">
        <v>1943</v>
      </c>
      <c r="AB1516" s="22" t="s">
        <v>1182</v>
      </c>
      <c r="AE1516" s="33">
        <f t="shared" si="303"/>
        <v>0</v>
      </c>
      <c r="AF1516" s="122" t="s">
        <v>4018</v>
      </c>
      <c r="AG1516" s="128"/>
      <c r="AI1516" s="64">
        <f t="shared" si="304"/>
        <v>1.0920770877944326E-3</v>
      </c>
      <c r="AJ1516" s="313">
        <f>RTD("money.excel",,$G1516,"PredictVolume")</f>
        <v>510</v>
      </c>
      <c r="AK1516" s="348"/>
    </row>
    <row r="1517" spans="1:37">
      <c r="A1517" s="132" t="s">
        <v>4137</v>
      </c>
      <c r="B1517" s="95">
        <v>5295</v>
      </c>
      <c r="C1517" s="95">
        <v>2578</v>
      </c>
      <c r="D1517" s="81">
        <v>1</v>
      </c>
      <c r="E1517" s="81">
        <v>125</v>
      </c>
      <c r="F1517" s="58">
        <v>57.99</v>
      </c>
      <c r="G1517" s="81">
        <v>2609</v>
      </c>
      <c r="H1517" s="8" t="s">
        <v>6103</v>
      </c>
      <c r="I1517" s="22" t="s">
        <v>921</v>
      </c>
      <c r="J1517" s="330">
        <v>58.05</v>
      </c>
      <c r="K1517" s="330">
        <v>15.49</v>
      </c>
      <c r="L1517" s="75">
        <v>24.48</v>
      </c>
      <c r="M1517" s="330">
        <v>33.18</v>
      </c>
      <c r="N1517" s="75">
        <f t="shared" si="305"/>
        <v>131.19999999999999</v>
      </c>
      <c r="O1517" s="27"/>
      <c r="P1517" s="56"/>
      <c r="Q1517" s="26"/>
      <c r="R1517" s="308" t="s">
        <v>4375</v>
      </c>
      <c r="S1517" s="330">
        <v>3.04</v>
      </c>
      <c r="T1517" s="34">
        <v>0</v>
      </c>
      <c r="U1517" s="366">
        <f t="shared" si="300"/>
        <v>0</v>
      </c>
      <c r="V1517" s="58">
        <v>37.72</v>
      </c>
      <c r="W1517" s="36">
        <f>RTD("money.excel",,"2609","Price")</f>
        <v>125.5</v>
      </c>
      <c r="X1517" s="67"/>
      <c r="Y1517" s="15">
        <f t="shared" si="301"/>
        <v>125.5</v>
      </c>
      <c r="Z1517" s="3" t="e">
        <f t="shared" si="302"/>
        <v>#DIV/0!</v>
      </c>
      <c r="AA1517" s="174" t="s">
        <v>4378</v>
      </c>
      <c r="AB1517" s="22" t="s">
        <v>921</v>
      </c>
      <c r="AE1517" s="33">
        <f t="shared" si="303"/>
        <v>0</v>
      </c>
      <c r="AF1517" s="43" t="s">
        <v>4015</v>
      </c>
      <c r="AG1517" s="128"/>
      <c r="AI1517" s="64">
        <f t="shared" si="304"/>
        <v>2.564727793696275E-2</v>
      </c>
      <c r="AJ1517" s="313">
        <f>RTD("money.excel",,$G1517,"PredictVolume")</f>
        <v>89509</v>
      </c>
      <c r="AK1517" s="348"/>
    </row>
    <row r="1518" spans="1:37">
      <c r="A1518" s="148" t="s">
        <v>1954</v>
      </c>
      <c r="B1518" s="96">
        <v>-4213</v>
      </c>
      <c r="C1518" s="82">
        <v>-120</v>
      </c>
      <c r="D1518" s="81">
        <v>4</v>
      </c>
      <c r="E1518" s="82">
        <v>-25</v>
      </c>
      <c r="F1518" s="6">
        <v>-25.31</v>
      </c>
      <c r="G1518" s="81">
        <v>2610</v>
      </c>
      <c r="H1518" s="8" t="s">
        <v>6103</v>
      </c>
      <c r="I1518" s="22" t="s">
        <v>24</v>
      </c>
      <c r="J1518" s="330">
        <v>69.45</v>
      </c>
      <c r="K1518" s="75">
        <v>9.39</v>
      </c>
      <c r="L1518" s="75">
        <v>5.19</v>
      </c>
      <c r="N1518" s="325">
        <f t="shared" si="305"/>
        <v>84.03</v>
      </c>
      <c r="O1518" s="27"/>
      <c r="P1518" s="56"/>
      <c r="Q1518" s="26"/>
      <c r="S1518" s="330">
        <v>0.36</v>
      </c>
      <c r="T1518" s="34">
        <v>0</v>
      </c>
      <c r="U1518" s="366">
        <f t="shared" si="300"/>
        <v>0</v>
      </c>
      <c r="V1518" s="97">
        <v>0.03</v>
      </c>
      <c r="W1518" s="36">
        <f>RTD("money.excel",,"2610","Price")</f>
        <v>26.95</v>
      </c>
      <c r="X1518" s="67"/>
      <c r="Y1518" s="15">
        <f t="shared" si="301"/>
        <v>26.95</v>
      </c>
      <c r="Z1518" s="3" t="e">
        <f t="shared" si="302"/>
        <v>#DIV/0!</v>
      </c>
      <c r="AA1518" s="174" t="s">
        <v>1943</v>
      </c>
      <c r="AB1518" s="22" t="s">
        <v>24</v>
      </c>
      <c r="AE1518" s="33">
        <f t="shared" si="303"/>
        <v>0</v>
      </c>
      <c r="AF1518" s="122" t="s">
        <v>4019</v>
      </c>
      <c r="AG1518" s="128"/>
      <c r="AI1518" s="64">
        <f t="shared" si="304"/>
        <v>2.1700369003690038E-2</v>
      </c>
      <c r="AJ1518" s="313">
        <f>RTD("money.excel",,$G1518,"PredictVolume")</f>
        <v>117616</v>
      </c>
      <c r="AK1518" s="348"/>
    </row>
    <row r="1519" spans="1:37">
      <c r="A1519" s="148" t="s">
        <v>3665</v>
      </c>
      <c r="B1519" s="95">
        <v>4959</v>
      </c>
      <c r="C1519" s="81">
        <v>14</v>
      </c>
      <c r="D1519" s="81">
        <v>18</v>
      </c>
      <c r="E1519" s="81">
        <v>32</v>
      </c>
      <c r="F1519" s="6">
        <v>-16.350000000000001</v>
      </c>
      <c r="G1519" s="81">
        <v>2611</v>
      </c>
      <c r="H1519" s="8" t="s">
        <v>6103</v>
      </c>
      <c r="I1519" s="22" t="s">
        <v>922</v>
      </c>
      <c r="J1519" s="330">
        <v>51.07</v>
      </c>
      <c r="K1519" s="75">
        <v>1.3</v>
      </c>
      <c r="L1519" s="330">
        <v>20.03</v>
      </c>
      <c r="N1519" s="325">
        <f t="shared" si="305"/>
        <v>72.400000000000006</v>
      </c>
      <c r="O1519" s="27"/>
      <c r="P1519" s="56"/>
      <c r="Q1519" s="26"/>
      <c r="S1519" s="330">
        <v>30.92</v>
      </c>
      <c r="T1519" s="34">
        <v>0</v>
      </c>
      <c r="U1519" s="366">
        <f t="shared" si="300"/>
        <v>0</v>
      </c>
      <c r="V1519" s="58">
        <v>2.38</v>
      </c>
      <c r="W1519" s="36">
        <f>RTD("money.excel",,"2611","Price")</f>
        <v>25.45</v>
      </c>
      <c r="X1519" s="67"/>
      <c r="Y1519" s="15">
        <f t="shared" si="301"/>
        <v>25.45</v>
      </c>
      <c r="Z1519" s="3" t="e">
        <f t="shared" si="302"/>
        <v>#DIV/0!</v>
      </c>
      <c r="AB1519" s="22" t="s">
        <v>922</v>
      </c>
      <c r="AE1519" s="33">
        <f t="shared" si="303"/>
        <v>0</v>
      </c>
      <c r="AF1519" s="43" t="s">
        <v>1611</v>
      </c>
      <c r="AG1519" s="128"/>
      <c r="AI1519" s="64">
        <f t="shared" si="304"/>
        <v>8.3853801169590639E-2</v>
      </c>
      <c r="AJ1519" s="313">
        <f>RTD("money.excel",,$G1519,"PredictVolume")</f>
        <v>14339</v>
      </c>
      <c r="AK1519" s="348"/>
    </row>
    <row r="1520" spans="1:37">
      <c r="A1520" s="148" t="s">
        <v>1840</v>
      </c>
      <c r="B1520" s="81">
        <v>213</v>
      </c>
      <c r="C1520" s="81">
        <v>106</v>
      </c>
      <c r="D1520" s="82">
        <v>-11</v>
      </c>
      <c r="E1520" s="81">
        <v>26</v>
      </c>
      <c r="F1520" s="6">
        <v>9.9600000000000009</v>
      </c>
      <c r="G1520" s="81">
        <v>2612</v>
      </c>
      <c r="H1520" s="8" t="s">
        <v>320</v>
      </c>
      <c r="I1520" s="22" t="s">
        <v>923</v>
      </c>
      <c r="J1520" s="75">
        <v>64.7</v>
      </c>
      <c r="K1520" s="75">
        <v>3.38</v>
      </c>
      <c r="L1520" s="75">
        <v>13.2</v>
      </c>
      <c r="M1520" s="75">
        <v>22.74</v>
      </c>
      <c r="N1520" s="325">
        <f t="shared" si="305"/>
        <v>104.02</v>
      </c>
      <c r="O1520" s="27"/>
      <c r="P1520" s="56"/>
      <c r="Q1520" s="26"/>
      <c r="R1520" s="309" t="s">
        <v>4372</v>
      </c>
      <c r="S1520" s="330">
        <v>1.53</v>
      </c>
      <c r="T1520" s="34">
        <v>2.68</v>
      </c>
      <c r="U1520" s="366">
        <f t="shared" si="300"/>
        <v>4.7857142857142862E-2</v>
      </c>
      <c r="V1520" s="58">
        <v>5.27</v>
      </c>
      <c r="W1520" s="36">
        <f>RTD("money.excel",,"2612","Price")</f>
        <v>56</v>
      </c>
      <c r="X1520" s="67"/>
      <c r="Y1520" s="15">
        <f t="shared" si="301"/>
        <v>56</v>
      </c>
      <c r="Z1520" s="3" t="e">
        <f t="shared" si="302"/>
        <v>#DIV/0!</v>
      </c>
      <c r="AA1520" s="174" t="s">
        <v>1943</v>
      </c>
      <c r="AB1520" s="22" t="s">
        <v>923</v>
      </c>
      <c r="AE1520" s="33">
        <f t="shared" si="303"/>
        <v>0</v>
      </c>
      <c r="AF1520" s="43" t="s">
        <v>2562</v>
      </c>
      <c r="AG1520" s="128"/>
      <c r="AI1520" s="64">
        <f t="shared" si="304"/>
        <v>3.6060913705583758E-2</v>
      </c>
      <c r="AJ1520" s="313">
        <f>RTD("money.excel",,$G1520,"PredictVolume")</f>
        <v>7104</v>
      </c>
      <c r="AK1520" s="348">
        <v>37.24</v>
      </c>
    </row>
    <row r="1521" spans="1:37">
      <c r="A1521" s="148" t="s">
        <v>1895</v>
      </c>
      <c r="B1521" s="93">
        <v>-63</v>
      </c>
      <c r="C1521" s="93">
        <v>-5</v>
      </c>
      <c r="D1521" s="93">
        <v>3</v>
      </c>
      <c r="E1521" s="93">
        <v>13</v>
      </c>
      <c r="F1521" s="6">
        <v>4.4400000000000004</v>
      </c>
      <c r="G1521" s="81">
        <v>2613</v>
      </c>
      <c r="H1521" s="8" t="s">
        <v>6103</v>
      </c>
      <c r="I1521" s="22" t="s">
        <v>924</v>
      </c>
      <c r="J1521" s="75">
        <v>62.53</v>
      </c>
      <c r="K1521" s="75">
        <v>0.09</v>
      </c>
      <c r="L1521" s="75">
        <v>6.12</v>
      </c>
      <c r="N1521" s="325">
        <f t="shared" si="305"/>
        <v>68.740000000000009</v>
      </c>
      <c r="O1521" s="27"/>
      <c r="P1521" s="56"/>
      <c r="Q1521" s="26"/>
      <c r="S1521" s="330">
        <v>36.299999999999997</v>
      </c>
      <c r="T1521" s="34">
        <v>0.2</v>
      </c>
      <c r="U1521" s="366">
        <f t="shared" si="300"/>
        <v>5.0632911392405064E-3</v>
      </c>
      <c r="V1521" s="97">
        <v>0.23</v>
      </c>
      <c r="W1521" s="13">
        <f>RTD("money.excel",,"2613","Price")</f>
        <v>39.5</v>
      </c>
      <c r="X1521" s="67"/>
      <c r="Y1521" s="15">
        <f t="shared" si="301"/>
        <v>39.5</v>
      </c>
      <c r="Z1521" s="3" t="e">
        <f t="shared" si="302"/>
        <v>#DIV/0!</v>
      </c>
      <c r="AB1521" s="22" t="s">
        <v>924</v>
      </c>
      <c r="AE1521" s="33">
        <f t="shared" si="303"/>
        <v>0</v>
      </c>
      <c r="AF1521" s="43" t="s">
        <v>3186</v>
      </c>
      <c r="AG1521" s="128"/>
      <c r="AI1521" s="64">
        <f t="shared" si="304"/>
        <v>7.8905405405405402E-2</v>
      </c>
      <c r="AJ1521" s="313">
        <f>RTD("money.excel",,$G1521,"PredictVolume")</f>
        <v>11678</v>
      </c>
      <c r="AK1521" s="348"/>
    </row>
    <row r="1522" spans="1:37">
      <c r="A1522" s="132" t="s">
        <v>4210</v>
      </c>
      <c r="B1522" s="95">
        <v>1829</v>
      </c>
      <c r="C1522" s="95">
        <v>1896</v>
      </c>
      <c r="D1522" s="82">
        <v>-6</v>
      </c>
      <c r="E1522" s="81">
        <v>161</v>
      </c>
      <c r="F1522" s="58">
        <v>53.29</v>
      </c>
      <c r="G1522" s="81">
        <v>2615</v>
      </c>
      <c r="H1522" s="8" t="s">
        <v>6103</v>
      </c>
      <c r="I1522" s="22" t="s">
        <v>144</v>
      </c>
      <c r="J1522" s="330">
        <v>85.05</v>
      </c>
      <c r="K1522" s="330">
        <v>44.69</v>
      </c>
      <c r="L1522" s="330">
        <v>7.4</v>
      </c>
      <c r="M1522" s="75">
        <v>4.5</v>
      </c>
      <c r="N1522" s="75">
        <f t="shared" si="305"/>
        <v>141.64000000000001</v>
      </c>
      <c r="O1522" s="27"/>
      <c r="P1522" s="56"/>
      <c r="Q1522" s="26"/>
      <c r="R1522" s="308" t="s">
        <v>4375</v>
      </c>
      <c r="S1522" s="330">
        <v>1.79</v>
      </c>
      <c r="T1522" s="34">
        <v>2</v>
      </c>
      <c r="U1522" s="366">
        <f t="shared" si="300"/>
        <v>1.1428571428571429E-2</v>
      </c>
      <c r="V1522" s="58">
        <v>33.86</v>
      </c>
      <c r="W1522" s="13">
        <f>RTD("money.excel",,"2615","Price")</f>
        <v>175</v>
      </c>
      <c r="X1522" s="67"/>
      <c r="Y1522" s="15">
        <f t="shared" si="301"/>
        <v>175</v>
      </c>
      <c r="Z1522" s="3" t="e">
        <f t="shared" si="302"/>
        <v>#DIV/0!</v>
      </c>
      <c r="AA1522" s="174" t="s">
        <v>1943</v>
      </c>
      <c r="AB1522" s="22" t="s">
        <v>144</v>
      </c>
      <c r="AE1522" s="33">
        <f t="shared" si="303"/>
        <v>0</v>
      </c>
      <c r="AF1522" s="122" t="s">
        <v>2492</v>
      </c>
      <c r="AG1522" s="128"/>
      <c r="AI1522" s="64">
        <f t="shared" si="304"/>
        <v>1.074672131147541E-2</v>
      </c>
      <c r="AJ1522" s="313">
        <f>RTD("money.excel",,$G1522,"PredictVolume")</f>
        <v>26222</v>
      </c>
      <c r="AK1522" s="348"/>
    </row>
    <row r="1523" spans="1:37">
      <c r="A1523" s="132" t="s">
        <v>2051</v>
      </c>
      <c r="B1523" s="81">
        <v>16</v>
      </c>
      <c r="C1523" s="81">
        <v>148</v>
      </c>
      <c r="D1523" s="82">
        <v>-1</v>
      </c>
      <c r="E1523" s="81">
        <v>45</v>
      </c>
      <c r="F1523" s="58">
        <v>34.19</v>
      </c>
      <c r="G1523" s="81">
        <v>2617</v>
      </c>
      <c r="H1523" s="8" t="s">
        <v>6103</v>
      </c>
      <c r="I1523" s="22" t="s">
        <v>925</v>
      </c>
      <c r="J1523" s="330">
        <v>52.37</v>
      </c>
      <c r="K1523" s="75">
        <v>5.19</v>
      </c>
      <c r="L1523" s="75">
        <v>14.74</v>
      </c>
      <c r="M1523" s="75">
        <v>43.72</v>
      </c>
      <c r="N1523" s="325">
        <f t="shared" si="305"/>
        <v>116.02</v>
      </c>
      <c r="O1523" s="27"/>
      <c r="P1523" s="56"/>
      <c r="Q1523" s="26"/>
      <c r="R1523" s="308" t="s">
        <v>4372</v>
      </c>
      <c r="S1523" s="330">
        <v>1.65</v>
      </c>
      <c r="T1523" s="34">
        <v>0.9</v>
      </c>
      <c r="U1523" s="366">
        <f t="shared" si="300"/>
        <v>2.4258760107816711E-2</v>
      </c>
      <c r="V1523" s="58">
        <v>2.57</v>
      </c>
      <c r="W1523" s="36">
        <f>RTD("money.excel",,"2617","Price")</f>
        <v>37.1</v>
      </c>
      <c r="X1523" s="67"/>
      <c r="Y1523" s="15">
        <f t="shared" si="301"/>
        <v>37.1</v>
      </c>
      <c r="Z1523" s="3" t="e">
        <f t="shared" si="302"/>
        <v>#DIV/0!</v>
      </c>
      <c r="AA1523" s="174" t="s">
        <v>1943</v>
      </c>
      <c r="AB1523" s="22" t="s">
        <v>925</v>
      </c>
      <c r="AE1523" s="33">
        <f t="shared" si="303"/>
        <v>0</v>
      </c>
      <c r="AF1523" s="43" t="s">
        <v>4020</v>
      </c>
      <c r="AG1523" s="128"/>
      <c r="AI1523" s="64">
        <f t="shared" si="304"/>
        <v>1.6618705035971224E-2</v>
      </c>
      <c r="AJ1523" s="313">
        <f>RTD("money.excel",,$G1523,"PredictVolume")</f>
        <v>6930</v>
      </c>
      <c r="AK1523" s="348"/>
    </row>
    <row r="1524" spans="1:37">
      <c r="A1524" s="148" t="s">
        <v>1789</v>
      </c>
      <c r="B1524" s="82">
        <v>-192</v>
      </c>
      <c r="C1524" s="82">
        <v>-121</v>
      </c>
      <c r="D1524" s="82">
        <v>-1</v>
      </c>
      <c r="E1524" s="82">
        <v>-55</v>
      </c>
      <c r="F1524" s="6">
        <v>-55.47</v>
      </c>
      <c r="G1524" s="81">
        <v>2618</v>
      </c>
      <c r="H1524" s="8" t="s">
        <v>6103</v>
      </c>
      <c r="I1524" s="22" t="s">
        <v>5963</v>
      </c>
      <c r="J1524" s="330">
        <v>68.58</v>
      </c>
      <c r="K1524" s="330">
        <v>19.649999999999999</v>
      </c>
      <c r="L1524" s="330">
        <v>2.8</v>
      </c>
      <c r="N1524" s="325">
        <f t="shared" si="305"/>
        <v>91.029999999999987</v>
      </c>
      <c r="O1524" s="27"/>
      <c r="P1524" s="56"/>
      <c r="Q1524" s="26"/>
      <c r="S1524" s="330">
        <v>2.14</v>
      </c>
      <c r="T1524" s="34">
        <v>0</v>
      </c>
      <c r="U1524" s="366">
        <f t="shared" si="300"/>
        <v>0</v>
      </c>
      <c r="V1524" s="97">
        <v>-0.69</v>
      </c>
      <c r="W1524" s="36">
        <f>RTD("money.excel",,"2618","Price")</f>
        <v>30.25</v>
      </c>
      <c r="X1524" s="67"/>
      <c r="Y1524" s="15">
        <f t="shared" si="301"/>
        <v>30.25</v>
      </c>
      <c r="Z1524" s="3" t="e">
        <f t="shared" si="302"/>
        <v>#DIV/0!</v>
      </c>
      <c r="AA1524" s="174" t="s">
        <v>1943</v>
      </c>
      <c r="AB1524" s="22" t="s">
        <v>5963</v>
      </c>
      <c r="AE1524" s="33">
        <f t="shared" si="303"/>
        <v>0</v>
      </c>
      <c r="AF1524" s="122" t="s">
        <v>4021</v>
      </c>
      <c r="AG1524" s="128"/>
      <c r="AI1524" s="64">
        <f t="shared" si="304"/>
        <v>2.800680412371134E-2</v>
      </c>
      <c r="AJ1524" s="313">
        <f>RTD("money.excel",,$G1524,"PredictVolume")</f>
        <v>135833</v>
      </c>
      <c r="AK1524" s="348"/>
    </row>
    <row r="1525" spans="1:37">
      <c r="A1525" s="148" t="s">
        <v>1866</v>
      </c>
      <c r="B1525" s="82">
        <v>-524</v>
      </c>
      <c r="C1525" s="82">
        <v>-246</v>
      </c>
      <c r="D1525" s="81">
        <v>2</v>
      </c>
      <c r="E1525" s="81">
        <v>52</v>
      </c>
      <c r="F1525" s="6">
        <v>-2.13</v>
      </c>
      <c r="G1525" s="81">
        <v>2630</v>
      </c>
      <c r="H1525" s="8" t="s">
        <v>6103</v>
      </c>
      <c r="I1525" s="22" t="s">
        <v>926</v>
      </c>
      <c r="J1525" s="75">
        <v>87.2</v>
      </c>
      <c r="K1525" s="330">
        <v>0.12</v>
      </c>
      <c r="N1525" s="325">
        <f t="shared" si="305"/>
        <v>87.320000000000007</v>
      </c>
      <c r="O1525" s="27"/>
      <c r="P1525" s="56"/>
      <c r="Q1525" s="26"/>
      <c r="T1525" s="34">
        <v>0.59</v>
      </c>
      <c r="U1525" s="366">
        <f t="shared" si="300"/>
        <v>3.1891891891891892E-2</v>
      </c>
      <c r="V1525" s="97">
        <v>0.35</v>
      </c>
      <c r="W1525" s="36">
        <f>RTD("money.excel",,"2630","Price")</f>
        <v>18.5</v>
      </c>
      <c r="X1525" s="67"/>
      <c r="Y1525" s="15">
        <f t="shared" si="301"/>
        <v>18.5</v>
      </c>
      <c r="Z1525" s="3" t="e">
        <f t="shared" si="302"/>
        <v>#DIV/0!</v>
      </c>
      <c r="AA1525" s="174" t="s">
        <v>1943</v>
      </c>
      <c r="AB1525" s="22" t="s">
        <v>926</v>
      </c>
      <c r="AE1525" s="33">
        <f t="shared" si="303"/>
        <v>0</v>
      </c>
      <c r="AF1525" s="43" t="s">
        <v>2269</v>
      </c>
      <c r="AG1525" s="128"/>
      <c r="AI1525" s="64">
        <f t="shared" si="304"/>
        <v>9.007633587786259E-4</v>
      </c>
      <c r="AJ1525" s="313">
        <f>RTD("money.excel",,$G1525,"PredictVolume")</f>
        <v>118</v>
      </c>
      <c r="AK1525" s="348"/>
    </row>
    <row r="1526" spans="1:37">
      <c r="A1526" s="132" t="s">
        <v>2364</v>
      </c>
      <c r="B1526" s="81">
        <v>21</v>
      </c>
      <c r="C1526" s="81">
        <v>5</v>
      </c>
      <c r="D1526" s="82">
        <v>-78</v>
      </c>
      <c r="E1526" s="82">
        <v>-87</v>
      </c>
      <c r="F1526" s="58">
        <v>32.159999999999997</v>
      </c>
      <c r="G1526" s="81">
        <v>2633</v>
      </c>
      <c r="H1526" s="8" t="s">
        <v>6103</v>
      </c>
      <c r="I1526" s="22" t="s">
        <v>1183</v>
      </c>
      <c r="J1526" s="330">
        <v>84.59</v>
      </c>
      <c r="K1526" s="330">
        <v>9.8000000000000007</v>
      </c>
      <c r="L1526" s="75">
        <v>0.65</v>
      </c>
      <c r="N1526" s="325">
        <f t="shared" si="305"/>
        <v>95.04</v>
      </c>
      <c r="O1526" s="27"/>
      <c r="P1526" s="56"/>
      <c r="Q1526" s="26"/>
      <c r="S1526" s="330">
        <v>6.39</v>
      </c>
      <c r="T1526" s="34">
        <v>1.05</v>
      </c>
      <c r="U1526" s="366">
        <f t="shared" si="300"/>
        <v>3.6971830985915499E-2</v>
      </c>
      <c r="V1526" s="58">
        <v>1.08</v>
      </c>
      <c r="W1526" s="36">
        <f>RTD("money.excel",,"2633","Price")</f>
        <v>28.4</v>
      </c>
      <c r="X1526" s="67"/>
      <c r="Y1526" s="15">
        <f t="shared" si="301"/>
        <v>28.4</v>
      </c>
      <c r="Z1526" s="3" t="e">
        <f t="shared" si="302"/>
        <v>#DIV/0!</v>
      </c>
      <c r="AB1526" s="22" t="s">
        <v>1183</v>
      </c>
      <c r="AE1526" s="33">
        <f t="shared" si="303"/>
        <v>0</v>
      </c>
      <c r="AF1526" s="122" t="s">
        <v>1491</v>
      </c>
      <c r="AG1526" s="128"/>
      <c r="AI1526" s="64">
        <f t="shared" si="304"/>
        <v>3.4359430604982206E-4</v>
      </c>
      <c r="AJ1526" s="313">
        <f>RTD("money.excel",,$G1526,"PredictVolume")</f>
        <v>1931</v>
      </c>
      <c r="AK1526" s="348"/>
    </row>
    <row r="1527" spans="1:37">
      <c r="A1527" s="148" t="s">
        <v>2182</v>
      </c>
      <c r="B1527" s="82">
        <v>-597</v>
      </c>
      <c r="C1527" s="96">
        <v>-3342</v>
      </c>
      <c r="D1527" s="81">
        <v>10</v>
      </c>
      <c r="E1527" s="81">
        <v>45</v>
      </c>
      <c r="F1527" s="6">
        <v>-5.12</v>
      </c>
      <c r="G1527" s="81">
        <v>2634</v>
      </c>
      <c r="H1527" s="8" t="s">
        <v>6103</v>
      </c>
      <c r="I1527" s="22" t="s">
        <v>126</v>
      </c>
      <c r="J1527" s="330">
        <v>55.42</v>
      </c>
      <c r="K1527" s="330">
        <v>1.51</v>
      </c>
      <c r="L1527" s="330">
        <v>2.48</v>
      </c>
      <c r="N1527" s="325">
        <f t="shared" si="305"/>
        <v>59.41</v>
      </c>
      <c r="O1527" s="27"/>
      <c r="P1527" s="56"/>
      <c r="Q1527" s="26"/>
      <c r="S1527" s="330">
        <v>0.09</v>
      </c>
      <c r="T1527" s="34">
        <v>0.2</v>
      </c>
      <c r="U1527" s="366">
        <f t="shared" si="300"/>
        <v>6.8027210884353748E-3</v>
      </c>
      <c r="V1527" s="58">
        <v>0.08</v>
      </c>
      <c r="W1527" s="36">
        <f>RTD("money.excel",,"2634","Price")</f>
        <v>29.4</v>
      </c>
      <c r="X1527" s="67"/>
      <c r="Y1527" s="15">
        <f t="shared" si="301"/>
        <v>29.4</v>
      </c>
      <c r="Z1527" s="3" t="e">
        <f t="shared" si="302"/>
        <v>#DIV/0!</v>
      </c>
      <c r="AA1527" s="174" t="s">
        <v>1943</v>
      </c>
      <c r="AB1527" s="22" t="s">
        <v>126</v>
      </c>
      <c r="AE1527" s="33">
        <f t="shared" si="303"/>
        <v>0</v>
      </c>
      <c r="AF1527" s="122" t="s">
        <v>1496</v>
      </c>
      <c r="AG1527" s="128"/>
      <c r="AI1527" s="64">
        <f t="shared" si="304"/>
        <v>5.7810839532412329E-4</v>
      </c>
      <c r="AJ1527" s="313">
        <f>RTD("money.excel",,$G1527,"PredictVolume")</f>
        <v>544</v>
      </c>
      <c r="AK1527" s="348"/>
    </row>
    <row r="1528" spans="1:37">
      <c r="A1528" s="132" t="s">
        <v>2735</v>
      </c>
      <c r="B1528" s="81">
        <v>691</v>
      </c>
      <c r="C1528" s="81">
        <v>515</v>
      </c>
      <c r="D1528" s="82">
        <v>-29</v>
      </c>
      <c r="E1528" s="81">
        <v>54</v>
      </c>
      <c r="F1528" s="58">
        <v>11.81</v>
      </c>
      <c r="G1528" s="81">
        <v>2636</v>
      </c>
      <c r="H1528" s="8" t="s">
        <v>320</v>
      </c>
      <c r="I1528" s="22" t="s">
        <v>2240</v>
      </c>
      <c r="J1528" s="75">
        <v>36.799999999999997</v>
      </c>
      <c r="K1528" s="330">
        <v>13.08</v>
      </c>
      <c r="L1528" s="75">
        <v>36.799999999999997</v>
      </c>
      <c r="M1528" s="330">
        <v>19.309999999999999</v>
      </c>
      <c r="N1528" s="325">
        <f t="shared" si="305"/>
        <v>105.99</v>
      </c>
      <c r="O1528" s="27" t="s">
        <v>1735</v>
      </c>
      <c r="P1528" s="56" t="s">
        <v>1735</v>
      </c>
      <c r="Q1528" s="26" t="s">
        <v>6283</v>
      </c>
      <c r="R1528" s="309" t="s">
        <v>4375</v>
      </c>
      <c r="S1528" s="330">
        <v>4.92</v>
      </c>
      <c r="T1528" s="67">
        <v>3.02</v>
      </c>
      <c r="U1528" s="366">
        <f t="shared" si="300"/>
        <v>2.1571428571428571E-2</v>
      </c>
      <c r="V1528" s="97">
        <v>30.69</v>
      </c>
      <c r="W1528" s="36">
        <f>RTD("money.excel",,"2636","Price")</f>
        <v>140</v>
      </c>
      <c r="X1528" s="67"/>
      <c r="Y1528" s="15">
        <f t="shared" si="301"/>
        <v>140</v>
      </c>
      <c r="Z1528" s="3" t="e">
        <f t="shared" si="302"/>
        <v>#DIV/0!</v>
      </c>
      <c r="AA1528" s="174" t="s">
        <v>2185</v>
      </c>
      <c r="AB1528" s="22" t="s">
        <v>2240</v>
      </c>
      <c r="AE1528" s="33">
        <f t="shared" si="303"/>
        <v>0</v>
      </c>
      <c r="AF1528" s="43" t="s">
        <v>2410</v>
      </c>
      <c r="AG1528" s="128"/>
      <c r="AI1528" s="64">
        <f t="shared" si="304"/>
        <v>2.5133333333333334E-2</v>
      </c>
      <c r="AJ1528" s="313">
        <f>RTD("money.excel",,$G1528,"PredictVolume")</f>
        <v>3770</v>
      </c>
      <c r="AK1528" s="348">
        <v>53.41</v>
      </c>
    </row>
    <row r="1529" spans="1:37">
      <c r="A1529" s="132" t="s">
        <v>1849</v>
      </c>
      <c r="B1529" s="95">
        <v>1731</v>
      </c>
      <c r="C1529" s="81">
        <v>490</v>
      </c>
      <c r="D1529" s="82">
        <v>1</v>
      </c>
      <c r="E1529" s="81">
        <v>82</v>
      </c>
      <c r="F1529" s="58">
        <v>38.93</v>
      </c>
      <c r="G1529" s="81">
        <v>2637</v>
      </c>
      <c r="H1529" s="8" t="s">
        <v>320</v>
      </c>
      <c r="I1529" s="22" t="s">
        <v>927</v>
      </c>
      <c r="J1529" s="330">
        <v>65.47</v>
      </c>
      <c r="K1529" s="75">
        <v>15.77</v>
      </c>
      <c r="L1529" s="330">
        <v>8.74</v>
      </c>
      <c r="M1529" s="75">
        <v>27.84</v>
      </c>
      <c r="N1529" s="325">
        <f t="shared" si="305"/>
        <v>117.82</v>
      </c>
      <c r="O1529" s="27" t="s">
        <v>6202</v>
      </c>
      <c r="P1529" s="56"/>
      <c r="Q1529" s="26"/>
      <c r="R1529" s="309" t="s">
        <v>4373</v>
      </c>
      <c r="S1529" s="330">
        <v>1.44</v>
      </c>
      <c r="T1529" s="34">
        <v>1.5</v>
      </c>
      <c r="U1529" s="366">
        <f t="shared" si="300"/>
        <v>1.507537688442211E-2</v>
      </c>
      <c r="V1529" s="58">
        <v>7.48</v>
      </c>
      <c r="W1529" s="36">
        <f>RTD("money.excel",,"2637","Price")</f>
        <v>99.5</v>
      </c>
      <c r="X1529" s="67"/>
      <c r="Y1529" s="15">
        <f t="shared" si="301"/>
        <v>99.5</v>
      </c>
      <c r="Z1529" s="3" t="e">
        <f t="shared" si="302"/>
        <v>#DIV/0!</v>
      </c>
      <c r="AA1529" s="174" t="s">
        <v>1943</v>
      </c>
      <c r="AB1529" s="22" t="s">
        <v>927</v>
      </c>
      <c r="AE1529" s="33">
        <f t="shared" si="303"/>
        <v>0</v>
      </c>
      <c r="AF1529" s="43" t="s">
        <v>2411</v>
      </c>
      <c r="AG1529" s="128"/>
      <c r="AI1529" s="64">
        <f t="shared" si="304"/>
        <v>5.0971166448230666E-2</v>
      </c>
      <c r="AJ1529" s="313">
        <f>RTD("money.excel",,$G1529,"PredictVolume")</f>
        <v>38891</v>
      </c>
      <c r="AK1529" s="348">
        <v>26.83</v>
      </c>
    </row>
    <row r="1530" spans="1:37">
      <c r="A1530" s="132" t="s">
        <v>2414</v>
      </c>
      <c r="B1530" s="81">
        <v>115</v>
      </c>
      <c r="C1530" s="81">
        <v>21</v>
      </c>
      <c r="D1530" s="81">
        <v>7</v>
      </c>
      <c r="E1530" s="81">
        <v>56</v>
      </c>
      <c r="F1530" s="58">
        <v>20.99</v>
      </c>
      <c r="G1530" s="81">
        <v>2641</v>
      </c>
      <c r="H1530" s="8" t="s">
        <v>6103</v>
      </c>
      <c r="I1530" s="16" t="s">
        <v>915</v>
      </c>
      <c r="J1530" s="330">
        <v>29</v>
      </c>
      <c r="K1530" s="75">
        <v>1.07</v>
      </c>
      <c r="L1530" s="75">
        <v>18.170000000000002</v>
      </c>
      <c r="N1530" s="325">
        <f t="shared" si="305"/>
        <v>48.24</v>
      </c>
      <c r="O1530" s="27"/>
      <c r="P1530" s="56"/>
      <c r="Q1530" s="26"/>
      <c r="S1530" s="330">
        <v>7.7</v>
      </c>
      <c r="T1530" s="34">
        <v>0</v>
      </c>
      <c r="U1530" s="366">
        <f t="shared" si="300"/>
        <v>0</v>
      </c>
      <c r="V1530" s="97">
        <v>0.63</v>
      </c>
      <c r="W1530" s="36">
        <f>RTD("money.excel",,"2641","Price")</f>
        <v>27.75</v>
      </c>
      <c r="X1530" s="67"/>
      <c r="Y1530" s="15">
        <f t="shared" si="301"/>
        <v>27.75</v>
      </c>
      <c r="Z1530" s="3" t="e">
        <f t="shared" si="302"/>
        <v>#DIV/0!</v>
      </c>
      <c r="AA1530" s="174" t="s">
        <v>1943</v>
      </c>
      <c r="AB1530" s="16" t="s">
        <v>915</v>
      </c>
      <c r="AE1530" s="33">
        <f t="shared" si="303"/>
        <v>0</v>
      </c>
      <c r="AF1530" s="43" t="s">
        <v>2562</v>
      </c>
      <c r="AG1530" s="128"/>
      <c r="AI1530" s="64">
        <f t="shared" si="304"/>
        <v>7.0884210526315786E-2</v>
      </c>
      <c r="AJ1530" s="313">
        <f>RTD("money.excel",,$G1530,"PredictVolume")</f>
        <v>13468</v>
      </c>
      <c r="AK1530" s="348"/>
    </row>
    <row r="1531" spans="1:37">
      <c r="A1531" s="148" t="s">
        <v>2449</v>
      </c>
      <c r="B1531" s="81">
        <v>26</v>
      </c>
      <c r="C1531" s="81">
        <v>26</v>
      </c>
      <c r="D1531" s="82">
        <v>-9</v>
      </c>
      <c r="E1531" s="81">
        <v>6</v>
      </c>
      <c r="F1531" s="6">
        <v>6.89</v>
      </c>
      <c r="G1531" s="81">
        <v>2642</v>
      </c>
      <c r="H1531" s="8" t="s">
        <v>320</v>
      </c>
      <c r="I1531" s="22" t="s">
        <v>928</v>
      </c>
      <c r="J1531" s="75">
        <v>61.7</v>
      </c>
      <c r="K1531" s="330">
        <v>7.45</v>
      </c>
      <c r="L1531" s="75">
        <v>17.39</v>
      </c>
      <c r="M1531" s="330">
        <v>46.13</v>
      </c>
      <c r="N1531" s="75">
        <f t="shared" si="305"/>
        <v>132.67000000000002</v>
      </c>
      <c r="O1531" s="27" t="s">
        <v>2044</v>
      </c>
      <c r="P1531" s="56"/>
      <c r="Q1531" s="26"/>
      <c r="R1531" s="308" t="s">
        <v>4095</v>
      </c>
      <c r="S1531" s="330">
        <v>2.59</v>
      </c>
      <c r="T1531" s="34">
        <v>1.8</v>
      </c>
      <c r="U1531" s="366">
        <f t="shared" si="300"/>
        <v>2.5568181818181816E-2</v>
      </c>
      <c r="V1531" s="58">
        <v>2.63</v>
      </c>
      <c r="W1531" s="36">
        <f>RTD("money.excel",,"2642","Price")</f>
        <v>70.400000000000006</v>
      </c>
      <c r="X1531" s="67"/>
      <c r="Y1531" s="15">
        <f t="shared" si="301"/>
        <v>70.400000000000006</v>
      </c>
      <c r="Z1531" s="3" t="e">
        <f t="shared" si="302"/>
        <v>#DIV/0!</v>
      </c>
      <c r="AA1531" s="174" t="s">
        <v>1943</v>
      </c>
      <c r="AB1531" s="22" t="s">
        <v>928</v>
      </c>
      <c r="AE1531" s="33">
        <f t="shared" si="303"/>
        <v>0</v>
      </c>
      <c r="AF1531" s="43" t="s">
        <v>2450</v>
      </c>
      <c r="AG1531" s="128"/>
      <c r="AI1531" s="64">
        <f t="shared" si="304"/>
        <v>3.2356020942408375E-3</v>
      </c>
      <c r="AJ1531" s="313">
        <f>RTD("money.excel",,$G1531,"PredictVolume")</f>
        <v>309</v>
      </c>
      <c r="AK1531" s="348">
        <v>56.06</v>
      </c>
    </row>
    <row r="1532" spans="1:37">
      <c r="A1532" s="148" t="s">
        <v>3056</v>
      </c>
      <c r="B1532" s="81">
        <v>21</v>
      </c>
      <c r="C1532" s="81">
        <v>25</v>
      </c>
      <c r="D1532" s="81">
        <v>14</v>
      </c>
      <c r="E1532" s="81">
        <v>66</v>
      </c>
      <c r="F1532" s="6">
        <v>6.15</v>
      </c>
      <c r="G1532" s="81">
        <v>2643</v>
      </c>
      <c r="H1532" s="8" t="s">
        <v>6103</v>
      </c>
      <c r="I1532" s="16" t="s">
        <v>916</v>
      </c>
      <c r="J1532" s="75">
        <v>54.07</v>
      </c>
      <c r="K1532" s="75">
        <v>2.78</v>
      </c>
      <c r="L1532" s="330">
        <v>12.27</v>
      </c>
      <c r="N1532" s="325">
        <f t="shared" si="305"/>
        <v>69.12</v>
      </c>
      <c r="O1532" s="27"/>
      <c r="P1532" s="56"/>
      <c r="Q1532" s="26"/>
      <c r="S1532" s="330">
        <v>0.87</v>
      </c>
      <c r="T1532" s="67">
        <v>4</v>
      </c>
      <c r="U1532" s="366">
        <f t="shared" si="300"/>
        <v>5.5555555555555552E-2</v>
      </c>
      <c r="V1532" s="58">
        <v>7.77</v>
      </c>
      <c r="W1532" s="36">
        <f>RTD("money.excel",,"2643","Price")</f>
        <v>72</v>
      </c>
      <c r="X1532" s="67"/>
      <c r="Y1532" s="15">
        <f t="shared" si="301"/>
        <v>72</v>
      </c>
      <c r="Z1532" s="3" t="e">
        <f t="shared" si="302"/>
        <v>#DIV/0!</v>
      </c>
      <c r="AA1532" s="174" t="s">
        <v>2185</v>
      </c>
      <c r="AB1532" s="16" t="s">
        <v>916</v>
      </c>
      <c r="AE1532" s="33">
        <f t="shared" si="303"/>
        <v>0</v>
      </c>
      <c r="AF1532" s="43" t="s">
        <v>3185</v>
      </c>
      <c r="AG1532" s="128"/>
      <c r="AI1532" s="64">
        <f t="shared" si="304"/>
        <v>8.6666666666666663E-4</v>
      </c>
      <c r="AJ1532" s="313">
        <f>RTD("money.excel",,$G1532,"PredictVolume")</f>
        <v>26</v>
      </c>
      <c r="AK1532" s="348"/>
    </row>
    <row r="1533" spans="1:37">
      <c r="A1533" s="132" t="s">
        <v>3622</v>
      </c>
      <c r="B1533" s="93">
        <v>7</v>
      </c>
      <c r="C1533" s="93">
        <v>14</v>
      </c>
      <c r="D1533" s="93">
        <v>2</v>
      </c>
      <c r="E1533" s="93">
        <v>-3</v>
      </c>
      <c r="F1533" s="58">
        <v>32.92</v>
      </c>
      <c r="G1533" s="81">
        <v>5601</v>
      </c>
      <c r="H1533" s="8" t="s">
        <v>6103</v>
      </c>
      <c r="I1533" s="16" t="s">
        <v>917</v>
      </c>
      <c r="J1533" s="75">
        <v>74.56</v>
      </c>
      <c r="K1533" s="75">
        <v>1.35</v>
      </c>
      <c r="N1533" s="325">
        <f t="shared" si="305"/>
        <v>75.91</v>
      </c>
      <c r="O1533" s="27"/>
      <c r="P1533" s="56"/>
      <c r="Q1533" s="26"/>
      <c r="S1533" s="330">
        <v>26.2</v>
      </c>
      <c r="T1533" s="34">
        <v>0.25</v>
      </c>
      <c r="U1533" s="366">
        <f t="shared" si="300"/>
        <v>5.9737156511350054E-3</v>
      </c>
      <c r="V1533" s="97">
        <v>0.28999999999999998</v>
      </c>
      <c r="W1533" s="13">
        <f>RTD("money.excel",,"5601","Price")</f>
        <v>41.85</v>
      </c>
      <c r="X1533" s="67"/>
      <c r="Y1533" s="15">
        <f t="shared" si="301"/>
        <v>41.85</v>
      </c>
      <c r="Z1533" s="3" t="e">
        <f t="shared" si="302"/>
        <v>#DIV/0!</v>
      </c>
      <c r="AB1533" s="16" t="s">
        <v>917</v>
      </c>
      <c r="AE1533" s="33">
        <f t="shared" si="303"/>
        <v>0</v>
      </c>
      <c r="AF1533" s="43" t="s">
        <v>3186</v>
      </c>
      <c r="AG1533" s="128"/>
      <c r="AI1533" s="64">
        <f t="shared" si="304"/>
        <v>4.4753086419753083E-4</v>
      </c>
      <c r="AJ1533" s="313">
        <f>RTD("money.excel",,$G1533,"PredictVolume")</f>
        <v>29</v>
      </c>
      <c r="AK1533" s="348"/>
    </row>
    <row r="1534" spans="1:37">
      <c r="A1534" s="148" t="s">
        <v>2278</v>
      </c>
      <c r="B1534" s="95">
        <v>2479</v>
      </c>
      <c r="C1534" s="81">
        <v>42</v>
      </c>
      <c r="D1534" s="81">
        <v>3</v>
      </c>
      <c r="E1534" s="81">
        <v>27</v>
      </c>
      <c r="F1534" s="6">
        <v>6.46</v>
      </c>
      <c r="G1534" s="81">
        <v>5603</v>
      </c>
      <c r="H1534" s="210" t="s">
        <v>6103</v>
      </c>
      <c r="I1534" s="16" t="s">
        <v>92</v>
      </c>
      <c r="J1534" s="75">
        <v>53.31</v>
      </c>
      <c r="K1534" s="330">
        <v>9.48</v>
      </c>
      <c r="L1534" s="330">
        <v>16.68</v>
      </c>
      <c r="M1534" s="330">
        <v>19.16</v>
      </c>
      <c r="N1534" s="325">
        <f t="shared" si="305"/>
        <v>98.63</v>
      </c>
      <c r="O1534" s="27"/>
      <c r="P1534" s="56"/>
      <c r="Q1534" s="26"/>
      <c r="R1534" s="308" t="s">
        <v>4372</v>
      </c>
      <c r="S1534" s="330">
        <v>0.61</v>
      </c>
      <c r="T1534" s="34">
        <v>1.3</v>
      </c>
      <c r="U1534" s="366">
        <f t="shared" si="300"/>
        <v>3.5278154681139755E-2</v>
      </c>
      <c r="V1534" s="58">
        <v>9.9499999999999993</v>
      </c>
      <c r="W1534" s="36">
        <f>RTD("money.excel",,"5603","Price")</f>
        <v>36.85</v>
      </c>
      <c r="X1534" s="67"/>
      <c r="Y1534" s="15">
        <f t="shared" si="301"/>
        <v>36.85</v>
      </c>
      <c r="Z1534" s="3" t="e">
        <f t="shared" si="302"/>
        <v>#DIV/0!</v>
      </c>
      <c r="AA1534" s="174" t="s">
        <v>1943</v>
      </c>
      <c r="AB1534" s="16" t="s">
        <v>92</v>
      </c>
      <c r="AE1534" s="33">
        <f t="shared" si="303"/>
        <v>0</v>
      </c>
      <c r="AF1534" s="122" t="s">
        <v>3187</v>
      </c>
      <c r="AG1534" s="128"/>
      <c r="AI1534" s="64">
        <f t="shared" si="304"/>
        <v>7.1425030978934323E-2</v>
      </c>
      <c r="AJ1534" s="313">
        <f>RTD("money.excel",,$G1534,"PredictVolume")</f>
        <v>5764</v>
      </c>
      <c r="AK1534" s="348"/>
    </row>
    <row r="1535" spans="1:37">
      <c r="A1535" s="132" t="s">
        <v>1881</v>
      </c>
      <c r="B1535" s="95">
        <v>1366</v>
      </c>
      <c r="C1535" s="81">
        <v>42</v>
      </c>
      <c r="D1535" s="81">
        <v>7</v>
      </c>
      <c r="E1535" s="81">
        <v>36</v>
      </c>
      <c r="F1535" s="58">
        <v>65.010000000000005</v>
      </c>
      <c r="G1535" s="81">
        <v>5604</v>
      </c>
      <c r="H1535" s="8" t="s">
        <v>6103</v>
      </c>
      <c r="I1535" s="16" t="s">
        <v>918</v>
      </c>
      <c r="J1535" s="330">
        <v>56.73</v>
      </c>
      <c r="K1535" s="330">
        <v>10.9</v>
      </c>
      <c r="L1535" s="330">
        <v>0.85</v>
      </c>
      <c r="N1535" s="325">
        <f t="shared" si="305"/>
        <v>68.47999999999999</v>
      </c>
      <c r="O1535" s="27"/>
      <c r="P1535" s="56"/>
      <c r="Q1535" s="26"/>
      <c r="S1535" s="330">
        <v>10.39</v>
      </c>
      <c r="T1535" s="67">
        <v>7.95</v>
      </c>
      <c r="U1535" s="366">
        <f t="shared" si="300"/>
        <v>9.9624060150375948E-2</v>
      </c>
      <c r="V1535" s="58">
        <v>14.6</v>
      </c>
      <c r="W1535" s="36">
        <f>RTD("money.excel",,"5604","Price")</f>
        <v>79.8</v>
      </c>
      <c r="X1535" s="67"/>
      <c r="Y1535" s="15">
        <f t="shared" si="301"/>
        <v>79.8</v>
      </c>
      <c r="Z1535" s="3" t="e">
        <f t="shared" si="302"/>
        <v>#DIV/0!</v>
      </c>
      <c r="AA1535" s="174" t="s">
        <v>1986</v>
      </c>
      <c r="AB1535" s="16" t="s">
        <v>918</v>
      </c>
      <c r="AE1535" s="33">
        <f t="shared" si="303"/>
        <v>0</v>
      </c>
      <c r="AF1535" s="43" t="s">
        <v>3188</v>
      </c>
      <c r="AG1535" s="128"/>
      <c r="AI1535" s="64">
        <f t="shared" si="304"/>
        <v>8.3333333333333331E-5</v>
      </c>
      <c r="AJ1535" s="313">
        <f>RTD("money.excel",,$G1535,"PredictVolume")</f>
        <v>9</v>
      </c>
      <c r="AK1535" s="348"/>
    </row>
    <row r="1536" spans="1:37">
      <c r="A1536" s="132" t="s">
        <v>2474</v>
      </c>
      <c r="B1536" s="81">
        <v>34</v>
      </c>
      <c r="C1536" s="81">
        <v>21</v>
      </c>
      <c r="D1536" s="81">
        <v>0</v>
      </c>
      <c r="E1536" s="81">
        <v>7</v>
      </c>
      <c r="F1536" s="58">
        <v>36.24</v>
      </c>
      <c r="G1536" s="81">
        <v>5607</v>
      </c>
      <c r="H1536" s="8" t="s">
        <v>6103</v>
      </c>
      <c r="I1536" s="22" t="s">
        <v>929</v>
      </c>
      <c r="J1536" s="75">
        <v>63.45</v>
      </c>
      <c r="K1536" s="330">
        <v>3.55</v>
      </c>
      <c r="L1536" s="75">
        <v>5.08</v>
      </c>
      <c r="N1536" s="325">
        <f t="shared" si="305"/>
        <v>72.08</v>
      </c>
      <c r="O1536" s="27"/>
      <c r="P1536" s="56"/>
      <c r="Q1536" s="26"/>
      <c r="S1536" s="330">
        <v>0.06</v>
      </c>
      <c r="T1536" s="34">
        <v>1.2</v>
      </c>
      <c r="U1536" s="366">
        <f t="shared" si="300"/>
        <v>1.8867924528301886E-2</v>
      </c>
      <c r="V1536" s="97">
        <v>2.0099999999999998</v>
      </c>
      <c r="W1536" s="36">
        <f>RTD("money.excel",,"5607","Price")</f>
        <v>63.6</v>
      </c>
      <c r="X1536" s="67"/>
      <c r="Y1536" s="15">
        <f t="shared" si="301"/>
        <v>63.6</v>
      </c>
      <c r="Z1536" s="3" t="e">
        <f t="shared" si="302"/>
        <v>#DIV/0!</v>
      </c>
      <c r="AA1536" s="174" t="s">
        <v>1943</v>
      </c>
      <c r="AB1536" s="22" t="s">
        <v>929</v>
      </c>
      <c r="AE1536" s="33">
        <f t="shared" si="303"/>
        <v>0</v>
      </c>
      <c r="AF1536" s="43" t="s">
        <v>2475</v>
      </c>
      <c r="AG1536" s="128"/>
      <c r="AI1536" s="64">
        <f t="shared" si="304"/>
        <v>1.5478260869565218E-3</v>
      </c>
      <c r="AJ1536" s="313">
        <f>RTD("money.excel",,$G1536,"PredictVolume")</f>
        <v>356</v>
      </c>
      <c r="AK1536" s="348"/>
    </row>
    <row r="1537" spans="1:37">
      <c r="A1537" s="132" t="s">
        <v>2526</v>
      </c>
      <c r="B1537" s="81">
        <v>253</v>
      </c>
      <c r="C1537" s="81">
        <v>320</v>
      </c>
      <c r="D1537" s="82">
        <v>-13</v>
      </c>
      <c r="E1537" s="81">
        <v>126</v>
      </c>
      <c r="F1537" s="58">
        <v>36.520000000000003</v>
      </c>
      <c r="G1537" s="81">
        <v>5608</v>
      </c>
      <c r="H1537" s="8" t="s">
        <v>320</v>
      </c>
      <c r="I1537" s="22" t="s">
        <v>930</v>
      </c>
      <c r="J1537" s="330">
        <v>29.53</v>
      </c>
      <c r="K1537" s="75">
        <v>4.92</v>
      </c>
      <c r="L1537" s="330">
        <v>21.31</v>
      </c>
      <c r="M1537" s="330">
        <v>9.3699999999999992</v>
      </c>
      <c r="N1537" s="325">
        <f t="shared" si="305"/>
        <v>65.13000000000001</v>
      </c>
      <c r="O1537" s="27" t="s">
        <v>5771</v>
      </c>
      <c r="P1537" s="56"/>
      <c r="Q1537" s="26"/>
      <c r="R1537" s="308" t="s">
        <v>4373</v>
      </c>
      <c r="S1537" s="330">
        <v>1.87</v>
      </c>
      <c r="T1537" s="34">
        <v>0</v>
      </c>
      <c r="U1537" s="366">
        <f t="shared" si="300"/>
        <v>0</v>
      </c>
      <c r="V1537" s="97">
        <v>4.43</v>
      </c>
      <c r="W1537" s="36">
        <f>RTD("money.excel",,"5608","Price")</f>
        <v>48.15</v>
      </c>
      <c r="X1537" s="67"/>
      <c r="Y1537" s="15">
        <f t="shared" si="301"/>
        <v>48.15</v>
      </c>
      <c r="Z1537" s="3" t="e">
        <f t="shared" si="302"/>
        <v>#DIV/0!</v>
      </c>
      <c r="AA1537" s="174" t="s">
        <v>1943</v>
      </c>
      <c r="AB1537" s="22" t="s">
        <v>930</v>
      </c>
      <c r="AE1537" s="33">
        <f t="shared" si="303"/>
        <v>0</v>
      </c>
      <c r="AF1537" s="43" t="s">
        <v>1612</v>
      </c>
      <c r="AG1537" s="128"/>
      <c r="AI1537" s="64">
        <f t="shared" si="304"/>
        <v>0.19851975683890577</v>
      </c>
      <c r="AJ1537" s="313">
        <f>RTD("money.excel",,$G1537,"PredictVolume")</f>
        <v>65313</v>
      </c>
      <c r="AK1537" s="348"/>
    </row>
    <row r="1538" spans="1:37">
      <c r="A1538" s="148" t="s">
        <v>1767</v>
      </c>
      <c r="B1538" s="81">
        <v>72</v>
      </c>
      <c r="C1538" s="81">
        <v>63</v>
      </c>
      <c r="D1538" s="81">
        <v>4</v>
      </c>
      <c r="E1538" s="81">
        <v>115</v>
      </c>
      <c r="F1538" s="6">
        <v>6.41</v>
      </c>
      <c r="G1538" s="81">
        <v>5609</v>
      </c>
      <c r="H1538" s="8" t="s">
        <v>320</v>
      </c>
      <c r="I1538" s="16" t="s">
        <v>919</v>
      </c>
      <c r="J1538" s="330">
        <v>38.43</v>
      </c>
      <c r="K1538" s="330">
        <v>16.7</v>
      </c>
      <c r="L1538" s="75">
        <v>14.49</v>
      </c>
      <c r="M1538" s="75">
        <v>11.69</v>
      </c>
      <c r="N1538" s="325">
        <f t="shared" si="305"/>
        <v>81.309999999999988</v>
      </c>
      <c r="O1538" s="27"/>
      <c r="P1538" s="56"/>
      <c r="Q1538" s="26"/>
      <c r="R1538" s="308" t="s">
        <v>6111</v>
      </c>
      <c r="S1538" s="330">
        <v>1.47</v>
      </c>
      <c r="T1538" s="67">
        <v>6</v>
      </c>
      <c r="U1538" s="366">
        <f t="shared" si="300"/>
        <v>5.8252427184466021E-2</v>
      </c>
      <c r="V1538" s="97">
        <v>13.08</v>
      </c>
      <c r="W1538" s="36">
        <f>RTD("money.excel",,"5609","Price")</f>
        <v>103</v>
      </c>
      <c r="X1538" s="67"/>
      <c r="Y1538" s="15">
        <f t="shared" si="301"/>
        <v>103</v>
      </c>
      <c r="Z1538" s="3" t="e">
        <f t="shared" si="302"/>
        <v>#DIV/0!</v>
      </c>
      <c r="AA1538" s="174" t="s">
        <v>2185</v>
      </c>
      <c r="AB1538" s="16" t="s">
        <v>919</v>
      </c>
      <c r="AE1538" s="33">
        <f t="shared" si="303"/>
        <v>0</v>
      </c>
      <c r="AF1538" s="43" t="s">
        <v>3331</v>
      </c>
      <c r="AG1538" s="128"/>
      <c r="AI1538" s="64">
        <f t="shared" si="304"/>
        <v>5.1617647058823527E-3</v>
      </c>
      <c r="AJ1538" s="313">
        <f>RTD("money.excel",,$G1538,"PredictVolume")</f>
        <v>702</v>
      </c>
      <c r="AK1538" s="348">
        <v>46.34</v>
      </c>
    </row>
    <row r="1539" spans="1:37">
      <c r="A1539" s="132" t="s">
        <v>6302</v>
      </c>
      <c r="B1539" s="81">
        <v>296</v>
      </c>
      <c r="C1539" s="81">
        <v>82</v>
      </c>
      <c r="D1539" s="81">
        <v>10</v>
      </c>
      <c r="E1539" s="81">
        <v>25</v>
      </c>
      <c r="F1539" s="58">
        <v>22.41</v>
      </c>
      <c r="G1539" s="81">
        <v>8367</v>
      </c>
      <c r="H1539" s="8" t="s">
        <v>320</v>
      </c>
      <c r="I1539" s="22" t="s">
        <v>2018</v>
      </c>
      <c r="J1539" s="75">
        <v>61.25</v>
      </c>
      <c r="K1539" s="330">
        <v>1.77</v>
      </c>
      <c r="L1539" s="330">
        <v>6.56</v>
      </c>
      <c r="M1539" s="330">
        <v>49.34</v>
      </c>
      <c r="N1539" s="325">
        <f t="shared" si="305"/>
        <v>118.92</v>
      </c>
      <c r="O1539" s="27" t="s">
        <v>1735</v>
      </c>
      <c r="P1539" s="56" t="s">
        <v>6271</v>
      </c>
      <c r="Q1539" s="26" t="s">
        <v>6271</v>
      </c>
      <c r="R1539" s="308" t="s">
        <v>6305</v>
      </c>
      <c r="S1539" s="330">
        <v>0.53</v>
      </c>
      <c r="T1539" s="34">
        <v>1.5</v>
      </c>
      <c r="U1539" s="366">
        <f t="shared" si="300"/>
        <v>2.9239766081871347E-2</v>
      </c>
      <c r="V1539" s="58">
        <v>7.19</v>
      </c>
      <c r="W1539" s="36">
        <f>RTD("money.excel",,"8367","Price")</f>
        <v>51.3</v>
      </c>
      <c r="X1539" s="67"/>
      <c r="Y1539" s="15">
        <f t="shared" si="301"/>
        <v>51.3</v>
      </c>
      <c r="Z1539" s="3" t="e">
        <f t="shared" si="302"/>
        <v>#DIV/0!</v>
      </c>
      <c r="AA1539" s="174" t="s">
        <v>1943</v>
      </c>
      <c r="AB1539" s="22" t="s">
        <v>2018</v>
      </c>
      <c r="AE1539" s="33">
        <f t="shared" si="303"/>
        <v>0</v>
      </c>
      <c r="AF1539" s="43" t="s">
        <v>2019</v>
      </c>
      <c r="AG1539" s="128"/>
      <c r="AI1539" s="64">
        <f t="shared" si="304"/>
        <v>4.9828962371721783E-3</v>
      </c>
      <c r="AJ1539" s="313">
        <f>RTD("money.excel",,$G1539,"PredictVolume")</f>
        <v>437</v>
      </c>
      <c r="AK1539" s="348">
        <v>31.32</v>
      </c>
    </row>
    <row r="1540" spans="1:37">
      <c r="B1540" s="93"/>
      <c r="C1540" s="93"/>
      <c r="D1540" s="93"/>
      <c r="E1540" s="93"/>
      <c r="F1540" s="58"/>
      <c r="G1540" s="81"/>
      <c r="H1540" s="8"/>
      <c r="I1540" s="22"/>
      <c r="J1540" s="75"/>
      <c r="K1540" s="330"/>
      <c r="L1540" s="330"/>
      <c r="N1540" s="325"/>
      <c r="O1540" s="27"/>
      <c r="P1540" s="56"/>
      <c r="Q1540" s="26"/>
      <c r="T1540" s="34"/>
      <c r="V1540" s="58"/>
      <c r="W1540" s="36"/>
      <c r="X1540" s="67"/>
      <c r="Y1540" s="15"/>
      <c r="Z1540" s="3"/>
      <c r="AB1540" s="22"/>
      <c r="AE1540" s="33"/>
      <c r="AF1540" s="43"/>
      <c r="AG1540" s="128"/>
      <c r="AI1540" s="64"/>
      <c r="AJ1540" s="313"/>
      <c r="AK1540" s="348"/>
    </row>
    <row r="1541" spans="1:37">
      <c r="A1541" s="132" t="s">
        <v>1854</v>
      </c>
      <c r="B1541" s="93" t="s">
        <v>1657</v>
      </c>
      <c r="C1541" s="93" t="s">
        <v>1658</v>
      </c>
      <c r="D1541" s="93" t="s">
        <v>1659</v>
      </c>
      <c r="E1541" s="93" t="s">
        <v>1660</v>
      </c>
      <c r="F1541" s="8" t="s">
        <v>1122</v>
      </c>
      <c r="G1541" s="27" t="s">
        <v>1014</v>
      </c>
      <c r="H1541" s="55" t="s">
        <v>342</v>
      </c>
      <c r="I1541" s="8" t="s">
        <v>321</v>
      </c>
      <c r="J1541" s="324" t="s">
        <v>1529</v>
      </c>
      <c r="K1541" s="324" t="s">
        <v>1217</v>
      </c>
      <c r="L1541" s="324" t="s">
        <v>298</v>
      </c>
      <c r="M1541" s="324" t="s">
        <v>1115</v>
      </c>
      <c r="N1541" s="324" t="s">
        <v>6091</v>
      </c>
      <c r="O1541" s="27" t="s">
        <v>6253</v>
      </c>
      <c r="P1541" s="56" t="s">
        <v>6219</v>
      </c>
      <c r="Q1541" s="26" t="s">
        <v>6313</v>
      </c>
      <c r="R1541" s="309" t="s">
        <v>4371</v>
      </c>
      <c r="S1541" s="335" t="s">
        <v>4398</v>
      </c>
      <c r="T1541" s="10" t="s">
        <v>75</v>
      </c>
      <c r="U1541" s="364" t="s">
        <v>6152</v>
      </c>
      <c r="V1541" s="69" t="s">
        <v>4022</v>
      </c>
      <c r="W1541" s="28" t="s">
        <v>2</v>
      </c>
      <c r="X1541" s="17" t="s">
        <v>1465</v>
      </c>
      <c r="Y1541" s="14" t="s">
        <v>5</v>
      </c>
      <c r="Z1541" s="21" t="s">
        <v>3</v>
      </c>
      <c r="AA1541" s="322" t="s">
        <v>117</v>
      </c>
      <c r="AB1541" s="8" t="s">
        <v>321</v>
      </c>
      <c r="AC1541" s="73" t="s">
        <v>1466</v>
      </c>
      <c r="AD1541" s="74" t="s">
        <v>1223</v>
      </c>
      <c r="AE1541" s="32" t="s">
        <v>1224</v>
      </c>
      <c r="AF1541" s="43"/>
      <c r="AG1541" s="269"/>
      <c r="AI1541" s="8" t="s">
        <v>4414</v>
      </c>
      <c r="AJ1541" s="50" t="s">
        <v>4121</v>
      </c>
      <c r="AK1541" s="348" t="s">
        <v>6074</v>
      </c>
    </row>
    <row r="1542" spans="1:37" ht="16.5" customHeight="1">
      <c r="A1542" s="148" t="s">
        <v>1758</v>
      </c>
      <c r="B1542" s="82">
        <v>-98</v>
      </c>
      <c r="C1542" s="82">
        <v>-14</v>
      </c>
      <c r="D1542" s="81">
        <v>17</v>
      </c>
      <c r="E1542" s="82">
        <v>-8</v>
      </c>
      <c r="F1542" s="6">
        <v>2.77</v>
      </c>
      <c r="G1542" s="81">
        <v>1259</v>
      </c>
      <c r="H1542" s="8" t="s">
        <v>321</v>
      </c>
      <c r="I1542" s="16" t="s">
        <v>1015</v>
      </c>
      <c r="J1542" s="75">
        <v>70.290000000000006</v>
      </c>
      <c r="K1542" s="330">
        <v>26.2</v>
      </c>
      <c r="L1542" s="330">
        <v>0.33</v>
      </c>
      <c r="N1542" s="325">
        <f t="shared" ref="N1542" si="306">J1542+K1542+L1542+M1542</f>
        <v>96.820000000000007</v>
      </c>
      <c r="O1542" s="27"/>
      <c r="P1542" s="56"/>
      <c r="Q1542" s="26"/>
      <c r="T1542" s="67" ph="1">
        <v>3</v>
      </c>
      <c r="U1542" s="366">
        <f t="shared" ref="U1542:U1585" si="307">T1542/W1542</f>
        <v>4.3988269794721403E-2</v>
      </c>
      <c r="V1542" s="97">
        <v>5.48</v>
      </c>
      <c r="W1542" s="36">
        <f>RTD("money.excel",,"1259","Price")</f>
        <v>68.2</v>
      </c>
      <c r="X1542" s="67"/>
      <c r="Y1542" s="15">
        <f t="shared" ref="Y1542:Y1585" si="308">W1542-X1542</f>
        <v>68.2</v>
      </c>
      <c r="Z1542" s="3" t="e">
        <f t="shared" ref="Z1542:Z1585" si="309">Y1542/X1542</f>
        <v>#DIV/0!</v>
      </c>
      <c r="AA1542" s="174" t="s">
        <v>1986</v>
      </c>
      <c r="AB1542" s="16" t="s">
        <v>1015</v>
      </c>
      <c r="AE1542" s="33">
        <f t="shared" ref="AE1542:AE1585" si="310">AD1542-AC1542</f>
        <v>0</v>
      </c>
      <c r="AF1542" s="43" t="s">
        <v>3195</v>
      </c>
      <c r="AG1542" s="128"/>
      <c r="AI1542" s="64">
        <f t="shared" ref="AI1542:AI1585" si="311">AJ1542/(A1542*10000)</f>
        <v>1.5432098765432096E-4</v>
      </c>
      <c r="AJ1542" s="313">
        <f>RTD("money.excel",,$G1542,"PredictVolume")</f>
        <v>5</v>
      </c>
      <c r="AK1542" s="348"/>
    </row>
    <row r="1543" spans="1:37" ht="16.5" customHeight="1">
      <c r="A1543" s="148" t="s">
        <v>4355</v>
      </c>
      <c r="B1543" s="82">
        <v>-132</v>
      </c>
      <c r="C1543" s="82">
        <v>-396</v>
      </c>
      <c r="D1543" s="81">
        <v>9</v>
      </c>
      <c r="E1543" s="81">
        <v>0</v>
      </c>
      <c r="F1543" s="6">
        <v>-11.67</v>
      </c>
      <c r="G1543" s="81">
        <v>1268</v>
      </c>
      <c r="H1543" s="8" t="s">
        <v>321</v>
      </c>
      <c r="I1543" s="16" t="s">
        <v>1016</v>
      </c>
      <c r="J1543" s="330">
        <v>70.489999999999995</v>
      </c>
      <c r="K1543" s="330">
        <v>0.08</v>
      </c>
      <c r="L1543" s="75">
        <v>0.32</v>
      </c>
      <c r="M1543" s="330">
        <v>19.29</v>
      </c>
      <c r="N1543" s="325">
        <f>K1543+J1543+L1543+M1543</f>
        <v>90.179999999999978</v>
      </c>
      <c r="O1543" s="27"/>
      <c r="P1543" s="56"/>
      <c r="Q1543" s="26"/>
      <c r="S1543" s="330">
        <v>0.02</v>
      </c>
      <c r="T1543" s="67">
        <v>7</v>
      </c>
      <c r="U1543" s="366">
        <f t="shared" si="307"/>
        <v>6.0606060606060608E-2</v>
      </c>
      <c r="V1543" s="58">
        <v>0.05</v>
      </c>
      <c r="W1543" s="36">
        <f>RTD("money.excel",,"1268","Price")</f>
        <v>115.5</v>
      </c>
      <c r="X1543" s="67"/>
      <c r="Y1543" s="15">
        <f t="shared" si="308"/>
        <v>115.5</v>
      </c>
      <c r="Z1543" s="3" t="e">
        <f t="shared" si="309"/>
        <v>#DIV/0!</v>
      </c>
      <c r="AA1543" s="174" t="s">
        <v>2185</v>
      </c>
      <c r="AB1543" s="16" t="s">
        <v>1016</v>
      </c>
      <c r="AE1543" s="33">
        <f t="shared" si="310"/>
        <v>0</v>
      </c>
      <c r="AF1543" s="43" t="s">
        <v>3196</v>
      </c>
      <c r="AG1543" s="128"/>
      <c r="AI1543" s="64">
        <f t="shared" si="311"/>
        <v>1.3348946135831384E-3</v>
      </c>
      <c r="AJ1543" s="313">
        <f>RTD("money.excel",,$G1543,"PredictVolume")</f>
        <v>57</v>
      </c>
      <c r="AK1543" s="348"/>
    </row>
    <row r="1544" spans="1:37" ht="16.5" customHeight="1">
      <c r="A1544" s="132" t="s">
        <v>2378</v>
      </c>
      <c r="B1544" s="93">
        <v>-63</v>
      </c>
      <c r="C1544" s="93">
        <v>-21</v>
      </c>
      <c r="D1544" s="93">
        <v>-4</v>
      </c>
      <c r="E1544" s="93">
        <v>-10</v>
      </c>
      <c r="F1544" s="58">
        <v>55.25</v>
      </c>
      <c r="G1544" s="81">
        <v>2701</v>
      </c>
      <c r="H1544" s="8" t="s">
        <v>321</v>
      </c>
      <c r="I1544" s="22" t="s">
        <v>1025</v>
      </c>
      <c r="J1544" s="75">
        <v>87.94</v>
      </c>
      <c r="K1544" s="75">
        <v>0.44</v>
      </c>
      <c r="L1544" s="75">
        <v>7.0000000000000007E-2</v>
      </c>
      <c r="N1544" s="325">
        <f t="shared" ref="N1544:N1566" si="312">J1544+K1544+L1544+M1544</f>
        <v>88.449999999999989</v>
      </c>
      <c r="O1544" s="27"/>
      <c r="P1544" s="56"/>
      <c r="Q1544" s="26"/>
      <c r="S1544" s="330">
        <v>19.96</v>
      </c>
      <c r="T1544" s="34">
        <v>0.25</v>
      </c>
      <c r="U1544" s="366">
        <f t="shared" si="307"/>
        <v>2.0746887966804978E-2</v>
      </c>
      <c r="V1544" s="97">
        <v>0.39</v>
      </c>
      <c r="W1544" s="13">
        <f>RTD("money.excel",,"2701","Price")</f>
        <v>12.05</v>
      </c>
      <c r="X1544" s="67"/>
      <c r="Y1544" s="15">
        <f t="shared" si="308"/>
        <v>12.05</v>
      </c>
      <c r="Z1544" s="3" t="e">
        <f t="shared" si="309"/>
        <v>#DIV/0!</v>
      </c>
      <c r="AB1544" s="22" t="s">
        <v>1025</v>
      </c>
      <c r="AE1544" s="33">
        <f t="shared" si="310"/>
        <v>0</v>
      </c>
      <c r="AF1544" s="43" t="s">
        <v>3303</v>
      </c>
      <c r="AG1544" s="128"/>
      <c r="AI1544" s="64">
        <f t="shared" si="311"/>
        <v>1.4444444444444444E-4</v>
      </c>
      <c r="AJ1544" s="313">
        <f>RTD("money.excel",,$G1544,"PredictVolume")</f>
        <v>65</v>
      </c>
      <c r="AK1544" s="348"/>
    </row>
    <row r="1545" spans="1:37" ht="16.5" customHeight="1">
      <c r="A1545" s="148" t="s">
        <v>2455</v>
      </c>
      <c r="B1545" s="208">
        <v>-1227</v>
      </c>
      <c r="C1545" s="93">
        <v>-187</v>
      </c>
      <c r="D1545" s="93">
        <v>-7</v>
      </c>
      <c r="E1545" s="93">
        <v>-66</v>
      </c>
      <c r="F1545" s="6">
        <v>-23.75</v>
      </c>
      <c r="G1545" s="81">
        <v>2702</v>
      </c>
      <c r="H1545" s="8" t="s">
        <v>321</v>
      </c>
      <c r="I1545" s="22" t="s">
        <v>1026</v>
      </c>
      <c r="J1545" s="75">
        <v>73.19</v>
      </c>
      <c r="K1545" s="75">
        <v>36.840000000000003</v>
      </c>
      <c r="L1545" s="75">
        <v>10.29</v>
      </c>
      <c r="N1545" s="325">
        <f t="shared" si="312"/>
        <v>120.32</v>
      </c>
      <c r="O1545" s="27"/>
      <c r="P1545" s="56"/>
      <c r="Q1545" s="26"/>
      <c r="S1545" s="330">
        <v>24.84</v>
      </c>
      <c r="T1545" s="34">
        <v>0</v>
      </c>
      <c r="U1545" s="366">
        <f t="shared" si="307"/>
        <v>0</v>
      </c>
      <c r="V1545" s="97">
        <v>-2.4500000000000002</v>
      </c>
      <c r="W1545" s="13">
        <f>RTD("money.excel",,"2702","Price")</f>
        <v>24.9</v>
      </c>
      <c r="X1545" s="67"/>
      <c r="Y1545" s="15">
        <f t="shared" si="308"/>
        <v>24.9</v>
      </c>
      <c r="Z1545" s="3" t="e">
        <f t="shared" si="309"/>
        <v>#DIV/0!</v>
      </c>
      <c r="AB1545" s="22" t="s">
        <v>1026</v>
      </c>
      <c r="AE1545" s="33">
        <f t="shared" si="310"/>
        <v>0</v>
      </c>
      <c r="AF1545" s="43" t="s">
        <v>3304</v>
      </c>
      <c r="AG1545" s="128"/>
      <c r="AI1545" s="64">
        <f t="shared" si="311"/>
        <v>2.4545454545454545E-4</v>
      </c>
      <c r="AJ1545" s="313">
        <f>RTD("money.excel",,$G1545,"PredictVolume")</f>
        <v>27</v>
      </c>
      <c r="AK1545" s="348"/>
    </row>
    <row r="1546" spans="1:37">
      <c r="A1546" s="148" t="s">
        <v>2451</v>
      </c>
      <c r="B1546" s="82">
        <v>-126</v>
      </c>
      <c r="C1546" s="82">
        <v>-146</v>
      </c>
      <c r="D1546" s="81">
        <v>7</v>
      </c>
      <c r="E1546" s="82">
        <v>-20</v>
      </c>
      <c r="F1546" s="6">
        <v>-11.99</v>
      </c>
      <c r="G1546" s="81">
        <v>2704</v>
      </c>
      <c r="H1546" s="17" t="s">
        <v>321</v>
      </c>
      <c r="I1546" s="22" t="s">
        <v>0</v>
      </c>
      <c r="J1546" s="330">
        <v>88.99</v>
      </c>
      <c r="K1546" s="330">
        <v>9.6</v>
      </c>
      <c r="L1546" s="75">
        <v>1.05</v>
      </c>
      <c r="N1546" s="325">
        <f t="shared" si="312"/>
        <v>99.639999999999986</v>
      </c>
      <c r="O1546" s="27"/>
      <c r="P1546" s="56"/>
      <c r="Q1546" s="26"/>
      <c r="S1546" s="330">
        <v>0.01</v>
      </c>
      <c r="T1546" s="34">
        <v>0</v>
      </c>
      <c r="U1546" s="366">
        <f t="shared" si="307"/>
        <v>0</v>
      </c>
      <c r="V1546" s="97">
        <v>0.01</v>
      </c>
      <c r="W1546" s="36">
        <f>RTD("money.excel",,"2704","Price")</f>
        <v>33.299999999999997</v>
      </c>
      <c r="X1546" s="67"/>
      <c r="Y1546" s="15">
        <f t="shared" si="308"/>
        <v>33.299999999999997</v>
      </c>
      <c r="Z1546" s="3" t="e">
        <f t="shared" si="309"/>
        <v>#DIV/0!</v>
      </c>
      <c r="AA1546" s="174" t="s">
        <v>1943</v>
      </c>
      <c r="AB1546" s="22" t="s">
        <v>0</v>
      </c>
      <c r="AE1546" s="33">
        <f t="shared" si="310"/>
        <v>0</v>
      </c>
      <c r="AF1546" s="43" t="s">
        <v>3205</v>
      </c>
      <c r="AG1546" s="128"/>
      <c r="AI1546" s="64">
        <f t="shared" si="311"/>
        <v>3.4699453551912567E-4</v>
      </c>
      <c r="AJ1546" s="313">
        <f>RTD("money.excel",,$G1546,"PredictVolume")</f>
        <v>127</v>
      </c>
      <c r="AK1546" s="348"/>
    </row>
    <row r="1547" spans="1:37">
      <c r="A1547" s="148" t="s">
        <v>1825</v>
      </c>
      <c r="B1547" s="81">
        <v>27</v>
      </c>
      <c r="C1547" s="81">
        <v>10</v>
      </c>
      <c r="D1547" s="81">
        <v>5</v>
      </c>
      <c r="E1547" s="81">
        <v>13</v>
      </c>
      <c r="F1547" s="6">
        <v>-28.24</v>
      </c>
      <c r="G1547" s="81">
        <v>2705</v>
      </c>
      <c r="H1547" s="8" t="s">
        <v>321</v>
      </c>
      <c r="I1547" s="22" t="s">
        <v>1027</v>
      </c>
      <c r="J1547" s="75">
        <v>63.52</v>
      </c>
      <c r="K1547" s="75">
        <v>2.86</v>
      </c>
      <c r="N1547" s="325">
        <f t="shared" si="312"/>
        <v>66.38000000000001</v>
      </c>
      <c r="O1547" s="27"/>
      <c r="P1547" s="56"/>
      <c r="Q1547" s="26"/>
      <c r="T1547" s="34">
        <v>0</v>
      </c>
      <c r="U1547" s="366">
        <f t="shared" si="307"/>
        <v>0</v>
      </c>
      <c r="V1547" s="97">
        <v>-2.0099999999999998</v>
      </c>
      <c r="W1547" s="36">
        <f>RTD("money.excel",,"2705","Price")</f>
        <v>17.149999999999999</v>
      </c>
      <c r="X1547" s="67"/>
      <c r="Y1547" s="15">
        <f t="shared" si="308"/>
        <v>17.149999999999999</v>
      </c>
      <c r="Z1547" s="3" t="e">
        <f t="shared" si="309"/>
        <v>#DIV/0!</v>
      </c>
      <c r="AA1547" s="174" t="s">
        <v>1943</v>
      </c>
      <c r="AB1547" s="22" t="s">
        <v>1027</v>
      </c>
      <c r="AE1547" s="33">
        <f t="shared" si="310"/>
        <v>0</v>
      </c>
      <c r="AF1547" s="43" t="s">
        <v>3305</v>
      </c>
      <c r="AG1547" s="128"/>
      <c r="AI1547" s="64">
        <f t="shared" si="311"/>
        <v>9.4623655913978497E-4</v>
      </c>
      <c r="AJ1547" s="313">
        <f>RTD("money.excel",,$G1547,"PredictVolume")</f>
        <v>176</v>
      </c>
      <c r="AK1547" s="348"/>
    </row>
    <row r="1548" spans="1:37">
      <c r="A1548" s="132" t="s">
        <v>3704</v>
      </c>
      <c r="B1548" s="93">
        <v>-81</v>
      </c>
      <c r="C1548" s="93">
        <v>-29</v>
      </c>
      <c r="D1548" s="93">
        <v>-3</v>
      </c>
      <c r="E1548" s="93">
        <v>-15</v>
      </c>
      <c r="F1548" s="58">
        <v>62.27</v>
      </c>
      <c r="G1548" s="81">
        <v>2706</v>
      </c>
      <c r="H1548" s="8" t="s">
        <v>321</v>
      </c>
      <c r="I1548" s="22" t="s">
        <v>1028</v>
      </c>
      <c r="J1548" s="75">
        <v>88.46</v>
      </c>
      <c r="K1548" s="330">
        <v>2.61</v>
      </c>
      <c r="L1548" s="75">
        <v>0.66</v>
      </c>
      <c r="N1548" s="325">
        <f t="shared" si="312"/>
        <v>91.72999999999999</v>
      </c>
      <c r="O1548" s="27"/>
      <c r="P1548" s="56"/>
      <c r="Q1548" s="26"/>
      <c r="S1548" s="330">
        <v>22.84</v>
      </c>
      <c r="T1548" s="34">
        <v>0.15</v>
      </c>
      <c r="U1548" s="366">
        <f t="shared" si="307"/>
        <v>1.0676156583629892E-2</v>
      </c>
      <c r="V1548" s="97">
        <v>0.32</v>
      </c>
      <c r="W1548" s="13">
        <f>RTD("money.excel",,"2706","Price")</f>
        <v>14.05</v>
      </c>
      <c r="X1548" s="67"/>
      <c r="Y1548" s="15">
        <f t="shared" si="308"/>
        <v>14.05</v>
      </c>
      <c r="Z1548" s="3" t="e">
        <f t="shared" si="309"/>
        <v>#DIV/0!</v>
      </c>
      <c r="AB1548" s="22" t="s">
        <v>1028</v>
      </c>
      <c r="AE1548" s="33">
        <f t="shared" si="310"/>
        <v>0</v>
      </c>
      <c r="AF1548" s="43" t="s">
        <v>3306</v>
      </c>
      <c r="AG1548" s="128"/>
      <c r="AI1548" s="64">
        <f t="shared" si="311"/>
        <v>2.9399999999999999E-4</v>
      </c>
      <c r="AJ1548" s="313">
        <f>RTD("money.excel",,$G1548,"PredictVolume")</f>
        <v>147</v>
      </c>
      <c r="AK1548" s="348"/>
    </row>
    <row r="1549" spans="1:37">
      <c r="A1549" s="132" t="s">
        <v>1636</v>
      </c>
      <c r="B1549" s="81">
        <v>295</v>
      </c>
      <c r="C1549" s="82">
        <v>-50</v>
      </c>
      <c r="D1549" s="82">
        <v>-3</v>
      </c>
      <c r="E1549" s="82">
        <v>-1</v>
      </c>
      <c r="F1549" s="6">
        <v>-0.41</v>
      </c>
      <c r="G1549" s="81">
        <v>2707</v>
      </c>
      <c r="H1549" s="8" t="s">
        <v>321</v>
      </c>
      <c r="I1549" s="22" t="s">
        <v>1029</v>
      </c>
      <c r="J1549" s="330">
        <v>57.16</v>
      </c>
      <c r="K1549" s="75">
        <v>15.13</v>
      </c>
      <c r="L1549" s="330">
        <v>4.92</v>
      </c>
      <c r="M1549" s="330">
        <v>10.81</v>
      </c>
      <c r="N1549" s="325">
        <f t="shared" si="312"/>
        <v>88.02</v>
      </c>
      <c r="O1549" s="27" t="s">
        <v>6489</v>
      </c>
      <c r="P1549" s="56" t="s">
        <v>6489</v>
      </c>
      <c r="Q1549" s="26" t="s">
        <v>6489</v>
      </c>
      <c r="R1549" s="309" t="s">
        <v>4373</v>
      </c>
      <c r="S1549" s="330">
        <v>1.22</v>
      </c>
      <c r="T1549" s="67">
        <v>4.3899999999999997</v>
      </c>
      <c r="U1549" s="366">
        <f t="shared" si="307"/>
        <v>2.7015384615384615E-2</v>
      </c>
      <c r="V1549" s="97">
        <v>16.52</v>
      </c>
      <c r="W1549" s="36">
        <f>RTD("money.excel",,"2707","Price")</f>
        <v>162.5</v>
      </c>
      <c r="X1549" s="67"/>
      <c r="Y1549" s="15">
        <f t="shared" si="308"/>
        <v>162.5</v>
      </c>
      <c r="Z1549" s="3" t="e">
        <f t="shared" si="309"/>
        <v>#DIV/0!</v>
      </c>
      <c r="AA1549" s="174" t="s">
        <v>2185</v>
      </c>
      <c r="AB1549" s="22" t="s">
        <v>1029</v>
      </c>
      <c r="AE1549" s="33">
        <f t="shared" si="310"/>
        <v>0</v>
      </c>
      <c r="AF1549" s="43" t="s">
        <v>3205</v>
      </c>
      <c r="AG1549" s="269"/>
      <c r="AI1549" s="64">
        <f t="shared" si="311"/>
        <v>3.2992125984251967E-3</v>
      </c>
      <c r="AJ1549" s="313">
        <f>RTD("money.excel",,$G1549,"PredictVolume")</f>
        <v>419</v>
      </c>
      <c r="AK1549" s="348">
        <v>6.02</v>
      </c>
    </row>
    <row r="1550" spans="1:37">
      <c r="A1550" s="148" t="s">
        <v>3670</v>
      </c>
      <c r="B1550" s="208">
        <v>1618</v>
      </c>
      <c r="C1550" s="208">
        <v>1551</v>
      </c>
      <c r="D1550" s="93">
        <v>1</v>
      </c>
      <c r="E1550" s="93">
        <v>-7</v>
      </c>
      <c r="F1550" s="6">
        <v>-7.87</v>
      </c>
      <c r="G1550" s="81">
        <v>2712</v>
      </c>
      <c r="H1550" s="8" t="s">
        <v>321</v>
      </c>
      <c r="I1550" s="22" t="s">
        <v>1030</v>
      </c>
      <c r="J1550" s="75">
        <v>96.12</v>
      </c>
      <c r="K1550" s="75">
        <v>0.06</v>
      </c>
      <c r="L1550" s="75">
        <v>0.28999999999999998</v>
      </c>
      <c r="N1550" s="325">
        <f t="shared" si="312"/>
        <v>96.470000000000013</v>
      </c>
      <c r="O1550" s="27"/>
      <c r="P1550" s="56"/>
      <c r="Q1550" s="26"/>
      <c r="S1550" s="330">
        <v>51.94</v>
      </c>
      <c r="T1550" s="34">
        <v>0.7</v>
      </c>
      <c r="U1550" s="366">
        <f t="shared" si="307"/>
        <v>1.8918918918918916E-2</v>
      </c>
      <c r="V1550" s="97">
        <v>0.93</v>
      </c>
      <c r="W1550" s="13">
        <f>RTD("money.excel",,"2712","Price")</f>
        <v>37</v>
      </c>
      <c r="X1550" s="67"/>
      <c r="Y1550" s="15">
        <f t="shared" si="308"/>
        <v>37</v>
      </c>
      <c r="Z1550" s="3" t="e">
        <f t="shared" si="309"/>
        <v>#DIV/0!</v>
      </c>
      <c r="AB1550" s="22" t="s">
        <v>1030</v>
      </c>
      <c r="AE1550" s="33">
        <f t="shared" si="310"/>
        <v>0</v>
      </c>
      <c r="AF1550" s="43" t="s">
        <v>3307</v>
      </c>
      <c r="AG1550" s="128"/>
      <c r="AI1550" s="64">
        <f t="shared" si="311"/>
        <v>6.666666666666667E-5</v>
      </c>
      <c r="AJ1550" s="313">
        <f>RTD("money.excel",,$G1550,"PredictVolume")</f>
        <v>7</v>
      </c>
      <c r="AK1550" s="348"/>
    </row>
    <row r="1551" spans="1:37">
      <c r="A1551" s="148" t="s">
        <v>1753</v>
      </c>
      <c r="B1551" s="96">
        <v>-2891</v>
      </c>
      <c r="C1551" s="81">
        <v>13</v>
      </c>
      <c r="D1551" s="81">
        <v>-31</v>
      </c>
      <c r="E1551" s="82">
        <v>-99</v>
      </c>
      <c r="F1551" s="75">
        <v>-591.20000000000005</v>
      </c>
      <c r="G1551" s="81">
        <v>2718</v>
      </c>
      <c r="H1551" s="8" t="s">
        <v>321</v>
      </c>
      <c r="I1551" s="16" t="s">
        <v>1017</v>
      </c>
      <c r="J1551" s="75">
        <v>85.67</v>
      </c>
      <c r="K1551" s="75">
        <v>0</v>
      </c>
      <c r="L1551" s="330"/>
      <c r="N1551" s="325">
        <f t="shared" si="312"/>
        <v>85.67</v>
      </c>
      <c r="O1551" s="27"/>
      <c r="P1551" s="56"/>
      <c r="Q1551" s="26"/>
      <c r="T1551" s="34">
        <v>0</v>
      </c>
      <c r="U1551" s="366" t="e">
        <f t="shared" si="307"/>
        <v>#VALUE!</v>
      </c>
      <c r="V1551" s="58">
        <v>-2.89</v>
      </c>
      <c r="W1551" s="36" t="str">
        <f>RTD("money.excel",,"2718","Price")</f>
        <v>無資料</v>
      </c>
      <c r="X1551" s="67"/>
      <c r="Y1551" s="15" t="e">
        <f t="shared" si="308"/>
        <v>#VALUE!</v>
      </c>
      <c r="Z1551" s="3" t="e">
        <f t="shared" si="309"/>
        <v>#VALUE!</v>
      </c>
      <c r="AB1551" s="16" t="s">
        <v>1017</v>
      </c>
      <c r="AE1551" s="33">
        <f t="shared" si="310"/>
        <v>0</v>
      </c>
      <c r="AF1551" s="43" t="s">
        <v>3068</v>
      </c>
      <c r="AG1551" s="128"/>
      <c r="AI1551" s="64">
        <f t="shared" si="311"/>
        <v>0</v>
      </c>
      <c r="AJ1551" s="313">
        <f>RTD("money.excel",,$G1551,"PredictVolume")</f>
        <v>0</v>
      </c>
      <c r="AK1551" s="348"/>
    </row>
    <row r="1552" spans="1:37">
      <c r="A1552" s="148" t="s">
        <v>3630</v>
      </c>
      <c r="B1552" s="93">
        <v>-7</v>
      </c>
      <c r="C1552" s="93">
        <v>-9</v>
      </c>
      <c r="D1552" s="93">
        <v>69</v>
      </c>
      <c r="E1552" s="93">
        <v>-92</v>
      </c>
      <c r="F1552" s="6">
        <v>-58.64</v>
      </c>
      <c r="G1552" s="81">
        <v>2719</v>
      </c>
      <c r="H1552" s="8" t="s">
        <v>321</v>
      </c>
      <c r="I1552" s="16" t="s">
        <v>1018</v>
      </c>
      <c r="J1552" s="75">
        <v>69.72</v>
      </c>
      <c r="K1552" s="75">
        <v>0.67</v>
      </c>
      <c r="L1552" s="75">
        <v>0</v>
      </c>
      <c r="N1552" s="325">
        <f t="shared" si="312"/>
        <v>70.39</v>
      </c>
      <c r="O1552" s="27"/>
      <c r="P1552" s="56"/>
      <c r="Q1552" s="26"/>
      <c r="S1552" s="330">
        <v>53.14</v>
      </c>
      <c r="T1552" s="34">
        <v>0</v>
      </c>
      <c r="U1552" s="366">
        <f t="shared" si="307"/>
        <v>0</v>
      </c>
      <c r="V1552" s="97">
        <v>-4.22</v>
      </c>
      <c r="W1552" s="13">
        <f>RTD("money.excel",,"2719","Price")</f>
        <v>15</v>
      </c>
      <c r="X1552" s="67"/>
      <c r="Y1552" s="15">
        <f t="shared" si="308"/>
        <v>15</v>
      </c>
      <c r="Z1552" s="3" t="e">
        <f t="shared" si="309"/>
        <v>#DIV/0!</v>
      </c>
      <c r="AB1552" s="16" t="s">
        <v>1018</v>
      </c>
      <c r="AE1552" s="33">
        <f t="shared" si="310"/>
        <v>0</v>
      </c>
      <c r="AF1552" s="43" t="s">
        <v>3197</v>
      </c>
      <c r="AG1552" s="33"/>
      <c r="AI1552" s="64">
        <f t="shared" si="311"/>
        <v>2.5723472668810288E-4</v>
      </c>
      <c r="AJ1552" s="313">
        <f>RTD("money.excel",,$G1552,"PredictVolume")</f>
        <v>8</v>
      </c>
      <c r="AK1552" s="83"/>
    </row>
    <row r="1553" spans="1:37">
      <c r="A1553" s="148" t="s">
        <v>1841</v>
      </c>
      <c r="B1553" s="93">
        <v>86</v>
      </c>
      <c r="C1553" s="93">
        <v>74</v>
      </c>
      <c r="D1553" s="93">
        <v>-6</v>
      </c>
      <c r="E1553" s="93">
        <v>-29</v>
      </c>
      <c r="F1553" s="6">
        <v>-29.95</v>
      </c>
      <c r="G1553" s="81">
        <v>2722</v>
      </c>
      <c r="H1553" s="8" t="s">
        <v>321</v>
      </c>
      <c r="I1553" s="22" t="s">
        <v>1031</v>
      </c>
      <c r="J1553" s="75">
        <v>90.86</v>
      </c>
      <c r="K1553" s="75">
        <v>7.0000000000000007E-2</v>
      </c>
      <c r="L1553" s="75">
        <v>0.08</v>
      </c>
      <c r="N1553" s="325">
        <f t="shared" si="312"/>
        <v>91.009999999999991</v>
      </c>
      <c r="O1553" s="27"/>
      <c r="P1553" s="56"/>
      <c r="Q1553" s="26"/>
      <c r="S1553" s="330">
        <v>56.58</v>
      </c>
      <c r="T1553" s="34">
        <v>0.5</v>
      </c>
      <c r="U1553" s="366">
        <f t="shared" si="307"/>
        <v>1.5898251192368838E-2</v>
      </c>
      <c r="V1553" s="97">
        <v>0.79</v>
      </c>
      <c r="W1553" s="13">
        <f>RTD("money.excel",,"2722","Price")</f>
        <v>31.45</v>
      </c>
      <c r="X1553" s="67"/>
      <c r="Y1553" s="15">
        <f t="shared" si="308"/>
        <v>31.45</v>
      </c>
      <c r="Z1553" s="3" t="e">
        <f t="shared" si="309"/>
        <v>#DIV/0!</v>
      </c>
      <c r="AB1553" s="22" t="s">
        <v>1031</v>
      </c>
      <c r="AE1553" s="33">
        <f t="shared" si="310"/>
        <v>0</v>
      </c>
      <c r="AF1553" s="43" t="s">
        <v>3308</v>
      </c>
      <c r="AG1553" s="128"/>
      <c r="AI1553" s="64">
        <f t="shared" si="311"/>
        <v>1.891891891891892E-4</v>
      </c>
      <c r="AJ1553" s="313">
        <f>RTD("money.excel",,$G1553,"PredictVolume")</f>
        <v>21</v>
      </c>
      <c r="AK1553" s="348"/>
    </row>
    <row r="1554" spans="1:37">
      <c r="A1554" s="148" t="s">
        <v>2394</v>
      </c>
      <c r="B1554" s="81">
        <v>365</v>
      </c>
      <c r="C1554" s="81">
        <v>135</v>
      </c>
      <c r="D1554" s="81">
        <v>4</v>
      </c>
      <c r="E1554" s="81">
        <v>0</v>
      </c>
      <c r="F1554" s="6">
        <v>7.37</v>
      </c>
      <c r="G1554" s="81">
        <v>2723</v>
      </c>
      <c r="H1554" s="8" t="s">
        <v>321</v>
      </c>
      <c r="I1554" s="22" t="s">
        <v>127</v>
      </c>
      <c r="J1554" s="330">
        <v>75.31</v>
      </c>
      <c r="K1554" s="330">
        <v>61.39</v>
      </c>
      <c r="L1554" s="75">
        <v>2.68</v>
      </c>
      <c r="N1554" s="325">
        <f t="shared" si="312"/>
        <v>139.38</v>
      </c>
      <c r="O1554" s="27"/>
      <c r="P1554" s="56"/>
      <c r="Q1554" s="26"/>
      <c r="S1554" s="330">
        <v>3.23</v>
      </c>
      <c r="T1554" s="67">
        <v>4</v>
      </c>
      <c r="U1554" s="366">
        <f t="shared" si="307"/>
        <v>4.1025641025641026E-2</v>
      </c>
      <c r="V1554" s="58">
        <v>6.67</v>
      </c>
      <c r="W1554" s="13">
        <f>RTD("money.excel",,"2723","Price")</f>
        <v>97.5</v>
      </c>
      <c r="X1554" s="67"/>
      <c r="Y1554" s="15">
        <f t="shared" si="308"/>
        <v>97.5</v>
      </c>
      <c r="Z1554" s="3" t="e">
        <f t="shared" si="309"/>
        <v>#DIV/0!</v>
      </c>
      <c r="AA1554" s="174" t="s">
        <v>2185</v>
      </c>
      <c r="AB1554" s="22" t="s">
        <v>127</v>
      </c>
      <c r="AE1554" s="33">
        <f t="shared" si="310"/>
        <v>0</v>
      </c>
      <c r="AF1554" s="122" t="s">
        <v>2396</v>
      </c>
      <c r="AG1554" s="128"/>
      <c r="AI1554" s="64">
        <f t="shared" si="311"/>
        <v>2.6555555555555555E-3</v>
      </c>
      <c r="AJ1554" s="313">
        <f>RTD("money.excel",,$G1554,"PredictVolume")</f>
        <v>478</v>
      </c>
      <c r="AK1554" s="348"/>
    </row>
    <row r="1555" spans="1:37">
      <c r="A1555" s="148" t="s">
        <v>3631</v>
      </c>
      <c r="B1555" s="93">
        <v>-337</v>
      </c>
      <c r="C1555" s="93">
        <v>-95</v>
      </c>
      <c r="D1555" s="93">
        <v>-4</v>
      </c>
      <c r="E1555" s="93">
        <v>-66</v>
      </c>
      <c r="F1555" s="6">
        <v>-52.28</v>
      </c>
      <c r="G1555" s="81">
        <v>2724</v>
      </c>
      <c r="H1555" s="8" t="s">
        <v>321</v>
      </c>
      <c r="I1555" s="16" t="s">
        <v>1019</v>
      </c>
      <c r="J1555" s="75">
        <v>81.73</v>
      </c>
      <c r="K1555" s="75">
        <v>80.61</v>
      </c>
      <c r="N1555" s="325">
        <f t="shared" si="312"/>
        <v>162.34</v>
      </c>
      <c r="O1555" s="27"/>
      <c r="P1555" s="56"/>
      <c r="Q1555" s="26"/>
      <c r="S1555" s="330">
        <v>63.08</v>
      </c>
      <c r="T1555" s="34">
        <v>0</v>
      </c>
      <c r="U1555" s="366">
        <f t="shared" si="307"/>
        <v>0</v>
      </c>
      <c r="V1555" s="58">
        <v>-2.21</v>
      </c>
      <c r="W1555" s="13">
        <f>RTD("money.excel",,"2724","Price")</f>
        <v>16</v>
      </c>
      <c r="X1555" s="67"/>
      <c r="Y1555" s="15">
        <f t="shared" si="308"/>
        <v>16</v>
      </c>
      <c r="Z1555" s="3" t="e">
        <f t="shared" si="309"/>
        <v>#DIV/0!</v>
      </c>
      <c r="AB1555" s="16" t="s">
        <v>1019</v>
      </c>
      <c r="AE1555" s="33">
        <f t="shared" si="310"/>
        <v>0</v>
      </c>
      <c r="AF1555" s="43" t="s">
        <v>3198</v>
      </c>
      <c r="AG1555" s="128"/>
      <c r="AI1555" s="64">
        <f t="shared" si="311"/>
        <v>1.4662756598240469E-5</v>
      </c>
      <c r="AJ1555" s="313">
        <f>RTD("money.excel",,$G1555,"PredictVolume")</f>
        <v>1</v>
      </c>
      <c r="AK1555" s="348"/>
    </row>
    <row r="1556" spans="1:37">
      <c r="A1556" s="148" t="s">
        <v>1567</v>
      </c>
      <c r="B1556" s="96">
        <v>-1442</v>
      </c>
      <c r="C1556" s="96">
        <v>-1410</v>
      </c>
      <c r="D1556" s="82">
        <v>-14</v>
      </c>
      <c r="E1556" s="82">
        <v>-39</v>
      </c>
      <c r="F1556" s="6">
        <v>-3.69</v>
      </c>
      <c r="G1556" s="81">
        <v>2726</v>
      </c>
      <c r="H1556" s="8" t="s">
        <v>321</v>
      </c>
      <c r="I1556" s="16" t="s">
        <v>1020</v>
      </c>
      <c r="J1556" s="330">
        <v>47.43</v>
      </c>
      <c r="K1556" s="75">
        <v>37.840000000000003</v>
      </c>
      <c r="L1556" s="75">
        <v>11.58</v>
      </c>
      <c r="M1556" s="75">
        <v>35.67</v>
      </c>
      <c r="N1556" s="75">
        <f t="shared" si="312"/>
        <v>132.52000000000001</v>
      </c>
      <c r="O1556" s="27"/>
      <c r="P1556" s="56"/>
      <c r="Q1556" s="26"/>
      <c r="R1556" s="308" t="s">
        <v>4373</v>
      </c>
      <c r="S1556" s="330">
        <v>0.15</v>
      </c>
      <c r="T1556" s="34">
        <v>0.5</v>
      </c>
      <c r="U1556" s="366">
        <f t="shared" si="307"/>
        <v>1.7123287671232876E-2</v>
      </c>
      <c r="V1556" s="97">
        <v>0.15</v>
      </c>
      <c r="W1556" s="36">
        <f>RTD("money.excel",,"2726","Price")</f>
        <v>29.2</v>
      </c>
      <c r="X1556" s="67"/>
      <c r="Y1556" s="15">
        <f t="shared" si="308"/>
        <v>29.2</v>
      </c>
      <c r="Z1556" s="3" t="e">
        <f t="shared" si="309"/>
        <v>#DIV/0!</v>
      </c>
      <c r="AA1556" s="174" t="s">
        <v>1943</v>
      </c>
      <c r="AB1556" s="16" t="s">
        <v>1020</v>
      </c>
      <c r="AE1556" s="33">
        <f t="shared" si="310"/>
        <v>0</v>
      </c>
      <c r="AF1556" s="43" t="s">
        <v>3199</v>
      </c>
      <c r="AG1556" s="128"/>
      <c r="AI1556" s="64">
        <f t="shared" si="311"/>
        <v>1.2569832402234637E-3</v>
      </c>
      <c r="AJ1556" s="313">
        <f>RTD("money.excel",,$G1556,"PredictVolume")</f>
        <v>45</v>
      </c>
      <c r="AK1556" s="348"/>
    </row>
    <row r="1557" spans="1:37">
      <c r="A1557" s="148" t="s">
        <v>2514</v>
      </c>
      <c r="B1557" s="81">
        <v>53</v>
      </c>
      <c r="C1557" s="81">
        <v>135</v>
      </c>
      <c r="D1557" s="81">
        <v>36</v>
      </c>
      <c r="E1557" s="82">
        <v>-18</v>
      </c>
      <c r="F1557" s="6">
        <v>0.42</v>
      </c>
      <c r="G1557" s="81">
        <v>2727</v>
      </c>
      <c r="H1557" s="8" t="s">
        <v>321</v>
      </c>
      <c r="I1557" s="22" t="s">
        <v>101</v>
      </c>
      <c r="J1557" s="75">
        <v>23.68</v>
      </c>
      <c r="K1557" s="330">
        <v>7.09</v>
      </c>
      <c r="L1557" s="75">
        <v>8.07</v>
      </c>
      <c r="N1557" s="325">
        <f t="shared" si="312"/>
        <v>38.840000000000003</v>
      </c>
      <c r="O1557" s="27"/>
      <c r="P1557" s="56"/>
      <c r="Q1557" s="26"/>
      <c r="S1557" s="330">
        <v>0.65</v>
      </c>
      <c r="T1557" s="67">
        <v>4.3600000000000003</v>
      </c>
      <c r="U1557" s="366">
        <f t="shared" si="307"/>
        <v>3.6033057851239669E-2</v>
      </c>
      <c r="V1557" s="97">
        <v>4.76</v>
      </c>
      <c r="W1557" s="36">
        <f>RTD("money.excel",,"2727","Price")</f>
        <v>121</v>
      </c>
      <c r="X1557" s="67"/>
      <c r="Y1557" s="15">
        <f t="shared" si="308"/>
        <v>121</v>
      </c>
      <c r="Z1557" s="3" t="e">
        <f t="shared" si="309"/>
        <v>#DIV/0!</v>
      </c>
      <c r="AA1557" s="174" t="s">
        <v>2185</v>
      </c>
      <c r="AB1557" s="22" t="s">
        <v>101</v>
      </c>
      <c r="AE1557" s="33">
        <f t="shared" si="310"/>
        <v>0</v>
      </c>
      <c r="AF1557" s="122" t="s">
        <v>3196</v>
      </c>
      <c r="AG1557" s="128"/>
      <c r="AI1557" s="64">
        <f t="shared" si="311"/>
        <v>2.3246753246753248E-3</v>
      </c>
      <c r="AJ1557" s="313">
        <f>RTD("money.excel",,$G1557,"PredictVolume")</f>
        <v>179</v>
      </c>
      <c r="AK1557" s="348"/>
    </row>
    <row r="1558" spans="1:37">
      <c r="A1558" s="132" t="s">
        <v>1665</v>
      </c>
      <c r="B1558" s="82">
        <v>-20</v>
      </c>
      <c r="C1558" s="82">
        <v>-13</v>
      </c>
      <c r="D1558" s="81">
        <v>40</v>
      </c>
      <c r="E1558" s="81">
        <v>70</v>
      </c>
      <c r="F1558" s="58">
        <v>10.35</v>
      </c>
      <c r="G1558" s="81">
        <v>2729</v>
      </c>
      <c r="H1558" s="8" t="s">
        <v>321</v>
      </c>
      <c r="I1558" s="16" t="s">
        <v>5964</v>
      </c>
      <c r="J1558" s="75">
        <v>66.56</v>
      </c>
      <c r="K1558" s="330">
        <v>6.9</v>
      </c>
      <c r="L1558" s="330"/>
      <c r="N1558" s="325">
        <f t="shared" si="312"/>
        <v>73.460000000000008</v>
      </c>
      <c r="O1558" s="27"/>
      <c r="P1558" s="56"/>
      <c r="Q1558" s="26"/>
      <c r="T1558" s="67">
        <v>14.5</v>
      </c>
      <c r="U1558" s="366">
        <f t="shared" si="307"/>
        <v>6.7129629629629636E-2</v>
      </c>
      <c r="V1558" s="58">
        <v>15.91</v>
      </c>
      <c r="W1558" s="36">
        <f>RTD("money.excel",,"2729","Price")</f>
        <v>216</v>
      </c>
      <c r="X1558" s="67"/>
      <c r="Y1558" s="15">
        <f t="shared" si="308"/>
        <v>216</v>
      </c>
      <c r="Z1558" s="3" t="e">
        <f t="shared" si="309"/>
        <v>#DIV/0!</v>
      </c>
      <c r="AA1558" s="174" t="s">
        <v>2185</v>
      </c>
      <c r="AB1558" s="16" t="s">
        <v>5964</v>
      </c>
      <c r="AE1558" s="33">
        <f t="shared" si="310"/>
        <v>0</v>
      </c>
      <c r="AF1558" s="122" t="s">
        <v>2285</v>
      </c>
      <c r="AG1558" s="128"/>
      <c r="AI1558" s="64">
        <f t="shared" si="311"/>
        <v>1.7167381974248928E-4</v>
      </c>
      <c r="AJ1558" s="313">
        <f>RTD("money.excel",,$G1558,"PredictVolume")</f>
        <v>4</v>
      </c>
      <c r="AK1558" s="348"/>
    </row>
    <row r="1559" spans="1:37">
      <c r="A1559" s="148" t="s">
        <v>1753</v>
      </c>
      <c r="B1559" s="82">
        <v>-271</v>
      </c>
      <c r="C1559" s="82">
        <v>-823</v>
      </c>
      <c r="D1559" s="81">
        <v>18</v>
      </c>
      <c r="E1559" s="82">
        <v>-44</v>
      </c>
      <c r="F1559" s="6">
        <v>-14.64</v>
      </c>
      <c r="G1559" s="81">
        <v>2731</v>
      </c>
      <c r="H1559" s="8" t="s">
        <v>321</v>
      </c>
      <c r="I1559" s="22" t="s">
        <v>1032</v>
      </c>
      <c r="J1559" s="330">
        <v>57.14</v>
      </c>
      <c r="K1559" s="75">
        <v>1.1000000000000001</v>
      </c>
      <c r="L1559" s="75">
        <v>4.7300000000000004</v>
      </c>
      <c r="N1559" s="325">
        <f t="shared" si="312"/>
        <v>62.97</v>
      </c>
      <c r="O1559" s="27"/>
      <c r="P1559" s="56"/>
      <c r="Q1559" s="26"/>
      <c r="S1559" s="330">
        <v>0.38</v>
      </c>
      <c r="T1559" s="34">
        <v>0</v>
      </c>
      <c r="U1559" s="366">
        <f t="shared" si="307"/>
        <v>0</v>
      </c>
      <c r="V1559" s="58">
        <v>-5.9</v>
      </c>
      <c r="W1559" s="36">
        <f>RTD("money.excel",,"2731","Price")</f>
        <v>98</v>
      </c>
      <c r="X1559" s="67"/>
      <c r="Y1559" s="15">
        <f t="shared" si="308"/>
        <v>98</v>
      </c>
      <c r="Z1559" s="3" t="e">
        <f t="shared" si="309"/>
        <v>#DIV/0!</v>
      </c>
      <c r="AA1559" s="174" t="s">
        <v>1943</v>
      </c>
      <c r="AB1559" s="22" t="s">
        <v>1032</v>
      </c>
      <c r="AE1559" s="33">
        <f t="shared" si="310"/>
        <v>0</v>
      </c>
      <c r="AF1559" s="43" t="s">
        <v>1624</v>
      </c>
      <c r="AG1559" s="128"/>
      <c r="AI1559" s="64">
        <f t="shared" si="311"/>
        <v>1.0385674931129477E-2</v>
      </c>
      <c r="AJ1559" s="313">
        <f>RTD("money.excel",,$G1559,"PredictVolume")</f>
        <v>754</v>
      </c>
      <c r="AK1559" s="348"/>
    </row>
    <row r="1560" spans="1:37">
      <c r="A1560" s="148" t="s">
        <v>4175</v>
      </c>
      <c r="B1560" s="81">
        <v>22</v>
      </c>
      <c r="C1560" s="81">
        <v>3</v>
      </c>
      <c r="D1560" s="81">
        <v>4</v>
      </c>
      <c r="E1560" s="82">
        <v>-28</v>
      </c>
      <c r="F1560" s="6">
        <v>3.37</v>
      </c>
      <c r="G1560" s="81">
        <v>2732</v>
      </c>
      <c r="H1560" s="8" t="s">
        <v>321</v>
      </c>
      <c r="I1560" s="16" t="s">
        <v>88</v>
      </c>
      <c r="J1560" s="330">
        <v>40.130000000000003</v>
      </c>
      <c r="K1560" s="75">
        <v>7.42</v>
      </c>
      <c r="L1560" s="330">
        <v>4.3</v>
      </c>
      <c r="N1560" s="325">
        <f t="shared" si="312"/>
        <v>51.85</v>
      </c>
      <c r="O1560" s="27"/>
      <c r="P1560" s="56"/>
      <c r="Q1560" s="26"/>
      <c r="S1560" s="330">
        <v>8.35</v>
      </c>
      <c r="T1560" s="34">
        <v>2.98</v>
      </c>
      <c r="U1560" s="366">
        <f t="shared" si="307"/>
        <v>2.7720930232558141E-2</v>
      </c>
      <c r="V1560" s="97">
        <v>3.47</v>
      </c>
      <c r="W1560" s="36">
        <f>RTD("money.excel",,"2732","Price")</f>
        <v>107.5</v>
      </c>
      <c r="X1560" s="67"/>
      <c r="Y1560" s="15">
        <f t="shared" si="308"/>
        <v>107.5</v>
      </c>
      <c r="Z1560" s="3" t="e">
        <f t="shared" si="309"/>
        <v>#DIV/0!</v>
      </c>
      <c r="AA1560" s="174" t="s">
        <v>1943</v>
      </c>
      <c r="AB1560" s="16" t="s">
        <v>88</v>
      </c>
      <c r="AE1560" s="33">
        <f t="shared" si="310"/>
        <v>0</v>
      </c>
      <c r="AF1560" s="122" t="s">
        <v>3465</v>
      </c>
      <c r="AG1560" s="128"/>
      <c r="AI1560" s="64">
        <f t="shared" si="311"/>
        <v>4.1379310344827587E-3</v>
      </c>
      <c r="AJ1560" s="313">
        <f>RTD("money.excel",,$G1560,"PredictVolume")</f>
        <v>180</v>
      </c>
      <c r="AK1560" s="348"/>
    </row>
    <row r="1561" spans="1:37">
      <c r="A1561" s="148" t="s">
        <v>2344</v>
      </c>
      <c r="B1561" s="81">
        <v>59</v>
      </c>
      <c r="C1561" s="81">
        <v>31</v>
      </c>
      <c r="D1561" s="81">
        <v>2</v>
      </c>
      <c r="E1561" s="82">
        <v>-82</v>
      </c>
      <c r="F1561" s="6">
        <v>-31.91</v>
      </c>
      <c r="G1561" s="81">
        <v>2734</v>
      </c>
      <c r="H1561" s="8" t="s">
        <v>321</v>
      </c>
      <c r="I1561" s="16" t="s">
        <v>1021</v>
      </c>
      <c r="J1561" s="330">
        <v>41.05</v>
      </c>
      <c r="K1561" s="330">
        <v>9.2799999999999994</v>
      </c>
      <c r="L1561" s="330"/>
      <c r="N1561" s="325">
        <f t="shared" si="312"/>
        <v>50.33</v>
      </c>
      <c r="O1561" s="27"/>
      <c r="P1561" s="56"/>
      <c r="Q1561" s="26"/>
      <c r="T1561" s="34">
        <v>0</v>
      </c>
      <c r="U1561" s="366">
        <f t="shared" si="307"/>
        <v>0</v>
      </c>
      <c r="V1561" s="58">
        <v>-1.44</v>
      </c>
      <c r="W1561" s="36">
        <f>RTD("money.excel",,"2734","Price")</f>
        <v>27.2</v>
      </c>
      <c r="X1561" s="67"/>
      <c r="Y1561" s="15">
        <f t="shared" si="308"/>
        <v>27.2</v>
      </c>
      <c r="Z1561" s="3" t="e">
        <f t="shared" si="309"/>
        <v>#DIV/0!</v>
      </c>
      <c r="AB1561" s="16" t="s">
        <v>1021</v>
      </c>
      <c r="AE1561" s="33">
        <f t="shared" si="310"/>
        <v>0</v>
      </c>
      <c r="AF1561" s="43" t="s">
        <v>3200</v>
      </c>
      <c r="AG1561" s="128"/>
      <c r="AI1561" s="64">
        <f t="shared" si="311"/>
        <v>7.6675603217158175E-3</v>
      </c>
      <c r="AJ1561" s="313">
        <f>RTD("money.excel",,$G1561,"PredictVolume")</f>
        <v>286</v>
      </c>
      <c r="AK1561" s="348"/>
    </row>
    <row r="1562" spans="1:37">
      <c r="A1562" s="148" t="s">
        <v>3632</v>
      </c>
      <c r="B1562" s="93">
        <v>21</v>
      </c>
      <c r="C1562" s="93">
        <v>85</v>
      </c>
      <c r="D1562" s="93">
        <v>-7</v>
      </c>
      <c r="E1562" s="93">
        <v>-4</v>
      </c>
      <c r="F1562" s="6">
        <v>-7.47</v>
      </c>
      <c r="G1562" s="81">
        <v>2736</v>
      </c>
      <c r="H1562" s="8" t="s">
        <v>321</v>
      </c>
      <c r="I1562" s="16" t="s">
        <v>1022</v>
      </c>
      <c r="J1562" s="75">
        <v>63.35</v>
      </c>
      <c r="K1562" s="75">
        <v>0</v>
      </c>
      <c r="L1562" s="75">
        <v>3.79</v>
      </c>
      <c r="N1562" s="325">
        <f t="shared" si="312"/>
        <v>67.14</v>
      </c>
      <c r="O1562" s="27"/>
      <c r="P1562" s="56"/>
      <c r="Q1562" s="26"/>
      <c r="S1562" s="330">
        <v>29.48</v>
      </c>
      <c r="T1562" s="34">
        <v>0.2</v>
      </c>
      <c r="U1562" s="366">
        <f t="shared" si="307"/>
        <v>1.2232415902140673E-2</v>
      </c>
      <c r="V1562" s="97">
        <v>0.18</v>
      </c>
      <c r="W1562" s="13">
        <f>RTD("money.excel",,"2736","Price")</f>
        <v>16.350000000000001</v>
      </c>
      <c r="X1562" s="67"/>
      <c r="Y1562" s="15">
        <f t="shared" si="308"/>
        <v>16.350000000000001</v>
      </c>
      <c r="Z1562" s="35" t="e">
        <f t="shared" si="309"/>
        <v>#DIV/0!</v>
      </c>
      <c r="AB1562" s="16" t="s">
        <v>1022</v>
      </c>
      <c r="AE1562" s="33">
        <f t="shared" si="310"/>
        <v>0</v>
      </c>
      <c r="AF1562" s="43" t="s">
        <v>3201</v>
      </c>
      <c r="AG1562" s="125"/>
      <c r="AI1562" s="64">
        <f t="shared" si="311"/>
        <v>1.326530612244898E-3</v>
      </c>
      <c r="AJ1562" s="313">
        <f>RTD("money.excel",,$G1562,"PredictVolume")</f>
        <v>65</v>
      </c>
      <c r="AK1562" s="83"/>
    </row>
    <row r="1563" spans="1:37">
      <c r="A1563" s="148" t="s">
        <v>1841</v>
      </c>
      <c r="B1563" s="208">
        <v>-4339</v>
      </c>
      <c r="C1563" s="93">
        <v>-322</v>
      </c>
      <c r="D1563" s="93">
        <v>-10</v>
      </c>
      <c r="E1563" s="93">
        <v>-33</v>
      </c>
      <c r="F1563" s="6">
        <v>-17.239999999999998</v>
      </c>
      <c r="G1563" s="81">
        <v>2739</v>
      </c>
      <c r="H1563" s="8" t="s">
        <v>321</v>
      </c>
      <c r="I1563" s="22" t="s">
        <v>1033</v>
      </c>
      <c r="J1563" s="75">
        <v>84.73</v>
      </c>
      <c r="K1563" s="75">
        <v>3.11</v>
      </c>
      <c r="L1563" s="75">
        <v>3.01</v>
      </c>
      <c r="N1563" s="325">
        <f t="shared" si="312"/>
        <v>90.850000000000009</v>
      </c>
      <c r="O1563" s="27"/>
      <c r="P1563" s="56"/>
      <c r="Q1563" s="26"/>
      <c r="S1563" s="330">
        <v>42.26</v>
      </c>
      <c r="T1563" s="34">
        <v>0</v>
      </c>
      <c r="U1563" s="366">
        <f t="shared" si="307"/>
        <v>0</v>
      </c>
      <c r="V1563" s="97">
        <v>-3.15</v>
      </c>
      <c r="W1563" s="13">
        <f>RTD("money.excel",,"2739","Price")</f>
        <v>22.7</v>
      </c>
      <c r="X1563" s="67"/>
      <c r="Y1563" s="15">
        <f t="shared" si="308"/>
        <v>22.7</v>
      </c>
      <c r="Z1563" s="3" t="e">
        <f t="shared" si="309"/>
        <v>#DIV/0!</v>
      </c>
      <c r="AB1563" s="22" t="s">
        <v>1033</v>
      </c>
      <c r="AE1563" s="33">
        <f t="shared" si="310"/>
        <v>0</v>
      </c>
      <c r="AF1563" s="43" t="s">
        <v>3205</v>
      </c>
      <c r="AG1563" s="27"/>
      <c r="AI1563" s="64">
        <f t="shared" si="311"/>
        <v>9.0090090090090091E-5</v>
      </c>
      <c r="AJ1563" s="313">
        <f>RTD("money.excel",,$G1563,"PredictVolume")</f>
        <v>10</v>
      </c>
      <c r="AK1563" s="108"/>
    </row>
    <row r="1564" spans="1:37">
      <c r="A1564" s="148" t="s">
        <v>3544</v>
      </c>
      <c r="B1564" s="93">
        <v>55</v>
      </c>
      <c r="C1564" s="93">
        <v>41</v>
      </c>
      <c r="D1564" s="93">
        <v>-5</v>
      </c>
      <c r="E1564" s="93">
        <v>-21</v>
      </c>
      <c r="F1564" s="6">
        <v>-29.99</v>
      </c>
      <c r="G1564" s="81">
        <v>2740</v>
      </c>
      <c r="H1564" s="8" t="s">
        <v>321</v>
      </c>
      <c r="I1564" s="16" t="s">
        <v>1023</v>
      </c>
      <c r="J1564" s="75">
        <v>51</v>
      </c>
      <c r="K1564" s="75">
        <v>8.51</v>
      </c>
      <c r="N1564" s="325">
        <f t="shared" si="312"/>
        <v>59.51</v>
      </c>
      <c r="O1564" s="27"/>
      <c r="P1564" s="56"/>
      <c r="Q1564" s="26"/>
      <c r="S1564" s="330">
        <v>26.44</v>
      </c>
      <c r="T1564" s="34">
        <v>0</v>
      </c>
      <c r="U1564" s="366">
        <f t="shared" si="307"/>
        <v>0</v>
      </c>
      <c r="V1564" s="97">
        <v>-3.43</v>
      </c>
      <c r="W1564" s="13">
        <f>RTD("money.excel",,"2740","Price")</f>
        <v>23.5</v>
      </c>
      <c r="X1564" s="67"/>
      <c r="Y1564" s="15">
        <f t="shared" si="308"/>
        <v>23.5</v>
      </c>
      <c r="Z1564" s="35" t="e">
        <f t="shared" si="309"/>
        <v>#DIV/0!</v>
      </c>
      <c r="AB1564" s="16" t="s">
        <v>1023</v>
      </c>
      <c r="AE1564" s="33">
        <f t="shared" si="310"/>
        <v>0</v>
      </c>
      <c r="AF1564" s="43" t="s">
        <v>3202</v>
      </c>
      <c r="AG1564" s="128"/>
      <c r="AI1564" s="64">
        <f t="shared" si="311"/>
        <v>6.5151515151515155E-3</v>
      </c>
      <c r="AJ1564" s="313">
        <f>RTD("money.excel",,$G1564,"PredictVolume")</f>
        <v>86</v>
      </c>
      <c r="AK1564" s="348"/>
    </row>
    <row r="1565" spans="1:37">
      <c r="A1565" s="148" t="s">
        <v>3633</v>
      </c>
      <c r="B1565" s="81">
        <v>-191</v>
      </c>
      <c r="C1565" s="81">
        <v>-311</v>
      </c>
      <c r="D1565" s="82">
        <v>-60</v>
      </c>
      <c r="E1565" s="82">
        <v>-94</v>
      </c>
      <c r="F1565" s="6">
        <v>-12.65</v>
      </c>
      <c r="G1565" s="81">
        <v>2743</v>
      </c>
      <c r="H1565" s="151" t="s">
        <v>321</v>
      </c>
      <c r="I1565" s="16" t="s">
        <v>2077</v>
      </c>
      <c r="J1565" s="75">
        <v>69.28</v>
      </c>
      <c r="K1565" s="75">
        <v>1.87</v>
      </c>
      <c r="L1565" s="330"/>
      <c r="N1565" s="325">
        <f t="shared" si="312"/>
        <v>71.150000000000006</v>
      </c>
      <c r="O1565" s="27"/>
      <c r="P1565" s="56"/>
      <c r="Q1565" s="26"/>
      <c r="S1565" s="330">
        <v>54.39</v>
      </c>
      <c r="T1565" s="34">
        <v>0</v>
      </c>
      <c r="U1565" s="366">
        <f t="shared" si="307"/>
        <v>0</v>
      </c>
      <c r="V1565" s="58">
        <v>-1.25</v>
      </c>
      <c r="W1565" s="36">
        <f>RTD("money.excel",,"2743","Price")</f>
        <v>36.1</v>
      </c>
      <c r="X1565" s="67"/>
      <c r="Y1565" s="15">
        <f t="shared" si="308"/>
        <v>36.1</v>
      </c>
      <c r="Z1565" s="35" t="e">
        <f t="shared" si="309"/>
        <v>#DIV/0!</v>
      </c>
      <c r="AB1565" s="16" t="s">
        <v>2077</v>
      </c>
      <c r="AE1565" s="33">
        <f t="shared" si="310"/>
        <v>0</v>
      </c>
      <c r="AF1565" s="43" t="s">
        <v>1624</v>
      </c>
      <c r="AG1565" s="128"/>
      <c r="AI1565" s="64">
        <f t="shared" si="311"/>
        <v>1.8718749999999999E-2</v>
      </c>
      <c r="AJ1565" s="313">
        <f>RTD("money.excel",,$G1565,"PredictVolume")</f>
        <v>599</v>
      </c>
      <c r="AK1565" s="348"/>
    </row>
    <row r="1566" spans="1:37">
      <c r="A1566" s="148" t="s">
        <v>3634</v>
      </c>
      <c r="B1566" s="93">
        <v>-191</v>
      </c>
      <c r="C1566" s="93">
        <v>-280</v>
      </c>
      <c r="D1566" s="93">
        <v>-44</v>
      </c>
      <c r="E1566" s="93">
        <v>-97</v>
      </c>
      <c r="F1566" s="6">
        <v>-13.06</v>
      </c>
      <c r="G1566" s="81">
        <v>2745</v>
      </c>
      <c r="H1566" s="8" t="s">
        <v>321</v>
      </c>
      <c r="I1566" s="16" t="s">
        <v>1024</v>
      </c>
      <c r="J1566" s="75">
        <v>70.319999999999993</v>
      </c>
      <c r="K1566" s="75">
        <v>0</v>
      </c>
      <c r="N1566" s="325">
        <f t="shared" si="312"/>
        <v>70.319999999999993</v>
      </c>
      <c r="O1566" s="27"/>
      <c r="P1566" s="56"/>
      <c r="Q1566" s="26"/>
      <c r="S1566" s="330">
        <v>37.21</v>
      </c>
      <c r="T1566" s="34">
        <v>0</v>
      </c>
      <c r="U1566" s="366">
        <f t="shared" si="307"/>
        <v>0</v>
      </c>
      <c r="V1566" s="97">
        <v>-2.89</v>
      </c>
      <c r="W1566" s="13">
        <f>RTD("money.excel",,"2745","Price")</f>
        <v>33.4</v>
      </c>
      <c r="X1566" s="67"/>
      <c r="Y1566" s="15">
        <f t="shared" si="308"/>
        <v>33.4</v>
      </c>
      <c r="Z1566" s="35" t="e">
        <f t="shared" si="309"/>
        <v>#DIV/0!</v>
      </c>
      <c r="AA1566" s="174" t="s">
        <v>1943</v>
      </c>
      <c r="AB1566" s="16" t="s">
        <v>1024</v>
      </c>
      <c r="AE1566" s="33">
        <f t="shared" si="310"/>
        <v>0</v>
      </c>
      <c r="AF1566" s="43" t="s">
        <v>1624</v>
      </c>
      <c r="AG1566" s="128"/>
      <c r="AI1566" s="64">
        <f t="shared" si="311"/>
        <v>1.3515358361774744E-2</v>
      </c>
      <c r="AJ1566" s="313">
        <f>RTD("money.excel",,$G1566,"PredictVolume")</f>
        <v>396</v>
      </c>
      <c r="AK1566" s="348"/>
    </row>
    <row r="1567" spans="1:37">
      <c r="A1567" s="148" t="s">
        <v>4369</v>
      </c>
      <c r="B1567" s="82">
        <v>-385</v>
      </c>
      <c r="C1567" s="96">
        <v>-1255</v>
      </c>
      <c r="D1567" s="81">
        <v>17</v>
      </c>
      <c r="E1567" s="82">
        <v>-18</v>
      </c>
      <c r="F1567" s="6">
        <v>-14.89</v>
      </c>
      <c r="G1567" s="81">
        <v>2748</v>
      </c>
      <c r="H1567" s="8" t="s">
        <v>321</v>
      </c>
      <c r="I1567" s="22" t="s">
        <v>1034</v>
      </c>
      <c r="J1567" s="330">
        <v>68.44</v>
      </c>
      <c r="K1567" s="330">
        <v>0.31</v>
      </c>
      <c r="L1567" s="75">
        <v>1.23</v>
      </c>
      <c r="M1567" s="330">
        <v>69.540000000000006</v>
      </c>
      <c r="N1567" s="75">
        <f>K1567+J1567+L1567+M1567</f>
        <v>139.52000000000001</v>
      </c>
      <c r="O1567" s="27"/>
      <c r="P1567" s="56"/>
      <c r="Q1567" s="26"/>
      <c r="R1567" s="308" t="s">
        <v>4373</v>
      </c>
      <c r="S1567" s="330">
        <v>0.11</v>
      </c>
      <c r="T1567" s="34">
        <v>1</v>
      </c>
      <c r="U1567" s="366">
        <f t="shared" si="307"/>
        <v>2.5000000000000001E-2</v>
      </c>
      <c r="V1567" s="58">
        <v>-0.36</v>
      </c>
      <c r="W1567" s="36">
        <f>RTD("money.excel",,"2748","Price")</f>
        <v>40</v>
      </c>
      <c r="X1567" s="67"/>
      <c r="Y1567" s="15">
        <f t="shared" si="308"/>
        <v>40</v>
      </c>
      <c r="Z1567" s="3" t="e">
        <f t="shared" si="309"/>
        <v>#DIV/0!</v>
      </c>
      <c r="AB1567" s="22" t="s">
        <v>1034</v>
      </c>
      <c r="AE1567" s="33">
        <f t="shared" si="310"/>
        <v>0</v>
      </c>
      <c r="AF1567" s="43" t="s">
        <v>4370</v>
      </c>
      <c r="AG1567" s="128"/>
      <c r="AI1567" s="64">
        <f t="shared" si="311"/>
        <v>8.5082872928176798E-4</v>
      </c>
      <c r="AJ1567" s="313">
        <f>RTD("money.excel",,$G1567,"PredictVolume")</f>
        <v>77</v>
      </c>
      <c r="AK1567" s="348"/>
    </row>
    <row r="1568" spans="1:37">
      <c r="A1568" s="148" t="s">
        <v>2687</v>
      </c>
      <c r="B1568" s="82">
        <v>-61</v>
      </c>
      <c r="C1568" s="82">
        <v>-72</v>
      </c>
      <c r="D1568" s="81">
        <v>8</v>
      </c>
      <c r="E1568" s="81">
        <v>18</v>
      </c>
      <c r="F1568" s="6">
        <v>4.2</v>
      </c>
      <c r="G1568" s="81">
        <v>2752</v>
      </c>
      <c r="H1568" s="8" t="s">
        <v>321</v>
      </c>
      <c r="I1568" s="16" t="s">
        <v>1908</v>
      </c>
      <c r="J1568" s="75">
        <v>37.799999999999997</v>
      </c>
      <c r="K1568" s="75">
        <v>3.64</v>
      </c>
      <c r="M1568" s="75">
        <v>29.91</v>
      </c>
      <c r="N1568" s="325">
        <f t="shared" ref="N1568" si="313">J1568+K1568+L1568+M1568</f>
        <v>71.349999999999994</v>
      </c>
      <c r="O1568" s="27" t="s">
        <v>6208</v>
      </c>
      <c r="P1568" s="56"/>
      <c r="Q1568" s="26"/>
      <c r="R1568" s="309" t="s">
        <v>6163</v>
      </c>
      <c r="S1568" s="330">
        <v>0.05</v>
      </c>
      <c r="T1568" s="67">
        <v>9</v>
      </c>
      <c r="U1568" s="366">
        <f t="shared" si="307"/>
        <v>5.6426332288401257E-2</v>
      </c>
      <c r="V1568" s="97">
        <v>5.43</v>
      </c>
      <c r="W1568" s="36">
        <f>RTD("money.excel",,"2752","Price")</f>
        <v>159.5</v>
      </c>
      <c r="X1568" s="67"/>
      <c r="Y1568" s="15">
        <f t="shared" si="308"/>
        <v>159.5</v>
      </c>
      <c r="Z1568" s="3" t="e">
        <f t="shared" si="309"/>
        <v>#DIV/0!</v>
      </c>
      <c r="AA1568" s="174" t="s">
        <v>2185</v>
      </c>
      <c r="AB1568" s="16" t="s">
        <v>1908</v>
      </c>
      <c r="AE1568" s="33">
        <f t="shared" si="310"/>
        <v>0</v>
      </c>
      <c r="AF1568" s="43" t="s">
        <v>3203</v>
      </c>
      <c r="AG1568" s="128"/>
      <c r="AI1568" s="64">
        <f t="shared" si="311"/>
        <v>2.7391304347826086E-3</v>
      </c>
      <c r="AJ1568" s="313">
        <f>RTD("money.excel",,$G1568,"PredictVolume")</f>
        <v>63</v>
      </c>
      <c r="AK1568" s="348">
        <v>2.98</v>
      </c>
    </row>
    <row r="1569" spans="1:37">
      <c r="A1569" s="132" t="s">
        <v>3685</v>
      </c>
      <c r="B1569" s="82">
        <v>-18</v>
      </c>
      <c r="C1569" s="82">
        <v>-18</v>
      </c>
      <c r="D1569" s="82">
        <v>-3</v>
      </c>
      <c r="E1569" s="81">
        <v>6</v>
      </c>
      <c r="F1569" s="58">
        <v>10.57</v>
      </c>
      <c r="G1569" s="81">
        <v>2753</v>
      </c>
      <c r="H1569" s="8" t="s">
        <v>321</v>
      </c>
      <c r="I1569" s="22" t="s">
        <v>4199</v>
      </c>
      <c r="J1569" s="75">
        <v>56.28</v>
      </c>
      <c r="K1569" s="330">
        <v>5.65</v>
      </c>
      <c r="L1569" s="330"/>
      <c r="M1569" s="330">
        <v>30.28</v>
      </c>
      <c r="N1569" s="325">
        <f t="shared" ref="N1569:N1585" si="314">J1569+K1569+L1569+M1569</f>
        <v>92.210000000000008</v>
      </c>
      <c r="O1569" s="27"/>
      <c r="P1569" s="56"/>
      <c r="Q1569" s="26"/>
      <c r="T1569" s="34">
        <v>2.27</v>
      </c>
      <c r="U1569" s="366">
        <f t="shared" si="307"/>
        <v>1.8683127572016463E-2</v>
      </c>
      <c r="V1569" s="58">
        <v>9.2200000000000006</v>
      </c>
      <c r="W1569" s="36">
        <f>RTD("money.excel",,"2753","Price")</f>
        <v>121.5</v>
      </c>
      <c r="X1569" s="67"/>
      <c r="Y1569" s="15">
        <f t="shared" si="308"/>
        <v>121.5</v>
      </c>
      <c r="Z1569" s="3" t="e">
        <f t="shared" si="309"/>
        <v>#DIV/0!</v>
      </c>
      <c r="AB1569" s="22" t="s">
        <v>4199</v>
      </c>
      <c r="AE1569" s="33">
        <f t="shared" si="310"/>
        <v>0</v>
      </c>
      <c r="AF1569" s="43" t="s">
        <v>3635</v>
      </c>
      <c r="AG1569" s="128"/>
      <c r="AI1569" s="64">
        <f t="shared" si="311"/>
        <v>7.7272727272727269E-4</v>
      </c>
      <c r="AJ1569" s="313">
        <f>RTD("money.excel",,$G1569,"PredictVolume")</f>
        <v>51</v>
      </c>
      <c r="AK1569" s="348"/>
    </row>
    <row r="1570" spans="1:37">
      <c r="A1570" s="148" t="s">
        <v>2569</v>
      </c>
      <c r="B1570" s="82">
        <v>-64</v>
      </c>
      <c r="C1570" s="82">
        <v>-56</v>
      </c>
      <c r="D1570" s="82">
        <v>-10</v>
      </c>
      <c r="E1570" s="81">
        <v>71</v>
      </c>
      <c r="F1570" s="6">
        <v>2.1</v>
      </c>
      <c r="G1570" s="81">
        <v>2754</v>
      </c>
      <c r="H1570" s="8" t="s">
        <v>321</v>
      </c>
      <c r="I1570" s="16" t="s">
        <v>2382</v>
      </c>
      <c r="J1570" s="330">
        <v>68.08</v>
      </c>
      <c r="K1570" s="75">
        <v>71.56</v>
      </c>
      <c r="L1570" s="75">
        <v>3</v>
      </c>
      <c r="N1570" s="325">
        <f t="shared" si="314"/>
        <v>142.63999999999999</v>
      </c>
      <c r="O1570" s="27"/>
      <c r="P1570" s="56"/>
      <c r="Q1570" s="26"/>
      <c r="S1570" s="330">
        <v>0</v>
      </c>
      <c r="T1570" s="34">
        <v>0.5</v>
      </c>
      <c r="U1570" s="366">
        <f t="shared" si="307"/>
        <v>6.5789473684210523E-3</v>
      </c>
      <c r="V1570" s="58">
        <v>0.82</v>
      </c>
      <c r="W1570" s="13">
        <f>RTD("money.excel",,"2754","Price")</f>
        <v>76</v>
      </c>
      <c r="X1570" s="67"/>
      <c r="Y1570" s="15">
        <f t="shared" si="308"/>
        <v>76</v>
      </c>
      <c r="Z1570" s="161" t="e">
        <f t="shared" si="309"/>
        <v>#DIV/0!</v>
      </c>
      <c r="AA1570" s="174" t="s">
        <v>1943</v>
      </c>
      <c r="AB1570" s="16" t="s">
        <v>2382</v>
      </c>
      <c r="AE1570" s="33">
        <f t="shared" si="310"/>
        <v>0</v>
      </c>
      <c r="AF1570" s="43" t="s">
        <v>2383</v>
      </c>
      <c r="AG1570" s="128"/>
      <c r="AI1570" s="64">
        <f t="shared" si="311"/>
        <v>4.5196506550218337E-3</v>
      </c>
      <c r="AJ1570" s="313">
        <f>RTD("money.excel",,$G1570,"PredictVolume")</f>
        <v>207</v>
      </c>
      <c r="AK1570" s="348"/>
    </row>
    <row r="1571" spans="1:37">
      <c r="A1571" s="148" t="s">
        <v>2608</v>
      </c>
      <c r="B1571" s="81">
        <v>13</v>
      </c>
      <c r="C1571" s="81">
        <v>12</v>
      </c>
      <c r="D1571" s="81">
        <v>1</v>
      </c>
      <c r="E1571" s="82">
        <v>-6</v>
      </c>
      <c r="F1571" s="6">
        <v>5.35</v>
      </c>
      <c r="G1571" s="81">
        <v>2755</v>
      </c>
      <c r="H1571" s="8" t="s">
        <v>321</v>
      </c>
      <c r="I1571" s="16" t="s">
        <v>2573</v>
      </c>
      <c r="J1571" s="75">
        <v>46.3</v>
      </c>
      <c r="K1571" s="330">
        <v>0.66</v>
      </c>
      <c r="N1571" s="325">
        <f t="shared" si="314"/>
        <v>46.959999999999994</v>
      </c>
      <c r="O1571" s="27"/>
      <c r="P1571" s="56"/>
      <c r="Q1571" s="26"/>
      <c r="T1571" s="34">
        <v>2</v>
      </c>
      <c r="U1571" s="366">
        <f t="shared" si="307"/>
        <v>3.5714285714285712E-2</v>
      </c>
      <c r="V1571" s="97">
        <v>3.89</v>
      </c>
      <c r="W1571" s="36">
        <f>RTD("money.excel",,"2755","Price")</f>
        <v>56</v>
      </c>
      <c r="X1571" s="67"/>
      <c r="Y1571" s="15">
        <f t="shared" si="308"/>
        <v>56</v>
      </c>
      <c r="Z1571" s="3" t="e">
        <f t="shared" si="309"/>
        <v>#DIV/0!</v>
      </c>
      <c r="AB1571" s="16" t="s">
        <v>2573</v>
      </c>
      <c r="AE1571" s="33">
        <f t="shared" si="310"/>
        <v>0</v>
      </c>
      <c r="AF1571" s="43" t="s">
        <v>2574</v>
      </c>
      <c r="AG1571" s="128"/>
      <c r="AI1571" s="64">
        <f t="shared" si="311"/>
        <v>1.5499999999999999E-3</v>
      </c>
      <c r="AJ1571" s="313">
        <f>RTD("money.excel",,$G1571,"PredictVolume")</f>
        <v>31</v>
      </c>
      <c r="AK1571" s="348"/>
    </row>
    <row r="1572" spans="1:37">
      <c r="A1572" s="132" t="s">
        <v>4230</v>
      </c>
      <c r="B1572" s="81">
        <v>733</v>
      </c>
      <c r="C1572" s="81">
        <v>138</v>
      </c>
      <c r="D1572" s="81">
        <v>35</v>
      </c>
      <c r="E1572" s="81">
        <v>16</v>
      </c>
      <c r="F1572" s="58">
        <v>19.98</v>
      </c>
      <c r="G1572" s="81">
        <v>2756</v>
      </c>
      <c r="H1572" s="8" t="s">
        <v>321</v>
      </c>
      <c r="I1572" s="16" t="s">
        <v>6067</v>
      </c>
      <c r="J1572" s="330">
        <v>53.47</v>
      </c>
      <c r="K1572" s="75">
        <v>0.05</v>
      </c>
      <c r="M1572" s="75">
        <v>22.26</v>
      </c>
      <c r="N1572" s="325">
        <f t="shared" si="314"/>
        <v>75.78</v>
      </c>
      <c r="O1572" s="27"/>
      <c r="P1572" s="56"/>
      <c r="Q1572" s="26"/>
      <c r="T1572" s="34">
        <v>2</v>
      </c>
      <c r="U1572" s="366">
        <f t="shared" si="307"/>
        <v>1.680672268907563E-2</v>
      </c>
      <c r="V1572" s="58">
        <v>6.9</v>
      </c>
      <c r="W1572" s="36">
        <f>RTD("money.excel",,"2756","Price")</f>
        <v>119</v>
      </c>
      <c r="X1572" s="67"/>
      <c r="Y1572" s="15">
        <f t="shared" ref="Y1572" si="315">W1572-X1572</f>
        <v>119</v>
      </c>
      <c r="Z1572" s="3" t="e">
        <f t="shared" ref="Z1572" si="316">Y1572/X1572</f>
        <v>#DIV/0!</v>
      </c>
      <c r="AB1572" s="16" t="s">
        <v>6067</v>
      </c>
      <c r="AE1572" s="33">
        <f t="shared" ref="AE1572" si="317">AD1572-AC1572</f>
        <v>0</v>
      </c>
      <c r="AF1572" s="43" t="s">
        <v>6070</v>
      </c>
      <c r="AG1572" s="128"/>
      <c r="AI1572" s="64">
        <f t="shared" si="311"/>
        <v>6.4117647058823529E-3</v>
      </c>
      <c r="AJ1572" s="313">
        <f>RTD("money.excel",,$G1572,"PredictVolume")</f>
        <v>109</v>
      </c>
      <c r="AK1572" s="348"/>
    </row>
    <row r="1573" spans="1:37">
      <c r="A1573" s="132" t="s">
        <v>5965</v>
      </c>
      <c r="B1573" s="93">
        <v>-101</v>
      </c>
      <c r="C1573" s="208">
        <v>-1052</v>
      </c>
      <c r="D1573" s="93">
        <v>-7</v>
      </c>
      <c r="E1573" s="93">
        <v>27</v>
      </c>
      <c r="F1573" s="6">
        <v>-34.880000000000003</v>
      </c>
      <c r="G1573" s="81">
        <v>3252</v>
      </c>
      <c r="H1573" s="8" t="s">
        <v>321</v>
      </c>
      <c r="I1573" s="16" t="s">
        <v>5966</v>
      </c>
      <c r="J1573" s="75">
        <v>69.55</v>
      </c>
      <c r="K1573" s="75">
        <v>7.4</v>
      </c>
      <c r="L1573" s="75">
        <v>68.349999999999994</v>
      </c>
      <c r="N1573" s="325">
        <f t="shared" si="314"/>
        <v>145.30000000000001</v>
      </c>
      <c r="O1573" s="27"/>
      <c r="P1573" s="56"/>
      <c r="Q1573" s="26"/>
      <c r="S1573" s="330">
        <v>15.81</v>
      </c>
      <c r="T1573" s="34">
        <v>0</v>
      </c>
      <c r="U1573" s="366">
        <f t="shared" si="307"/>
        <v>0</v>
      </c>
      <c r="V1573" s="97">
        <v>-1.84</v>
      </c>
      <c r="W1573" s="13">
        <f>RTD("money.excel",,"3252","Price")</f>
        <v>16.649999999999999</v>
      </c>
      <c r="X1573" s="67"/>
      <c r="Y1573" s="15">
        <f t="shared" si="308"/>
        <v>16.649999999999999</v>
      </c>
      <c r="Z1573" s="3" t="e">
        <f t="shared" si="309"/>
        <v>#DIV/0!</v>
      </c>
      <c r="AB1573" s="16" t="s">
        <v>5966</v>
      </c>
      <c r="AE1573" s="33">
        <f t="shared" si="310"/>
        <v>0</v>
      </c>
      <c r="AF1573" s="43" t="s">
        <v>5967</v>
      </c>
      <c r="AG1573" s="128"/>
      <c r="AI1573" s="64">
        <f t="shared" si="311"/>
        <v>5.5776892430278897E-4</v>
      </c>
      <c r="AJ1573" s="313">
        <f>RTD("money.excel",,$G1573,"PredictVolume")</f>
        <v>28</v>
      </c>
      <c r="AK1573" s="348"/>
    </row>
    <row r="1574" spans="1:37">
      <c r="A1574" s="148" t="s">
        <v>4955</v>
      </c>
      <c r="B1574" s="82">
        <v>-146</v>
      </c>
      <c r="C1574" s="82">
        <v>-72</v>
      </c>
      <c r="D1574" s="82">
        <v>-5</v>
      </c>
      <c r="E1574" s="81">
        <v>95</v>
      </c>
      <c r="F1574" s="6">
        <v>-27.02</v>
      </c>
      <c r="G1574" s="81">
        <v>3522</v>
      </c>
      <c r="H1574" s="8" t="s">
        <v>321</v>
      </c>
      <c r="I1574" s="16" t="s">
        <v>5968</v>
      </c>
      <c r="J1574" s="330">
        <v>48.11</v>
      </c>
      <c r="K1574" s="75">
        <v>0.9</v>
      </c>
      <c r="L1574" s="75">
        <v>8.43</v>
      </c>
      <c r="N1574" s="325">
        <f t="shared" si="314"/>
        <v>57.44</v>
      </c>
      <c r="O1574" s="27"/>
      <c r="P1574" s="56"/>
      <c r="Q1574" s="26"/>
      <c r="S1574" s="330">
        <v>0.03</v>
      </c>
      <c r="T1574" s="34">
        <v>0</v>
      </c>
      <c r="U1574" s="366">
        <f t="shared" si="307"/>
        <v>0</v>
      </c>
      <c r="V1574" s="97">
        <v>-6.19</v>
      </c>
      <c r="W1574" s="36">
        <f>RTD("money.excel",,"3522","Price")</f>
        <v>9.4600000000000009</v>
      </c>
      <c r="X1574" s="67"/>
      <c r="Y1574" s="15">
        <f t="shared" si="308"/>
        <v>9.4600000000000009</v>
      </c>
      <c r="Z1574" s="3" t="e">
        <f t="shared" si="309"/>
        <v>#DIV/0!</v>
      </c>
      <c r="AB1574" s="16" t="s">
        <v>5968</v>
      </c>
      <c r="AE1574" s="33">
        <f t="shared" si="310"/>
        <v>0</v>
      </c>
      <c r="AF1574" s="43" t="s">
        <v>3635</v>
      </c>
      <c r="AG1574" s="128"/>
      <c r="AI1574" s="64">
        <f t="shared" si="311"/>
        <v>1.5702479338842975E-3</v>
      </c>
      <c r="AJ1574" s="313">
        <f>RTD("money.excel",,$G1574,"PredictVolume")</f>
        <v>114</v>
      </c>
      <c r="AK1574" s="348"/>
    </row>
    <row r="1575" spans="1:37">
      <c r="A1575" s="148" t="s">
        <v>5969</v>
      </c>
      <c r="B1575" s="93">
        <v>-250</v>
      </c>
      <c r="C1575" s="93">
        <v>-681</v>
      </c>
      <c r="D1575" s="93">
        <v>-22</v>
      </c>
      <c r="E1575" s="93">
        <v>-25</v>
      </c>
      <c r="F1575" s="6">
        <v>-52.06</v>
      </c>
      <c r="G1575" s="81">
        <v>4804</v>
      </c>
      <c r="H1575" s="8" t="s">
        <v>321</v>
      </c>
      <c r="I1575" s="16" t="s">
        <v>5970</v>
      </c>
      <c r="J1575" s="75">
        <v>60.54</v>
      </c>
      <c r="K1575" s="75">
        <v>36.47</v>
      </c>
      <c r="L1575" s="75">
        <v>19.84</v>
      </c>
      <c r="N1575" s="325">
        <f t="shared" si="314"/>
        <v>116.85</v>
      </c>
      <c r="O1575" s="27"/>
      <c r="P1575" s="56"/>
      <c r="Q1575" s="26"/>
      <c r="S1575" s="330">
        <v>30.88</v>
      </c>
      <c r="T1575" s="34">
        <v>0</v>
      </c>
      <c r="U1575" s="366">
        <f t="shared" si="307"/>
        <v>0</v>
      </c>
      <c r="V1575" s="97">
        <v>0.21</v>
      </c>
      <c r="W1575" s="13">
        <f>RTD("money.excel",,"4804","Price")</f>
        <v>10.45</v>
      </c>
      <c r="X1575" s="67"/>
      <c r="Y1575" s="15">
        <f t="shared" si="308"/>
        <v>10.45</v>
      </c>
      <c r="Z1575" s="3" t="e">
        <f t="shared" si="309"/>
        <v>#DIV/0!</v>
      </c>
      <c r="AB1575" s="16" t="s">
        <v>5970</v>
      </c>
      <c r="AE1575" s="33">
        <f t="shared" si="310"/>
        <v>0</v>
      </c>
      <c r="AF1575" s="43" t="s">
        <v>5971</v>
      </c>
      <c r="AG1575" s="128"/>
      <c r="AI1575" s="64">
        <f t="shared" si="311"/>
        <v>6.8167770419426052E-2</v>
      </c>
      <c r="AJ1575" s="313">
        <f>RTD("money.excel",,$G1575,"PredictVolume")</f>
        <v>3088</v>
      </c>
      <c r="AK1575" s="348"/>
    </row>
    <row r="1576" spans="1:37">
      <c r="A1576" s="148" t="s">
        <v>5496</v>
      </c>
      <c r="B1576" s="81">
        <v>23</v>
      </c>
      <c r="C1576" s="81">
        <v>19</v>
      </c>
      <c r="D1576" s="81">
        <v>5</v>
      </c>
      <c r="E1576" s="81">
        <v>261</v>
      </c>
      <c r="F1576" s="75">
        <v>-224.54</v>
      </c>
      <c r="G1576" s="81">
        <v>5301</v>
      </c>
      <c r="H1576" s="8" t="s">
        <v>321</v>
      </c>
      <c r="I1576" s="16" t="s">
        <v>5972</v>
      </c>
      <c r="J1576" s="330">
        <v>76.290000000000006</v>
      </c>
      <c r="K1576" s="75">
        <v>5.52</v>
      </c>
      <c r="N1576" s="325">
        <f t="shared" si="314"/>
        <v>81.81</v>
      </c>
      <c r="O1576" s="27"/>
      <c r="P1576" s="56"/>
      <c r="Q1576" s="26"/>
      <c r="T1576" s="34">
        <v>0</v>
      </c>
      <c r="U1576" s="366">
        <f t="shared" si="307"/>
        <v>0</v>
      </c>
      <c r="V1576" s="58">
        <v>-3.17</v>
      </c>
      <c r="W1576" s="13">
        <f>RTD("money.excel",,"5301","Price")</f>
        <v>15.2</v>
      </c>
      <c r="X1576" s="67"/>
      <c r="Y1576" s="15">
        <f t="shared" si="308"/>
        <v>15.2</v>
      </c>
      <c r="Z1576" s="3" t="e">
        <f t="shared" si="309"/>
        <v>#DIV/0!</v>
      </c>
      <c r="AB1576" s="16" t="s">
        <v>5972</v>
      </c>
      <c r="AE1576" s="33">
        <f t="shared" si="310"/>
        <v>0</v>
      </c>
      <c r="AF1576" s="43" t="s">
        <v>3204</v>
      </c>
      <c r="AG1576" s="128"/>
      <c r="AI1576" s="64">
        <f t="shared" si="311"/>
        <v>2.0173076923076922E-2</v>
      </c>
      <c r="AJ1576" s="313">
        <f>RTD("money.excel",,$G1576,"PredictVolume")</f>
        <v>2098</v>
      </c>
      <c r="AK1576" s="348"/>
    </row>
    <row r="1577" spans="1:37">
      <c r="A1577" s="148" t="s">
        <v>5973</v>
      </c>
      <c r="B1577" s="93">
        <v>-22</v>
      </c>
      <c r="C1577" s="93">
        <v>9</v>
      </c>
      <c r="D1577" s="93">
        <v>-8</v>
      </c>
      <c r="E1577" s="93">
        <v>-6</v>
      </c>
      <c r="F1577" s="6">
        <v>-2.27</v>
      </c>
      <c r="G1577" s="81">
        <v>5364</v>
      </c>
      <c r="H1577" s="8" t="s">
        <v>321</v>
      </c>
      <c r="I1577" s="16" t="s">
        <v>5974</v>
      </c>
      <c r="J1577" s="75">
        <v>47.95</v>
      </c>
      <c r="K1577" s="75">
        <v>0.11</v>
      </c>
      <c r="N1577" s="325">
        <f t="shared" si="314"/>
        <v>48.06</v>
      </c>
      <c r="O1577" s="27"/>
      <c r="P1577" s="56"/>
      <c r="Q1577" s="26"/>
      <c r="S1577" s="330">
        <v>15.58</v>
      </c>
      <c r="T1577" s="34">
        <v>0</v>
      </c>
      <c r="U1577" s="366">
        <f t="shared" si="307"/>
        <v>0</v>
      </c>
      <c r="V1577" s="97">
        <v>-2.1800000000000002</v>
      </c>
      <c r="W1577" s="36">
        <f>RTD("money.excel",,"5364","Price")</f>
        <v>19.2</v>
      </c>
      <c r="X1577" s="67"/>
      <c r="Y1577" s="15">
        <f t="shared" si="308"/>
        <v>19.2</v>
      </c>
      <c r="Z1577" s="3" t="e">
        <f t="shared" si="309"/>
        <v>#DIV/0!</v>
      </c>
      <c r="AB1577" s="16" t="s">
        <v>5974</v>
      </c>
      <c r="AE1577" s="33">
        <f t="shared" si="310"/>
        <v>0</v>
      </c>
      <c r="AF1577" s="43" t="s">
        <v>3205</v>
      </c>
      <c r="AG1577" s="128"/>
      <c r="AI1577" s="64">
        <f t="shared" si="311"/>
        <v>4.9751243781094539E-5</v>
      </c>
      <c r="AJ1577" s="313">
        <f>RTD("money.excel",,$G1577,"PredictVolume")</f>
        <v>1</v>
      </c>
      <c r="AK1577" s="348"/>
    </row>
    <row r="1578" spans="1:37">
      <c r="A1578" s="148" t="s">
        <v>5975</v>
      </c>
      <c r="B1578" s="82">
        <v>53</v>
      </c>
      <c r="C1578" s="82">
        <v>44</v>
      </c>
      <c r="D1578" s="81">
        <v>-38</v>
      </c>
      <c r="E1578" s="81">
        <v>-40</v>
      </c>
      <c r="F1578" s="6">
        <v>-13.87</v>
      </c>
      <c r="G1578" s="81">
        <v>5701</v>
      </c>
      <c r="H1578" s="8" t="s">
        <v>321</v>
      </c>
      <c r="I1578" s="16" t="s">
        <v>5976</v>
      </c>
      <c r="J1578" s="75">
        <v>39.020000000000003</v>
      </c>
      <c r="K1578" s="75">
        <v>0.41</v>
      </c>
      <c r="N1578" s="325">
        <f t="shared" si="314"/>
        <v>39.43</v>
      </c>
      <c r="O1578" s="27"/>
      <c r="P1578" s="56"/>
      <c r="Q1578" s="26"/>
      <c r="T1578" s="34">
        <v>0</v>
      </c>
      <c r="U1578" s="366">
        <f t="shared" si="307"/>
        <v>0</v>
      </c>
      <c r="V1578" s="97">
        <v>-0.54</v>
      </c>
      <c r="W1578" s="36">
        <f>RTD("money.excel",,"5701","Price")</f>
        <v>3.16</v>
      </c>
      <c r="X1578" s="67"/>
      <c r="Y1578" s="15">
        <f t="shared" si="308"/>
        <v>3.16</v>
      </c>
      <c r="Z1578" s="3" t="e">
        <f t="shared" si="309"/>
        <v>#DIV/0!</v>
      </c>
      <c r="AA1578" s="174" t="s">
        <v>4710</v>
      </c>
      <c r="AB1578" s="16" t="s">
        <v>5976</v>
      </c>
      <c r="AE1578" s="33">
        <f t="shared" si="310"/>
        <v>0</v>
      </c>
      <c r="AF1578" s="43" t="s">
        <v>5977</v>
      </c>
      <c r="AG1578" s="128"/>
      <c r="AI1578" s="64">
        <f t="shared" si="311"/>
        <v>5.7312252964426878E-4</v>
      </c>
      <c r="AJ1578" s="313">
        <f>RTD("money.excel",,$G1578,"PredictVolume")</f>
        <v>145</v>
      </c>
      <c r="AK1578" s="348"/>
    </row>
    <row r="1579" spans="1:37">
      <c r="A1579" s="148" t="s">
        <v>5978</v>
      </c>
      <c r="B1579" s="93">
        <v>-182</v>
      </c>
      <c r="C1579" s="93">
        <v>-62</v>
      </c>
      <c r="D1579" s="93">
        <v>-2</v>
      </c>
      <c r="E1579" s="93">
        <v>-65</v>
      </c>
      <c r="F1579" s="6">
        <v>-41.47</v>
      </c>
      <c r="G1579" s="81">
        <v>5703</v>
      </c>
      <c r="H1579" s="8" t="s">
        <v>321</v>
      </c>
      <c r="I1579" s="16" t="s">
        <v>5979</v>
      </c>
      <c r="J1579" s="75">
        <v>92.87</v>
      </c>
      <c r="K1579" s="75">
        <v>6.84</v>
      </c>
      <c r="L1579" s="75">
        <v>0.38</v>
      </c>
      <c r="N1579" s="325">
        <f t="shared" si="314"/>
        <v>100.09</v>
      </c>
      <c r="O1579" s="27"/>
      <c r="P1579" s="56"/>
      <c r="Q1579" s="26"/>
      <c r="S1579" s="330">
        <v>43.69</v>
      </c>
      <c r="T1579" s="34">
        <v>0</v>
      </c>
      <c r="U1579" s="366">
        <f t="shared" si="307"/>
        <v>0</v>
      </c>
      <c r="V1579" s="97">
        <v>-2.36</v>
      </c>
      <c r="W1579" s="13">
        <f>RTD("money.excel",,"5703","Price")</f>
        <v>24.3</v>
      </c>
      <c r="X1579" s="67"/>
      <c r="Y1579" s="15">
        <f t="shared" si="308"/>
        <v>24.3</v>
      </c>
      <c r="Z1579" s="3" t="e">
        <f t="shared" si="309"/>
        <v>#DIV/0!</v>
      </c>
      <c r="AB1579" s="16" t="s">
        <v>5979</v>
      </c>
      <c r="AE1579" s="33">
        <f t="shared" si="310"/>
        <v>0</v>
      </c>
      <c r="AF1579" s="43" t="s">
        <v>3205</v>
      </c>
      <c r="AG1579" s="128"/>
      <c r="AI1579" s="64">
        <f t="shared" si="311"/>
        <v>2.8490028490028489E-5</v>
      </c>
      <c r="AJ1579" s="313">
        <f>RTD("money.excel",,$G1579,"PredictVolume")</f>
        <v>2</v>
      </c>
      <c r="AK1579" s="348"/>
    </row>
    <row r="1580" spans="1:37">
      <c r="A1580" s="132" t="s">
        <v>5980</v>
      </c>
      <c r="B1580" s="93">
        <v>186</v>
      </c>
      <c r="C1580" s="93">
        <v>130</v>
      </c>
      <c r="D1580" s="93">
        <v>5</v>
      </c>
      <c r="E1580" s="93">
        <v>4</v>
      </c>
      <c r="F1580" s="58">
        <v>19.440000000000001</v>
      </c>
      <c r="G1580" s="81">
        <v>5704</v>
      </c>
      <c r="H1580" s="8" t="s">
        <v>321</v>
      </c>
      <c r="I1580" s="16" t="s">
        <v>5981</v>
      </c>
      <c r="J1580" s="330">
        <v>92.4</v>
      </c>
      <c r="K1580" s="330">
        <v>0</v>
      </c>
      <c r="L1580" s="330">
        <v>0.26</v>
      </c>
      <c r="N1580" s="325">
        <f t="shared" si="314"/>
        <v>92.660000000000011</v>
      </c>
      <c r="O1580" s="27"/>
      <c r="P1580" s="56"/>
      <c r="Q1580" s="26"/>
      <c r="S1580" s="330">
        <v>35.340000000000003</v>
      </c>
      <c r="T1580" s="34">
        <v>2.2000000000000002</v>
      </c>
      <c r="U1580" s="366" t="e">
        <f t="shared" si="307"/>
        <v>#VALUE!</v>
      </c>
      <c r="V1580" s="97">
        <v>2.41</v>
      </c>
      <c r="W1580" s="13" t="str">
        <f>RTD("money.excel",,"5704","Price")</f>
        <v>無資料</v>
      </c>
      <c r="X1580" s="67"/>
      <c r="Y1580" s="15" t="e">
        <f t="shared" si="308"/>
        <v>#VALUE!</v>
      </c>
      <c r="Z1580" s="3" t="e">
        <f t="shared" si="309"/>
        <v>#VALUE!</v>
      </c>
      <c r="AB1580" s="16" t="s">
        <v>5981</v>
      </c>
      <c r="AE1580" s="33">
        <f t="shared" si="310"/>
        <v>0</v>
      </c>
      <c r="AF1580" s="43" t="s">
        <v>3201</v>
      </c>
      <c r="AG1580" s="128"/>
      <c r="AI1580" s="64">
        <f t="shared" si="311"/>
        <v>0</v>
      </c>
      <c r="AJ1580" s="313">
        <f>RTD("money.excel",,$G1580,"PredictVolume")</f>
        <v>0</v>
      </c>
      <c r="AK1580" s="348"/>
    </row>
    <row r="1581" spans="1:37">
      <c r="A1581" s="148" t="s">
        <v>5982</v>
      </c>
      <c r="B1581" s="82">
        <v>-102</v>
      </c>
      <c r="C1581" s="82">
        <v>-92</v>
      </c>
      <c r="D1581" s="82">
        <v>-10</v>
      </c>
      <c r="E1581" s="82">
        <v>-96</v>
      </c>
      <c r="F1581" s="6">
        <v>1.8</v>
      </c>
      <c r="G1581" s="81">
        <v>5706</v>
      </c>
      <c r="H1581" s="8" t="s">
        <v>321</v>
      </c>
      <c r="I1581" s="22" t="s">
        <v>5983</v>
      </c>
      <c r="J1581" s="75">
        <v>49.22</v>
      </c>
      <c r="K1581" s="75">
        <v>0.9</v>
      </c>
      <c r="L1581" s="75">
        <v>4.21</v>
      </c>
      <c r="N1581" s="325">
        <f t="shared" si="314"/>
        <v>54.33</v>
      </c>
      <c r="O1581" s="27"/>
      <c r="P1581" s="56"/>
      <c r="Q1581" s="26"/>
      <c r="S1581" s="330">
        <v>0.28999999999999998</v>
      </c>
      <c r="T1581" s="34">
        <v>0.3</v>
      </c>
      <c r="U1581" s="366">
        <f t="shared" si="307"/>
        <v>4.7543581616481768E-3</v>
      </c>
      <c r="V1581" s="97">
        <v>0.16</v>
      </c>
      <c r="W1581" s="36">
        <f>RTD("money.excel",,"5706","Price")</f>
        <v>63.1</v>
      </c>
      <c r="X1581" s="67"/>
      <c r="Y1581" s="15">
        <f t="shared" si="308"/>
        <v>63.1</v>
      </c>
      <c r="Z1581" s="3" t="e">
        <f t="shared" si="309"/>
        <v>#DIV/0!</v>
      </c>
      <c r="AA1581" s="174" t="s">
        <v>4710</v>
      </c>
      <c r="AB1581" s="22" t="s">
        <v>5983</v>
      </c>
      <c r="AE1581" s="33">
        <f t="shared" si="310"/>
        <v>0</v>
      </c>
      <c r="AF1581" s="43" t="s">
        <v>1624</v>
      </c>
      <c r="AG1581" s="128"/>
      <c r="AI1581" s="64">
        <f t="shared" si="311"/>
        <v>9.1102831594634878E-2</v>
      </c>
      <c r="AJ1581" s="313">
        <f>RTD("money.excel",,$G1581,"PredictVolume")</f>
        <v>6113</v>
      </c>
      <c r="AK1581" s="348"/>
    </row>
    <row r="1582" spans="1:37">
      <c r="A1582" s="148" t="s">
        <v>5537</v>
      </c>
      <c r="B1582" s="208">
        <v>-9300</v>
      </c>
      <c r="C1582" s="93">
        <v>-496</v>
      </c>
      <c r="D1582" s="93">
        <v>-14</v>
      </c>
      <c r="E1582" s="93">
        <v>-64</v>
      </c>
      <c r="F1582" s="6">
        <v>-84.43</v>
      </c>
      <c r="G1582" s="81">
        <v>8077</v>
      </c>
      <c r="H1582" s="8" t="s">
        <v>321</v>
      </c>
      <c r="I1582" s="16" t="s">
        <v>5984</v>
      </c>
      <c r="J1582" s="75">
        <v>94.85</v>
      </c>
      <c r="K1582" s="75">
        <v>51.47</v>
      </c>
      <c r="N1582" s="325">
        <f t="shared" si="314"/>
        <v>146.32</v>
      </c>
      <c r="O1582" s="27"/>
      <c r="P1582" s="56"/>
      <c r="Q1582" s="26"/>
      <c r="S1582" s="330">
        <v>66.14</v>
      </c>
      <c r="T1582" s="34">
        <v>0</v>
      </c>
      <c r="U1582" s="366">
        <f t="shared" si="307"/>
        <v>0</v>
      </c>
      <c r="V1582" s="58">
        <v>-7.8</v>
      </c>
      <c r="W1582" s="13">
        <f>RTD("money.excel",,"8077","Price")</f>
        <v>12.25</v>
      </c>
      <c r="X1582" s="67"/>
      <c r="Y1582" s="15">
        <f t="shared" si="308"/>
        <v>12.25</v>
      </c>
      <c r="Z1582" s="3" t="e">
        <f t="shared" si="309"/>
        <v>#DIV/0!</v>
      </c>
      <c r="AB1582" s="16" t="s">
        <v>5984</v>
      </c>
      <c r="AE1582" s="33">
        <f t="shared" si="310"/>
        <v>0</v>
      </c>
      <c r="AF1582" s="43" t="s">
        <v>3205</v>
      </c>
      <c r="AG1582" s="269"/>
      <c r="AI1582" s="64">
        <f t="shared" si="311"/>
        <v>8.2568807339449538E-5</v>
      </c>
      <c r="AJ1582" s="313">
        <f>RTD("money.excel",,$G1582,"PredictVolume")</f>
        <v>9</v>
      </c>
      <c r="AK1582" s="348"/>
    </row>
    <row r="1583" spans="1:37">
      <c r="A1583" s="132" t="s">
        <v>5985</v>
      </c>
      <c r="B1583" s="82">
        <v>-29</v>
      </c>
      <c r="C1583" s="82">
        <v>-28</v>
      </c>
      <c r="D1583" s="81">
        <v>1</v>
      </c>
      <c r="E1583" s="81">
        <v>7</v>
      </c>
      <c r="F1583" s="58">
        <v>13.59</v>
      </c>
      <c r="G1583" s="81">
        <v>8462</v>
      </c>
      <c r="H1583" s="8" t="s">
        <v>321</v>
      </c>
      <c r="I1583" s="22" t="s">
        <v>5986</v>
      </c>
      <c r="J1583" s="75">
        <v>66.03</v>
      </c>
      <c r="K1583" s="330">
        <v>2.23</v>
      </c>
      <c r="L1583" s="330">
        <v>2</v>
      </c>
      <c r="N1583" s="325">
        <f t="shared" si="314"/>
        <v>70.260000000000005</v>
      </c>
      <c r="O1583" s="27"/>
      <c r="P1583" s="56"/>
      <c r="Q1583" s="26"/>
      <c r="S1583" s="330">
        <v>7.0000000000000007E-2</v>
      </c>
      <c r="T1583" s="67">
        <v>6.36</v>
      </c>
      <c r="U1583" s="366">
        <f t="shared" si="307"/>
        <v>4.9111969111969113E-2</v>
      </c>
      <c r="V1583" s="97">
        <v>5.74</v>
      </c>
      <c r="W1583" s="36">
        <f>RTD("money.excel",,"8462","Price")</f>
        <v>129.5</v>
      </c>
      <c r="X1583" s="67"/>
      <c r="Y1583" s="15">
        <f t="shared" si="308"/>
        <v>129.5</v>
      </c>
      <c r="Z1583" s="3" t="e">
        <f t="shared" si="309"/>
        <v>#DIV/0!</v>
      </c>
      <c r="AA1583" s="174" t="s">
        <v>4714</v>
      </c>
      <c r="AB1583" s="22" t="s">
        <v>5986</v>
      </c>
      <c r="AE1583" s="33">
        <f t="shared" si="310"/>
        <v>0</v>
      </c>
      <c r="AF1583" s="43" t="s">
        <v>5987</v>
      </c>
      <c r="AG1583" s="128"/>
      <c r="AI1583" s="64">
        <f t="shared" si="311"/>
        <v>4.2062415196743557E-4</v>
      </c>
      <c r="AJ1583" s="313">
        <f>RTD("money.excel",,$G1583,"PredictVolume")</f>
        <v>31</v>
      </c>
      <c r="AK1583" s="348"/>
    </row>
    <row r="1584" spans="1:37">
      <c r="A1584" s="148" t="s">
        <v>5988</v>
      </c>
      <c r="B1584" s="93">
        <v>-106</v>
      </c>
      <c r="C1584" s="93">
        <v>-247</v>
      </c>
      <c r="D1584" s="93">
        <v>-17</v>
      </c>
      <c r="E1584" s="93">
        <v>-50</v>
      </c>
      <c r="F1584" s="6">
        <v>-24.14</v>
      </c>
      <c r="G1584" s="81">
        <v>8940</v>
      </c>
      <c r="H1584" s="8" t="s">
        <v>321</v>
      </c>
      <c r="I1584" s="22" t="s">
        <v>5989</v>
      </c>
      <c r="J1584" s="75">
        <v>70.569999999999993</v>
      </c>
      <c r="K1584" s="75">
        <v>8</v>
      </c>
      <c r="L1584" s="75">
        <v>4.33</v>
      </c>
      <c r="N1584" s="325">
        <f t="shared" si="314"/>
        <v>82.899999999999991</v>
      </c>
      <c r="O1584" s="27"/>
      <c r="P1584" s="56"/>
      <c r="Q1584" s="26"/>
      <c r="S1584" s="330">
        <v>22.63</v>
      </c>
      <c r="T1584" s="34">
        <v>0</v>
      </c>
      <c r="U1584" s="366">
        <f t="shared" si="307"/>
        <v>0</v>
      </c>
      <c r="V1584" s="97">
        <v>-0.86</v>
      </c>
      <c r="W1584" s="13">
        <f>RTD("money.excel",,"8940","Price")</f>
        <v>13.45</v>
      </c>
      <c r="X1584" s="67"/>
      <c r="Y1584" s="15">
        <f t="shared" si="308"/>
        <v>13.45</v>
      </c>
      <c r="Z1584" s="3" t="e">
        <f t="shared" si="309"/>
        <v>#DIV/0!</v>
      </c>
      <c r="AB1584" s="22" t="s">
        <v>5989</v>
      </c>
      <c r="AE1584" s="33">
        <f t="shared" si="310"/>
        <v>0</v>
      </c>
      <c r="AF1584" s="43" t="s">
        <v>5990</v>
      </c>
      <c r="AG1584" s="128"/>
      <c r="AI1584" s="64">
        <f t="shared" si="311"/>
        <v>2.2222222222222223E-4</v>
      </c>
      <c r="AJ1584" s="313">
        <f>RTD("money.excel",,$G1584,"PredictVolume")</f>
        <v>15</v>
      </c>
      <c r="AK1584" s="348"/>
    </row>
    <row r="1585" spans="1:37">
      <c r="A1585" s="132" t="s">
        <v>5733</v>
      </c>
      <c r="B1585" s="82">
        <v>-24</v>
      </c>
      <c r="C1585" s="82">
        <v>-17</v>
      </c>
      <c r="D1585" s="81">
        <v>11</v>
      </c>
      <c r="E1585" s="82">
        <v>-8</v>
      </c>
      <c r="F1585" s="58">
        <v>19.350000000000001</v>
      </c>
      <c r="G1585" s="81">
        <v>9943</v>
      </c>
      <c r="H1585" s="210" t="s">
        <v>321</v>
      </c>
      <c r="I1585" s="22" t="s">
        <v>5991</v>
      </c>
      <c r="J1585" s="75">
        <v>73.64</v>
      </c>
      <c r="K1585" s="75">
        <v>2.36</v>
      </c>
      <c r="L1585" s="75">
        <v>0.34</v>
      </c>
      <c r="N1585" s="325">
        <f t="shared" si="314"/>
        <v>76.34</v>
      </c>
      <c r="O1585" s="27"/>
      <c r="P1585" s="56"/>
      <c r="Q1585" s="26"/>
      <c r="S1585" s="330">
        <v>0</v>
      </c>
      <c r="T1585" s="67">
        <v>4</v>
      </c>
      <c r="U1585" s="366">
        <f t="shared" si="307"/>
        <v>6.6889632107023408E-2</v>
      </c>
      <c r="V1585" s="97">
        <v>4.41</v>
      </c>
      <c r="W1585" s="36">
        <f>RTD("money.excel",,"9943","Price")</f>
        <v>59.8</v>
      </c>
      <c r="X1585" s="67"/>
      <c r="Y1585" s="15">
        <f t="shared" si="308"/>
        <v>59.8</v>
      </c>
      <c r="Z1585" s="3" t="e">
        <f t="shared" si="309"/>
        <v>#DIV/0!</v>
      </c>
      <c r="AA1585" s="174" t="s">
        <v>4718</v>
      </c>
      <c r="AB1585" s="22" t="s">
        <v>5991</v>
      </c>
      <c r="AE1585" s="33">
        <f t="shared" si="310"/>
        <v>0</v>
      </c>
      <c r="AF1585" s="122" t="s">
        <v>5992</v>
      </c>
      <c r="AG1585" s="128"/>
      <c r="AI1585" s="64">
        <f t="shared" si="311"/>
        <v>3.1292517006802724E-4</v>
      </c>
      <c r="AJ1585" s="313">
        <f>RTD("money.excel",,$G1585,"PredictVolume")</f>
        <v>46</v>
      </c>
      <c r="AK1585" s="348"/>
    </row>
    <row r="1586" spans="1:37">
      <c r="B1586" s="82"/>
      <c r="C1586" s="82"/>
      <c r="D1586" s="81"/>
      <c r="E1586" s="82"/>
      <c r="F1586" s="58"/>
      <c r="G1586" s="81"/>
      <c r="H1586" s="210"/>
      <c r="I1586" s="22"/>
      <c r="J1586" s="75"/>
      <c r="K1586" s="75"/>
      <c r="N1586" s="325"/>
      <c r="O1586" s="27"/>
      <c r="P1586" s="56"/>
      <c r="Q1586" s="26"/>
      <c r="T1586" s="67"/>
      <c r="V1586" s="97"/>
      <c r="W1586" s="36"/>
      <c r="X1586" s="67"/>
      <c r="Y1586" s="15"/>
      <c r="Z1586" s="3"/>
      <c r="AB1586" s="22"/>
      <c r="AE1586" s="33"/>
      <c r="AF1586" s="122"/>
      <c r="AG1586" s="128"/>
      <c r="AI1586" s="64"/>
      <c r="AJ1586" s="313"/>
      <c r="AK1586" s="348"/>
    </row>
    <row r="1587" spans="1:37">
      <c r="A1587" s="132" t="s">
        <v>4917</v>
      </c>
      <c r="B1587" s="93" t="s">
        <v>4918</v>
      </c>
      <c r="C1587" s="93" t="s">
        <v>4919</v>
      </c>
      <c r="D1587" s="93" t="s">
        <v>4920</v>
      </c>
      <c r="E1587" s="93" t="s">
        <v>4921</v>
      </c>
      <c r="F1587" s="8" t="s">
        <v>4922</v>
      </c>
      <c r="G1587" s="27" t="s">
        <v>1190</v>
      </c>
      <c r="H1587" s="55" t="s">
        <v>342</v>
      </c>
      <c r="I1587" s="8" t="s">
        <v>5993</v>
      </c>
      <c r="J1587" s="324" t="s">
        <v>4925</v>
      </c>
      <c r="K1587" s="324" t="s">
        <v>4926</v>
      </c>
      <c r="L1587" s="324" t="s">
        <v>4927</v>
      </c>
      <c r="M1587" s="324" t="s">
        <v>4928</v>
      </c>
      <c r="N1587" s="324" t="s">
        <v>6091</v>
      </c>
      <c r="O1587" s="27" t="s">
        <v>6253</v>
      </c>
      <c r="P1587" s="56" t="s">
        <v>6219</v>
      </c>
      <c r="Q1587" s="26" t="s">
        <v>6313</v>
      </c>
      <c r="R1587" s="309" t="s">
        <v>4929</v>
      </c>
      <c r="S1587" s="335" t="s">
        <v>4930</v>
      </c>
      <c r="T1587" s="10" t="s">
        <v>4931</v>
      </c>
      <c r="U1587" s="364" t="s">
        <v>6152</v>
      </c>
      <c r="V1587" s="69" t="s">
        <v>4932</v>
      </c>
      <c r="W1587" s="28" t="s">
        <v>4933</v>
      </c>
      <c r="X1587" s="17" t="s">
        <v>4934</v>
      </c>
      <c r="Y1587" s="14" t="s">
        <v>4935</v>
      </c>
      <c r="Z1587" s="21" t="s">
        <v>4936</v>
      </c>
      <c r="AA1587" s="322" t="s">
        <v>4937</v>
      </c>
      <c r="AB1587" s="8" t="s">
        <v>5993</v>
      </c>
      <c r="AC1587" s="73" t="s">
        <v>4938</v>
      </c>
      <c r="AD1587" s="74" t="s">
        <v>4939</v>
      </c>
      <c r="AE1587" s="32" t="s">
        <v>4940</v>
      </c>
      <c r="AF1587" s="43"/>
      <c r="AG1587" s="128"/>
      <c r="AI1587" s="8" t="s">
        <v>4941</v>
      </c>
      <c r="AJ1587" s="50" t="s">
        <v>4942</v>
      </c>
      <c r="AK1587" s="348" t="s">
        <v>6074</v>
      </c>
    </row>
    <row r="1588" spans="1:37">
      <c r="A1588" s="148" t="s">
        <v>5994</v>
      </c>
      <c r="B1588" s="82">
        <v>-37</v>
      </c>
      <c r="C1588" s="82"/>
      <c r="D1588" s="81">
        <v>4</v>
      </c>
      <c r="E1588" s="82">
        <v>-17</v>
      </c>
      <c r="F1588" s="6"/>
      <c r="G1588" s="81">
        <v>2801</v>
      </c>
      <c r="H1588" s="17" t="s">
        <v>322</v>
      </c>
      <c r="I1588" s="22" t="s">
        <v>5995</v>
      </c>
      <c r="J1588" s="330">
        <v>81.650000000000006</v>
      </c>
      <c r="K1588" s="330">
        <v>12.78</v>
      </c>
      <c r="L1588" s="330">
        <v>0.19</v>
      </c>
      <c r="N1588" s="325">
        <f t="shared" ref="N1588" si="318">J1588+K1588+L1588+M1588</f>
        <v>94.62</v>
      </c>
      <c r="O1588" s="27"/>
      <c r="P1588" s="56"/>
      <c r="Q1588" s="26"/>
      <c r="S1588" s="330">
        <v>0</v>
      </c>
      <c r="T1588" s="34">
        <v>0.8</v>
      </c>
      <c r="U1588" s="366">
        <f t="shared" ref="U1588:U1630" si="319">T1588/W1588</f>
        <v>4.5584045584045586E-2</v>
      </c>
      <c r="V1588" s="58">
        <v>0.69</v>
      </c>
      <c r="W1588" s="36">
        <f>RTD("money.excel",,"2801","Price")</f>
        <v>17.55</v>
      </c>
      <c r="X1588" s="67"/>
      <c r="Y1588" s="15">
        <f t="shared" ref="Y1588:Y1630" si="320">W1588-X1588</f>
        <v>17.55</v>
      </c>
      <c r="Z1588" s="3" t="e">
        <f t="shared" ref="Z1588:Z1630" si="321">Y1588/X1588</f>
        <v>#DIV/0!</v>
      </c>
      <c r="AA1588" s="174" t="s">
        <v>4710</v>
      </c>
      <c r="AB1588" s="22" t="s">
        <v>5995</v>
      </c>
      <c r="AE1588" s="33">
        <f t="shared" ref="AE1588:AE1630" si="322">AD1588-AC1588</f>
        <v>0</v>
      </c>
      <c r="AF1588" s="122" t="s">
        <v>1584</v>
      </c>
      <c r="AG1588" s="128"/>
      <c r="AI1588" s="64">
        <f t="shared" ref="AI1588:AI1630" si="323">AJ1588/(A1588*10000)</f>
        <v>4.0982658959537574E-4</v>
      </c>
      <c r="AJ1588" s="313">
        <f>RTD("money.excel",,$G1588,"PredictVolume")</f>
        <v>4254</v>
      </c>
      <c r="AK1588" s="348"/>
    </row>
    <row r="1589" spans="1:37">
      <c r="A1589" s="148" t="s">
        <v>5996</v>
      </c>
      <c r="B1589" s="81">
        <v>157</v>
      </c>
      <c r="C1589" s="81"/>
      <c r="D1589" s="82">
        <v>-36</v>
      </c>
      <c r="E1589" s="82">
        <v>-1</v>
      </c>
      <c r="F1589" s="6"/>
      <c r="G1589" s="81">
        <v>2809</v>
      </c>
      <c r="H1589" s="17" t="s">
        <v>322</v>
      </c>
      <c r="I1589" s="22" t="s">
        <v>5997</v>
      </c>
      <c r="J1589" s="330">
        <v>85.51</v>
      </c>
      <c r="K1589" s="75">
        <v>19.25</v>
      </c>
      <c r="L1589" s="75">
        <v>0.94</v>
      </c>
      <c r="N1589" s="325">
        <f>J1589+K1589+L1589+M1589</f>
        <v>105.7</v>
      </c>
      <c r="O1589" s="27"/>
      <c r="P1589" s="56"/>
      <c r="Q1589" s="26"/>
      <c r="S1589" s="330">
        <v>0</v>
      </c>
      <c r="T1589" s="34">
        <v>1.8</v>
      </c>
      <c r="U1589" s="366">
        <f t="shared" si="319"/>
        <v>4.5801526717557259E-2</v>
      </c>
      <c r="V1589" s="97">
        <v>6.27</v>
      </c>
      <c r="W1589" s="36">
        <f>RTD("money.excel",,"2809","Price")</f>
        <v>39.299999999999997</v>
      </c>
      <c r="X1589" s="67"/>
      <c r="Y1589" s="15">
        <f t="shared" si="320"/>
        <v>39.299999999999997</v>
      </c>
      <c r="Z1589" s="3" t="e">
        <f t="shared" si="321"/>
        <v>#DIV/0!</v>
      </c>
      <c r="AB1589" s="22" t="s">
        <v>5997</v>
      </c>
      <c r="AE1589" s="33">
        <f t="shared" si="322"/>
        <v>0</v>
      </c>
      <c r="AF1589" s="122" t="s">
        <v>5998</v>
      </c>
      <c r="AG1589" s="128"/>
      <c r="AI1589" s="64">
        <f t="shared" si="323"/>
        <v>8.9285714285714283E-4</v>
      </c>
      <c r="AJ1589" s="313">
        <f>RTD("money.excel",,$G1589,"PredictVolume")</f>
        <v>1000</v>
      </c>
      <c r="AK1589" s="348"/>
    </row>
    <row r="1590" spans="1:37">
      <c r="A1590" s="148" t="s">
        <v>4392</v>
      </c>
      <c r="B1590" s="81">
        <v>21</v>
      </c>
      <c r="C1590" s="81"/>
      <c r="D1590" s="81">
        <v>7</v>
      </c>
      <c r="E1590" s="81">
        <v>23</v>
      </c>
      <c r="F1590" s="6"/>
      <c r="G1590" s="81">
        <v>2812</v>
      </c>
      <c r="H1590" s="17" t="s">
        <v>322</v>
      </c>
      <c r="I1590" s="22" t="s">
        <v>145</v>
      </c>
      <c r="J1590" s="330">
        <v>61.25</v>
      </c>
      <c r="K1590" s="75">
        <v>11.13</v>
      </c>
      <c r="L1590" s="330">
        <v>0.16</v>
      </c>
      <c r="M1590" s="75">
        <v>3.46</v>
      </c>
      <c r="N1590" s="325">
        <f t="shared" ref="N1590" si="324">K1590+J1590+L1590+M1590</f>
        <v>75.999999999999986</v>
      </c>
      <c r="O1590" s="27"/>
      <c r="P1590" s="56"/>
      <c r="Q1590" s="26"/>
      <c r="R1590" s="308" t="s">
        <v>4373</v>
      </c>
      <c r="S1590" s="330">
        <v>0.5</v>
      </c>
      <c r="T1590" s="34">
        <v>0.69</v>
      </c>
      <c r="U1590" s="366">
        <f t="shared" si="319"/>
        <v>5.0364963503649635E-2</v>
      </c>
      <c r="V1590" s="58">
        <v>1.1299999999999999</v>
      </c>
      <c r="W1590" s="36">
        <f>RTD("money.excel",,"2812","Price")</f>
        <v>13.7</v>
      </c>
      <c r="X1590" s="67"/>
      <c r="Y1590" s="15">
        <f t="shared" si="320"/>
        <v>13.7</v>
      </c>
      <c r="Z1590" s="3" t="e">
        <f t="shared" si="321"/>
        <v>#DIV/0!</v>
      </c>
      <c r="AB1590" s="22" t="s">
        <v>5999</v>
      </c>
      <c r="AE1590" s="33">
        <f t="shared" si="322"/>
        <v>0</v>
      </c>
      <c r="AF1590" s="122" t="s">
        <v>1497</v>
      </c>
      <c r="AG1590" s="128"/>
      <c r="AI1590" s="64">
        <f t="shared" si="323"/>
        <v>1.4498896247240618E-3</v>
      </c>
      <c r="AJ1590" s="313">
        <f>RTD("money.excel",,$G1590,"PredictVolume")</f>
        <v>6568</v>
      </c>
      <c r="AK1590" s="348"/>
    </row>
    <row r="1591" spans="1:37">
      <c r="A1591" s="148" t="s">
        <v>6000</v>
      </c>
      <c r="B1591" s="81">
        <v>16</v>
      </c>
      <c r="C1591" s="81">
        <v>16</v>
      </c>
      <c r="D1591" s="82">
        <v>-13</v>
      </c>
      <c r="E1591" s="82">
        <v>-27</v>
      </c>
      <c r="F1591" s="6">
        <v>8.49</v>
      </c>
      <c r="G1591" s="81">
        <v>2816</v>
      </c>
      <c r="H1591" s="17" t="s">
        <v>322</v>
      </c>
      <c r="I1591" s="22" t="s">
        <v>6001</v>
      </c>
      <c r="J1591" s="75">
        <v>78.97</v>
      </c>
      <c r="K1591" s="75">
        <v>5.52</v>
      </c>
      <c r="L1591" s="330">
        <v>2.0099999999999998</v>
      </c>
      <c r="N1591" s="325">
        <f t="shared" ref="N1591:N1630" si="325">J1591+K1591+L1591+M1591</f>
        <v>86.5</v>
      </c>
      <c r="O1591" s="27"/>
      <c r="P1591" s="56"/>
      <c r="Q1591" s="26"/>
      <c r="S1591" s="330">
        <v>20.89</v>
      </c>
      <c r="T1591" s="34">
        <v>0.8</v>
      </c>
      <c r="U1591" s="366">
        <f t="shared" si="319"/>
        <v>4.1666666666666671E-2</v>
      </c>
      <c r="V1591" s="97">
        <v>3.22</v>
      </c>
      <c r="W1591" s="36">
        <f>RTD("money.excel",,"2816","Price")</f>
        <v>19.2</v>
      </c>
      <c r="X1591" s="67"/>
      <c r="Y1591" s="15">
        <f t="shared" si="320"/>
        <v>19.2</v>
      </c>
      <c r="Z1591" s="3" t="e">
        <f t="shared" si="321"/>
        <v>#DIV/0!</v>
      </c>
      <c r="AB1591" s="22" t="s">
        <v>6001</v>
      </c>
      <c r="AE1591" s="33">
        <f t="shared" si="322"/>
        <v>0</v>
      </c>
      <c r="AF1591" s="43" t="s">
        <v>6002</v>
      </c>
      <c r="AG1591" s="128"/>
      <c r="AI1591" s="64">
        <f t="shared" si="323"/>
        <v>9.865470852017937E-5</v>
      </c>
      <c r="AJ1591" s="313">
        <f>RTD("money.excel",,$G1591,"PredictVolume")</f>
        <v>22</v>
      </c>
      <c r="AK1591" s="348"/>
    </row>
    <row r="1592" spans="1:37">
      <c r="A1592" s="148" t="s">
        <v>6003</v>
      </c>
      <c r="B1592" s="81">
        <v>25</v>
      </c>
      <c r="C1592" s="81"/>
      <c r="D1592" s="81">
        <v>11</v>
      </c>
      <c r="E1592" s="81">
        <v>42</v>
      </c>
      <c r="F1592" s="6"/>
      <c r="G1592" s="81">
        <v>2820</v>
      </c>
      <c r="H1592" s="17" t="s">
        <v>322</v>
      </c>
      <c r="I1592" s="22" t="s">
        <v>6004</v>
      </c>
      <c r="J1592" s="75">
        <v>62.2</v>
      </c>
      <c r="K1592" s="330">
        <v>7.17</v>
      </c>
      <c r="L1592" s="330">
        <v>0.16</v>
      </c>
      <c r="N1592" s="325">
        <f t="shared" si="325"/>
        <v>69.53</v>
      </c>
      <c r="O1592" s="27"/>
      <c r="P1592" s="56"/>
      <c r="Q1592" s="26"/>
      <c r="S1592" s="330">
        <v>0</v>
      </c>
      <c r="T1592" s="34">
        <v>0.87</v>
      </c>
      <c r="U1592" s="366">
        <f t="shared" si="319"/>
        <v>5.0877192982456139E-2</v>
      </c>
      <c r="V1592" s="97">
        <v>1.18</v>
      </c>
      <c r="W1592" s="36">
        <f>RTD("money.excel",,"2820","Price")</f>
        <v>17.100000000000001</v>
      </c>
      <c r="X1592" s="67"/>
      <c r="Y1592" s="15">
        <f t="shared" si="320"/>
        <v>17.100000000000001</v>
      </c>
      <c r="Z1592" s="3" t="e">
        <f t="shared" si="321"/>
        <v>#DIV/0!</v>
      </c>
      <c r="AB1592" s="22" t="s">
        <v>6004</v>
      </c>
      <c r="AE1592" s="33">
        <f t="shared" si="322"/>
        <v>0</v>
      </c>
      <c r="AF1592" s="122" t="s">
        <v>6005</v>
      </c>
      <c r="AG1592" s="128"/>
      <c r="AI1592" s="64">
        <f t="shared" si="323"/>
        <v>5.6492537313432832E-4</v>
      </c>
      <c r="AJ1592" s="313">
        <f>RTD("money.excel",,$G1592,"PredictVolume")</f>
        <v>757</v>
      </c>
      <c r="AK1592" s="348"/>
    </row>
    <row r="1593" spans="1:37">
      <c r="A1593" s="132" t="s">
        <v>2189</v>
      </c>
      <c r="B1593" s="81">
        <v>25</v>
      </c>
      <c r="C1593" s="81">
        <v>26</v>
      </c>
      <c r="D1593" s="82">
        <v>-3</v>
      </c>
      <c r="E1593" s="82">
        <v>-3</v>
      </c>
      <c r="F1593" s="58">
        <v>16.149999999999999</v>
      </c>
      <c r="G1593" s="81">
        <v>2832</v>
      </c>
      <c r="H1593" s="17" t="s">
        <v>322</v>
      </c>
      <c r="I1593" s="22" t="s">
        <v>6006</v>
      </c>
      <c r="J1593" s="330">
        <v>67.69</v>
      </c>
      <c r="K1593" s="75">
        <v>3.43</v>
      </c>
      <c r="L1593" s="330">
        <v>0.14000000000000001</v>
      </c>
      <c r="N1593" s="325">
        <f t="shared" si="325"/>
        <v>71.260000000000005</v>
      </c>
      <c r="O1593" s="27"/>
      <c r="P1593" s="56"/>
      <c r="Q1593" s="26"/>
      <c r="S1593" s="330">
        <v>28.54</v>
      </c>
      <c r="T1593" s="34">
        <v>1.1000000000000001</v>
      </c>
      <c r="U1593" s="366">
        <f t="shared" si="319"/>
        <v>5.4320987654320994E-2</v>
      </c>
      <c r="V1593" s="97">
        <v>1.9</v>
      </c>
      <c r="W1593" s="36">
        <f>RTD("money.excel",,"2832","Price")</f>
        <v>20.25</v>
      </c>
      <c r="X1593" s="67"/>
      <c r="Y1593" s="15">
        <f t="shared" si="320"/>
        <v>20.25</v>
      </c>
      <c r="Z1593" s="3" t="e">
        <f t="shared" si="321"/>
        <v>#DIV/0!</v>
      </c>
      <c r="AA1593" s="174" t="s">
        <v>1943</v>
      </c>
      <c r="AB1593" s="22" t="s">
        <v>6006</v>
      </c>
      <c r="AE1593" s="33">
        <f t="shared" si="322"/>
        <v>0</v>
      </c>
      <c r="AF1593" s="43" t="s">
        <v>1628</v>
      </c>
      <c r="AG1593" s="128"/>
      <c r="AI1593" s="64">
        <f t="shared" si="323"/>
        <v>2.5414364640883978E-4</v>
      </c>
      <c r="AJ1593" s="313">
        <f>RTD("money.excel",,$G1593,"PredictVolume")</f>
        <v>92</v>
      </c>
      <c r="AK1593" s="348"/>
    </row>
    <row r="1594" spans="1:37">
      <c r="A1594" s="148" t="s">
        <v>2398</v>
      </c>
      <c r="B1594" s="82">
        <v>-35</v>
      </c>
      <c r="C1594" s="82"/>
      <c r="D1594" s="82">
        <v>-4</v>
      </c>
      <c r="E1594" s="81">
        <v>3</v>
      </c>
      <c r="F1594" s="6">
        <v>3.66</v>
      </c>
      <c r="G1594" s="81">
        <v>2834</v>
      </c>
      <c r="H1594" s="17" t="s">
        <v>322</v>
      </c>
      <c r="I1594" s="22" t="s">
        <v>279</v>
      </c>
      <c r="J1594" s="330">
        <v>53.43</v>
      </c>
      <c r="K1594" s="75">
        <v>19.43</v>
      </c>
      <c r="L1594" s="75">
        <v>0.36</v>
      </c>
      <c r="N1594" s="325">
        <f t="shared" si="325"/>
        <v>73.22</v>
      </c>
      <c r="O1594" s="27"/>
      <c r="P1594" s="56"/>
      <c r="Q1594" s="26"/>
      <c r="S1594" s="330">
        <v>0</v>
      </c>
      <c r="T1594" s="34">
        <v>0.44</v>
      </c>
      <c r="U1594" s="366">
        <f t="shared" si="319"/>
        <v>3.9461883408071746E-2</v>
      </c>
      <c r="V1594" s="97">
        <v>0.64</v>
      </c>
      <c r="W1594" s="36">
        <f>RTD("money.excel",,"2834","Price")</f>
        <v>11.15</v>
      </c>
      <c r="X1594" s="67"/>
      <c r="Y1594" s="15">
        <f t="shared" si="320"/>
        <v>11.15</v>
      </c>
      <c r="Z1594" s="3" t="e">
        <f t="shared" si="321"/>
        <v>#DIV/0!</v>
      </c>
      <c r="AA1594" s="174" t="s">
        <v>1943</v>
      </c>
      <c r="AB1594" s="22" t="s">
        <v>279</v>
      </c>
      <c r="AE1594" s="33">
        <f t="shared" si="322"/>
        <v>0</v>
      </c>
      <c r="AF1594" s="122" t="s">
        <v>1498</v>
      </c>
      <c r="AG1594" s="128"/>
      <c r="AI1594" s="64">
        <f t="shared" si="323"/>
        <v>2.6220588235294118E-3</v>
      </c>
      <c r="AJ1594" s="313">
        <f>RTD("money.excel",,$G1594,"PredictVolume")</f>
        <v>19613</v>
      </c>
      <c r="AK1594" s="348"/>
    </row>
    <row r="1595" spans="1:37">
      <c r="A1595" s="148" t="s">
        <v>2369</v>
      </c>
      <c r="B1595" s="81">
        <v>61</v>
      </c>
      <c r="C1595" s="82"/>
      <c r="D1595" s="82">
        <v>-4</v>
      </c>
      <c r="E1595" s="82">
        <v>-1</v>
      </c>
      <c r="F1595" s="6"/>
      <c r="G1595" s="81">
        <v>2836</v>
      </c>
      <c r="H1595" s="17" t="s">
        <v>322</v>
      </c>
      <c r="I1595" s="22" t="s">
        <v>6007</v>
      </c>
      <c r="J1595" s="330">
        <v>82.02</v>
      </c>
      <c r="K1595" s="75">
        <v>7.21</v>
      </c>
      <c r="L1595" s="330">
        <v>1.33</v>
      </c>
      <c r="N1595" s="325">
        <f t="shared" si="325"/>
        <v>90.559999999999988</v>
      </c>
      <c r="O1595" s="27"/>
      <c r="P1595" s="56"/>
      <c r="Q1595" s="26"/>
      <c r="S1595" s="330">
        <v>57.03</v>
      </c>
      <c r="T1595" s="34">
        <v>0.6</v>
      </c>
      <c r="U1595" s="366">
        <f t="shared" si="319"/>
        <v>4.4444444444444446E-2</v>
      </c>
      <c r="V1595" s="58">
        <v>0.7</v>
      </c>
      <c r="W1595" s="36">
        <f>RTD("money.excel",,"2836","Price")</f>
        <v>13.5</v>
      </c>
      <c r="X1595" s="67"/>
      <c r="Y1595" s="15">
        <f t="shared" si="320"/>
        <v>13.5</v>
      </c>
      <c r="Z1595" s="3" t="e">
        <f t="shared" si="321"/>
        <v>#DIV/0!</v>
      </c>
      <c r="AB1595" s="22" t="s">
        <v>6007</v>
      </c>
      <c r="AE1595" s="33">
        <f t="shared" si="322"/>
        <v>0</v>
      </c>
      <c r="AF1595" s="122" t="s">
        <v>2661</v>
      </c>
      <c r="AG1595" s="128"/>
      <c r="AI1595" s="64">
        <f t="shared" si="323"/>
        <v>5.7589285714285717E-4</v>
      </c>
      <c r="AJ1595" s="313">
        <f>RTD("money.excel",,$G1595,"PredictVolume")</f>
        <v>645</v>
      </c>
      <c r="AK1595" s="348"/>
    </row>
    <row r="1596" spans="1:37">
      <c r="A1596" s="148" t="s">
        <v>2380</v>
      </c>
      <c r="B1596" s="81">
        <v>14</v>
      </c>
      <c r="C1596" s="82"/>
      <c r="D1596" s="82">
        <v>-25</v>
      </c>
      <c r="E1596" s="82">
        <v>-30</v>
      </c>
      <c r="F1596" s="6"/>
      <c r="G1596" s="81">
        <v>2838</v>
      </c>
      <c r="H1596" s="17" t="s">
        <v>322</v>
      </c>
      <c r="I1596" s="22" t="s">
        <v>6008</v>
      </c>
      <c r="J1596" s="330">
        <v>89.98</v>
      </c>
      <c r="K1596" s="75">
        <v>3.07</v>
      </c>
      <c r="L1596" s="330">
        <v>0.09</v>
      </c>
      <c r="N1596" s="325">
        <f t="shared" si="325"/>
        <v>93.14</v>
      </c>
      <c r="O1596" s="27"/>
      <c r="P1596" s="56"/>
      <c r="Q1596" s="26"/>
      <c r="S1596" s="330">
        <v>15.18</v>
      </c>
      <c r="T1596" s="34">
        <v>0.63</v>
      </c>
      <c r="U1596" s="366">
        <f t="shared" si="319"/>
        <v>4.3598615916955019E-2</v>
      </c>
      <c r="V1596" s="97">
        <v>1.1299999999999999</v>
      </c>
      <c r="W1596" s="36">
        <f>RTD("money.excel",,"2838","Price")</f>
        <v>14.45</v>
      </c>
      <c r="X1596" s="67"/>
      <c r="Y1596" s="15">
        <f t="shared" si="320"/>
        <v>14.45</v>
      </c>
      <c r="Z1596" s="3" t="e">
        <f t="shared" si="321"/>
        <v>#DIV/0!</v>
      </c>
      <c r="AB1596" s="22" t="s">
        <v>6008</v>
      </c>
      <c r="AE1596" s="33">
        <f t="shared" si="322"/>
        <v>0</v>
      </c>
      <c r="AF1596" s="122" t="s">
        <v>1499</v>
      </c>
      <c r="AG1596" s="128"/>
      <c r="AI1596" s="64">
        <f t="shared" si="323"/>
        <v>6.4692556634304203E-4</v>
      </c>
      <c r="AJ1596" s="313">
        <f>RTD("money.excel",,$G1596,"PredictVolume")</f>
        <v>1999</v>
      </c>
      <c r="AK1596" s="348"/>
    </row>
    <row r="1597" spans="1:37">
      <c r="A1597" s="148" t="s">
        <v>2409</v>
      </c>
      <c r="B1597" s="82">
        <v>-26</v>
      </c>
      <c r="C1597" s="82"/>
      <c r="D1597" s="82">
        <v>-25</v>
      </c>
      <c r="E1597" s="82">
        <v>-7</v>
      </c>
      <c r="F1597" s="6"/>
      <c r="G1597" s="81">
        <v>2845</v>
      </c>
      <c r="H1597" s="17" t="s">
        <v>322</v>
      </c>
      <c r="I1597" s="22" t="s">
        <v>146</v>
      </c>
      <c r="J1597" s="330">
        <v>74.86</v>
      </c>
      <c r="K1597" s="330">
        <v>11.13</v>
      </c>
      <c r="L1597" s="330">
        <v>0.3</v>
      </c>
      <c r="N1597" s="325">
        <f t="shared" si="325"/>
        <v>86.289999999999992</v>
      </c>
      <c r="O1597" s="27"/>
      <c r="P1597" s="56"/>
      <c r="Q1597" s="26"/>
      <c r="S1597" s="330">
        <v>0</v>
      </c>
      <c r="T1597" s="34">
        <v>0.52</v>
      </c>
      <c r="U1597" s="366">
        <f t="shared" si="319"/>
        <v>4.6846846846846847E-2</v>
      </c>
      <c r="V1597" s="97">
        <v>0.74</v>
      </c>
      <c r="W1597" s="36">
        <f>RTD("money.excel",,"2845","Price")</f>
        <v>11.1</v>
      </c>
      <c r="X1597" s="67"/>
      <c r="Y1597" s="15">
        <f t="shared" si="320"/>
        <v>11.1</v>
      </c>
      <c r="Z1597" s="3" t="e">
        <f t="shared" si="321"/>
        <v>#DIV/0!</v>
      </c>
      <c r="AB1597" s="22" t="s">
        <v>146</v>
      </c>
      <c r="AE1597" s="33">
        <f t="shared" si="322"/>
        <v>0</v>
      </c>
      <c r="AF1597" s="122" t="s">
        <v>1500</v>
      </c>
      <c r="AG1597" s="128"/>
      <c r="AI1597" s="64">
        <f t="shared" si="323"/>
        <v>8.4186046511627909E-4</v>
      </c>
      <c r="AJ1597" s="313">
        <f>RTD("money.excel",,$G1597,"PredictVolume")</f>
        <v>2896</v>
      </c>
      <c r="AK1597" s="348"/>
    </row>
    <row r="1598" spans="1:37">
      <c r="A1598" s="148" t="s">
        <v>2190</v>
      </c>
      <c r="B1598" s="82">
        <v>-5</v>
      </c>
      <c r="C1598" s="82"/>
      <c r="D1598" s="81">
        <v>0</v>
      </c>
      <c r="E1598" s="82">
        <v>-17</v>
      </c>
      <c r="F1598" s="6"/>
      <c r="G1598" s="81">
        <v>2849</v>
      </c>
      <c r="H1598" s="17" t="s">
        <v>322</v>
      </c>
      <c r="I1598" s="22" t="s">
        <v>6009</v>
      </c>
      <c r="J1598" s="330">
        <v>98.31</v>
      </c>
      <c r="K1598" s="75">
        <v>59.16</v>
      </c>
      <c r="L1598" s="330">
        <v>7.0000000000000007E-2</v>
      </c>
      <c r="N1598" s="325">
        <f t="shared" si="325"/>
        <v>157.54</v>
      </c>
      <c r="O1598" s="27"/>
      <c r="P1598" s="56"/>
      <c r="Q1598" s="26"/>
      <c r="S1598" s="330">
        <v>21.91</v>
      </c>
      <c r="T1598" s="34">
        <v>0.73</v>
      </c>
      <c r="U1598" s="366">
        <f t="shared" si="319"/>
        <v>4.7712418300653592E-2</v>
      </c>
      <c r="V1598" s="97">
        <v>1.1100000000000001</v>
      </c>
      <c r="W1598" s="13">
        <f>RTD("money.excel",,"2849","Price")</f>
        <v>15.3</v>
      </c>
      <c r="X1598" s="67"/>
      <c r="Y1598" s="15">
        <f t="shared" si="320"/>
        <v>15.3</v>
      </c>
      <c r="Z1598" s="3" t="e">
        <f t="shared" si="321"/>
        <v>#DIV/0!</v>
      </c>
      <c r="AB1598" s="22" t="s">
        <v>6009</v>
      </c>
      <c r="AE1598" s="33">
        <f t="shared" si="322"/>
        <v>0</v>
      </c>
      <c r="AF1598" s="43" t="s">
        <v>1629</v>
      </c>
      <c r="AG1598" s="128"/>
      <c r="AI1598" s="64">
        <f t="shared" si="323"/>
        <v>6.6666666666666666E-6</v>
      </c>
      <c r="AJ1598" s="313">
        <f>RTD("money.excel",,$G1598,"PredictVolume")</f>
        <v>13</v>
      </c>
      <c r="AK1598" s="348"/>
    </row>
    <row r="1599" spans="1:37">
      <c r="A1599" s="132" t="s">
        <v>2191</v>
      </c>
      <c r="B1599" s="82">
        <v>-11</v>
      </c>
      <c r="C1599" s="82">
        <v>-7</v>
      </c>
      <c r="D1599" s="82">
        <v>-7</v>
      </c>
      <c r="E1599" s="82">
        <v>-5</v>
      </c>
      <c r="F1599" s="58">
        <v>12.04</v>
      </c>
      <c r="G1599" s="81">
        <v>2850</v>
      </c>
      <c r="H1599" s="17" t="s">
        <v>322</v>
      </c>
      <c r="I1599" s="22" t="s">
        <v>359</v>
      </c>
      <c r="J1599" s="330">
        <v>66.45</v>
      </c>
      <c r="K1599" s="330">
        <v>8.73</v>
      </c>
      <c r="L1599" s="330">
        <v>0.24</v>
      </c>
      <c r="N1599" s="325">
        <f t="shared" si="325"/>
        <v>75.42</v>
      </c>
      <c r="O1599" s="27"/>
      <c r="P1599" s="56"/>
      <c r="Q1599" s="26"/>
      <c r="S1599" s="330">
        <v>8.49</v>
      </c>
      <c r="T1599" s="34">
        <v>1.95</v>
      </c>
      <c r="U1599" s="366">
        <f t="shared" si="319"/>
        <v>3.9553752535496957E-2</v>
      </c>
      <c r="V1599" s="97">
        <v>5.16</v>
      </c>
      <c r="W1599" s="36">
        <f>RTD("money.excel",,"2850","Price")</f>
        <v>49.3</v>
      </c>
      <c r="X1599" s="67"/>
      <c r="Y1599" s="15">
        <f t="shared" si="320"/>
        <v>49.3</v>
      </c>
      <c r="Z1599" s="3" t="e">
        <f t="shared" si="321"/>
        <v>#DIV/0!</v>
      </c>
      <c r="AB1599" s="22" t="s">
        <v>359</v>
      </c>
      <c r="AE1599" s="33">
        <f t="shared" si="322"/>
        <v>0</v>
      </c>
      <c r="AF1599" s="43" t="s">
        <v>1630</v>
      </c>
      <c r="AG1599" s="269"/>
      <c r="AI1599" s="64">
        <f t="shared" si="323"/>
        <v>1.0063291139240506E-3</v>
      </c>
      <c r="AJ1599" s="313">
        <f>RTD("money.excel",,$G1599,"PredictVolume")</f>
        <v>318</v>
      </c>
      <c r="AK1599" s="348"/>
    </row>
    <row r="1600" spans="1:37">
      <c r="A1600" s="132" t="s">
        <v>3738</v>
      </c>
      <c r="B1600" s="81">
        <v>36</v>
      </c>
      <c r="C1600" s="81">
        <v>33</v>
      </c>
      <c r="D1600" s="82">
        <v>-22</v>
      </c>
      <c r="E1600" s="82">
        <v>-3</v>
      </c>
      <c r="F1600" s="58">
        <v>13.54</v>
      </c>
      <c r="G1600" s="81">
        <v>2851</v>
      </c>
      <c r="H1600" s="17" t="s">
        <v>322</v>
      </c>
      <c r="I1600" s="22" t="s">
        <v>360</v>
      </c>
      <c r="J1600" s="330">
        <v>78.489999999999995</v>
      </c>
      <c r="K1600" s="330">
        <v>1.44</v>
      </c>
      <c r="L1600" s="330">
        <v>2.4500000000000002</v>
      </c>
      <c r="N1600" s="325">
        <f t="shared" si="325"/>
        <v>82.38</v>
      </c>
      <c r="O1600" s="27"/>
      <c r="P1600" s="56"/>
      <c r="Q1600" s="26"/>
      <c r="S1600" s="330">
        <v>0.14000000000000001</v>
      </c>
      <c r="T1600" s="34">
        <v>1.3</v>
      </c>
      <c r="U1600" s="366">
        <f t="shared" si="319"/>
        <v>4.4827586206896551E-2</v>
      </c>
      <c r="V1600" s="58">
        <v>3.12</v>
      </c>
      <c r="W1600" s="36">
        <f>RTD("money.excel",,"2851","Price")</f>
        <v>29</v>
      </c>
      <c r="X1600" s="67"/>
      <c r="Y1600" s="15">
        <f t="shared" si="320"/>
        <v>29</v>
      </c>
      <c r="Z1600" s="3" t="e">
        <f t="shared" si="321"/>
        <v>#DIV/0!</v>
      </c>
      <c r="AB1600" s="22" t="s">
        <v>360</v>
      </c>
      <c r="AE1600" s="33">
        <f t="shared" si="322"/>
        <v>0</v>
      </c>
      <c r="AF1600" s="43" t="s">
        <v>4167</v>
      </c>
      <c r="AG1600" s="128"/>
      <c r="AI1600" s="64">
        <f t="shared" si="323"/>
        <v>4.6779661016949152E-4</v>
      </c>
      <c r="AJ1600" s="313">
        <f>RTD("money.excel",,$G1600,"PredictVolume")</f>
        <v>276</v>
      </c>
      <c r="AK1600" s="348"/>
    </row>
    <row r="1601" spans="1:37">
      <c r="A1601" s="132" t="s">
        <v>2192</v>
      </c>
      <c r="B1601" s="81">
        <v>18</v>
      </c>
      <c r="C1601" s="81">
        <v>17</v>
      </c>
      <c r="D1601" s="82">
        <v>-25</v>
      </c>
      <c r="E1601" s="82">
        <v>-42</v>
      </c>
      <c r="F1601" s="58">
        <v>10.98</v>
      </c>
      <c r="G1601" s="81">
        <v>2852</v>
      </c>
      <c r="H1601" s="17" t="s">
        <v>322</v>
      </c>
      <c r="I1601" s="22" t="s">
        <v>6010</v>
      </c>
      <c r="J1601" s="75">
        <v>65.760000000000005</v>
      </c>
      <c r="K1601" s="330">
        <v>3.94</v>
      </c>
      <c r="L1601" s="330">
        <v>0.39</v>
      </c>
      <c r="N1601" s="325">
        <f t="shared" si="325"/>
        <v>70.09</v>
      </c>
      <c r="O1601" s="27"/>
      <c r="P1601" s="56"/>
      <c r="Q1601" s="26"/>
      <c r="S1601" s="330">
        <v>19.940000000000001</v>
      </c>
      <c r="T1601" s="34">
        <v>0.35</v>
      </c>
      <c r="U1601" s="366">
        <f t="shared" si="319"/>
        <v>2.4054982817869414E-2</v>
      </c>
      <c r="V1601" s="97">
        <v>0.51</v>
      </c>
      <c r="W1601" s="36">
        <f>RTD("money.excel",,"2852","Price")</f>
        <v>14.55</v>
      </c>
      <c r="X1601" s="67"/>
      <c r="Y1601" s="15">
        <f t="shared" si="320"/>
        <v>14.55</v>
      </c>
      <c r="Z1601" s="3" t="e">
        <f t="shared" si="321"/>
        <v>#DIV/0!</v>
      </c>
      <c r="AB1601" s="22" t="s">
        <v>6010</v>
      </c>
      <c r="AE1601" s="33">
        <f t="shared" si="322"/>
        <v>0</v>
      </c>
      <c r="AF1601" s="122" t="s">
        <v>1631</v>
      </c>
      <c r="AG1601" s="125"/>
      <c r="AI1601" s="64">
        <f t="shared" si="323"/>
        <v>1.5946843853820598E-4</v>
      </c>
      <c r="AJ1601" s="313">
        <f>RTD("money.excel",,$G1601,"PredictVolume")</f>
        <v>48</v>
      </c>
      <c r="AK1601" s="83"/>
    </row>
    <row r="1602" spans="1:37">
      <c r="A1602" s="132" t="s">
        <v>3739</v>
      </c>
      <c r="B1602" s="82">
        <v>-43</v>
      </c>
      <c r="C1602" s="82">
        <v>-41</v>
      </c>
      <c r="D1602" s="82">
        <v>-65</v>
      </c>
      <c r="E1602" s="82">
        <v>-6</v>
      </c>
      <c r="F1602" s="58">
        <v>16.59</v>
      </c>
      <c r="G1602" s="81">
        <v>2855</v>
      </c>
      <c r="H1602" s="17" t="s">
        <v>322</v>
      </c>
      <c r="I1602" s="22" t="s">
        <v>362</v>
      </c>
      <c r="J1602" s="75">
        <v>78.09</v>
      </c>
      <c r="K1602" s="330">
        <v>10.71</v>
      </c>
      <c r="L1602" s="330">
        <v>0.59</v>
      </c>
      <c r="N1602" s="325">
        <f t="shared" si="325"/>
        <v>89.390000000000015</v>
      </c>
      <c r="O1602" s="27"/>
      <c r="P1602" s="56"/>
      <c r="Q1602" s="26"/>
      <c r="S1602" s="330">
        <v>0.01</v>
      </c>
      <c r="T1602" s="34">
        <v>1.9</v>
      </c>
      <c r="U1602" s="366">
        <f t="shared" si="319"/>
        <v>8.7962962962962951E-2</v>
      </c>
      <c r="V1602" s="97">
        <v>2.59</v>
      </c>
      <c r="W1602" s="36">
        <f>RTD("money.excel",,"2855","Price")</f>
        <v>21.6</v>
      </c>
      <c r="X1602" s="67"/>
      <c r="Y1602" s="15">
        <f t="shared" si="320"/>
        <v>21.6</v>
      </c>
      <c r="Z1602" s="3" t="e">
        <f t="shared" si="321"/>
        <v>#DIV/0!</v>
      </c>
      <c r="AA1602" s="174" t="s">
        <v>1943</v>
      </c>
      <c r="AB1602" s="22" t="s">
        <v>362</v>
      </c>
      <c r="AE1602" s="33">
        <f t="shared" si="322"/>
        <v>0</v>
      </c>
      <c r="AF1602" s="43" t="s">
        <v>1501</v>
      </c>
      <c r="AG1602" s="269"/>
      <c r="AI1602" s="64">
        <f t="shared" si="323"/>
        <v>1.1676258992805756E-3</v>
      </c>
      <c r="AJ1602" s="313">
        <f>RTD("money.excel",,$G1602,"PredictVolume")</f>
        <v>1623</v>
      </c>
      <c r="AK1602" s="348"/>
    </row>
    <row r="1603" spans="1:37">
      <c r="A1603" s="148" t="s">
        <v>2380</v>
      </c>
      <c r="B1603" s="81">
        <v>450</v>
      </c>
      <c r="C1603" s="81">
        <v>-194</v>
      </c>
      <c r="D1603" s="82">
        <v>-19</v>
      </c>
      <c r="E1603" s="82">
        <v>-33</v>
      </c>
      <c r="F1603" s="6">
        <v>-0.31</v>
      </c>
      <c r="G1603" s="81">
        <v>2867</v>
      </c>
      <c r="H1603" s="17" t="s">
        <v>322</v>
      </c>
      <c r="I1603" s="22" t="s">
        <v>128</v>
      </c>
      <c r="J1603" s="330">
        <v>72.61</v>
      </c>
      <c r="K1603" s="330">
        <v>6.25</v>
      </c>
      <c r="L1603" s="75">
        <v>4.7</v>
      </c>
      <c r="M1603" s="330">
        <v>40.76</v>
      </c>
      <c r="N1603" s="325">
        <f t="shared" si="325"/>
        <v>124.32</v>
      </c>
      <c r="O1603" s="27"/>
      <c r="P1603" s="56"/>
      <c r="Q1603" s="26"/>
      <c r="T1603" s="34">
        <v>0.14000000000000001</v>
      </c>
      <c r="U1603" s="366">
        <f t="shared" si="319"/>
        <v>1.684717208182912E-2</v>
      </c>
      <c r="V1603" s="58">
        <v>1.67</v>
      </c>
      <c r="W1603" s="36">
        <f>RTD("money.excel",,"2867","Price")</f>
        <v>8.31</v>
      </c>
      <c r="X1603" s="67"/>
      <c r="Y1603" s="15">
        <f t="shared" si="320"/>
        <v>8.31</v>
      </c>
      <c r="Z1603" s="3" t="e">
        <f t="shared" si="321"/>
        <v>#DIV/0!</v>
      </c>
      <c r="AB1603" s="22" t="s">
        <v>128</v>
      </c>
      <c r="AE1603" s="33">
        <f t="shared" si="322"/>
        <v>0</v>
      </c>
      <c r="AF1603" s="122" t="s">
        <v>2628</v>
      </c>
      <c r="AG1603" s="128"/>
      <c r="AI1603" s="64">
        <f t="shared" si="323"/>
        <v>2.5190938511326861E-3</v>
      </c>
      <c r="AJ1603" s="313">
        <f>RTD("money.excel",,$G1603,"PredictVolume")</f>
        <v>7784</v>
      </c>
      <c r="AK1603" s="348"/>
    </row>
    <row r="1604" spans="1:37">
      <c r="A1604" s="148" t="s">
        <v>2407</v>
      </c>
      <c r="B1604" s="82">
        <v>-62</v>
      </c>
      <c r="C1604" s="81"/>
      <c r="D1604" s="81">
        <v>7</v>
      </c>
      <c r="E1604" s="81">
        <v>10</v>
      </c>
      <c r="F1604" s="6"/>
      <c r="G1604" s="81">
        <v>2880</v>
      </c>
      <c r="H1604" s="17" t="s">
        <v>322</v>
      </c>
      <c r="I1604" s="22" t="s">
        <v>6011</v>
      </c>
      <c r="J1604" s="330">
        <v>70.61</v>
      </c>
      <c r="K1604" s="330">
        <v>17.59</v>
      </c>
      <c r="L1604" s="330">
        <v>0.13</v>
      </c>
      <c r="N1604" s="325">
        <f t="shared" si="325"/>
        <v>88.33</v>
      </c>
      <c r="O1604" s="27"/>
      <c r="P1604" s="56"/>
      <c r="Q1604" s="26"/>
      <c r="S1604" s="330">
        <v>0</v>
      </c>
      <c r="T1604" s="34">
        <v>1.1200000000000001</v>
      </c>
      <c r="U1604" s="366">
        <f t="shared" si="319"/>
        <v>5.000000000000001E-2</v>
      </c>
      <c r="V1604" s="58">
        <v>0.68</v>
      </c>
      <c r="W1604" s="36">
        <f>RTD("money.excel",,"2880","Price")</f>
        <v>22.4</v>
      </c>
      <c r="X1604" s="67"/>
      <c r="Y1604" s="15">
        <f t="shared" si="320"/>
        <v>22.4</v>
      </c>
      <c r="Z1604" s="3" t="e">
        <f t="shared" si="321"/>
        <v>#DIV/0!</v>
      </c>
      <c r="AA1604" s="174" t="s">
        <v>1943</v>
      </c>
      <c r="AB1604" s="22" t="s">
        <v>6011</v>
      </c>
      <c r="AE1604" s="33">
        <f t="shared" si="322"/>
        <v>0</v>
      </c>
      <c r="AF1604" s="122" t="s">
        <v>1584</v>
      </c>
      <c r="AG1604" s="128"/>
      <c r="AI1604" s="64">
        <f t="shared" si="323"/>
        <v>5.3081712062256808E-4</v>
      </c>
      <c r="AJ1604" s="313">
        <f>RTD("money.excel",,$G1604,"PredictVolume")</f>
        <v>6821</v>
      </c>
      <c r="AK1604" s="348"/>
    </row>
    <row r="1605" spans="1:37">
      <c r="A1605" s="148" t="s">
        <v>4288</v>
      </c>
      <c r="B1605" s="81">
        <v>138</v>
      </c>
      <c r="C1605" s="81"/>
      <c r="D1605" s="81">
        <v>7</v>
      </c>
      <c r="E1605" s="82">
        <v>-6</v>
      </c>
      <c r="F1605" s="6"/>
      <c r="G1605" s="81">
        <v>2881</v>
      </c>
      <c r="H1605" s="17" t="s">
        <v>322</v>
      </c>
      <c r="I1605" s="22" t="s">
        <v>77</v>
      </c>
      <c r="J1605" s="333">
        <v>82.37</v>
      </c>
      <c r="K1605" s="75">
        <v>23.73</v>
      </c>
      <c r="L1605" s="330">
        <v>0.7</v>
      </c>
      <c r="N1605" s="325">
        <f t="shared" si="325"/>
        <v>106.80000000000001</v>
      </c>
      <c r="O1605" s="27"/>
      <c r="P1605" s="56"/>
      <c r="Q1605" s="26"/>
      <c r="S1605" s="330">
        <v>10.83</v>
      </c>
      <c r="T1605" s="223">
        <v>4</v>
      </c>
      <c r="U1605" s="366">
        <f t="shared" si="319"/>
        <v>5.5020632737276476E-2</v>
      </c>
      <c r="V1605" s="58">
        <v>13.75</v>
      </c>
      <c r="W1605" s="36">
        <f>RTD("money.excel",,"2881","Price")</f>
        <v>72.7</v>
      </c>
      <c r="X1605" s="66"/>
      <c r="Y1605" s="15">
        <f t="shared" si="320"/>
        <v>72.7</v>
      </c>
      <c r="Z1605" s="3" t="e">
        <f t="shared" si="321"/>
        <v>#DIV/0!</v>
      </c>
      <c r="AA1605" s="174" t="s">
        <v>2185</v>
      </c>
      <c r="AB1605" s="22" t="s">
        <v>77</v>
      </c>
      <c r="AE1605" s="33">
        <f t="shared" si="322"/>
        <v>0</v>
      </c>
      <c r="AF1605" s="43" t="s">
        <v>3123</v>
      </c>
      <c r="AG1605" s="128"/>
      <c r="AI1605" s="64">
        <f t="shared" si="323"/>
        <v>1.3388983050847457E-3</v>
      </c>
      <c r="AJ1605" s="313">
        <f>RTD("money.excel",,$G1605,"PredictVolume")</f>
        <v>15799</v>
      </c>
      <c r="AK1605" s="348"/>
    </row>
    <row r="1606" spans="1:37">
      <c r="A1606" s="148" t="s">
        <v>807</v>
      </c>
      <c r="B1606" s="81">
        <v>89</v>
      </c>
      <c r="C1606" s="81"/>
      <c r="D1606" s="82">
        <v>-2</v>
      </c>
      <c r="E1606" s="82">
        <v>-19</v>
      </c>
      <c r="F1606" s="6"/>
      <c r="G1606" s="81">
        <v>2882</v>
      </c>
      <c r="H1606" s="17" t="s">
        <v>322</v>
      </c>
      <c r="I1606" s="22" t="s">
        <v>9</v>
      </c>
      <c r="J1606" s="333">
        <v>78.569999999999993</v>
      </c>
      <c r="K1606" s="75">
        <v>26.1</v>
      </c>
      <c r="L1606" s="75">
        <v>0.67</v>
      </c>
      <c r="N1606" s="325">
        <f t="shared" si="325"/>
        <v>105.33999999999999</v>
      </c>
      <c r="O1606" s="27"/>
      <c r="P1606" s="56"/>
      <c r="Q1606" s="26"/>
      <c r="S1606" s="330">
        <v>2.82</v>
      </c>
      <c r="T1606" s="200">
        <v>2.5</v>
      </c>
      <c r="U1606" s="366">
        <f t="shared" si="319"/>
        <v>4.1459369817578771E-2</v>
      </c>
      <c r="V1606" s="58">
        <v>10.09</v>
      </c>
      <c r="W1606" s="36">
        <f>RTD("money.excel",,"2882","Price")</f>
        <v>60.3</v>
      </c>
      <c r="X1606" s="66"/>
      <c r="Y1606" s="15">
        <f t="shared" si="320"/>
        <v>60.3</v>
      </c>
      <c r="Z1606" s="3" t="e">
        <f t="shared" si="321"/>
        <v>#DIV/0!</v>
      </c>
      <c r="AA1606" s="174" t="s">
        <v>1943</v>
      </c>
      <c r="AB1606" s="22" t="s">
        <v>9</v>
      </c>
      <c r="AE1606" s="33">
        <f t="shared" si="322"/>
        <v>0</v>
      </c>
      <c r="AF1606" s="43" t="s">
        <v>3122</v>
      </c>
      <c r="AG1606" s="128"/>
      <c r="AI1606" s="64">
        <f t="shared" si="323"/>
        <v>9.2621580547112457E-4</v>
      </c>
      <c r="AJ1606" s="313">
        <f>RTD("money.excel",,$G1606,"PredictVolume")</f>
        <v>12189</v>
      </c>
      <c r="AK1606" s="348"/>
    </row>
    <row r="1607" spans="1:37">
      <c r="A1607" s="148" t="s">
        <v>2193</v>
      </c>
      <c r="B1607" s="82">
        <v>-3</v>
      </c>
      <c r="C1607" s="81"/>
      <c r="D1607" s="81">
        <v>116</v>
      </c>
      <c r="E1607" s="81">
        <v>62</v>
      </c>
      <c r="F1607" s="6"/>
      <c r="G1607" s="81">
        <v>2883</v>
      </c>
      <c r="H1607" s="17" t="s">
        <v>322</v>
      </c>
      <c r="I1607" s="22" t="s">
        <v>6012</v>
      </c>
      <c r="J1607" s="330">
        <v>55.71</v>
      </c>
      <c r="K1607" s="330">
        <v>27.25</v>
      </c>
      <c r="L1607" s="330">
        <v>0.93</v>
      </c>
      <c r="N1607" s="325">
        <f t="shared" si="325"/>
        <v>83.890000000000015</v>
      </c>
      <c r="O1607" s="27"/>
      <c r="P1607" s="56"/>
      <c r="Q1607" s="26"/>
      <c r="S1607" s="330">
        <v>0</v>
      </c>
      <c r="T1607" s="34">
        <v>0.6</v>
      </c>
      <c r="U1607" s="366">
        <f t="shared" si="319"/>
        <v>3.4285714285714287E-2</v>
      </c>
      <c r="V1607" s="97">
        <v>0.87</v>
      </c>
      <c r="W1607" s="36">
        <f>RTD("money.excel",,"2883","Price")</f>
        <v>17.5</v>
      </c>
      <c r="X1607" s="67"/>
      <c r="Y1607" s="15">
        <f t="shared" si="320"/>
        <v>17.5</v>
      </c>
      <c r="Z1607" s="3" t="e">
        <f t="shared" si="321"/>
        <v>#DIV/0!</v>
      </c>
      <c r="AA1607" s="174" t="s">
        <v>1943</v>
      </c>
      <c r="AB1607" s="22" t="s">
        <v>6012</v>
      </c>
      <c r="AE1607" s="33">
        <f t="shared" si="322"/>
        <v>0</v>
      </c>
      <c r="AF1607" s="122" t="s">
        <v>2781</v>
      </c>
      <c r="AG1607" s="128"/>
      <c r="AI1607" s="64">
        <f t="shared" si="323"/>
        <v>2.8336005344021375E-3</v>
      </c>
      <c r="AJ1607" s="313">
        <f>RTD("money.excel",,$G1607,"PredictVolume")</f>
        <v>42419</v>
      </c>
      <c r="AK1607" s="348"/>
    </row>
    <row r="1608" spans="1:37">
      <c r="A1608" s="148" t="s">
        <v>841</v>
      </c>
      <c r="B1608" s="82">
        <v>-11</v>
      </c>
      <c r="C1608" s="81"/>
      <c r="D1608" s="82">
        <v>-7</v>
      </c>
      <c r="E1608" s="82">
        <v>-1</v>
      </c>
      <c r="F1608" s="6"/>
      <c r="G1608" s="81">
        <v>2884</v>
      </c>
      <c r="H1608" s="17" t="s">
        <v>322</v>
      </c>
      <c r="I1608" s="22" t="s">
        <v>285</v>
      </c>
      <c r="J1608" s="330">
        <v>61.87</v>
      </c>
      <c r="K1608" s="330">
        <v>36.22</v>
      </c>
      <c r="L1608" s="330">
        <v>0.26</v>
      </c>
      <c r="N1608" s="325">
        <f t="shared" si="325"/>
        <v>98.350000000000009</v>
      </c>
      <c r="O1608" s="27"/>
      <c r="P1608" s="56"/>
      <c r="Q1608" s="26"/>
      <c r="S1608" s="330">
        <v>0.01</v>
      </c>
      <c r="T1608" s="34">
        <v>1.22</v>
      </c>
      <c r="U1608" s="366">
        <f t="shared" si="319"/>
        <v>4.0734557595993322E-2</v>
      </c>
      <c r="V1608" s="58">
        <v>1.46</v>
      </c>
      <c r="W1608" s="36">
        <f>RTD("money.excel",,"2884","Price")</f>
        <v>29.95</v>
      </c>
      <c r="X1608" s="67"/>
      <c r="Y1608" s="15">
        <f t="shared" si="320"/>
        <v>29.95</v>
      </c>
      <c r="Z1608" s="3" t="e">
        <f t="shared" si="321"/>
        <v>#DIV/0!</v>
      </c>
      <c r="AA1608" s="174" t="s">
        <v>1943</v>
      </c>
      <c r="AB1608" s="22" t="s">
        <v>285</v>
      </c>
      <c r="AE1608" s="33">
        <f t="shared" si="322"/>
        <v>0</v>
      </c>
      <c r="AF1608" s="122" t="s">
        <v>2412</v>
      </c>
      <c r="AG1608" s="128"/>
      <c r="AI1608" s="64">
        <f t="shared" si="323"/>
        <v>1.4340764331210191E-3</v>
      </c>
      <c r="AJ1608" s="313">
        <f>RTD("money.excel",,$G1608,"PredictVolume")</f>
        <v>18012</v>
      </c>
      <c r="AK1608" s="348"/>
    </row>
    <row r="1609" spans="1:37">
      <c r="A1609" s="148" t="s">
        <v>826</v>
      </c>
      <c r="B1609" s="81">
        <v>12</v>
      </c>
      <c r="C1609" s="81"/>
      <c r="D1609" s="82">
        <v>-3</v>
      </c>
      <c r="E1609" s="81">
        <v>7</v>
      </c>
      <c r="F1609" s="6"/>
      <c r="G1609" s="81">
        <v>2885</v>
      </c>
      <c r="H1609" s="17" t="s">
        <v>322</v>
      </c>
      <c r="I1609" s="22" t="s">
        <v>6013</v>
      </c>
      <c r="J1609" s="75">
        <v>80.63</v>
      </c>
      <c r="K1609" s="75">
        <v>33.619999999999997</v>
      </c>
      <c r="L1609" s="330">
        <v>0.3</v>
      </c>
      <c r="N1609" s="325">
        <f t="shared" si="325"/>
        <v>114.55</v>
      </c>
      <c r="O1609" s="27"/>
      <c r="P1609" s="56"/>
      <c r="Q1609" s="26"/>
      <c r="S1609" s="330">
        <v>0</v>
      </c>
      <c r="T1609" s="34">
        <v>1.2</v>
      </c>
      <c r="U1609" s="366">
        <f t="shared" si="319"/>
        <v>4.8484848484848485E-2</v>
      </c>
      <c r="V1609" s="58">
        <v>2.0099999999999998</v>
      </c>
      <c r="W1609" s="36">
        <f>RTD("money.excel",,"2885","Price")</f>
        <v>24.75</v>
      </c>
      <c r="X1609" s="67"/>
      <c r="Y1609" s="15">
        <f t="shared" si="320"/>
        <v>24.75</v>
      </c>
      <c r="Z1609" s="3" t="e">
        <f t="shared" si="321"/>
        <v>#DIV/0!</v>
      </c>
      <c r="AA1609" s="174" t="s">
        <v>1943</v>
      </c>
      <c r="AB1609" s="22" t="s">
        <v>6013</v>
      </c>
      <c r="AE1609" s="33">
        <f t="shared" si="322"/>
        <v>0</v>
      </c>
      <c r="AF1609" s="122" t="s">
        <v>1502</v>
      </c>
      <c r="AG1609" s="128"/>
      <c r="AI1609" s="64">
        <f t="shared" si="323"/>
        <v>8.4995877988458372E-4</v>
      </c>
      <c r="AJ1609" s="313">
        <f>RTD("money.excel",,$G1609,"PredictVolume")</f>
        <v>10310</v>
      </c>
      <c r="AK1609" s="348"/>
    </row>
    <row r="1610" spans="1:37">
      <c r="A1610" s="148" t="s">
        <v>1790</v>
      </c>
      <c r="B1610" s="82">
        <v>-16</v>
      </c>
      <c r="C1610" s="81"/>
      <c r="D1610" s="82">
        <v>-4</v>
      </c>
      <c r="E1610" s="82">
        <v>-1</v>
      </c>
      <c r="F1610" s="6"/>
      <c r="G1610" s="81">
        <v>2886</v>
      </c>
      <c r="H1610" s="17" t="s">
        <v>322</v>
      </c>
      <c r="I1610" s="22" t="s">
        <v>11</v>
      </c>
      <c r="J1610" s="330">
        <v>79</v>
      </c>
      <c r="K1610" s="330">
        <v>21.48</v>
      </c>
      <c r="L1610" s="75">
        <v>0.08</v>
      </c>
      <c r="N1610" s="325">
        <f t="shared" si="325"/>
        <v>100.56</v>
      </c>
      <c r="O1610" s="27"/>
      <c r="P1610" s="56"/>
      <c r="Q1610" s="26"/>
      <c r="S1610" s="330">
        <v>0</v>
      </c>
      <c r="T1610" s="34">
        <v>1.7</v>
      </c>
      <c r="U1610" s="366">
        <f t="shared" si="319"/>
        <v>4.4795783926218705E-2</v>
      </c>
      <c r="V1610" s="58">
        <v>1.84</v>
      </c>
      <c r="W1610" s="36">
        <f>RTD("money.excel",,"2886","Price")</f>
        <v>37.950000000000003</v>
      </c>
      <c r="X1610" s="67"/>
      <c r="Y1610" s="15">
        <f t="shared" si="320"/>
        <v>37.950000000000003</v>
      </c>
      <c r="Z1610" s="3" t="e">
        <f t="shared" si="321"/>
        <v>#DIV/0!</v>
      </c>
      <c r="AA1610" s="174" t="s">
        <v>1943</v>
      </c>
      <c r="AB1610" s="22" t="s">
        <v>11</v>
      </c>
      <c r="AE1610" s="33">
        <f t="shared" si="322"/>
        <v>0</v>
      </c>
      <c r="AF1610" s="122" t="s">
        <v>3124</v>
      </c>
      <c r="AG1610" s="128"/>
      <c r="AI1610" s="64">
        <f t="shared" si="323"/>
        <v>5.8278145695364234E-4</v>
      </c>
      <c r="AJ1610" s="313">
        <f>RTD("money.excel",,$G1610,"PredictVolume")</f>
        <v>7920</v>
      </c>
      <c r="AK1610" s="348"/>
    </row>
    <row r="1611" spans="1:37">
      <c r="A1611" s="148" t="s">
        <v>2778</v>
      </c>
      <c r="B1611" s="82">
        <v>-1</v>
      </c>
      <c r="C1611" s="81"/>
      <c r="D1611" s="81">
        <v>1</v>
      </c>
      <c r="E1611" s="81">
        <v>0</v>
      </c>
      <c r="F1611" s="6"/>
      <c r="G1611" s="81">
        <v>2887</v>
      </c>
      <c r="H1611" s="17" t="s">
        <v>322</v>
      </c>
      <c r="I1611" s="22" t="s">
        <v>286</v>
      </c>
      <c r="J1611" s="75">
        <v>65.11</v>
      </c>
      <c r="K1611" s="330">
        <v>27.6</v>
      </c>
      <c r="L1611" s="330">
        <v>0.24</v>
      </c>
      <c r="N1611" s="325">
        <f t="shared" si="325"/>
        <v>92.95</v>
      </c>
      <c r="O1611" s="27"/>
      <c r="P1611" s="56"/>
      <c r="Q1611" s="26"/>
      <c r="S1611" s="330">
        <v>0.01</v>
      </c>
      <c r="T1611" s="34">
        <v>0.8</v>
      </c>
      <c r="U1611" s="366">
        <f t="shared" si="319"/>
        <v>4.2328042328042333E-2</v>
      </c>
      <c r="V1611" s="97">
        <v>1.34</v>
      </c>
      <c r="W1611" s="36">
        <f>RTD("money.excel",,"2887","Price")</f>
        <v>18.899999999999999</v>
      </c>
      <c r="X1611" s="67"/>
      <c r="Y1611" s="15">
        <f t="shared" si="320"/>
        <v>18.899999999999999</v>
      </c>
      <c r="Z1611" s="3" t="e">
        <f t="shared" si="321"/>
        <v>#DIV/0!</v>
      </c>
      <c r="AA1611" s="174" t="s">
        <v>1943</v>
      </c>
      <c r="AB1611" s="22" t="s">
        <v>286</v>
      </c>
      <c r="AE1611" s="33">
        <f t="shared" si="322"/>
        <v>0</v>
      </c>
      <c r="AF1611" s="122" t="s">
        <v>3125</v>
      </c>
      <c r="AG1611" s="128"/>
      <c r="AI1611" s="64">
        <f t="shared" si="323"/>
        <v>1.7000916590284142E-3</v>
      </c>
      <c r="AJ1611" s="313">
        <f>RTD("money.excel",,$G1611,"PredictVolume")</f>
        <v>18548</v>
      </c>
      <c r="AK1611" s="348"/>
    </row>
    <row r="1612" spans="1:37">
      <c r="A1612" s="148" t="s">
        <v>1668</v>
      </c>
      <c r="B1612" s="81">
        <v>73</v>
      </c>
      <c r="C1612" s="81"/>
      <c r="D1612" s="82">
        <v>-16</v>
      </c>
      <c r="E1612" s="82">
        <v>-31</v>
      </c>
      <c r="F1612" s="6"/>
      <c r="G1612" s="81">
        <v>2888</v>
      </c>
      <c r="H1612" s="17" t="s">
        <v>322</v>
      </c>
      <c r="I1612" s="22" t="s">
        <v>6014</v>
      </c>
      <c r="J1612" s="75">
        <v>60.07</v>
      </c>
      <c r="K1612" s="75">
        <v>19.64</v>
      </c>
      <c r="L1612" s="330">
        <v>3.84</v>
      </c>
      <c r="N1612" s="325">
        <f t="shared" si="325"/>
        <v>83.550000000000011</v>
      </c>
      <c r="O1612" s="27"/>
      <c r="P1612" s="56"/>
      <c r="Q1612" s="26"/>
      <c r="S1612" s="330">
        <v>5.05</v>
      </c>
      <c r="T1612" s="34">
        <v>0.4</v>
      </c>
      <c r="U1612" s="366">
        <f t="shared" si="319"/>
        <v>3.9800995024875621E-2</v>
      </c>
      <c r="V1612" s="58">
        <v>1.56</v>
      </c>
      <c r="W1612" s="36">
        <f>RTD("money.excel",,"2888","Price")</f>
        <v>10.050000000000001</v>
      </c>
      <c r="X1612" s="67"/>
      <c r="Y1612" s="15">
        <f t="shared" si="320"/>
        <v>10.050000000000001</v>
      </c>
      <c r="Z1612" s="3" t="e">
        <f t="shared" si="321"/>
        <v>#DIV/0!</v>
      </c>
      <c r="AA1612" s="174" t="s">
        <v>1943</v>
      </c>
      <c r="AB1612" s="22" t="s">
        <v>6014</v>
      </c>
      <c r="AE1612" s="33">
        <f t="shared" si="322"/>
        <v>0</v>
      </c>
      <c r="AF1612" s="122" t="s">
        <v>3126</v>
      </c>
      <c r="AG1612" s="128"/>
      <c r="AI1612" s="64">
        <f t="shared" si="323"/>
        <v>3.8863766048502142E-3</v>
      </c>
      <c r="AJ1612" s="313">
        <f>RTD("money.excel",,$G1612,"PredictVolume")</f>
        <v>54487</v>
      </c>
      <c r="AK1612" s="348"/>
    </row>
    <row r="1613" spans="1:37">
      <c r="A1613" s="148" t="s">
        <v>4307</v>
      </c>
      <c r="B1613" s="81">
        <v>55</v>
      </c>
      <c r="C1613" s="81"/>
      <c r="D1613" s="82">
        <v>-1</v>
      </c>
      <c r="E1613" s="81">
        <v>10</v>
      </c>
      <c r="F1613" s="6"/>
      <c r="G1613" s="81">
        <v>2889</v>
      </c>
      <c r="H1613" s="17" t="s">
        <v>322</v>
      </c>
      <c r="I1613" s="22" t="s">
        <v>287</v>
      </c>
      <c r="J1613" s="330">
        <v>58.11</v>
      </c>
      <c r="K1613" s="330">
        <v>12</v>
      </c>
      <c r="L1613" s="330">
        <v>0.41</v>
      </c>
      <c r="N1613" s="325">
        <f t="shared" si="325"/>
        <v>70.52</v>
      </c>
      <c r="O1613" s="27"/>
      <c r="P1613" s="56"/>
      <c r="Q1613" s="26"/>
      <c r="S1613" s="330">
        <v>0.92</v>
      </c>
      <c r="T1613" s="34">
        <v>1</v>
      </c>
      <c r="U1613" s="366">
        <f t="shared" si="319"/>
        <v>6.7114093959731544E-2</v>
      </c>
      <c r="V1613" s="58">
        <v>1.4</v>
      </c>
      <c r="W1613" s="36">
        <f>RTD("money.excel",,"2889","Price")</f>
        <v>14.9</v>
      </c>
      <c r="X1613" s="67"/>
      <c r="Y1613" s="15">
        <f t="shared" si="320"/>
        <v>14.9</v>
      </c>
      <c r="Z1613" s="3" t="e">
        <f t="shared" si="321"/>
        <v>#DIV/0!</v>
      </c>
      <c r="AA1613" s="174" t="s">
        <v>1943</v>
      </c>
      <c r="AB1613" s="22" t="s">
        <v>287</v>
      </c>
      <c r="AE1613" s="33">
        <f t="shared" si="322"/>
        <v>0</v>
      </c>
      <c r="AF1613" s="122" t="s">
        <v>2426</v>
      </c>
      <c r="AG1613" s="128"/>
      <c r="AI1613" s="64">
        <f t="shared" si="323"/>
        <v>1.0264214046822743E-3</v>
      </c>
      <c r="AJ1613" s="313">
        <f>RTD("money.excel",,$G1613,"PredictVolume")</f>
        <v>3069</v>
      </c>
      <c r="AK1613" s="348"/>
    </row>
    <row r="1614" spans="1:37">
      <c r="A1614" s="148" t="s">
        <v>2195</v>
      </c>
      <c r="B1614" s="82">
        <v>-2</v>
      </c>
      <c r="C1614" s="81"/>
      <c r="D1614" s="81">
        <v>4</v>
      </c>
      <c r="E1614" s="81">
        <v>28</v>
      </c>
      <c r="F1614" s="6"/>
      <c r="G1614" s="81">
        <v>2890</v>
      </c>
      <c r="H1614" s="17" t="s">
        <v>322</v>
      </c>
      <c r="I1614" s="22" t="s">
        <v>6015</v>
      </c>
      <c r="J1614" s="330">
        <v>75.81</v>
      </c>
      <c r="K1614" s="330">
        <v>27.95</v>
      </c>
      <c r="L1614" s="330">
        <v>0.3</v>
      </c>
      <c r="N1614" s="325">
        <f t="shared" si="325"/>
        <v>104.06</v>
      </c>
      <c r="O1614" s="27"/>
      <c r="P1614" s="56"/>
      <c r="Q1614" s="26"/>
      <c r="S1614" s="330">
        <v>0.01</v>
      </c>
      <c r="T1614" s="34">
        <v>0.7</v>
      </c>
      <c r="U1614" s="366">
        <f t="shared" si="319"/>
        <v>4.142011834319527E-2</v>
      </c>
      <c r="V1614" s="97">
        <v>1.0900000000000001</v>
      </c>
      <c r="W1614" s="36">
        <f>RTD("money.excel",,"2890","Price")</f>
        <v>16.899999999999999</v>
      </c>
      <c r="X1614" s="67"/>
      <c r="Y1614" s="15">
        <f t="shared" si="320"/>
        <v>16.899999999999999</v>
      </c>
      <c r="Z1614" s="3" t="e">
        <f t="shared" si="321"/>
        <v>#DIV/0!</v>
      </c>
      <c r="AA1614" s="174" t="s">
        <v>1943</v>
      </c>
      <c r="AB1614" s="22" t="s">
        <v>6015</v>
      </c>
      <c r="AE1614" s="33">
        <f t="shared" si="322"/>
        <v>0</v>
      </c>
      <c r="AF1614" s="122" t="s">
        <v>1518</v>
      </c>
      <c r="AG1614" s="128"/>
      <c r="AI1614" s="64">
        <f t="shared" si="323"/>
        <v>9.809228039041704E-4</v>
      </c>
      <c r="AJ1614" s="313">
        <f>RTD("money.excel",,$G1614,"PredictVolume")</f>
        <v>11055</v>
      </c>
      <c r="AK1614" s="348"/>
    </row>
    <row r="1615" spans="1:37">
      <c r="A1615" s="148" t="s">
        <v>1791</v>
      </c>
      <c r="B1615" s="82">
        <v>-5</v>
      </c>
      <c r="C1615" s="81"/>
      <c r="D1615" s="82">
        <v>-38</v>
      </c>
      <c r="E1615" s="82">
        <v>-64</v>
      </c>
      <c r="F1615" s="6"/>
      <c r="G1615" s="81">
        <v>2891</v>
      </c>
      <c r="H1615" s="17" t="s">
        <v>322</v>
      </c>
      <c r="I1615" s="22" t="s">
        <v>6016</v>
      </c>
      <c r="J1615" s="330">
        <v>73.64</v>
      </c>
      <c r="K1615" s="75">
        <v>35.35</v>
      </c>
      <c r="L1615" s="330">
        <v>0.18</v>
      </c>
      <c r="N1615" s="325">
        <f t="shared" si="325"/>
        <v>109.17000000000002</v>
      </c>
      <c r="O1615" s="27"/>
      <c r="P1615" s="56"/>
      <c r="Q1615" s="26"/>
      <c r="S1615" s="330">
        <v>0</v>
      </c>
      <c r="T1615" s="34">
        <v>1</v>
      </c>
      <c r="U1615" s="366">
        <f t="shared" si="319"/>
        <v>3.7735849056603772E-2</v>
      </c>
      <c r="V1615" s="58">
        <v>2.2000000000000002</v>
      </c>
      <c r="W1615" s="36">
        <f>RTD("money.excel",,"2891","Price")</f>
        <v>26.5</v>
      </c>
      <c r="X1615" s="67"/>
      <c r="Y1615" s="15">
        <f t="shared" si="320"/>
        <v>26.5</v>
      </c>
      <c r="Z1615" s="3" t="e">
        <f t="shared" si="321"/>
        <v>#DIV/0!</v>
      </c>
      <c r="AA1615" s="174" t="s">
        <v>1943</v>
      </c>
      <c r="AB1615" s="22" t="s">
        <v>6016</v>
      </c>
      <c r="AE1615" s="33">
        <f t="shared" si="322"/>
        <v>0</v>
      </c>
      <c r="AF1615" s="122" t="s">
        <v>3144</v>
      </c>
      <c r="AG1615" s="128"/>
      <c r="AI1615" s="64">
        <f t="shared" si="323"/>
        <v>1.2532067727039507E-3</v>
      </c>
      <c r="AJ1615" s="313">
        <f>RTD("money.excel",,$G1615,"PredictVolume")</f>
        <v>24425</v>
      </c>
      <c r="AK1615" s="348"/>
    </row>
    <row r="1616" spans="1:37">
      <c r="A1616" s="148" t="s">
        <v>2300</v>
      </c>
      <c r="B1616" s="82">
        <v>-13</v>
      </c>
      <c r="C1616" s="81"/>
      <c r="D1616" s="81">
        <v>9</v>
      </c>
      <c r="E1616" s="81">
        <v>3</v>
      </c>
      <c r="F1616" s="6"/>
      <c r="G1616" s="81">
        <v>2892</v>
      </c>
      <c r="H1616" s="17" t="s">
        <v>322</v>
      </c>
      <c r="I1616" s="22" t="s">
        <v>288</v>
      </c>
      <c r="J1616" s="330">
        <v>63.1</v>
      </c>
      <c r="K1616" s="330">
        <v>24.03</v>
      </c>
      <c r="L1616" s="330">
        <v>0.11</v>
      </c>
      <c r="N1616" s="325">
        <f t="shared" si="325"/>
        <v>87.24</v>
      </c>
      <c r="O1616" s="27"/>
      <c r="P1616" s="56"/>
      <c r="Q1616" s="26"/>
      <c r="S1616" s="330">
        <v>0</v>
      </c>
      <c r="T1616" s="34">
        <v>1.35</v>
      </c>
      <c r="U1616" s="366">
        <f t="shared" si="319"/>
        <v>5.2734375E-2</v>
      </c>
      <c r="V1616" s="58">
        <v>1.32</v>
      </c>
      <c r="W1616" s="36">
        <f>RTD("money.excel",,"2892","Price")</f>
        <v>25.6</v>
      </c>
      <c r="X1616" s="67"/>
      <c r="Y1616" s="15">
        <f t="shared" si="320"/>
        <v>25.6</v>
      </c>
      <c r="Z1616" s="3" t="e">
        <f t="shared" si="321"/>
        <v>#DIV/0!</v>
      </c>
      <c r="AA1616" s="174" t="s">
        <v>1943</v>
      </c>
      <c r="AB1616" s="22" t="s">
        <v>288</v>
      </c>
      <c r="AE1616" s="33">
        <f t="shared" si="322"/>
        <v>0</v>
      </c>
      <c r="AF1616" s="122" t="s">
        <v>1584</v>
      </c>
      <c r="AG1616" s="128"/>
      <c r="AI1616" s="64">
        <f t="shared" si="323"/>
        <v>7.9633671083398285E-4</v>
      </c>
      <c r="AJ1616" s="313">
        <f>RTD("money.excel",,$G1616,"PredictVolume")</f>
        <v>10217</v>
      </c>
      <c r="AK1616" s="348"/>
    </row>
    <row r="1617" spans="1:37">
      <c r="A1617" s="148" t="s">
        <v>2461</v>
      </c>
      <c r="B1617" s="82">
        <v>-18</v>
      </c>
      <c r="C1617" s="81"/>
      <c r="D1617" s="82">
        <v>-4</v>
      </c>
      <c r="E1617" s="81">
        <v>10</v>
      </c>
      <c r="F1617" s="6"/>
      <c r="G1617" s="81">
        <v>2897</v>
      </c>
      <c r="H1617" s="17" t="s">
        <v>322</v>
      </c>
      <c r="I1617" s="22" t="s">
        <v>363</v>
      </c>
      <c r="J1617" s="75">
        <v>89.31</v>
      </c>
      <c r="K1617" s="330">
        <v>1.6</v>
      </c>
      <c r="L1617" s="330">
        <v>0.28000000000000003</v>
      </c>
      <c r="N1617" s="325">
        <f t="shared" si="325"/>
        <v>91.19</v>
      </c>
      <c r="O1617" s="27"/>
      <c r="P1617" s="56"/>
      <c r="Q1617" s="26"/>
      <c r="T1617" s="34">
        <v>0.2</v>
      </c>
      <c r="U1617" s="366">
        <f t="shared" si="319"/>
        <v>2.2346368715083803E-2</v>
      </c>
      <c r="V1617" s="97">
        <v>0.47</v>
      </c>
      <c r="W1617" s="36">
        <f>RTD("money.excel",,"2897","Price")</f>
        <v>8.9499999999999993</v>
      </c>
      <c r="X1617" s="67"/>
      <c r="Y1617" s="15">
        <f t="shared" si="320"/>
        <v>8.9499999999999993</v>
      </c>
      <c r="Z1617" s="3" t="e">
        <f t="shared" si="321"/>
        <v>#DIV/0!</v>
      </c>
      <c r="AB1617" s="22" t="s">
        <v>363</v>
      </c>
      <c r="AE1617" s="33">
        <f t="shared" si="322"/>
        <v>0</v>
      </c>
      <c r="AF1617" s="43" t="s">
        <v>2434</v>
      </c>
      <c r="AG1617" s="128"/>
      <c r="AI1617" s="64">
        <f t="shared" si="323"/>
        <v>1.7450549450549451E-3</v>
      </c>
      <c r="AJ1617" s="313">
        <f>RTD("money.excel",,$G1617,"PredictVolume")</f>
        <v>4764</v>
      </c>
      <c r="AK1617" s="348"/>
    </row>
    <row r="1618" spans="1:37">
      <c r="A1618" s="148" t="s">
        <v>2732</v>
      </c>
      <c r="B1618" s="81">
        <v>28</v>
      </c>
      <c r="C1618" s="81"/>
      <c r="D1618" s="82">
        <v>-26</v>
      </c>
      <c r="E1618" s="81">
        <v>17</v>
      </c>
      <c r="F1618" s="6"/>
      <c r="G1618" s="81">
        <v>5820</v>
      </c>
      <c r="H1618" s="17" t="s">
        <v>322</v>
      </c>
      <c r="I1618" s="16" t="s">
        <v>6017</v>
      </c>
      <c r="J1618" s="330">
        <v>90.81</v>
      </c>
      <c r="K1618" s="330">
        <v>74.42</v>
      </c>
      <c r="L1618" s="75">
        <v>0.3</v>
      </c>
      <c r="N1618" s="325">
        <f t="shared" si="325"/>
        <v>165.53000000000003</v>
      </c>
      <c r="O1618" s="27"/>
      <c r="P1618" s="56"/>
      <c r="Q1618" s="26"/>
      <c r="S1618" s="330">
        <v>0.06</v>
      </c>
      <c r="T1618" s="34">
        <v>0.55000000000000004</v>
      </c>
      <c r="U1618" s="366">
        <f t="shared" si="319"/>
        <v>4.4354838709677422E-2</v>
      </c>
      <c r="V1618" s="58">
        <v>0.78</v>
      </c>
      <c r="W1618" s="13">
        <f>RTD("money.excel",,"5820","Price")</f>
        <v>12.4</v>
      </c>
      <c r="X1618" s="67"/>
      <c r="Y1618" s="15">
        <f t="shared" si="320"/>
        <v>12.4</v>
      </c>
      <c r="Z1618" s="3" t="e">
        <f t="shared" si="321"/>
        <v>#DIV/0!</v>
      </c>
      <c r="AA1618" s="174" t="s">
        <v>1943</v>
      </c>
      <c r="AB1618" s="16" t="s">
        <v>6017</v>
      </c>
      <c r="AE1618" s="33">
        <f t="shared" si="322"/>
        <v>0</v>
      </c>
      <c r="AF1618" s="122" t="s">
        <v>2356</v>
      </c>
      <c r="AG1618" s="128"/>
      <c r="AI1618" s="64">
        <f t="shared" si="323"/>
        <v>5.9416445623342177E-5</v>
      </c>
      <c r="AJ1618" s="313">
        <f>RTD("money.excel",,$G1618,"PredictVolume")</f>
        <v>224</v>
      </c>
      <c r="AK1618" s="348"/>
    </row>
    <row r="1619" spans="1:37">
      <c r="A1619" s="132" t="s">
        <v>2782</v>
      </c>
      <c r="B1619" s="81">
        <v>151</v>
      </c>
      <c r="C1619" s="81">
        <v>151</v>
      </c>
      <c r="D1619" s="82">
        <v>-118</v>
      </c>
      <c r="E1619" s="82">
        <v>-637</v>
      </c>
      <c r="F1619" s="58">
        <v>63.04</v>
      </c>
      <c r="G1619" s="81">
        <v>5864</v>
      </c>
      <c r="H1619" s="17" t="s">
        <v>322</v>
      </c>
      <c r="I1619" s="16" t="s">
        <v>6018</v>
      </c>
      <c r="J1619" s="330">
        <v>63.52</v>
      </c>
      <c r="K1619" s="75">
        <v>1.01</v>
      </c>
      <c r="L1619" s="330">
        <v>9.6199999999999992</v>
      </c>
      <c r="N1619" s="325">
        <f t="shared" si="325"/>
        <v>74.150000000000006</v>
      </c>
      <c r="O1619" s="27"/>
      <c r="P1619" s="56"/>
      <c r="Q1619" s="26"/>
      <c r="S1619" s="330">
        <v>0.57999999999999996</v>
      </c>
      <c r="T1619" s="34">
        <v>1.2</v>
      </c>
      <c r="U1619" s="366">
        <f t="shared" si="319"/>
        <v>7.3846153846153839E-2</v>
      </c>
      <c r="V1619" s="58">
        <v>3.59</v>
      </c>
      <c r="W1619" s="36">
        <f>RTD("money.excel",,"5864","Price")</f>
        <v>16.25</v>
      </c>
      <c r="X1619" s="67"/>
      <c r="Y1619" s="15">
        <f t="shared" si="320"/>
        <v>16.25</v>
      </c>
      <c r="Z1619" s="3" t="e">
        <f t="shared" si="321"/>
        <v>#DIV/0!</v>
      </c>
      <c r="AB1619" s="16" t="s">
        <v>6018</v>
      </c>
      <c r="AE1619" s="33">
        <f t="shared" si="322"/>
        <v>0</v>
      </c>
      <c r="AF1619" s="43" t="s">
        <v>2681</v>
      </c>
      <c r="AG1619" s="128"/>
      <c r="AI1619" s="64">
        <f t="shared" si="323"/>
        <v>3.306772908366534E-4</v>
      </c>
      <c r="AJ1619" s="313">
        <f>RTD("money.excel",,$G1619,"PredictVolume")</f>
        <v>83</v>
      </c>
      <c r="AK1619" s="348"/>
    </row>
    <row r="1620" spans="1:37">
      <c r="A1620" s="148" t="s">
        <v>1821</v>
      </c>
      <c r="B1620" s="82">
        <v>-10</v>
      </c>
      <c r="C1620" s="81"/>
      <c r="D1620" s="81">
        <v>2</v>
      </c>
      <c r="E1620" s="82">
        <v>-1</v>
      </c>
      <c r="F1620" s="6"/>
      <c r="G1620" s="81">
        <v>5876</v>
      </c>
      <c r="H1620" s="17" t="s">
        <v>322</v>
      </c>
      <c r="I1620" s="22" t="s">
        <v>1191</v>
      </c>
      <c r="J1620" s="330">
        <v>77.72</v>
      </c>
      <c r="K1620" s="330">
        <v>57.21</v>
      </c>
      <c r="L1620" s="75">
        <v>0.17</v>
      </c>
      <c r="N1620" s="325">
        <f t="shared" si="325"/>
        <v>135.1</v>
      </c>
      <c r="O1620" s="27"/>
      <c r="P1620" s="56"/>
      <c r="Q1620" s="26"/>
      <c r="S1620" s="330">
        <v>0.01</v>
      </c>
      <c r="T1620" s="34">
        <v>1.7</v>
      </c>
      <c r="U1620" s="366">
        <f t="shared" si="319"/>
        <v>3.7199124726477018E-2</v>
      </c>
      <c r="V1620" s="58">
        <v>3.01</v>
      </c>
      <c r="W1620" s="13">
        <f>RTD("money.excel",,"5876","Price")</f>
        <v>45.7</v>
      </c>
      <c r="X1620" s="67"/>
      <c r="Y1620" s="15">
        <f t="shared" si="320"/>
        <v>45.7</v>
      </c>
      <c r="Z1620" s="3" t="e">
        <f t="shared" si="321"/>
        <v>#DIV/0!</v>
      </c>
      <c r="AA1620" s="174" t="s">
        <v>1943</v>
      </c>
      <c r="AB1620" s="22" t="s">
        <v>1191</v>
      </c>
      <c r="AE1620" s="33">
        <f t="shared" si="322"/>
        <v>0</v>
      </c>
      <c r="AF1620" s="43" t="s">
        <v>1192</v>
      </c>
      <c r="AG1620" s="128"/>
      <c r="AI1620" s="64">
        <f t="shared" si="323"/>
        <v>4.3214285714285712E-4</v>
      </c>
      <c r="AJ1620" s="313">
        <f>RTD("money.excel",,$G1620,"PredictVolume")</f>
        <v>1936</v>
      </c>
      <c r="AK1620" s="348"/>
    </row>
    <row r="1621" spans="1:37">
      <c r="A1621" s="148" t="s">
        <v>2669</v>
      </c>
      <c r="B1621" s="81">
        <v>4</v>
      </c>
      <c r="C1621" s="81">
        <v>12</v>
      </c>
      <c r="D1621" s="82">
        <v>-2</v>
      </c>
      <c r="E1621" s="81">
        <v>38</v>
      </c>
      <c r="F1621" s="6">
        <v>9.9</v>
      </c>
      <c r="G1621" s="81">
        <v>5878</v>
      </c>
      <c r="H1621" s="17" t="s">
        <v>322</v>
      </c>
      <c r="I1621" s="16" t="s">
        <v>365</v>
      </c>
      <c r="J1621" s="75">
        <v>76.19</v>
      </c>
      <c r="K1621" s="330">
        <v>0.01</v>
      </c>
      <c r="L1621" s="330"/>
      <c r="N1621" s="325">
        <f t="shared" si="325"/>
        <v>76.2</v>
      </c>
      <c r="O1621" s="27"/>
      <c r="P1621" s="56"/>
      <c r="Q1621" s="26"/>
      <c r="S1621" s="330">
        <v>40.29</v>
      </c>
      <c r="T1621" s="67">
        <v>3.2</v>
      </c>
      <c r="U1621" s="366" t="e">
        <f t="shared" si="319"/>
        <v>#VALUE!</v>
      </c>
      <c r="V1621" s="58">
        <v>3.47</v>
      </c>
      <c r="W1621" s="36" t="str">
        <f>RTD("money.excel",,"5878","Price")</f>
        <v>無資料</v>
      </c>
      <c r="X1621" s="67"/>
      <c r="Y1621" s="15" t="e">
        <f t="shared" si="320"/>
        <v>#VALUE!</v>
      </c>
      <c r="Z1621" s="3" t="e">
        <f t="shared" si="321"/>
        <v>#VALUE!</v>
      </c>
      <c r="AA1621" s="174" t="s">
        <v>1986</v>
      </c>
      <c r="AB1621" s="16" t="s">
        <v>365</v>
      </c>
      <c r="AE1621" s="33">
        <f t="shared" si="322"/>
        <v>0</v>
      </c>
      <c r="AF1621" s="43" t="s">
        <v>3229</v>
      </c>
      <c r="AG1621" s="128"/>
      <c r="AI1621" s="64">
        <f t="shared" si="323"/>
        <v>0</v>
      </c>
      <c r="AJ1621" s="313">
        <f>RTD("money.excel",,$G1621,"PredictVolume")</f>
        <v>0</v>
      </c>
      <c r="AK1621" s="348"/>
    </row>
    <row r="1622" spans="1:37">
      <c r="A1622" s="148" t="s">
        <v>2418</v>
      </c>
      <c r="B1622" s="82">
        <v>-6</v>
      </c>
      <c r="C1622" s="82"/>
      <c r="D1622" s="81">
        <v>4</v>
      </c>
      <c r="E1622" s="81">
        <v>11</v>
      </c>
      <c r="F1622" s="6"/>
      <c r="G1622" s="81">
        <v>5880</v>
      </c>
      <c r="H1622" s="17" t="s">
        <v>322</v>
      </c>
      <c r="I1622" s="22" t="s">
        <v>6019</v>
      </c>
      <c r="J1622" s="330">
        <v>70.27</v>
      </c>
      <c r="K1622" s="330">
        <v>18.850000000000001</v>
      </c>
      <c r="L1622" s="75">
        <v>0.08</v>
      </c>
      <c r="N1622" s="325">
        <f t="shared" si="325"/>
        <v>89.2</v>
      </c>
      <c r="O1622" s="27"/>
      <c r="P1622" s="56"/>
      <c r="Q1622" s="26"/>
      <c r="S1622" s="330">
        <v>0.01</v>
      </c>
      <c r="T1622" s="34">
        <v>1.05</v>
      </c>
      <c r="U1622" s="366">
        <f t="shared" si="319"/>
        <v>3.9399624765478425E-2</v>
      </c>
      <c r="V1622" s="58">
        <v>1.25</v>
      </c>
      <c r="W1622" s="36">
        <f>RTD("money.excel",,"5880","Price")</f>
        <v>26.65</v>
      </c>
      <c r="X1622" s="67"/>
      <c r="Y1622" s="15">
        <f t="shared" si="320"/>
        <v>26.65</v>
      </c>
      <c r="Z1622" s="3" t="e">
        <f t="shared" si="321"/>
        <v>#DIV/0!</v>
      </c>
      <c r="AA1622" s="174" t="s">
        <v>1943</v>
      </c>
      <c r="AB1622" s="22" t="s">
        <v>6019</v>
      </c>
      <c r="AE1622" s="33">
        <f t="shared" si="322"/>
        <v>0</v>
      </c>
      <c r="AF1622" s="122" t="s">
        <v>3127</v>
      </c>
      <c r="AG1622" s="128"/>
      <c r="AI1622" s="64">
        <f t="shared" si="323"/>
        <v>4.8552138034508625E-4</v>
      </c>
      <c r="AJ1622" s="313">
        <f>RTD("money.excel",,$G1622,"PredictVolume")</f>
        <v>6472</v>
      </c>
      <c r="AK1622" s="348"/>
    </row>
    <row r="1623" spans="1:37">
      <c r="A1623" s="132" t="s">
        <v>2196</v>
      </c>
      <c r="B1623" s="82">
        <v>-27</v>
      </c>
      <c r="C1623" s="82">
        <v>-36</v>
      </c>
      <c r="D1623" s="82">
        <v>-17</v>
      </c>
      <c r="E1623" s="82">
        <v>42</v>
      </c>
      <c r="F1623" s="58">
        <v>11.92</v>
      </c>
      <c r="G1623" s="81">
        <v>6005</v>
      </c>
      <c r="H1623" s="17" t="s">
        <v>322</v>
      </c>
      <c r="I1623" s="22" t="s">
        <v>6020</v>
      </c>
      <c r="J1623" s="75">
        <v>77.040000000000006</v>
      </c>
      <c r="K1623" s="330">
        <v>18.440000000000001</v>
      </c>
      <c r="L1623" s="330">
        <v>1.25</v>
      </c>
      <c r="N1623" s="325">
        <f t="shared" si="325"/>
        <v>96.73</v>
      </c>
      <c r="O1623" s="27"/>
      <c r="P1623" s="56"/>
      <c r="Q1623" s="26"/>
      <c r="S1623" s="330">
        <v>0</v>
      </c>
      <c r="T1623" s="34">
        <v>1.1000000000000001</v>
      </c>
      <c r="U1623" s="366">
        <f t="shared" si="319"/>
        <v>7.0287539936102247E-2</v>
      </c>
      <c r="V1623" s="97">
        <v>1.64</v>
      </c>
      <c r="W1623" s="36">
        <f>RTD("money.excel",,"6005","Price")</f>
        <v>15.65</v>
      </c>
      <c r="X1623" s="67"/>
      <c r="Y1623" s="15">
        <f t="shared" si="320"/>
        <v>15.65</v>
      </c>
      <c r="Z1623" s="3" t="e">
        <f t="shared" si="321"/>
        <v>#DIV/0!</v>
      </c>
      <c r="AA1623" s="174" t="s">
        <v>1943</v>
      </c>
      <c r="AB1623" s="22" t="s">
        <v>6020</v>
      </c>
      <c r="AE1623" s="33">
        <f t="shared" si="322"/>
        <v>0</v>
      </c>
      <c r="AF1623" s="122" t="s">
        <v>2681</v>
      </c>
      <c r="AG1623" s="128"/>
      <c r="AI1623" s="64">
        <f t="shared" si="323"/>
        <v>6.6129032258064517E-4</v>
      </c>
      <c r="AJ1623" s="313">
        <f>RTD("money.excel",,$G1623,"PredictVolume")</f>
        <v>1435</v>
      </c>
      <c r="AK1623" s="348"/>
    </row>
    <row r="1624" spans="1:37">
      <c r="A1624" s="132" t="s">
        <v>4262</v>
      </c>
      <c r="B1624" s="81">
        <v>926</v>
      </c>
      <c r="C1624" s="95">
        <v>2354</v>
      </c>
      <c r="D1624" s="95">
        <v>2838</v>
      </c>
      <c r="E1624" s="82">
        <v>-7</v>
      </c>
      <c r="F1624" s="58">
        <v>48.48</v>
      </c>
      <c r="G1624" s="81">
        <v>6015</v>
      </c>
      <c r="H1624" s="17" t="s">
        <v>322</v>
      </c>
      <c r="I1624" s="16" t="s">
        <v>366</v>
      </c>
      <c r="J1624" s="330">
        <v>35.22</v>
      </c>
      <c r="K1624" s="330">
        <v>2.89</v>
      </c>
      <c r="L1624" s="75">
        <v>16.28</v>
      </c>
      <c r="M1624" s="330">
        <v>11.29</v>
      </c>
      <c r="N1624" s="325">
        <f t="shared" si="325"/>
        <v>65.680000000000007</v>
      </c>
      <c r="O1624" s="27"/>
      <c r="P1624" s="56"/>
      <c r="Q1624" s="26"/>
      <c r="R1624" s="308" t="s">
        <v>6064</v>
      </c>
      <c r="S1624" s="330">
        <v>1.43</v>
      </c>
      <c r="T1624" s="34">
        <v>0.5</v>
      </c>
      <c r="U1624" s="366">
        <f t="shared" si="319"/>
        <v>3.215434083601286E-2</v>
      </c>
      <c r="V1624" s="97">
        <v>4.08</v>
      </c>
      <c r="W1624" s="36">
        <f>RTD("money.excel",,"6015","Price")</f>
        <v>15.55</v>
      </c>
      <c r="X1624" s="67"/>
      <c r="Y1624" s="15">
        <f t="shared" si="320"/>
        <v>15.55</v>
      </c>
      <c r="Z1624" s="3" t="e">
        <f t="shared" si="321"/>
        <v>#DIV/0!</v>
      </c>
      <c r="AB1624" s="16" t="s">
        <v>366</v>
      </c>
      <c r="AE1624" s="33">
        <f t="shared" si="322"/>
        <v>0</v>
      </c>
      <c r="AF1624" s="43" t="s">
        <v>2680</v>
      </c>
      <c r="AG1624" s="128"/>
      <c r="AI1624" s="64">
        <f t="shared" si="323"/>
        <v>1.4048338368580061E-3</v>
      </c>
      <c r="AJ1624" s="313">
        <f>RTD("money.excel",,$G1624,"PredictVolume")</f>
        <v>465</v>
      </c>
      <c r="AK1624" s="348"/>
    </row>
    <row r="1625" spans="1:37">
      <c r="A1625" s="132" t="s">
        <v>2728</v>
      </c>
      <c r="B1625" s="81">
        <v>18</v>
      </c>
      <c r="C1625" s="81">
        <v>45</v>
      </c>
      <c r="D1625" s="82">
        <v>-2</v>
      </c>
      <c r="E1625" s="81">
        <v>18</v>
      </c>
      <c r="F1625" s="58">
        <v>29.75</v>
      </c>
      <c r="G1625" s="81">
        <v>6016</v>
      </c>
      <c r="H1625" s="17" t="s">
        <v>322</v>
      </c>
      <c r="I1625" s="16" t="s">
        <v>367</v>
      </c>
      <c r="J1625" s="75">
        <v>41.55</v>
      </c>
      <c r="K1625" s="75">
        <v>2.9</v>
      </c>
      <c r="L1625" s="330">
        <v>7.49</v>
      </c>
      <c r="N1625" s="325">
        <f t="shared" si="325"/>
        <v>51.94</v>
      </c>
      <c r="O1625" s="27"/>
      <c r="P1625" s="56"/>
      <c r="Q1625" s="26"/>
      <c r="R1625" s="308" t="s">
        <v>4372</v>
      </c>
      <c r="S1625" s="330">
        <v>0.49</v>
      </c>
      <c r="T1625" s="34">
        <v>1.22</v>
      </c>
      <c r="U1625" s="366">
        <f t="shared" si="319"/>
        <v>8.9377289377289379E-2</v>
      </c>
      <c r="V1625" s="97">
        <v>2.02</v>
      </c>
      <c r="W1625" s="36">
        <f>RTD("money.excel",,"6016","Price")</f>
        <v>13.65</v>
      </c>
      <c r="X1625" s="67"/>
      <c r="Y1625" s="15">
        <f t="shared" si="320"/>
        <v>13.65</v>
      </c>
      <c r="Z1625" s="3" t="e">
        <f t="shared" si="321"/>
        <v>#DIV/0!</v>
      </c>
      <c r="AB1625" s="16" t="s">
        <v>367</v>
      </c>
      <c r="AE1625" s="33">
        <f t="shared" si="322"/>
        <v>0</v>
      </c>
      <c r="AF1625" s="43" t="s">
        <v>2356</v>
      </c>
      <c r="AG1625" s="128"/>
      <c r="AI1625" s="64">
        <f t="shared" si="323"/>
        <v>1.3367003367003368E-3</v>
      </c>
      <c r="AJ1625" s="313">
        <f>RTD("money.excel",,$G1625,"PredictVolume")</f>
        <v>794</v>
      </c>
      <c r="AK1625" s="348"/>
    </row>
    <row r="1626" spans="1:37">
      <c r="A1626" s="132" t="s">
        <v>1808</v>
      </c>
      <c r="B1626" s="95">
        <v>5595</v>
      </c>
      <c r="C1626" s="81">
        <v>375</v>
      </c>
      <c r="D1626" s="82">
        <v>-126</v>
      </c>
      <c r="E1626" s="82">
        <v>-373</v>
      </c>
      <c r="F1626" s="58">
        <v>32.07</v>
      </c>
      <c r="G1626" s="81">
        <v>6020</v>
      </c>
      <c r="H1626" s="17" t="s">
        <v>322</v>
      </c>
      <c r="I1626" s="16" t="s">
        <v>6021</v>
      </c>
      <c r="J1626" s="75">
        <v>95.93</v>
      </c>
      <c r="K1626" s="330">
        <v>0</v>
      </c>
      <c r="L1626" s="330">
        <v>0.02</v>
      </c>
      <c r="N1626" s="325">
        <f t="shared" si="325"/>
        <v>95.95</v>
      </c>
      <c r="O1626" s="27"/>
      <c r="P1626" s="56"/>
      <c r="Q1626" s="26"/>
      <c r="S1626" s="330">
        <v>43.01</v>
      </c>
      <c r="T1626" s="34">
        <v>0.72</v>
      </c>
      <c r="U1626" s="366">
        <f t="shared" si="319"/>
        <v>3.3488372093023251E-2</v>
      </c>
      <c r="V1626" s="58">
        <v>1.03</v>
      </c>
      <c r="W1626" s="36">
        <f>RTD("money.excel",,"6020","Price")</f>
        <v>21.5</v>
      </c>
      <c r="X1626" s="67"/>
      <c r="Y1626" s="15">
        <f t="shared" si="320"/>
        <v>21.5</v>
      </c>
      <c r="Z1626" s="3" t="e">
        <f t="shared" si="321"/>
        <v>#DIV/0!</v>
      </c>
      <c r="AA1626" s="174" t="s">
        <v>1943</v>
      </c>
      <c r="AB1626" s="16" t="s">
        <v>6021</v>
      </c>
      <c r="AE1626" s="33">
        <f t="shared" si="322"/>
        <v>0</v>
      </c>
      <c r="AF1626" s="43" t="s">
        <v>2681</v>
      </c>
      <c r="AG1626" s="128"/>
      <c r="AI1626" s="64">
        <f t="shared" si="323"/>
        <v>3.9682539682539683E-5</v>
      </c>
      <c r="AJ1626" s="313">
        <f>RTD("money.excel",,$G1626,"PredictVolume")</f>
        <v>10</v>
      </c>
      <c r="AK1626" s="348"/>
    </row>
    <row r="1627" spans="1:37">
      <c r="A1627" s="148" t="s">
        <v>2201</v>
      </c>
      <c r="B1627" s="82">
        <v>-86</v>
      </c>
      <c r="C1627" s="82">
        <v>-105</v>
      </c>
      <c r="D1627" s="81">
        <v>48</v>
      </c>
      <c r="E1627" s="81">
        <v>56</v>
      </c>
      <c r="F1627" s="58">
        <v>-1.06</v>
      </c>
      <c r="G1627" s="81">
        <v>6021</v>
      </c>
      <c r="H1627" s="17" t="s">
        <v>322</v>
      </c>
      <c r="I1627" s="16" t="s">
        <v>368</v>
      </c>
      <c r="J1627" s="330">
        <v>88.9</v>
      </c>
      <c r="K1627" s="75">
        <v>8.02</v>
      </c>
      <c r="L1627" s="75">
        <v>0.44</v>
      </c>
      <c r="N1627" s="325">
        <f t="shared" si="325"/>
        <v>97.36</v>
      </c>
      <c r="O1627" s="27"/>
      <c r="P1627" s="56"/>
      <c r="Q1627" s="26"/>
      <c r="S1627" s="330">
        <v>45.51</v>
      </c>
      <c r="T1627" s="34">
        <v>0</v>
      </c>
      <c r="U1627" s="366">
        <f t="shared" si="319"/>
        <v>0</v>
      </c>
      <c r="V1627" s="58">
        <v>0.34</v>
      </c>
      <c r="W1627" s="36">
        <f>RTD("money.excel",,"6021","Price")</f>
        <v>20.8</v>
      </c>
      <c r="X1627" s="67"/>
      <c r="Y1627" s="15">
        <f t="shared" si="320"/>
        <v>20.8</v>
      </c>
      <c r="Z1627" s="3" t="e">
        <f t="shared" si="321"/>
        <v>#DIV/0!</v>
      </c>
      <c r="AB1627" s="16" t="s">
        <v>368</v>
      </c>
      <c r="AE1627" s="33">
        <f t="shared" si="322"/>
        <v>0</v>
      </c>
      <c r="AF1627" s="43" t="s">
        <v>3230</v>
      </c>
      <c r="AG1627" s="128"/>
      <c r="AI1627" s="64">
        <f t="shared" si="323"/>
        <v>5.8823529411764708E-5</v>
      </c>
      <c r="AJ1627" s="313">
        <f>RTD("money.excel",,$G1627,"PredictVolume")</f>
        <v>18</v>
      </c>
      <c r="AK1627" s="348"/>
    </row>
    <row r="1628" spans="1:37">
      <c r="A1628" s="132" t="s">
        <v>2402</v>
      </c>
      <c r="B1628" s="82">
        <v>-26</v>
      </c>
      <c r="C1628" s="82">
        <v>-10</v>
      </c>
      <c r="D1628" s="81">
        <v>51</v>
      </c>
      <c r="E1628" s="82">
        <v>-36</v>
      </c>
      <c r="F1628" s="58">
        <v>12.2</v>
      </c>
      <c r="G1628" s="81">
        <v>6023</v>
      </c>
      <c r="H1628" s="17" t="s">
        <v>322</v>
      </c>
      <c r="I1628" s="16" t="s">
        <v>161</v>
      </c>
      <c r="J1628" s="75">
        <v>82.28</v>
      </c>
      <c r="K1628" s="75">
        <v>0.36</v>
      </c>
      <c r="L1628" s="75">
        <v>0.34</v>
      </c>
      <c r="N1628" s="325">
        <f t="shared" si="325"/>
        <v>82.98</v>
      </c>
      <c r="O1628" s="27"/>
      <c r="P1628" s="56"/>
      <c r="Q1628" s="26"/>
      <c r="S1628" s="330">
        <v>0</v>
      </c>
      <c r="T1628" s="34">
        <v>2.8</v>
      </c>
      <c r="U1628" s="366">
        <f t="shared" si="319"/>
        <v>5.6508577194752774E-2</v>
      </c>
      <c r="V1628" s="58">
        <v>3.82</v>
      </c>
      <c r="W1628" s="36">
        <f>RTD("money.excel",,"6023","Price")</f>
        <v>49.55</v>
      </c>
      <c r="X1628" s="67"/>
      <c r="Y1628" s="15">
        <f t="shared" si="320"/>
        <v>49.55</v>
      </c>
      <c r="Z1628" s="3" t="e">
        <f t="shared" si="321"/>
        <v>#DIV/0!</v>
      </c>
      <c r="AA1628" s="174" t="s">
        <v>2185</v>
      </c>
      <c r="AB1628" s="16" t="s">
        <v>161</v>
      </c>
      <c r="AE1628" s="33">
        <f t="shared" si="322"/>
        <v>0</v>
      </c>
      <c r="AF1628" s="122" t="s">
        <v>3128</v>
      </c>
      <c r="AG1628" s="128"/>
      <c r="AI1628" s="64">
        <f t="shared" si="323"/>
        <v>3.3103448275862069E-4</v>
      </c>
      <c r="AJ1628" s="313">
        <f>RTD("money.excel",,$G1628,"PredictVolume")</f>
        <v>96</v>
      </c>
      <c r="AK1628" s="348"/>
    </row>
    <row r="1629" spans="1:37" ht="15.75" customHeight="1">
      <c r="A1629" s="148" t="s">
        <v>2439</v>
      </c>
      <c r="B1629" s="82">
        <v>-28</v>
      </c>
      <c r="C1629" s="82">
        <v>-66</v>
      </c>
      <c r="D1629" s="82">
        <v>49</v>
      </c>
      <c r="E1629" s="82">
        <v>75</v>
      </c>
      <c r="F1629" s="97">
        <v>9.26</v>
      </c>
      <c r="G1629" s="81">
        <v>6024</v>
      </c>
      <c r="H1629" s="17" t="s">
        <v>322</v>
      </c>
      <c r="I1629" s="22" t="s">
        <v>364</v>
      </c>
      <c r="J1629" s="330">
        <v>68.69</v>
      </c>
      <c r="K1629" s="330">
        <v>2.29</v>
      </c>
      <c r="L1629" s="75">
        <v>1.08</v>
      </c>
      <c r="N1629" s="325">
        <f t="shared" si="325"/>
        <v>72.06</v>
      </c>
      <c r="O1629" s="27"/>
      <c r="P1629" s="56"/>
      <c r="Q1629" s="26"/>
      <c r="S1629" s="330">
        <v>58</v>
      </c>
      <c r="T1629" s="34">
        <v>2.87</v>
      </c>
      <c r="U1629" s="366">
        <f t="shared" si="319"/>
        <v>7.4934725848563977E-2</v>
      </c>
      <c r="V1629" s="58">
        <v>3.1</v>
      </c>
      <c r="W1629" s="36">
        <f>RTD("money.excel",,"6024","Price")</f>
        <v>38.299999999999997</v>
      </c>
      <c r="X1629" s="67"/>
      <c r="Y1629" s="15">
        <f t="shared" si="320"/>
        <v>38.299999999999997</v>
      </c>
      <c r="Z1629" s="3" t="e">
        <f t="shared" si="321"/>
        <v>#DIV/0!</v>
      </c>
      <c r="AB1629" s="22" t="s">
        <v>364</v>
      </c>
      <c r="AE1629" s="33">
        <f t="shared" si="322"/>
        <v>0</v>
      </c>
      <c r="AF1629" s="43" t="s">
        <v>3128</v>
      </c>
      <c r="AG1629" s="128"/>
      <c r="AI1629" s="64">
        <f t="shared" si="323"/>
        <v>4.4761904761904761E-4</v>
      </c>
      <c r="AJ1629" s="313">
        <f>RTD("money.excel",,$G1629,"PredictVolume")</f>
        <v>94</v>
      </c>
      <c r="AK1629" s="348"/>
    </row>
    <row r="1630" spans="1:37">
      <c r="A1630" s="132" t="s">
        <v>2779</v>
      </c>
      <c r="B1630" s="81">
        <v>758</v>
      </c>
      <c r="C1630" s="81">
        <v>730</v>
      </c>
      <c r="D1630" s="81">
        <v>201</v>
      </c>
      <c r="E1630" s="81">
        <v>211</v>
      </c>
      <c r="F1630" s="58">
        <v>66.819999999999993</v>
      </c>
      <c r="G1630" s="81">
        <v>6026</v>
      </c>
      <c r="H1630" s="17" t="s">
        <v>322</v>
      </c>
      <c r="I1630" s="16" t="s">
        <v>369</v>
      </c>
      <c r="J1630" s="330">
        <v>45.04</v>
      </c>
      <c r="K1630" s="330">
        <v>6.01</v>
      </c>
      <c r="L1630" s="75">
        <v>19.32</v>
      </c>
      <c r="M1630" s="75">
        <v>10.36</v>
      </c>
      <c r="N1630" s="325">
        <f t="shared" si="325"/>
        <v>80.73</v>
      </c>
      <c r="O1630" s="27"/>
      <c r="P1630" s="56"/>
      <c r="Q1630" s="26"/>
      <c r="R1630" s="308" t="s">
        <v>6061</v>
      </c>
      <c r="S1630" s="330">
        <v>0.72</v>
      </c>
      <c r="T1630" s="34">
        <v>0.7</v>
      </c>
      <c r="U1630" s="366">
        <f t="shared" si="319"/>
        <v>3.4739454094292806E-2</v>
      </c>
      <c r="V1630" s="97">
        <v>4.21</v>
      </c>
      <c r="W1630" s="36">
        <f>RTD("money.excel",,"6026","Price")</f>
        <v>20.149999999999999</v>
      </c>
      <c r="X1630" s="67"/>
      <c r="Y1630" s="15">
        <f t="shared" si="320"/>
        <v>20.149999999999999</v>
      </c>
      <c r="Z1630" s="3" t="e">
        <f t="shared" si="321"/>
        <v>#DIV/0!</v>
      </c>
      <c r="AA1630" s="174" t="s">
        <v>1943</v>
      </c>
      <c r="AB1630" s="16" t="s">
        <v>369</v>
      </c>
      <c r="AE1630" s="33">
        <f t="shared" si="322"/>
        <v>0</v>
      </c>
      <c r="AF1630" s="43" t="s">
        <v>2681</v>
      </c>
      <c r="AG1630" s="128"/>
      <c r="AI1630" s="64">
        <f t="shared" si="323"/>
        <v>5.5799999999999999E-3</v>
      </c>
      <c r="AJ1630" s="313">
        <f>RTD("money.excel",,$G1630,"PredictVolume")</f>
        <v>1674</v>
      </c>
      <c r="AK1630" s="348"/>
    </row>
    <row r="1631" spans="1:37">
      <c r="B1631" s="81"/>
      <c r="C1631" s="81"/>
      <c r="D1631" s="237"/>
      <c r="E1631" s="81"/>
      <c r="F1631" s="58"/>
      <c r="G1631" s="81"/>
      <c r="H1631" s="17"/>
      <c r="I1631" s="16"/>
      <c r="J1631" s="75"/>
      <c r="K1631" s="75"/>
      <c r="L1631" s="330"/>
      <c r="N1631" s="325"/>
      <c r="O1631" s="27"/>
      <c r="P1631" s="56"/>
      <c r="Q1631" s="26"/>
      <c r="T1631" s="34"/>
      <c r="V1631" s="97"/>
      <c r="W1631" s="36"/>
      <c r="X1631" s="67"/>
      <c r="Y1631" s="15"/>
      <c r="Z1631" s="3"/>
      <c r="AB1631" s="16"/>
      <c r="AE1631" s="33"/>
      <c r="AF1631" s="43"/>
      <c r="AG1631" s="128"/>
      <c r="AI1631" s="8"/>
      <c r="AJ1631" s="50"/>
      <c r="AK1631" s="348"/>
    </row>
    <row r="1632" spans="1:37">
      <c r="A1632" s="132" t="s">
        <v>1854</v>
      </c>
      <c r="B1632" s="93" t="s">
        <v>1657</v>
      </c>
      <c r="C1632" s="93" t="s">
        <v>1658</v>
      </c>
      <c r="D1632" s="93" t="s">
        <v>1659</v>
      </c>
      <c r="E1632" s="93" t="s">
        <v>1660</v>
      </c>
      <c r="F1632" s="8" t="s">
        <v>1122</v>
      </c>
      <c r="G1632" s="27" t="s">
        <v>844</v>
      </c>
      <c r="H1632" s="55" t="s">
        <v>342</v>
      </c>
      <c r="I1632" s="8" t="s">
        <v>330</v>
      </c>
      <c r="J1632" s="324" t="s">
        <v>1529</v>
      </c>
      <c r="K1632" s="324" t="s">
        <v>265</v>
      </c>
      <c r="L1632" s="324" t="s">
        <v>298</v>
      </c>
      <c r="M1632" s="324" t="s">
        <v>1115</v>
      </c>
      <c r="N1632" s="324" t="s">
        <v>6091</v>
      </c>
      <c r="O1632" s="27" t="s">
        <v>6253</v>
      </c>
      <c r="P1632" s="56" t="s">
        <v>6219</v>
      </c>
      <c r="Q1632" s="26" t="s">
        <v>6313</v>
      </c>
      <c r="R1632" s="309" t="s">
        <v>4371</v>
      </c>
      <c r="S1632" s="335" t="s">
        <v>4398</v>
      </c>
      <c r="T1632" s="10" t="s">
        <v>75</v>
      </c>
      <c r="U1632" s="364" t="s">
        <v>6152</v>
      </c>
      <c r="V1632" s="69" t="s">
        <v>4022</v>
      </c>
      <c r="W1632" s="28" t="s">
        <v>2</v>
      </c>
      <c r="X1632" s="17" t="s">
        <v>1465</v>
      </c>
      <c r="Y1632" s="14" t="s">
        <v>5</v>
      </c>
      <c r="Z1632" s="21" t="s">
        <v>3</v>
      </c>
      <c r="AA1632" s="174" t="s">
        <v>117</v>
      </c>
      <c r="AB1632" s="8" t="s">
        <v>330</v>
      </c>
      <c r="AC1632" s="73" t="s">
        <v>1466</v>
      </c>
      <c r="AD1632" s="74" t="s">
        <v>1223</v>
      </c>
      <c r="AE1632" s="32" t="s">
        <v>1224</v>
      </c>
      <c r="AF1632" s="43"/>
      <c r="AG1632" s="269"/>
      <c r="AI1632" s="8" t="s">
        <v>4414</v>
      </c>
      <c r="AJ1632" s="50" t="s">
        <v>4121</v>
      </c>
      <c r="AK1632" s="348" t="s">
        <v>6074</v>
      </c>
    </row>
    <row r="1633" spans="1:37">
      <c r="A1633" s="148" t="s">
        <v>4390</v>
      </c>
      <c r="B1633" s="82">
        <v>-869</v>
      </c>
      <c r="C1633" s="82">
        <v>-383</v>
      </c>
      <c r="D1633" s="82">
        <v>-6</v>
      </c>
      <c r="E1633" s="81">
        <v>19</v>
      </c>
      <c r="F1633" s="6">
        <v>-26.34</v>
      </c>
      <c r="G1633" s="81">
        <v>1432</v>
      </c>
      <c r="H1633" s="8" t="s">
        <v>330</v>
      </c>
      <c r="I1633" s="22" t="s">
        <v>854</v>
      </c>
      <c r="J1633" s="75">
        <v>56.18</v>
      </c>
      <c r="K1633" s="330">
        <v>0.23</v>
      </c>
      <c r="L1633" s="330">
        <v>0</v>
      </c>
      <c r="M1633" s="330">
        <v>25.02</v>
      </c>
      <c r="N1633" s="325">
        <f t="shared" ref="N1633" si="326">J1633+K1633+L1633+M1633</f>
        <v>81.429999999999993</v>
      </c>
      <c r="O1633" s="27"/>
      <c r="P1633" s="56"/>
      <c r="Q1633" s="26"/>
      <c r="S1633" s="330">
        <v>0</v>
      </c>
      <c r="T1633" s="34">
        <v>0</v>
      </c>
      <c r="U1633" s="366">
        <f t="shared" ref="U1633:U1669" si="327">T1633/W1633</f>
        <v>0</v>
      </c>
      <c r="V1633" s="58">
        <v>-1.79</v>
      </c>
      <c r="W1633" s="36">
        <f>RTD("money.excel",,"1432","Price")</f>
        <v>11.35</v>
      </c>
      <c r="X1633" s="67"/>
      <c r="Y1633" s="15">
        <f t="shared" ref="Y1633:Y1669" si="328">W1633-X1633</f>
        <v>11.35</v>
      </c>
      <c r="Z1633" s="3" t="e">
        <f t="shared" ref="Z1633:Z1669" si="329">Y1633/X1633</f>
        <v>#DIV/0!</v>
      </c>
      <c r="AA1633" s="174" t="s">
        <v>1943</v>
      </c>
      <c r="AB1633" s="22" t="s">
        <v>854</v>
      </c>
      <c r="AE1633" s="33">
        <f t="shared" ref="AE1633:AE1669" si="330">AD1633-AC1633</f>
        <v>0</v>
      </c>
      <c r="AF1633" s="43" t="s">
        <v>2448</v>
      </c>
      <c r="AG1633" s="128"/>
      <c r="AI1633" s="64">
        <f t="shared" ref="AI1633:AI1669" si="331">AJ1633/(A1633*10000)</f>
        <v>5.3333333333333336E-4</v>
      </c>
      <c r="AJ1633" s="313">
        <f>RTD("money.excel",,$G1633,"PredictVolume")</f>
        <v>48</v>
      </c>
      <c r="AK1633" s="348"/>
    </row>
    <row r="1634" spans="1:37">
      <c r="A1634" s="148" t="s">
        <v>3705</v>
      </c>
      <c r="B1634" s="81">
        <v>-135</v>
      </c>
      <c r="C1634" s="81">
        <v>5</v>
      </c>
      <c r="D1634" s="82">
        <v>-21</v>
      </c>
      <c r="E1634" s="82">
        <v>-2</v>
      </c>
      <c r="F1634" s="6">
        <v>3.39</v>
      </c>
      <c r="G1634" s="81">
        <v>2601</v>
      </c>
      <c r="H1634" s="8" t="s">
        <v>330</v>
      </c>
      <c r="I1634" s="22" t="s">
        <v>6022</v>
      </c>
      <c r="J1634" s="330">
        <v>49.57</v>
      </c>
      <c r="K1634" s="330">
        <v>12.13</v>
      </c>
      <c r="L1634" s="330">
        <v>23.84</v>
      </c>
      <c r="N1634" s="325">
        <f t="shared" ref="N1634:N1669" si="332">J1634+K1634+L1634+M1634</f>
        <v>85.54</v>
      </c>
      <c r="O1634" s="27"/>
      <c r="P1634" s="56"/>
      <c r="Q1634" s="26"/>
      <c r="S1634" s="330">
        <v>16.18</v>
      </c>
      <c r="T1634" s="34">
        <v>0</v>
      </c>
      <c r="U1634" s="366">
        <f t="shared" si="327"/>
        <v>0</v>
      </c>
      <c r="V1634" s="97">
        <v>-0.44</v>
      </c>
      <c r="W1634" s="36">
        <f>RTD("money.excel",,"2601","Price")</f>
        <v>12.65</v>
      </c>
      <c r="X1634" s="67"/>
      <c r="Y1634" s="15">
        <f t="shared" si="328"/>
        <v>12.65</v>
      </c>
      <c r="Z1634" s="3" t="e">
        <f t="shared" si="329"/>
        <v>#DIV/0!</v>
      </c>
      <c r="AA1634" s="174" t="s">
        <v>1943</v>
      </c>
      <c r="AB1634" s="22" t="s">
        <v>6022</v>
      </c>
      <c r="AE1634" s="33">
        <f t="shared" si="330"/>
        <v>0</v>
      </c>
      <c r="AF1634" s="43" t="s">
        <v>2562</v>
      </c>
      <c r="AG1634" s="128"/>
      <c r="AI1634" s="64">
        <f t="shared" si="331"/>
        <v>6.6807580174927115E-3</v>
      </c>
      <c r="AJ1634" s="313">
        <f>RTD("money.excel",,$G1634,"PredictVolume")</f>
        <v>4583</v>
      </c>
      <c r="AK1634" s="348"/>
    </row>
    <row r="1635" spans="1:37">
      <c r="A1635" s="148" t="s">
        <v>4229</v>
      </c>
      <c r="B1635" s="81">
        <v>89</v>
      </c>
      <c r="C1635" s="81">
        <v>125</v>
      </c>
      <c r="D1635" s="82">
        <v>-1</v>
      </c>
      <c r="E1635" s="81">
        <v>10</v>
      </c>
      <c r="F1635" s="6">
        <v>2.74</v>
      </c>
      <c r="G1635" s="81">
        <v>2614</v>
      </c>
      <c r="H1635" s="8" t="s">
        <v>330</v>
      </c>
      <c r="I1635" s="22" t="s">
        <v>855</v>
      </c>
      <c r="J1635" s="330">
        <v>35.1</v>
      </c>
      <c r="K1635" s="75">
        <v>3.56</v>
      </c>
      <c r="L1635" s="75">
        <v>27.54</v>
      </c>
      <c r="M1635" s="75">
        <v>5.58</v>
      </c>
      <c r="N1635" s="325">
        <f t="shared" si="332"/>
        <v>71.78</v>
      </c>
      <c r="O1635" s="27" t="s">
        <v>6125</v>
      </c>
      <c r="P1635" s="56"/>
      <c r="Q1635" s="26"/>
      <c r="R1635" s="308" t="s">
        <v>4374</v>
      </c>
      <c r="S1635" s="330">
        <v>4.63</v>
      </c>
      <c r="T1635" s="34">
        <v>0.8</v>
      </c>
      <c r="U1635" s="366">
        <f t="shared" si="327"/>
        <v>2.5316455696202531E-2</v>
      </c>
      <c r="V1635" s="97">
        <v>1.46</v>
      </c>
      <c r="W1635" s="36">
        <f>RTD("money.excel",,"2614","Price")</f>
        <v>31.6</v>
      </c>
      <c r="X1635" s="67"/>
      <c r="Y1635" s="15">
        <f t="shared" si="328"/>
        <v>31.6</v>
      </c>
      <c r="Z1635" s="3" t="e">
        <f t="shared" si="329"/>
        <v>#DIV/0!</v>
      </c>
      <c r="AA1635" s="174" t="s">
        <v>1943</v>
      </c>
      <c r="AB1635" s="22" t="s">
        <v>855</v>
      </c>
      <c r="AE1635" s="33">
        <f t="shared" si="330"/>
        <v>0</v>
      </c>
      <c r="AF1635" s="43" t="s">
        <v>3382</v>
      </c>
      <c r="AG1635" s="128"/>
      <c r="AI1635" s="64">
        <f t="shared" si="331"/>
        <v>6.9508506616257088E-3</v>
      </c>
      <c r="AJ1635" s="313">
        <f>RTD("money.excel",,$G1635,"PredictVolume")</f>
        <v>3677</v>
      </c>
      <c r="AK1635" s="348">
        <v>42.69</v>
      </c>
    </row>
    <row r="1636" spans="1:37">
      <c r="A1636" s="148" t="s">
        <v>2591</v>
      </c>
      <c r="B1636" s="93">
        <v>-48</v>
      </c>
      <c r="C1636" s="93">
        <v>-69</v>
      </c>
      <c r="D1636" s="93">
        <v>-9</v>
      </c>
      <c r="E1636" s="93">
        <v>-19</v>
      </c>
      <c r="F1636" s="6">
        <v>7.42</v>
      </c>
      <c r="G1636" s="81">
        <v>2901</v>
      </c>
      <c r="H1636" s="8" t="s">
        <v>330</v>
      </c>
      <c r="I1636" s="22" t="s">
        <v>856</v>
      </c>
      <c r="J1636" s="330">
        <v>83.87</v>
      </c>
      <c r="K1636" s="330">
        <v>0.06</v>
      </c>
      <c r="L1636" s="330">
        <v>14.05</v>
      </c>
      <c r="N1636" s="325">
        <f t="shared" si="332"/>
        <v>97.98</v>
      </c>
      <c r="O1636" s="27"/>
      <c r="P1636" s="56"/>
      <c r="Q1636" s="26"/>
      <c r="S1636" s="330">
        <v>49.4</v>
      </c>
      <c r="T1636" s="34">
        <v>0.18</v>
      </c>
      <c r="U1636" s="366">
        <f t="shared" si="327"/>
        <v>7.1713147410358558E-3</v>
      </c>
      <c r="V1636" s="97">
        <v>0.19</v>
      </c>
      <c r="W1636" s="13">
        <f>RTD("money.excel",,"2901","Price")</f>
        <v>25.1</v>
      </c>
      <c r="X1636" s="67"/>
      <c r="Y1636" s="15">
        <f t="shared" si="328"/>
        <v>25.1</v>
      </c>
      <c r="Z1636" s="3" t="e">
        <f t="shared" si="329"/>
        <v>#DIV/0!</v>
      </c>
      <c r="AB1636" s="22" t="s">
        <v>856</v>
      </c>
      <c r="AE1636" s="33">
        <f t="shared" si="330"/>
        <v>0</v>
      </c>
      <c r="AF1636" s="43" t="s">
        <v>3383</v>
      </c>
      <c r="AG1636" s="128"/>
      <c r="AI1636" s="64">
        <f t="shared" si="331"/>
        <v>2.4657534246575342E-4</v>
      </c>
      <c r="AJ1636" s="313">
        <f>RTD("money.excel",,$G1636,"PredictVolume")</f>
        <v>18</v>
      </c>
      <c r="AK1636" s="348"/>
    </row>
    <row r="1637" spans="1:37">
      <c r="A1637" s="148" t="s">
        <v>1736</v>
      </c>
      <c r="B1637" s="93">
        <v>16</v>
      </c>
      <c r="C1637" s="93">
        <v>-15</v>
      </c>
      <c r="D1637" s="93">
        <v>-42</v>
      </c>
      <c r="E1637" s="93">
        <v>-3</v>
      </c>
      <c r="F1637" s="6">
        <v>9.42</v>
      </c>
      <c r="G1637" s="81">
        <v>2903</v>
      </c>
      <c r="H1637" s="8" t="s">
        <v>330</v>
      </c>
      <c r="I1637" s="22" t="s">
        <v>857</v>
      </c>
      <c r="J1637" s="330">
        <v>72.48</v>
      </c>
      <c r="K1637" s="330">
        <v>17.53</v>
      </c>
      <c r="L1637" s="75">
        <v>1.1399999999999999</v>
      </c>
      <c r="N1637" s="325">
        <f t="shared" si="332"/>
        <v>91.15</v>
      </c>
      <c r="O1637" s="27"/>
      <c r="P1637" s="56"/>
      <c r="Q1637" s="26"/>
      <c r="S1637" s="330">
        <v>23.07</v>
      </c>
      <c r="T1637" s="34">
        <v>1.1000000000000001</v>
      </c>
      <c r="U1637" s="366">
        <f t="shared" si="327"/>
        <v>5.2132701421800952E-2</v>
      </c>
      <c r="V1637" s="97">
        <v>1.38</v>
      </c>
      <c r="W1637" s="13">
        <f>RTD("money.excel",,"2903","Price")</f>
        <v>21.1</v>
      </c>
      <c r="X1637" s="67"/>
      <c r="Y1637" s="15">
        <f t="shared" si="328"/>
        <v>21.1</v>
      </c>
      <c r="Z1637" s="3" t="e">
        <f t="shared" si="329"/>
        <v>#DIV/0!</v>
      </c>
      <c r="AB1637" s="22" t="s">
        <v>857</v>
      </c>
      <c r="AE1637" s="33">
        <f t="shared" si="330"/>
        <v>0</v>
      </c>
      <c r="AF1637" s="43" t="s">
        <v>3384</v>
      </c>
      <c r="AG1637" s="128"/>
      <c r="AI1637" s="64">
        <f t="shared" si="331"/>
        <v>2.4539007092198579E-4</v>
      </c>
      <c r="AJ1637" s="313">
        <f>RTD("money.excel",,$G1637,"PredictVolume")</f>
        <v>346</v>
      </c>
      <c r="AK1637" s="348"/>
    </row>
    <row r="1638" spans="1:37">
      <c r="A1638" s="148" t="s">
        <v>2408</v>
      </c>
      <c r="B1638" s="92">
        <v>-70</v>
      </c>
      <c r="C1638" s="81">
        <v>14</v>
      </c>
      <c r="D1638" s="81">
        <v>3</v>
      </c>
      <c r="E1638" s="82">
        <v>-24</v>
      </c>
      <c r="F1638" s="6">
        <v>7.53</v>
      </c>
      <c r="G1638" s="81">
        <v>2905</v>
      </c>
      <c r="H1638" s="8" t="s">
        <v>330</v>
      </c>
      <c r="I1638" s="22" t="s">
        <v>102</v>
      </c>
      <c r="J1638" s="75">
        <v>81.08</v>
      </c>
      <c r="K1638" s="330">
        <v>6.75</v>
      </c>
      <c r="L1638" s="330">
        <v>1.42</v>
      </c>
      <c r="N1638" s="325">
        <f t="shared" si="332"/>
        <v>89.25</v>
      </c>
      <c r="O1638" s="27"/>
      <c r="P1638" s="56"/>
      <c r="Q1638" s="26"/>
      <c r="S1638" s="330">
        <v>0</v>
      </c>
      <c r="T1638" s="34">
        <v>1</v>
      </c>
      <c r="U1638" s="366">
        <f t="shared" si="327"/>
        <v>4.784688995215311E-2</v>
      </c>
      <c r="V1638" s="97">
        <v>1.71</v>
      </c>
      <c r="W1638" s="36">
        <f>RTD("money.excel",,"2905","Price")</f>
        <v>20.9</v>
      </c>
      <c r="X1638" s="67"/>
      <c r="Y1638" s="15">
        <f t="shared" si="328"/>
        <v>20.9</v>
      </c>
      <c r="Z1638" s="3" t="e">
        <f t="shared" si="329"/>
        <v>#DIV/0!</v>
      </c>
      <c r="AA1638" s="174" t="s">
        <v>1943</v>
      </c>
      <c r="AB1638" s="22" t="s">
        <v>102</v>
      </c>
      <c r="AE1638" s="33">
        <f t="shared" si="330"/>
        <v>0</v>
      </c>
      <c r="AF1638" s="122" t="s">
        <v>3385</v>
      </c>
      <c r="AG1638" s="128"/>
      <c r="AI1638" s="64">
        <f t="shared" si="331"/>
        <v>1.7601760176017602E-4</v>
      </c>
      <c r="AJ1638" s="313">
        <f>RTD("money.excel",,$G1638,"PredictVolume")</f>
        <v>160</v>
      </c>
      <c r="AK1638" s="348"/>
    </row>
    <row r="1639" spans="1:37">
      <c r="A1639" s="148" t="s">
        <v>1953</v>
      </c>
      <c r="B1639" s="82">
        <v>-33</v>
      </c>
      <c r="C1639" s="82">
        <v>-35</v>
      </c>
      <c r="D1639" s="82">
        <v>-4</v>
      </c>
      <c r="E1639" s="82">
        <v>-5</v>
      </c>
      <c r="F1639" s="6">
        <v>2.4500000000000002</v>
      </c>
      <c r="G1639" s="81">
        <v>2906</v>
      </c>
      <c r="H1639" s="8" t="s">
        <v>330</v>
      </c>
      <c r="I1639" s="22" t="s">
        <v>858</v>
      </c>
      <c r="J1639" s="330">
        <v>66.36</v>
      </c>
      <c r="K1639" s="330">
        <v>5.19</v>
      </c>
      <c r="L1639" s="330">
        <v>3.28</v>
      </c>
      <c r="N1639" s="325">
        <f t="shared" si="332"/>
        <v>74.83</v>
      </c>
      <c r="O1639" s="27"/>
      <c r="P1639" s="56"/>
      <c r="Q1639" s="26"/>
      <c r="S1639" s="330">
        <v>0</v>
      </c>
      <c r="T1639" s="34">
        <v>0.3</v>
      </c>
      <c r="U1639" s="366">
        <f t="shared" si="327"/>
        <v>1.2E-2</v>
      </c>
      <c r="V1639" s="97">
        <v>0.15</v>
      </c>
      <c r="W1639" s="36">
        <f>RTD("money.excel",,"2906","Price")</f>
        <v>25</v>
      </c>
      <c r="X1639" s="67"/>
      <c r="Y1639" s="15">
        <f t="shared" si="328"/>
        <v>25</v>
      </c>
      <c r="Z1639" s="3" t="e">
        <f t="shared" si="329"/>
        <v>#DIV/0!</v>
      </c>
      <c r="AB1639" s="22" t="s">
        <v>858</v>
      </c>
      <c r="AE1639" s="33">
        <f t="shared" si="330"/>
        <v>0</v>
      </c>
      <c r="AF1639" s="43" t="s">
        <v>2491</v>
      </c>
      <c r="AG1639" s="128"/>
      <c r="AI1639" s="64">
        <f t="shared" si="331"/>
        <v>0.22419138755980861</v>
      </c>
      <c r="AJ1639" s="313">
        <f>RTD("money.excel",,$G1639,"PredictVolume")</f>
        <v>46856</v>
      </c>
      <c r="AK1639" s="348"/>
    </row>
    <row r="1640" spans="1:37">
      <c r="A1640" s="148" t="s">
        <v>2046</v>
      </c>
      <c r="B1640" s="82">
        <v>-29</v>
      </c>
      <c r="C1640" s="82">
        <v>-32</v>
      </c>
      <c r="D1640" s="82">
        <v>-3</v>
      </c>
      <c r="E1640" s="82">
        <v>11</v>
      </c>
      <c r="F1640" s="6">
        <v>2.29</v>
      </c>
      <c r="G1640" s="81">
        <v>2908</v>
      </c>
      <c r="H1640" s="8" t="s">
        <v>330</v>
      </c>
      <c r="I1640" s="22" t="s">
        <v>859</v>
      </c>
      <c r="J1640" s="330">
        <v>87.93</v>
      </c>
      <c r="K1640" s="330">
        <v>7.77</v>
      </c>
      <c r="L1640" s="75">
        <v>7.46</v>
      </c>
      <c r="N1640" s="325">
        <f t="shared" si="332"/>
        <v>103.16</v>
      </c>
      <c r="O1640" s="27"/>
      <c r="P1640" s="56"/>
      <c r="Q1640" s="26"/>
      <c r="S1640" s="330">
        <v>13.64</v>
      </c>
      <c r="T1640" s="34">
        <v>1.07</v>
      </c>
      <c r="U1640" s="366">
        <f t="shared" si="327"/>
        <v>5.0831353919239909E-2</v>
      </c>
      <c r="V1640" s="97">
        <v>1.6</v>
      </c>
      <c r="W1640" s="36">
        <f>RTD("money.excel",,"2908","Price")</f>
        <v>21.05</v>
      </c>
      <c r="X1640" s="67"/>
      <c r="Y1640" s="15">
        <f t="shared" si="328"/>
        <v>21.05</v>
      </c>
      <c r="Z1640" s="3" t="e">
        <f t="shared" si="329"/>
        <v>#DIV/0!</v>
      </c>
      <c r="AA1640" s="174" t="s">
        <v>1943</v>
      </c>
      <c r="AB1640" s="22" t="s">
        <v>859</v>
      </c>
      <c r="AE1640" s="33">
        <f t="shared" si="330"/>
        <v>0</v>
      </c>
      <c r="AF1640" s="43" t="s">
        <v>3386</v>
      </c>
      <c r="AG1640" s="128"/>
      <c r="AI1640" s="64">
        <f t="shared" si="331"/>
        <v>1.9842829076620826E-4</v>
      </c>
      <c r="AJ1640" s="313">
        <f>RTD("money.excel",,$G1640,"PredictVolume")</f>
        <v>101</v>
      </c>
      <c r="AK1640" s="348"/>
    </row>
    <row r="1641" spans="1:37">
      <c r="A1641" s="132" t="s">
        <v>1804</v>
      </c>
      <c r="B1641" s="93">
        <v>-16</v>
      </c>
      <c r="C1641" s="93">
        <v>63</v>
      </c>
      <c r="D1641" s="93">
        <v>-19</v>
      </c>
      <c r="E1641" s="93">
        <v>6</v>
      </c>
      <c r="F1641" s="58">
        <v>32.840000000000003</v>
      </c>
      <c r="G1641" s="81">
        <v>2910</v>
      </c>
      <c r="H1641" s="8" t="s">
        <v>330</v>
      </c>
      <c r="I1641" s="22" t="s">
        <v>860</v>
      </c>
      <c r="J1641" s="75">
        <v>98.18</v>
      </c>
      <c r="K1641" s="75">
        <v>0.06</v>
      </c>
      <c r="L1641" s="75">
        <v>0.12</v>
      </c>
      <c r="N1641" s="325">
        <f t="shared" si="332"/>
        <v>98.360000000000014</v>
      </c>
      <c r="O1641" s="27"/>
      <c r="P1641" s="56"/>
      <c r="Q1641" s="26"/>
      <c r="S1641" s="330">
        <v>42.16</v>
      </c>
      <c r="T1641" s="34">
        <v>0.5</v>
      </c>
      <c r="U1641" s="366">
        <f t="shared" si="327"/>
        <v>1.6447368421052631E-2</v>
      </c>
      <c r="V1641" s="97">
        <v>0.65</v>
      </c>
      <c r="W1641" s="13">
        <f>RTD("money.excel",,"2910","Price")</f>
        <v>30.4</v>
      </c>
      <c r="X1641" s="67"/>
      <c r="Y1641" s="15">
        <f t="shared" si="328"/>
        <v>30.4</v>
      </c>
      <c r="Z1641" s="3" t="e">
        <f t="shared" si="329"/>
        <v>#DIV/0!</v>
      </c>
      <c r="AB1641" s="22" t="s">
        <v>860</v>
      </c>
      <c r="AE1641" s="33">
        <f t="shared" si="330"/>
        <v>0</v>
      </c>
      <c r="AF1641" s="43" t="s">
        <v>3387</v>
      </c>
      <c r="AI1641" s="64">
        <f t="shared" si="331"/>
        <v>9.6153846153846157E-6</v>
      </c>
      <c r="AJ1641" s="313">
        <f>RTD("money.excel",,$G1641,"PredictVolume")</f>
        <v>2</v>
      </c>
    </row>
    <row r="1642" spans="1:37">
      <c r="A1642" s="148" t="s">
        <v>2170</v>
      </c>
      <c r="B1642" s="93">
        <v>4</v>
      </c>
      <c r="C1642" s="93">
        <v>18</v>
      </c>
      <c r="D1642" s="93">
        <v>3</v>
      </c>
      <c r="E1642" s="93">
        <v>-10</v>
      </c>
      <c r="F1642" s="6">
        <v>-10.24</v>
      </c>
      <c r="G1642" s="81">
        <v>2911</v>
      </c>
      <c r="H1642" s="8" t="s">
        <v>330</v>
      </c>
      <c r="I1642" s="22" t="s">
        <v>861</v>
      </c>
      <c r="J1642" s="75">
        <v>53.02</v>
      </c>
      <c r="K1642" s="75">
        <v>16.86</v>
      </c>
      <c r="L1642" s="75">
        <v>4.0999999999999996</v>
      </c>
      <c r="N1642" s="325">
        <f t="shared" si="332"/>
        <v>73.97999999999999</v>
      </c>
      <c r="O1642" s="27"/>
      <c r="P1642" s="56"/>
      <c r="Q1642" s="26"/>
      <c r="S1642" s="330">
        <v>18.489999999999998</v>
      </c>
      <c r="T1642" s="34">
        <v>0</v>
      </c>
      <c r="U1642" s="366">
        <f t="shared" si="327"/>
        <v>0</v>
      </c>
      <c r="V1642" s="97">
        <v>-1.72</v>
      </c>
      <c r="W1642" s="13">
        <f>RTD("money.excel",,"2911","Price")</f>
        <v>7.65</v>
      </c>
      <c r="X1642" s="67"/>
      <c r="Y1642" s="15">
        <f t="shared" si="328"/>
        <v>7.65</v>
      </c>
      <c r="Z1642" s="3" t="e">
        <f t="shared" si="329"/>
        <v>#DIV/0!</v>
      </c>
      <c r="AB1642" s="22" t="s">
        <v>861</v>
      </c>
      <c r="AE1642" s="33">
        <f t="shared" si="330"/>
        <v>0</v>
      </c>
      <c r="AF1642" s="43" t="s">
        <v>1610</v>
      </c>
      <c r="AI1642" s="64">
        <f t="shared" si="331"/>
        <v>7.1739130434782608E-4</v>
      </c>
      <c r="AJ1642" s="313">
        <f>RTD("money.excel",,$G1642,"PredictVolume")</f>
        <v>132</v>
      </c>
    </row>
    <row r="1643" spans="1:37">
      <c r="A1643" s="148" t="s">
        <v>1792</v>
      </c>
      <c r="B1643" s="81">
        <v>3</v>
      </c>
      <c r="C1643" s="82">
        <v>-1</v>
      </c>
      <c r="D1643" s="82">
        <v>-4</v>
      </c>
      <c r="E1643" s="81">
        <v>11</v>
      </c>
      <c r="F1643" s="6">
        <v>4.8499999999999996</v>
      </c>
      <c r="G1643" s="81">
        <v>2912</v>
      </c>
      <c r="H1643" s="8" t="s">
        <v>330</v>
      </c>
      <c r="I1643" s="22" t="s">
        <v>6023</v>
      </c>
      <c r="J1643" s="75">
        <v>82.85</v>
      </c>
      <c r="K1643" s="330">
        <v>32.07</v>
      </c>
      <c r="L1643" s="330">
        <v>0.17</v>
      </c>
      <c r="N1643" s="325">
        <f t="shared" si="332"/>
        <v>115.08999999999999</v>
      </c>
      <c r="O1643" s="27"/>
      <c r="P1643" s="56"/>
      <c r="Q1643" s="26"/>
      <c r="S1643" s="330">
        <v>0</v>
      </c>
      <c r="T1643" s="67">
        <v>9</v>
      </c>
      <c r="U1643" s="366">
        <f t="shared" si="327"/>
        <v>3.4220532319391636E-2</v>
      </c>
      <c r="V1643" s="58">
        <v>10</v>
      </c>
      <c r="W1643" s="36">
        <f>RTD("money.excel",,"2912","Price")</f>
        <v>263</v>
      </c>
      <c r="X1643" s="67"/>
      <c r="Y1643" s="15">
        <f t="shared" si="328"/>
        <v>263</v>
      </c>
      <c r="Z1643" s="3" t="e">
        <f t="shared" si="329"/>
        <v>#DIV/0!</v>
      </c>
      <c r="AA1643" s="174" t="s">
        <v>2185</v>
      </c>
      <c r="AB1643" s="22" t="s">
        <v>6023</v>
      </c>
      <c r="AE1643" s="33">
        <f t="shared" si="330"/>
        <v>0</v>
      </c>
      <c r="AF1643" s="122" t="s">
        <v>3388</v>
      </c>
      <c r="AG1643" s="128"/>
      <c r="AI1643" s="64">
        <f t="shared" si="331"/>
        <v>1.3582524271844661E-3</v>
      </c>
      <c r="AJ1643" s="313">
        <f>RTD("money.excel",,$G1643,"PredictVolume")</f>
        <v>1399</v>
      </c>
      <c r="AK1643" s="348"/>
    </row>
    <row r="1644" spans="1:37">
      <c r="A1644" s="148" t="s">
        <v>2432</v>
      </c>
      <c r="B1644" s="96">
        <v>-2176</v>
      </c>
      <c r="C1644" s="81">
        <v>16</v>
      </c>
      <c r="D1644" s="82">
        <v>-12</v>
      </c>
      <c r="E1644" s="81">
        <v>20</v>
      </c>
      <c r="F1644" s="6">
        <v>-47.72</v>
      </c>
      <c r="G1644" s="81">
        <v>2913</v>
      </c>
      <c r="H1644" s="8" t="s">
        <v>330</v>
      </c>
      <c r="I1644" s="22" t="s">
        <v>862</v>
      </c>
      <c r="J1644" s="75">
        <v>65.3</v>
      </c>
      <c r="K1644" s="75">
        <v>11.08</v>
      </c>
      <c r="L1644" s="75">
        <v>4.3600000000000003</v>
      </c>
      <c r="N1644" s="325">
        <f t="shared" si="332"/>
        <v>80.739999999999995</v>
      </c>
      <c r="O1644" s="27"/>
      <c r="P1644" s="56"/>
      <c r="Q1644" s="26"/>
      <c r="S1644" s="330">
        <v>0.02</v>
      </c>
      <c r="T1644" s="34">
        <v>0</v>
      </c>
      <c r="U1644" s="366">
        <f t="shared" si="327"/>
        <v>0</v>
      </c>
      <c r="V1644" s="97">
        <v>-0.02</v>
      </c>
      <c r="W1644" s="36">
        <f>RTD("money.excel",,"2913","Price")</f>
        <v>19.25</v>
      </c>
      <c r="X1644" s="67"/>
      <c r="Y1644" s="15">
        <f t="shared" si="328"/>
        <v>19.25</v>
      </c>
      <c r="Z1644" s="3" t="e">
        <f t="shared" si="329"/>
        <v>#DIV/0!</v>
      </c>
      <c r="AA1644" s="174" t="s">
        <v>1943</v>
      </c>
      <c r="AB1644" s="22" t="s">
        <v>862</v>
      </c>
      <c r="AE1644" s="33">
        <f t="shared" si="330"/>
        <v>0</v>
      </c>
      <c r="AF1644" s="43" t="s">
        <v>2658</v>
      </c>
      <c r="AG1644" s="128"/>
      <c r="AI1644" s="64">
        <f t="shared" si="331"/>
        <v>1.5E-3</v>
      </c>
      <c r="AJ1644" s="313">
        <f>RTD("money.excel",,$G1644,"PredictVolume")</f>
        <v>1185</v>
      </c>
      <c r="AK1644" s="348"/>
    </row>
    <row r="1645" spans="1:37">
      <c r="A1645" s="148" t="s">
        <v>4311</v>
      </c>
      <c r="B1645" s="82">
        <v>141</v>
      </c>
      <c r="C1645" s="82">
        <v>-139</v>
      </c>
      <c r="D1645" s="82">
        <v>-41</v>
      </c>
      <c r="E1645" s="81">
        <v>24</v>
      </c>
      <c r="F1645" s="6">
        <v>-4.13</v>
      </c>
      <c r="G1645" s="81">
        <v>2915</v>
      </c>
      <c r="H1645" s="8" t="s">
        <v>330</v>
      </c>
      <c r="I1645" s="22" t="s">
        <v>6024</v>
      </c>
      <c r="J1645" s="330">
        <v>62.23</v>
      </c>
      <c r="K1645" s="330">
        <v>17.420000000000002</v>
      </c>
      <c r="L1645" s="330">
        <v>5.26</v>
      </c>
      <c r="N1645" s="325">
        <f t="shared" si="332"/>
        <v>84.910000000000011</v>
      </c>
      <c r="O1645" s="27"/>
      <c r="P1645" s="56"/>
      <c r="Q1645" s="26"/>
      <c r="S1645" s="330">
        <v>38.159999999999997</v>
      </c>
      <c r="T1645" s="67">
        <v>5</v>
      </c>
      <c r="U1645" s="366">
        <f t="shared" si="327"/>
        <v>4.6082949308755762E-2</v>
      </c>
      <c r="V1645" s="58">
        <v>26.39</v>
      </c>
      <c r="W1645" s="36">
        <f>RTD("money.excel",,"2915","Price")</f>
        <v>108.5</v>
      </c>
      <c r="X1645" s="67"/>
      <c r="Y1645" s="15">
        <f t="shared" si="328"/>
        <v>108.5</v>
      </c>
      <c r="Z1645" s="3" t="e">
        <f t="shared" si="329"/>
        <v>#DIV/0!</v>
      </c>
      <c r="AA1645" s="174" t="s">
        <v>2185</v>
      </c>
      <c r="AB1645" s="22" t="s">
        <v>6024</v>
      </c>
      <c r="AE1645" s="33">
        <f t="shared" si="330"/>
        <v>0</v>
      </c>
      <c r="AF1645" s="122" t="s">
        <v>2490</v>
      </c>
      <c r="AG1645" s="128"/>
      <c r="AI1645" s="64">
        <f t="shared" si="331"/>
        <v>4.6376021798365122E-3</v>
      </c>
      <c r="AJ1645" s="313">
        <f>RTD("money.excel",,$G1645,"PredictVolume")</f>
        <v>3404</v>
      </c>
      <c r="AK1645" s="348"/>
    </row>
    <row r="1646" spans="1:37">
      <c r="A1646" s="148" t="s">
        <v>3615</v>
      </c>
      <c r="B1646" s="93">
        <v>-51</v>
      </c>
      <c r="C1646" s="93">
        <v>-2</v>
      </c>
      <c r="D1646" s="93">
        <v>10</v>
      </c>
      <c r="E1646" s="93">
        <v>-4</v>
      </c>
      <c r="F1646" s="6">
        <v>1.1000000000000001</v>
      </c>
      <c r="G1646" s="81">
        <v>2916</v>
      </c>
      <c r="H1646" s="8" t="s">
        <v>330</v>
      </c>
      <c r="I1646" s="16" t="s">
        <v>845</v>
      </c>
      <c r="J1646" s="75">
        <v>76.28</v>
      </c>
      <c r="K1646" s="75">
        <v>21.22</v>
      </c>
      <c r="L1646" s="75">
        <v>0.48</v>
      </c>
      <c r="N1646" s="325">
        <f t="shared" si="332"/>
        <v>97.98</v>
      </c>
      <c r="O1646" s="27"/>
      <c r="P1646" s="56"/>
      <c r="Q1646" s="26"/>
      <c r="S1646" s="330">
        <v>44.93</v>
      </c>
      <c r="T1646" s="34">
        <v>1.5</v>
      </c>
      <c r="U1646" s="366">
        <f t="shared" si="327"/>
        <v>6.5789473684210523E-2</v>
      </c>
      <c r="V1646" s="97">
        <v>1.61</v>
      </c>
      <c r="W1646" s="13">
        <f>RTD("money.excel",,"2916","Price")</f>
        <v>22.8</v>
      </c>
      <c r="X1646" s="67"/>
      <c r="Y1646" s="15">
        <f t="shared" si="328"/>
        <v>22.8</v>
      </c>
      <c r="Z1646" s="3" t="e">
        <f t="shared" si="329"/>
        <v>#DIV/0!</v>
      </c>
      <c r="AB1646" s="16" t="s">
        <v>845</v>
      </c>
      <c r="AE1646" s="33">
        <f t="shared" si="330"/>
        <v>0</v>
      </c>
      <c r="AF1646" s="43" t="s">
        <v>3167</v>
      </c>
      <c r="AG1646" s="128"/>
      <c r="AI1646" s="64">
        <f t="shared" si="331"/>
        <v>7.6923076923076923E-4</v>
      </c>
      <c r="AJ1646" s="313">
        <f>RTD("money.excel",,$G1646,"PredictVolume")</f>
        <v>42</v>
      </c>
      <c r="AK1646" s="348"/>
    </row>
    <row r="1647" spans="1:37">
      <c r="A1647" s="148" t="s">
        <v>1833</v>
      </c>
      <c r="B1647" s="93">
        <v>27</v>
      </c>
      <c r="C1647" s="93">
        <v>26</v>
      </c>
      <c r="D1647" s="93">
        <v>-14</v>
      </c>
      <c r="E1647" s="93">
        <v>-39</v>
      </c>
      <c r="F1647" s="6">
        <v>-19.55</v>
      </c>
      <c r="G1647" s="81">
        <v>2924</v>
      </c>
      <c r="H1647" s="8" t="s">
        <v>330</v>
      </c>
      <c r="I1647" s="16" t="s">
        <v>846</v>
      </c>
      <c r="J1647" s="75">
        <v>80.08</v>
      </c>
      <c r="K1647" s="75">
        <v>49.87</v>
      </c>
      <c r="L1647" s="75">
        <v>7.0000000000000007E-2</v>
      </c>
      <c r="N1647" s="325">
        <f t="shared" si="332"/>
        <v>130.01999999999998</v>
      </c>
      <c r="O1647" s="27"/>
      <c r="P1647" s="56"/>
      <c r="Q1647" s="26"/>
      <c r="S1647" s="330">
        <v>39.89</v>
      </c>
      <c r="T1647" s="34">
        <v>0</v>
      </c>
      <c r="U1647" s="366">
        <f t="shared" si="327"/>
        <v>0</v>
      </c>
      <c r="V1647" s="58">
        <v>-3.79</v>
      </c>
      <c r="W1647" s="13">
        <f>RTD("money.excel",,"2924","Price")</f>
        <v>33.75</v>
      </c>
      <c r="X1647" s="67"/>
      <c r="Y1647" s="15">
        <f t="shared" si="328"/>
        <v>33.75</v>
      </c>
      <c r="Z1647" s="3" t="e">
        <f t="shared" si="329"/>
        <v>#DIV/0!</v>
      </c>
      <c r="AB1647" s="16" t="s">
        <v>846</v>
      </c>
      <c r="AE1647" s="33">
        <f t="shared" si="330"/>
        <v>0</v>
      </c>
      <c r="AF1647" s="43" t="s">
        <v>3168</v>
      </c>
      <c r="AG1647" s="269"/>
      <c r="AI1647" s="64">
        <f t="shared" si="331"/>
        <v>7.9268292682926835E-4</v>
      </c>
      <c r="AJ1647" s="313">
        <f>RTD("money.excel",,$G1647,"PredictVolume")</f>
        <v>26</v>
      </c>
      <c r="AK1647" s="348"/>
    </row>
    <row r="1648" spans="1:37">
      <c r="A1648" s="148" t="s">
        <v>3706</v>
      </c>
      <c r="B1648" s="93">
        <v>439</v>
      </c>
      <c r="C1648" s="93">
        <v>703</v>
      </c>
      <c r="D1648" s="93">
        <v>2</v>
      </c>
      <c r="E1648" s="93">
        <v>-16</v>
      </c>
      <c r="F1648" s="6">
        <v>-0.87</v>
      </c>
      <c r="G1648" s="81">
        <v>2936</v>
      </c>
      <c r="H1648" s="8" t="s">
        <v>330</v>
      </c>
      <c r="I1648" s="22" t="s">
        <v>1181</v>
      </c>
      <c r="J1648" s="75">
        <v>89.39</v>
      </c>
      <c r="K1648" s="75">
        <v>87.48</v>
      </c>
      <c r="L1648" s="75">
        <v>1.17</v>
      </c>
      <c r="N1648" s="325">
        <f t="shared" si="332"/>
        <v>178.04</v>
      </c>
      <c r="O1648" s="27"/>
      <c r="P1648" s="56"/>
      <c r="Q1648" s="26"/>
      <c r="S1648" s="330">
        <v>34.409999999999997</v>
      </c>
      <c r="T1648" s="34">
        <v>0</v>
      </c>
      <c r="U1648" s="366">
        <f t="shared" si="327"/>
        <v>0</v>
      </c>
      <c r="V1648" s="58">
        <v>3.24</v>
      </c>
      <c r="W1648" s="13">
        <f>RTD("money.excel",,"2936","Price")</f>
        <v>38.700000000000003</v>
      </c>
      <c r="X1648" s="67"/>
      <c r="Y1648" s="15">
        <f t="shared" si="328"/>
        <v>38.700000000000003</v>
      </c>
      <c r="Z1648" s="3" t="e">
        <f t="shared" si="329"/>
        <v>#DIV/0!</v>
      </c>
      <c r="AB1648" s="22" t="s">
        <v>1181</v>
      </c>
      <c r="AE1648" s="33">
        <f t="shared" si="330"/>
        <v>0</v>
      </c>
      <c r="AF1648" s="43" t="s">
        <v>3389</v>
      </c>
      <c r="AG1648" s="128"/>
      <c r="AI1648" s="64">
        <f t="shared" si="331"/>
        <v>7.4412532637075713E-4</v>
      </c>
      <c r="AJ1648" s="313">
        <f>RTD("money.excel",,$G1648,"PredictVolume")</f>
        <v>57</v>
      </c>
      <c r="AK1648" s="348"/>
    </row>
    <row r="1649" spans="1:37">
      <c r="A1649" s="148" t="s">
        <v>3616</v>
      </c>
      <c r="B1649" s="93">
        <v>78</v>
      </c>
      <c r="C1649" s="93">
        <v>112</v>
      </c>
      <c r="D1649" s="93">
        <v>1</v>
      </c>
      <c r="E1649" s="93">
        <v>16</v>
      </c>
      <c r="F1649" s="6">
        <v>4.1399999999999997</v>
      </c>
      <c r="G1649" s="81">
        <v>2937</v>
      </c>
      <c r="H1649" s="8" t="s">
        <v>330</v>
      </c>
      <c r="I1649" s="16" t="s">
        <v>847</v>
      </c>
      <c r="J1649" s="75">
        <v>84.59</v>
      </c>
      <c r="K1649" s="75">
        <v>0</v>
      </c>
      <c r="N1649" s="325">
        <f t="shared" si="332"/>
        <v>84.59</v>
      </c>
      <c r="O1649" s="27"/>
      <c r="P1649" s="56"/>
      <c r="Q1649" s="26"/>
      <c r="S1649" s="330">
        <v>38.89</v>
      </c>
      <c r="T1649" s="34">
        <v>2.35</v>
      </c>
      <c r="U1649" s="366">
        <f t="shared" si="327"/>
        <v>6.3772048846675713E-2</v>
      </c>
      <c r="V1649" s="97">
        <v>3.15</v>
      </c>
      <c r="W1649" s="13">
        <f>RTD("money.excel",,"2937","Price")</f>
        <v>36.85</v>
      </c>
      <c r="X1649" s="67"/>
      <c r="Y1649" s="15">
        <f t="shared" si="328"/>
        <v>36.85</v>
      </c>
      <c r="Z1649" s="3" t="e">
        <f t="shared" si="329"/>
        <v>#DIV/0!</v>
      </c>
      <c r="AB1649" s="16" t="s">
        <v>847</v>
      </c>
      <c r="AE1649" s="33">
        <f t="shared" si="330"/>
        <v>0</v>
      </c>
      <c r="AF1649" s="43" t="s">
        <v>3169</v>
      </c>
      <c r="AG1649" s="128"/>
      <c r="AI1649" s="64">
        <f t="shared" si="331"/>
        <v>1.0334346504559271E-3</v>
      </c>
      <c r="AJ1649" s="313">
        <f>RTD("money.excel",,$G1649,"PredictVolume")</f>
        <v>34</v>
      </c>
      <c r="AK1649" s="348"/>
    </row>
    <row r="1650" spans="1:37">
      <c r="A1650" s="148" t="s">
        <v>2545</v>
      </c>
      <c r="B1650" s="82">
        <v>-98</v>
      </c>
      <c r="C1650" s="82">
        <v>-68</v>
      </c>
      <c r="D1650" s="82">
        <v>-40</v>
      </c>
      <c r="E1650" s="82">
        <v>-42</v>
      </c>
      <c r="F1650" s="58">
        <v>4.97</v>
      </c>
      <c r="G1650" s="81">
        <v>2939</v>
      </c>
      <c r="H1650" s="8" t="s">
        <v>330</v>
      </c>
      <c r="I1650" s="22" t="s">
        <v>863</v>
      </c>
      <c r="J1650" s="75">
        <v>45.3</v>
      </c>
      <c r="K1650" s="75">
        <v>82.13</v>
      </c>
      <c r="L1650" s="75">
        <v>0</v>
      </c>
      <c r="N1650" s="325">
        <f t="shared" si="332"/>
        <v>127.42999999999999</v>
      </c>
      <c r="O1650" s="27"/>
      <c r="P1650" s="56"/>
      <c r="Q1650" s="26"/>
      <c r="S1650" s="330">
        <v>0</v>
      </c>
      <c r="T1650" s="34">
        <v>2</v>
      </c>
      <c r="U1650" s="366">
        <f t="shared" si="327"/>
        <v>7.9681274900398405E-2</v>
      </c>
      <c r="V1650" s="97">
        <v>0.2</v>
      </c>
      <c r="W1650" s="13">
        <f>RTD("money.excel",,"2939","Price")</f>
        <v>25.1</v>
      </c>
      <c r="X1650" s="67"/>
      <c r="Y1650" s="15">
        <f t="shared" si="328"/>
        <v>25.1</v>
      </c>
      <c r="Z1650" s="3" t="e">
        <f t="shared" si="329"/>
        <v>#DIV/0!</v>
      </c>
      <c r="AB1650" s="22" t="s">
        <v>863</v>
      </c>
      <c r="AE1650" s="33">
        <f t="shared" si="330"/>
        <v>0</v>
      </c>
      <c r="AF1650" s="43" t="s">
        <v>3390</v>
      </c>
      <c r="AG1650" s="128"/>
      <c r="AI1650" s="64">
        <f t="shared" si="331"/>
        <v>2.5714285714285713E-3</v>
      </c>
      <c r="AJ1650" s="313">
        <f>RTD("money.excel",,$G1650,"PredictVolume")</f>
        <v>117</v>
      </c>
      <c r="AK1650" s="348"/>
    </row>
    <row r="1651" spans="1:37">
      <c r="A1651" s="148" t="s">
        <v>2030</v>
      </c>
      <c r="B1651" s="81">
        <v>6</v>
      </c>
      <c r="C1651" s="81">
        <v>8</v>
      </c>
      <c r="D1651" s="82">
        <v>-10</v>
      </c>
      <c r="E1651" s="82">
        <v>-3</v>
      </c>
      <c r="F1651" s="6">
        <v>1.84</v>
      </c>
      <c r="G1651" s="81">
        <v>2945</v>
      </c>
      <c r="H1651" s="8" t="s">
        <v>330</v>
      </c>
      <c r="I1651" s="22" t="s">
        <v>4334</v>
      </c>
      <c r="J1651" s="330">
        <v>82.79</v>
      </c>
      <c r="K1651" s="330">
        <v>19.559999999999999</v>
      </c>
      <c r="L1651" s="330">
        <v>0</v>
      </c>
      <c r="M1651" s="330">
        <v>83.37</v>
      </c>
      <c r="N1651" s="75">
        <f t="shared" si="332"/>
        <v>185.72000000000003</v>
      </c>
      <c r="O1651" s="27"/>
      <c r="P1651" s="56"/>
      <c r="Q1651" s="26"/>
      <c r="T1651" s="34">
        <v>2.73</v>
      </c>
      <c r="U1651" s="366">
        <f t="shared" si="327"/>
        <v>4.5575959933222041E-2</v>
      </c>
      <c r="V1651" s="58">
        <v>3.18</v>
      </c>
      <c r="W1651" s="36">
        <f>RTD("money.excel",,"2945","Price")</f>
        <v>59.9</v>
      </c>
      <c r="X1651" s="67"/>
      <c r="Y1651" s="15">
        <f t="shared" si="328"/>
        <v>59.9</v>
      </c>
      <c r="Z1651" s="3" t="e">
        <f t="shared" si="329"/>
        <v>#DIV/0!</v>
      </c>
      <c r="AB1651" s="22" t="s">
        <v>4334</v>
      </c>
      <c r="AE1651" s="33">
        <f t="shared" si="330"/>
        <v>0</v>
      </c>
      <c r="AF1651" s="43" t="s">
        <v>4335</v>
      </c>
      <c r="AG1651" s="128"/>
      <c r="AI1651" s="64">
        <f t="shared" si="331"/>
        <v>4.5925925925925925E-4</v>
      </c>
      <c r="AJ1651" s="313">
        <f>RTD("money.excel",,$G1651,"PredictVolume")</f>
        <v>31</v>
      </c>
      <c r="AK1651" s="348"/>
    </row>
    <row r="1652" spans="1:37">
      <c r="A1652" s="148" t="s">
        <v>3563</v>
      </c>
      <c r="B1652" s="81">
        <v>7</v>
      </c>
      <c r="C1652" s="81">
        <v>2</v>
      </c>
      <c r="D1652" s="82">
        <v>-3</v>
      </c>
      <c r="E1652" s="81">
        <v>12</v>
      </c>
      <c r="F1652" s="6">
        <v>9.5</v>
      </c>
      <c r="G1652" s="81">
        <v>2947</v>
      </c>
      <c r="H1652" s="8" t="s">
        <v>330</v>
      </c>
      <c r="I1652" s="16" t="s">
        <v>4246</v>
      </c>
      <c r="J1652" s="330">
        <v>56.57</v>
      </c>
      <c r="K1652" s="330">
        <v>0.3</v>
      </c>
      <c r="L1652" s="330"/>
      <c r="N1652" s="325">
        <f t="shared" si="332"/>
        <v>56.87</v>
      </c>
      <c r="O1652" s="27"/>
      <c r="P1652" s="56"/>
      <c r="Q1652" s="26"/>
      <c r="T1652" s="67">
        <v>3.6</v>
      </c>
      <c r="U1652" s="366">
        <f t="shared" si="327"/>
        <v>2.5622775800711744E-2</v>
      </c>
      <c r="V1652" s="58" t="s">
        <v>4029</v>
      </c>
      <c r="W1652" s="36">
        <f>RTD("money.excel",,"2947","Price")</f>
        <v>140.5</v>
      </c>
      <c r="X1652" s="67"/>
      <c r="Y1652" s="15">
        <f t="shared" si="328"/>
        <v>140.5</v>
      </c>
      <c r="Z1652" s="3" t="e">
        <f t="shared" si="329"/>
        <v>#DIV/0!</v>
      </c>
      <c r="AA1652" s="174" t="s">
        <v>1986</v>
      </c>
      <c r="AB1652" s="16" t="s">
        <v>4246</v>
      </c>
      <c r="AE1652" s="33">
        <f t="shared" si="330"/>
        <v>0</v>
      </c>
      <c r="AF1652" s="43" t="s">
        <v>4247</v>
      </c>
      <c r="AG1652" s="128"/>
      <c r="AI1652" s="64">
        <f t="shared" si="331"/>
        <v>8.2901554404145078E-4</v>
      </c>
      <c r="AJ1652" s="313">
        <f>RTD("money.excel",,$G1652,"PredictVolume")</f>
        <v>16</v>
      </c>
      <c r="AK1652" s="348"/>
    </row>
    <row r="1653" spans="1:37">
      <c r="A1653" s="148" t="s">
        <v>1683</v>
      </c>
      <c r="B1653" s="81">
        <v>35</v>
      </c>
      <c r="C1653" s="81">
        <v>19</v>
      </c>
      <c r="D1653" s="82">
        <v>-1</v>
      </c>
      <c r="E1653" s="81">
        <v>40</v>
      </c>
      <c r="F1653" s="6">
        <v>9.27</v>
      </c>
      <c r="G1653" s="81">
        <v>3171</v>
      </c>
      <c r="H1653" s="8" t="s">
        <v>330</v>
      </c>
      <c r="I1653" s="16" t="s">
        <v>848</v>
      </c>
      <c r="J1653" s="330">
        <v>74.760000000000005</v>
      </c>
      <c r="K1653" s="330">
        <v>0.52</v>
      </c>
      <c r="L1653" s="330">
        <v>4.33</v>
      </c>
      <c r="N1653" s="325">
        <f t="shared" si="332"/>
        <v>79.61</v>
      </c>
      <c r="O1653" s="27"/>
      <c r="P1653" s="56"/>
      <c r="Q1653" s="26"/>
      <c r="S1653" s="330">
        <v>0</v>
      </c>
      <c r="T1653" s="34">
        <v>1.85</v>
      </c>
      <c r="U1653" s="366">
        <f t="shared" si="327"/>
        <v>9.0909090909090912E-2</v>
      </c>
      <c r="V1653" s="97">
        <v>2.14</v>
      </c>
      <c r="W1653" s="36">
        <f>RTD("money.excel",,"3171","Price")</f>
        <v>20.350000000000001</v>
      </c>
      <c r="X1653" s="67"/>
      <c r="Y1653" s="15">
        <f t="shared" si="328"/>
        <v>20.350000000000001</v>
      </c>
      <c r="Z1653" s="3" t="e">
        <f t="shared" si="329"/>
        <v>#DIV/0!</v>
      </c>
      <c r="AB1653" s="16" t="s">
        <v>848</v>
      </c>
      <c r="AE1653" s="33">
        <f t="shared" si="330"/>
        <v>0</v>
      </c>
      <c r="AF1653" s="43" t="s">
        <v>2499</v>
      </c>
      <c r="AG1653" s="128"/>
      <c r="AI1653" s="64">
        <f t="shared" si="331"/>
        <v>7.496251874062968E-5</v>
      </c>
      <c r="AJ1653" s="313">
        <f>RTD("money.excel",,$G1653,"PredictVolume")</f>
        <v>5</v>
      </c>
      <c r="AK1653" s="348"/>
    </row>
    <row r="1654" spans="1:37">
      <c r="A1654" s="148" t="s">
        <v>1566</v>
      </c>
      <c r="B1654" s="81">
        <v>256</v>
      </c>
      <c r="C1654" s="81">
        <v>232</v>
      </c>
      <c r="D1654" s="82">
        <v>-30</v>
      </c>
      <c r="E1654" s="82">
        <v>-22</v>
      </c>
      <c r="F1654" s="6">
        <v>8.33</v>
      </c>
      <c r="G1654" s="81">
        <v>4807</v>
      </c>
      <c r="H1654" s="8" t="s">
        <v>330</v>
      </c>
      <c r="I1654" s="22" t="s">
        <v>864</v>
      </c>
      <c r="J1654" s="330">
        <v>75.14</v>
      </c>
      <c r="K1654" s="75">
        <v>72.84</v>
      </c>
      <c r="L1654" s="75">
        <v>8.8000000000000007</v>
      </c>
      <c r="N1654" s="325">
        <f t="shared" si="332"/>
        <v>156.78000000000003</v>
      </c>
      <c r="O1654" s="27"/>
      <c r="P1654" s="56"/>
      <c r="Q1654" s="26"/>
      <c r="S1654" s="330">
        <v>0.02</v>
      </c>
      <c r="T1654" s="34">
        <v>0.5</v>
      </c>
      <c r="U1654" s="366">
        <f t="shared" si="327"/>
        <v>1.8726591760299626E-2</v>
      </c>
      <c r="V1654" s="97">
        <v>2.3199999999999998</v>
      </c>
      <c r="W1654" s="13">
        <f>RTD("money.excel",,"4807","Price")</f>
        <v>26.7</v>
      </c>
      <c r="X1654" s="67"/>
      <c r="Y1654" s="15">
        <f t="shared" si="328"/>
        <v>26.7</v>
      </c>
      <c r="Z1654" s="3" t="e">
        <f t="shared" si="329"/>
        <v>#DIV/0!</v>
      </c>
      <c r="AA1654" s="174" t="s">
        <v>1943</v>
      </c>
      <c r="AB1654" s="22" t="s">
        <v>864</v>
      </c>
      <c r="AE1654" s="33">
        <f t="shared" si="330"/>
        <v>0</v>
      </c>
      <c r="AF1654" s="43" t="s">
        <v>3204</v>
      </c>
      <c r="AG1654" s="128"/>
      <c r="AI1654" s="64">
        <f t="shared" si="331"/>
        <v>7.0312499999999997E-4</v>
      </c>
      <c r="AJ1654" s="313">
        <f>RTD("money.excel",,$G1654,"PredictVolume")</f>
        <v>27</v>
      </c>
      <c r="AK1654" s="348"/>
    </row>
    <row r="1655" spans="1:37">
      <c r="A1655" s="148" t="s">
        <v>3617</v>
      </c>
      <c r="B1655" s="93">
        <v>139</v>
      </c>
      <c r="C1655" s="93">
        <v>106</v>
      </c>
      <c r="D1655" s="93">
        <v>-7</v>
      </c>
      <c r="E1655" s="93">
        <v>1</v>
      </c>
      <c r="F1655" s="6">
        <v>9.24</v>
      </c>
      <c r="G1655" s="81">
        <v>5902</v>
      </c>
      <c r="H1655" s="8" t="s">
        <v>330</v>
      </c>
      <c r="I1655" s="16" t="s">
        <v>849</v>
      </c>
      <c r="J1655" s="75">
        <v>79.31</v>
      </c>
      <c r="K1655" s="75">
        <v>0.02</v>
      </c>
      <c r="N1655" s="325">
        <f t="shared" si="332"/>
        <v>79.33</v>
      </c>
      <c r="O1655" s="27"/>
      <c r="P1655" s="56"/>
      <c r="Q1655" s="26"/>
      <c r="S1655" s="330">
        <v>64.27</v>
      </c>
      <c r="T1655" s="34">
        <v>0</v>
      </c>
      <c r="U1655" s="366">
        <f t="shared" si="327"/>
        <v>0</v>
      </c>
      <c r="V1655" s="97">
        <v>1.37</v>
      </c>
      <c r="W1655" s="13">
        <f>RTD("money.excel",,"5902","Price")</f>
        <v>25.7</v>
      </c>
      <c r="X1655" s="67"/>
      <c r="Y1655" s="15">
        <f t="shared" si="328"/>
        <v>25.7</v>
      </c>
      <c r="Z1655" s="3" t="e">
        <f t="shared" si="329"/>
        <v>#DIV/0!</v>
      </c>
      <c r="AB1655" s="16" t="s">
        <v>849</v>
      </c>
      <c r="AE1655" s="33">
        <f t="shared" si="330"/>
        <v>0</v>
      </c>
      <c r="AF1655" s="43" t="s">
        <v>3170</v>
      </c>
      <c r="AG1655" s="128"/>
      <c r="AI1655" s="64">
        <f t="shared" si="331"/>
        <v>4.3386243386243385E-4</v>
      </c>
      <c r="AJ1655" s="313">
        <f>RTD("money.excel",,$G1655,"PredictVolume")</f>
        <v>41</v>
      </c>
      <c r="AK1655" s="348"/>
    </row>
    <row r="1656" spans="1:37">
      <c r="A1656" s="148" t="s">
        <v>1822</v>
      </c>
      <c r="B1656" s="81">
        <v>20</v>
      </c>
      <c r="C1656" s="81">
        <v>23</v>
      </c>
      <c r="D1656" s="81">
        <v>1</v>
      </c>
      <c r="E1656" s="81">
        <v>8</v>
      </c>
      <c r="F1656" s="6">
        <v>3.34</v>
      </c>
      <c r="G1656" s="81">
        <v>5903</v>
      </c>
      <c r="H1656" s="8" t="s">
        <v>330</v>
      </c>
      <c r="I1656" s="16" t="s">
        <v>6025</v>
      </c>
      <c r="J1656" s="75">
        <v>93.05</v>
      </c>
      <c r="K1656" s="330">
        <v>53.59</v>
      </c>
      <c r="L1656" s="330">
        <v>0.03</v>
      </c>
      <c r="N1656" s="325">
        <f t="shared" si="332"/>
        <v>146.66999999999999</v>
      </c>
      <c r="O1656" s="27"/>
      <c r="P1656" s="56"/>
      <c r="Q1656" s="26"/>
      <c r="S1656" s="330">
        <v>0</v>
      </c>
      <c r="T1656" s="67">
        <v>7.5</v>
      </c>
      <c r="U1656" s="366">
        <f t="shared" si="327"/>
        <v>3.5294117647058823E-2</v>
      </c>
      <c r="V1656" s="58">
        <v>9.5399999999999991</v>
      </c>
      <c r="W1656" s="13">
        <f>RTD("money.excel",,"5903","Price")</f>
        <v>212.5</v>
      </c>
      <c r="X1656" s="67"/>
      <c r="Y1656" s="15">
        <f t="shared" si="328"/>
        <v>212.5</v>
      </c>
      <c r="Z1656" s="3" t="e">
        <f t="shared" si="329"/>
        <v>#DIV/0!</v>
      </c>
      <c r="AA1656" s="174" t="s">
        <v>2185</v>
      </c>
      <c r="AB1656" s="16" t="s">
        <v>6025</v>
      </c>
      <c r="AE1656" s="33">
        <f t="shared" si="330"/>
        <v>0</v>
      </c>
      <c r="AF1656" s="122" t="s">
        <v>3146</v>
      </c>
      <c r="AG1656" s="128"/>
      <c r="AI1656" s="64">
        <f t="shared" si="331"/>
        <v>8.1165919282511205E-4</v>
      </c>
      <c r="AJ1656" s="313">
        <f>RTD("money.excel",,$G1656,"PredictVolume")</f>
        <v>181</v>
      </c>
      <c r="AK1656" s="348"/>
    </row>
    <row r="1657" spans="1:37">
      <c r="A1657" s="132" t="s">
        <v>2385</v>
      </c>
      <c r="B1657" s="82">
        <v>-18</v>
      </c>
      <c r="C1657" s="82">
        <v>-17</v>
      </c>
      <c r="D1657" s="81">
        <v>10</v>
      </c>
      <c r="E1657" s="81">
        <v>0</v>
      </c>
      <c r="F1657" s="58">
        <v>12.78</v>
      </c>
      <c r="G1657" s="81">
        <v>5904</v>
      </c>
      <c r="H1657" s="8" t="s">
        <v>330</v>
      </c>
      <c r="I1657" s="16" t="s">
        <v>159</v>
      </c>
      <c r="J1657" s="75">
        <v>66.69</v>
      </c>
      <c r="K1657" s="75">
        <v>33.18</v>
      </c>
      <c r="L1657" s="75">
        <v>0.52</v>
      </c>
      <c r="M1657" s="330">
        <v>23.04</v>
      </c>
      <c r="N1657" s="325">
        <f t="shared" si="332"/>
        <v>123.43</v>
      </c>
      <c r="O1657" s="27" t="s">
        <v>6174</v>
      </c>
      <c r="P1657" s="56"/>
      <c r="Q1657" s="26"/>
      <c r="R1657" s="309" t="s">
        <v>6214</v>
      </c>
      <c r="S1657" s="330">
        <v>0.59</v>
      </c>
      <c r="T1657" s="67">
        <v>19</v>
      </c>
      <c r="U1657" s="366">
        <f t="shared" si="327"/>
        <v>4.8969072164948453E-2</v>
      </c>
      <c r="V1657" s="58">
        <v>18.43</v>
      </c>
      <c r="W1657" s="36">
        <f>RTD("money.excel",,"5904","Price")</f>
        <v>388</v>
      </c>
      <c r="X1657" s="67"/>
      <c r="Y1657" s="15">
        <f t="shared" si="328"/>
        <v>388</v>
      </c>
      <c r="Z1657" s="3" t="e">
        <f t="shared" si="329"/>
        <v>#DIV/0!</v>
      </c>
      <c r="AA1657" s="174" t="s">
        <v>2185</v>
      </c>
      <c r="AB1657" s="16" t="s">
        <v>159</v>
      </c>
      <c r="AE1657" s="33">
        <f t="shared" si="330"/>
        <v>0</v>
      </c>
      <c r="AF1657" s="122" t="s">
        <v>2472</v>
      </c>
      <c r="AG1657" s="128"/>
      <c r="AI1657" s="64">
        <f t="shared" si="331"/>
        <v>5.9000000000000003E-4</v>
      </c>
      <c r="AJ1657" s="313">
        <f>RTD("money.excel",,$G1657,"PredictVolume")</f>
        <v>59</v>
      </c>
      <c r="AK1657" s="348">
        <v>0.94</v>
      </c>
    </row>
    <row r="1658" spans="1:37">
      <c r="A1658" s="148" t="s">
        <v>1733</v>
      </c>
      <c r="B1658" s="82">
        <v>-50</v>
      </c>
      <c r="C1658" s="82">
        <v>-101</v>
      </c>
      <c r="D1658" s="82">
        <v>-14</v>
      </c>
      <c r="E1658" s="82">
        <v>-34</v>
      </c>
      <c r="F1658" s="6">
        <v>-0.16</v>
      </c>
      <c r="G1658" s="81">
        <v>5905</v>
      </c>
      <c r="H1658" s="8" t="s">
        <v>330</v>
      </c>
      <c r="I1658" s="16" t="s">
        <v>850</v>
      </c>
      <c r="J1658" s="330">
        <v>36.64</v>
      </c>
      <c r="K1658" s="75">
        <v>2.35</v>
      </c>
      <c r="L1658" s="330">
        <v>14.48</v>
      </c>
      <c r="N1658" s="325">
        <f t="shared" si="332"/>
        <v>53.47</v>
      </c>
      <c r="O1658" s="27"/>
      <c r="P1658" s="56"/>
      <c r="Q1658" s="26"/>
      <c r="S1658" s="330">
        <v>0.04</v>
      </c>
      <c r="T1658" s="34">
        <v>0.2</v>
      </c>
      <c r="U1658" s="366">
        <f t="shared" si="327"/>
        <v>1.4234875444839857E-2</v>
      </c>
      <c r="V1658" s="97">
        <v>0.26</v>
      </c>
      <c r="W1658" s="36">
        <f>RTD("money.excel",,"5905","Price")</f>
        <v>14.05</v>
      </c>
      <c r="X1658" s="67"/>
      <c r="Y1658" s="15">
        <f t="shared" si="328"/>
        <v>14.05</v>
      </c>
      <c r="Z1658" s="3" t="e">
        <f t="shared" si="329"/>
        <v>#DIV/0!</v>
      </c>
      <c r="AA1658" s="174" t="s">
        <v>1943</v>
      </c>
      <c r="AB1658" s="16" t="s">
        <v>850</v>
      </c>
      <c r="AE1658" s="33">
        <f t="shared" si="330"/>
        <v>0</v>
      </c>
      <c r="AF1658" s="43" t="s">
        <v>3171</v>
      </c>
      <c r="AG1658" s="128"/>
      <c r="AI1658" s="64">
        <f t="shared" si="331"/>
        <v>2.3915343915343916E-3</v>
      </c>
      <c r="AJ1658" s="313">
        <f>RTD("money.excel",,$G1658,"PredictVolume")</f>
        <v>452</v>
      </c>
      <c r="AK1658" s="348"/>
    </row>
    <row r="1659" spans="1:37">
      <c r="A1659" s="148" t="s">
        <v>3056</v>
      </c>
      <c r="B1659" s="93">
        <v>526</v>
      </c>
      <c r="C1659" s="93">
        <v>13</v>
      </c>
      <c r="D1659" s="93">
        <v>-23</v>
      </c>
      <c r="E1659" s="93">
        <v>-21</v>
      </c>
      <c r="F1659" s="6">
        <v>3.91</v>
      </c>
      <c r="G1659" s="81">
        <v>5906</v>
      </c>
      <c r="H1659" s="8" t="s">
        <v>330</v>
      </c>
      <c r="I1659" s="22" t="s">
        <v>865</v>
      </c>
      <c r="J1659" s="75">
        <v>74.209999999999994</v>
      </c>
      <c r="K1659" s="75">
        <v>19.72</v>
      </c>
      <c r="L1659" s="75">
        <v>8.8000000000000007</v>
      </c>
      <c r="N1659" s="325">
        <f t="shared" si="332"/>
        <v>102.72999999999999</v>
      </c>
      <c r="O1659" s="27"/>
      <c r="P1659" s="56"/>
      <c r="Q1659" s="26"/>
      <c r="S1659" s="330">
        <v>18.89</v>
      </c>
      <c r="T1659" s="34">
        <v>1</v>
      </c>
      <c r="U1659" s="366">
        <f t="shared" si="327"/>
        <v>2.6350461133069828E-2</v>
      </c>
      <c r="V1659" s="97">
        <v>2.35</v>
      </c>
      <c r="W1659" s="13">
        <f>RTD("money.excel",,"5906","Price")</f>
        <v>37.950000000000003</v>
      </c>
      <c r="X1659" s="67"/>
      <c r="Y1659" s="15">
        <f t="shared" si="328"/>
        <v>37.950000000000003</v>
      </c>
      <c r="Z1659" s="3" t="e">
        <f t="shared" si="329"/>
        <v>#DIV/0!</v>
      </c>
      <c r="AB1659" s="22" t="s">
        <v>865</v>
      </c>
      <c r="AE1659" s="33">
        <f t="shared" si="330"/>
        <v>0</v>
      </c>
      <c r="AF1659" s="43" t="s">
        <v>3391</v>
      </c>
      <c r="AG1659" s="128"/>
      <c r="AI1659" s="64">
        <f t="shared" si="331"/>
        <v>2.3333333333333333E-4</v>
      </c>
      <c r="AJ1659" s="313">
        <f>RTD("money.excel",,$G1659,"PredictVolume")</f>
        <v>7</v>
      </c>
      <c r="AK1659" s="348"/>
    </row>
    <row r="1660" spans="1:37">
      <c r="A1660" s="148" t="s">
        <v>1928</v>
      </c>
      <c r="B1660" s="81">
        <v>23</v>
      </c>
      <c r="C1660" s="81">
        <v>31</v>
      </c>
      <c r="D1660" s="81">
        <v>170</v>
      </c>
      <c r="E1660" s="82">
        <v>-60</v>
      </c>
      <c r="F1660" s="6">
        <v>2.14</v>
      </c>
      <c r="G1660" s="81">
        <v>5907</v>
      </c>
      <c r="H1660" s="8" t="s">
        <v>330</v>
      </c>
      <c r="I1660" s="22" t="s">
        <v>866</v>
      </c>
      <c r="J1660" s="75">
        <v>75.36</v>
      </c>
      <c r="K1660" s="330">
        <v>53.18</v>
      </c>
      <c r="L1660" s="330">
        <v>4.99</v>
      </c>
      <c r="N1660" s="325">
        <f t="shared" si="332"/>
        <v>133.53</v>
      </c>
      <c r="O1660" s="27"/>
      <c r="P1660" s="56"/>
      <c r="Q1660" s="26"/>
      <c r="S1660" s="330">
        <v>50.53</v>
      </c>
      <c r="T1660" s="34">
        <v>0</v>
      </c>
      <c r="U1660" s="366">
        <f t="shared" si="327"/>
        <v>0</v>
      </c>
      <c r="V1660" s="58">
        <v>-0.63</v>
      </c>
      <c r="W1660" s="13">
        <f>RTD("money.excel",,"5907","Price")</f>
        <v>17.5</v>
      </c>
      <c r="X1660" s="67"/>
      <c r="Y1660" s="15">
        <f t="shared" si="328"/>
        <v>17.5</v>
      </c>
      <c r="Z1660" s="3" t="e">
        <f t="shared" si="329"/>
        <v>#DIV/0!</v>
      </c>
      <c r="AA1660" s="174" t="s">
        <v>1943</v>
      </c>
      <c r="AB1660" s="22" t="s">
        <v>866</v>
      </c>
      <c r="AE1660" s="33">
        <f t="shared" si="330"/>
        <v>0</v>
      </c>
      <c r="AF1660" s="43" t="s">
        <v>3392</v>
      </c>
      <c r="AG1660" s="128"/>
      <c r="AI1660" s="64">
        <f t="shared" si="331"/>
        <v>2.2564102564102563E-4</v>
      </c>
      <c r="AJ1660" s="313">
        <f>RTD("money.excel",,$G1660,"PredictVolume")</f>
        <v>44</v>
      </c>
      <c r="AK1660" s="348"/>
    </row>
    <row r="1661" spans="1:37">
      <c r="A1661" s="148" t="s">
        <v>2215</v>
      </c>
      <c r="B1661" s="81">
        <v>132</v>
      </c>
      <c r="C1661" s="81">
        <v>103</v>
      </c>
      <c r="D1661" s="81">
        <v>12</v>
      </c>
      <c r="E1661" s="81">
        <v>21</v>
      </c>
      <c r="F1661" s="6">
        <v>9.07</v>
      </c>
      <c r="G1661" s="81">
        <v>6195</v>
      </c>
      <c r="H1661" s="8" t="s">
        <v>330</v>
      </c>
      <c r="I1661" s="16" t="s">
        <v>115</v>
      </c>
      <c r="J1661" s="75">
        <v>57.61</v>
      </c>
      <c r="K1661" s="75">
        <v>47.6</v>
      </c>
      <c r="L1661" s="75">
        <v>2.0299999999999998</v>
      </c>
      <c r="N1661" s="325">
        <f t="shared" si="332"/>
        <v>107.24000000000001</v>
      </c>
      <c r="O1661" s="27"/>
      <c r="P1661" s="56"/>
      <c r="Q1661" s="26"/>
      <c r="S1661" s="330">
        <v>0</v>
      </c>
      <c r="T1661" s="67">
        <v>4</v>
      </c>
      <c r="U1661" s="366">
        <f t="shared" si="327"/>
        <v>7.407407407407407E-2</v>
      </c>
      <c r="V1661" s="97">
        <v>4.88</v>
      </c>
      <c r="W1661" s="13">
        <f>RTD("money.excel",,"6195","Price")</f>
        <v>54</v>
      </c>
      <c r="X1661" s="67"/>
      <c r="Y1661" s="15">
        <f t="shared" si="328"/>
        <v>54</v>
      </c>
      <c r="Z1661" s="3" t="e">
        <f t="shared" si="329"/>
        <v>#DIV/0!</v>
      </c>
      <c r="AA1661" s="174" t="s">
        <v>2185</v>
      </c>
      <c r="AB1661" s="16" t="s">
        <v>115</v>
      </c>
      <c r="AE1661" s="33">
        <f t="shared" si="330"/>
        <v>0</v>
      </c>
      <c r="AF1661" s="122" t="s">
        <v>2991</v>
      </c>
      <c r="AG1661" s="128"/>
      <c r="AI1661" s="64">
        <f t="shared" si="331"/>
        <v>1.7057569296375264E-4</v>
      </c>
      <c r="AJ1661" s="313">
        <f>RTD("money.excel",,$G1661,"PredictVolume")</f>
        <v>8</v>
      </c>
      <c r="AK1661" s="348"/>
    </row>
    <row r="1662" spans="1:37">
      <c r="A1662" s="148" t="s">
        <v>2687</v>
      </c>
      <c r="B1662" s="81">
        <v>259</v>
      </c>
      <c r="C1662" s="81">
        <v>208</v>
      </c>
      <c r="D1662" s="81">
        <v>14</v>
      </c>
      <c r="E1662" s="81">
        <v>24</v>
      </c>
      <c r="F1662" s="6">
        <v>7.3</v>
      </c>
      <c r="G1662" s="81">
        <v>6728</v>
      </c>
      <c r="H1662" s="8" t="s">
        <v>330</v>
      </c>
      <c r="I1662" s="16" t="s">
        <v>2606</v>
      </c>
      <c r="J1662" s="75">
        <v>73.39</v>
      </c>
      <c r="K1662" s="330">
        <v>0</v>
      </c>
      <c r="N1662" s="325">
        <f t="shared" si="332"/>
        <v>73.39</v>
      </c>
      <c r="O1662" s="27"/>
      <c r="P1662" s="56"/>
      <c r="Q1662" s="26"/>
      <c r="T1662" s="67">
        <v>4.2</v>
      </c>
      <c r="U1662" s="366">
        <f t="shared" si="327"/>
        <v>2.8474576271186443E-2</v>
      </c>
      <c r="V1662" s="97">
        <v>5.25</v>
      </c>
      <c r="W1662" s="36">
        <f>RTD("money.excel",,"6728","Price")</f>
        <v>147.5</v>
      </c>
      <c r="X1662" s="67"/>
      <c r="Y1662" s="15">
        <f t="shared" si="328"/>
        <v>147.5</v>
      </c>
      <c r="Z1662" s="3" t="e">
        <f t="shared" si="329"/>
        <v>#DIV/0!</v>
      </c>
      <c r="AA1662" s="174" t="s">
        <v>1986</v>
      </c>
      <c r="AB1662" s="16" t="s">
        <v>2606</v>
      </c>
      <c r="AE1662" s="33">
        <f t="shared" si="330"/>
        <v>0</v>
      </c>
      <c r="AF1662" s="43" t="s">
        <v>2607</v>
      </c>
      <c r="AG1662" s="128"/>
      <c r="AI1662" s="64">
        <f t="shared" si="331"/>
        <v>5.3043478260869567E-3</v>
      </c>
      <c r="AJ1662" s="313">
        <f>RTD("money.excel",,$G1662,"PredictVolume")</f>
        <v>122</v>
      </c>
      <c r="AK1662" s="348"/>
    </row>
    <row r="1663" spans="1:37">
      <c r="A1663" s="148" t="s">
        <v>1836</v>
      </c>
      <c r="B1663" s="82">
        <v>-27</v>
      </c>
      <c r="C1663" s="82">
        <v>-23</v>
      </c>
      <c r="D1663" s="81">
        <v>12</v>
      </c>
      <c r="E1663" s="82">
        <v>-46</v>
      </c>
      <c r="F1663" s="6">
        <v>2.65</v>
      </c>
      <c r="G1663" s="81">
        <v>8066</v>
      </c>
      <c r="H1663" s="8" t="s">
        <v>330</v>
      </c>
      <c r="I1663" s="16" t="s">
        <v>851</v>
      </c>
      <c r="J1663" s="330">
        <v>0</v>
      </c>
      <c r="K1663" s="330">
        <v>8.43</v>
      </c>
      <c r="L1663" s="330">
        <v>6.89</v>
      </c>
      <c r="N1663" s="325">
        <f t="shared" si="332"/>
        <v>15.32</v>
      </c>
      <c r="O1663" s="27"/>
      <c r="P1663" s="56"/>
      <c r="Q1663" s="26"/>
      <c r="S1663" s="330">
        <v>0.19</v>
      </c>
      <c r="T1663" s="67">
        <v>3</v>
      </c>
      <c r="U1663" s="366">
        <f t="shared" si="327"/>
        <v>9.5846645367412137E-2</v>
      </c>
      <c r="V1663" s="97">
        <v>1.44</v>
      </c>
      <c r="W1663" s="36">
        <f>RTD("money.excel",,"8066","Price")</f>
        <v>31.3</v>
      </c>
      <c r="X1663" s="67"/>
      <c r="Y1663" s="15">
        <f t="shared" si="328"/>
        <v>31.3</v>
      </c>
      <c r="Z1663" s="3" t="e">
        <f t="shared" si="329"/>
        <v>#DIV/0!</v>
      </c>
      <c r="AA1663" s="174" t="s">
        <v>2185</v>
      </c>
      <c r="AB1663" s="16" t="s">
        <v>851</v>
      </c>
      <c r="AE1663" s="33">
        <f t="shared" si="330"/>
        <v>0</v>
      </c>
      <c r="AF1663" s="43" t="s">
        <v>3172</v>
      </c>
      <c r="AG1663" s="128"/>
      <c r="AI1663" s="64">
        <f t="shared" si="331"/>
        <v>2.1854304635761592E-3</v>
      </c>
      <c r="AJ1663" s="313">
        <f>RTD("money.excel",,$G1663,"PredictVolume")</f>
        <v>66</v>
      </c>
      <c r="AK1663" s="348"/>
    </row>
    <row r="1664" spans="1:37">
      <c r="A1664" s="148" t="s">
        <v>1806</v>
      </c>
      <c r="B1664" s="93">
        <v>-674</v>
      </c>
      <c r="C1664" s="93">
        <v>-604</v>
      </c>
      <c r="D1664" s="93">
        <v>76</v>
      </c>
      <c r="E1664" s="93">
        <v>-55</v>
      </c>
      <c r="F1664" s="75">
        <v>-168.94</v>
      </c>
      <c r="G1664" s="81">
        <v>8429</v>
      </c>
      <c r="H1664" s="8" t="s">
        <v>330</v>
      </c>
      <c r="I1664" s="22" t="s">
        <v>867</v>
      </c>
      <c r="J1664" s="75">
        <v>46.45</v>
      </c>
      <c r="K1664" s="75">
        <v>43.44</v>
      </c>
      <c r="L1664" s="75">
        <v>13.44</v>
      </c>
      <c r="N1664" s="325">
        <f t="shared" si="332"/>
        <v>103.33</v>
      </c>
      <c r="O1664" s="27"/>
      <c r="P1664" s="56"/>
      <c r="Q1664" s="26"/>
      <c r="S1664" s="330">
        <v>25.05</v>
      </c>
      <c r="T1664" s="34">
        <v>0.02</v>
      </c>
      <c r="U1664" s="366">
        <f t="shared" si="327"/>
        <v>1.8518518518518517E-3</v>
      </c>
      <c r="V1664" s="58">
        <v>-2.7</v>
      </c>
      <c r="W1664" s="36">
        <f>RTD("money.excel",,"8429","Price")</f>
        <v>10.8</v>
      </c>
      <c r="X1664" s="67"/>
      <c r="Y1664" s="15">
        <f t="shared" si="328"/>
        <v>10.8</v>
      </c>
      <c r="Z1664" s="3" t="e">
        <f t="shared" si="329"/>
        <v>#DIV/0!</v>
      </c>
      <c r="AB1664" s="22" t="s">
        <v>867</v>
      </c>
      <c r="AE1664" s="33">
        <f t="shared" si="330"/>
        <v>0</v>
      </c>
      <c r="AF1664" s="43" t="s">
        <v>3393</v>
      </c>
      <c r="AG1664" s="128"/>
      <c r="AI1664" s="64">
        <f t="shared" si="331"/>
        <v>5.2972972972972971E-4</v>
      </c>
      <c r="AJ1664" s="313">
        <f>RTD("money.excel",,$G1664,"PredictVolume")</f>
        <v>98</v>
      </c>
      <c r="AK1664" s="348"/>
    </row>
    <row r="1665" spans="1:37">
      <c r="A1665" s="132" t="s">
        <v>3618</v>
      </c>
      <c r="B1665" s="93">
        <v>-33</v>
      </c>
      <c r="C1665" s="93">
        <v>-7</v>
      </c>
      <c r="D1665" s="93">
        <v>7</v>
      </c>
      <c r="E1665" s="93">
        <v>-7</v>
      </c>
      <c r="F1665" s="58">
        <v>10.69</v>
      </c>
      <c r="G1665" s="81">
        <v>8433</v>
      </c>
      <c r="H1665" s="8" t="s">
        <v>330</v>
      </c>
      <c r="I1665" s="16" t="s">
        <v>6026</v>
      </c>
      <c r="J1665" s="330">
        <v>72.680000000000007</v>
      </c>
      <c r="K1665" s="75">
        <v>1.18</v>
      </c>
      <c r="L1665" s="330">
        <v>2.89</v>
      </c>
      <c r="N1665" s="325">
        <f t="shared" si="332"/>
        <v>76.750000000000014</v>
      </c>
      <c r="O1665" s="27"/>
      <c r="P1665" s="56"/>
      <c r="Q1665" s="26"/>
      <c r="S1665" s="330">
        <v>38.42</v>
      </c>
      <c r="T1665" s="34">
        <v>2</v>
      </c>
      <c r="U1665" s="366">
        <f t="shared" si="327"/>
        <v>4.4543429844097995E-2</v>
      </c>
      <c r="V1665" s="97">
        <v>3.35</v>
      </c>
      <c r="W1665" s="13">
        <f>RTD("money.excel",,"8433","Price")</f>
        <v>44.9</v>
      </c>
      <c r="X1665" s="67"/>
      <c r="Y1665" s="15">
        <f t="shared" si="328"/>
        <v>44.9</v>
      </c>
      <c r="Z1665" s="3" t="e">
        <f t="shared" si="329"/>
        <v>#DIV/0!</v>
      </c>
      <c r="AB1665" s="16" t="s">
        <v>6026</v>
      </c>
      <c r="AE1665" s="33">
        <f t="shared" si="330"/>
        <v>0</v>
      </c>
      <c r="AF1665" s="122" t="s">
        <v>1484</v>
      </c>
      <c r="AG1665" s="128"/>
      <c r="AI1665" s="64">
        <f t="shared" si="331"/>
        <v>3.6468330134357008E-4</v>
      </c>
      <c r="AJ1665" s="313">
        <f>RTD("money.excel",,$G1665,"PredictVolume")</f>
        <v>19</v>
      </c>
      <c r="AK1665" s="348"/>
    </row>
    <row r="1666" spans="1:37">
      <c r="A1666" s="148" t="s">
        <v>3707</v>
      </c>
      <c r="B1666" s="93">
        <v>-211</v>
      </c>
      <c r="C1666" s="93">
        <v>-140</v>
      </c>
      <c r="D1666" s="93">
        <v>32</v>
      </c>
      <c r="E1666" s="93">
        <v>5</v>
      </c>
      <c r="F1666" s="6">
        <v>-19.54</v>
      </c>
      <c r="G1666" s="81">
        <v>8443</v>
      </c>
      <c r="H1666" s="8" t="s">
        <v>330</v>
      </c>
      <c r="I1666" s="22" t="s">
        <v>868</v>
      </c>
      <c r="J1666" s="75">
        <v>74.540000000000006</v>
      </c>
      <c r="K1666" s="75">
        <v>8.23</v>
      </c>
      <c r="L1666" s="75">
        <v>2.17</v>
      </c>
      <c r="N1666" s="325">
        <f t="shared" si="332"/>
        <v>84.940000000000012</v>
      </c>
      <c r="O1666" s="27"/>
      <c r="P1666" s="56"/>
      <c r="Q1666" s="26"/>
      <c r="S1666" s="330">
        <v>13.19</v>
      </c>
      <c r="T1666" s="34">
        <v>0.15</v>
      </c>
      <c r="U1666" s="366">
        <f t="shared" si="327"/>
        <v>1.2931034482758621E-2</v>
      </c>
      <c r="V1666" s="97">
        <v>-2.81</v>
      </c>
      <c r="W1666" s="13">
        <f>RTD("money.excel",,"8443","Price")</f>
        <v>11.6</v>
      </c>
      <c r="X1666" s="67"/>
      <c r="Y1666" s="15">
        <f t="shared" si="328"/>
        <v>11.6</v>
      </c>
      <c r="Z1666" s="3" t="e">
        <f t="shared" si="329"/>
        <v>#DIV/0!</v>
      </c>
      <c r="AB1666" s="22" t="s">
        <v>868</v>
      </c>
      <c r="AE1666" s="33">
        <f t="shared" si="330"/>
        <v>0</v>
      </c>
      <c r="AF1666" s="43" t="s">
        <v>3394</v>
      </c>
      <c r="AG1666" s="128"/>
      <c r="AI1666" s="64">
        <f t="shared" si="331"/>
        <v>1.7964071856287425E-4</v>
      </c>
      <c r="AJ1666" s="313">
        <f>RTD("money.excel",,$G1666,"PredictVolume")</f>
        <v>12</v>
      </c>
      <c r="AK1666" s="348"/>
    </row>
    <row r="1667" spans="1:37">
      <c r="A1667" s="148" t="s">
        <v>1945</v>
      </c>
      <c r="B1667" s="81">
        <v>77</v>
      </c>
      <c r="C1667" s="81">
        <v>96</v>
      </c>
      <c r="D1667" s="82">
        <v>-34</v>
      </c>
      <c r="E1667" s="81">
        <v>23</v>
      </c>
      <c r="F1667" s="6">
        <v>4.72</v>
      </c>
      <c r="G1667" s="81">
        <v>8454</v>
      </c>
      <c r="H1667" s="8" t="s">
        <v>330</v>
      </c>
      <c r="I1667" s="22" t="s">
        <v>133</v>
      </c>
      <c r="J1667" s="330">
        <v>76.27</v>
      </c>
      <c r="K1667" s="75">
        <v>32.369999999999997</v>
      </c>
      <c r="L1667" s="330">
        <v>0.83</v>
      </c>
      <c r="M1667" s="330">
        <v>55.87</v>
      </c>
      <c r="N1667" s="75">
        <f t="shared" si="332"/>
        <v>165.33999999999997</v>
      </c>
      <c r="O1667" s="27" t="s">
        <v>3878</v>
      </c>
      <c r="P1667" s="56"/>
      <c r="Q1667" s="26"/>
      <c r="R1667" s="308" t="s">
        <v>4373</v>
      </c>
      <c r="S1667" s="330">
        <v>0.97</v>
      </c>
      <c r="T1667" s="67">
        <v>13</v>
      </c>
      <c r="U1667" s="366">
        <f t="shared" si="327"/>
        <v>1.4976958525345621E-2</v>
      </c>
      <c r="V1667" s="58">
        <v>18.47</v>
      </c>
      <c r="W1667" s="36">
        <f>RTD("money.excel",,"8454","Price")</f>
        <v>868</v>
      </c>
      <c r="X1667" s="67"/>
      <c r="Y1667" s="143">
        <f t="shared" si="328"/>
        <v>868</v>
      </c>
      <c r="Z1667" s="3" t="e">
        <f t="shared" si="329"/>
        <v>#DIV/0!</v>
      </c>
      <c r="AA1667" s="174" t="s">
        <v>2185</v>
      </c>
      <c r="AB1667" s="22" t="s">
        <v>133</v>
      </c>
      <c r="AE1667" s="33">
        <f t="shared" si="330"/>
        <v>0</v>
      </c>
      <c r="AF1667" s="122" t="s">
        <v>3395</v>
      </c>
      <c r="AG1667" s="128"/>
      <c r="AI1667" s="64">
        <f t="shared" si="331"/>
        <v>4.7802197802197799E-3</v>
      </c>
      <c r="AJ1667" s="313">
        <f>RTD("money.excel",,$G1667,"PredictVolume")</f>
        <v>870</v>
      </c>
      <c r="AK1667" s="348">
        <v>2.68</v>
      </c>
    </row>
    <row r="1668" spans="1:37">
      <c r="A1668" s="148" t="s">
        <v>3581</v>
      </c>
      <c r="B1668" s="93">
        <v>25</v>
      </c>
      <c r="C1668" s="93">
        <v>111</v>
      </c>
      <c r="D1668" s="93">
        <v>-25</v>
      </c>
      <c r="E1668" s="93">
        <v>45</v>
      </c>
      <c r="F1668" s="6">
        <v>3.04</v>
      </c>
      <c r="G1668" s="81">
        <v>8941</v>
      </c>
      <c r="H1668" s="8" t="s">
        <v>330</v>
      </c>
      <c r="I1668" s="16" t="s">
        <v>852</v>
      </c>
      <c r="J1668" s="75">
        <v>72.58</v>
      </c>
      <c r="K1668" s="75">
        <v>1.21</v>
      </c>
      <c r="L1668" s="75">
        <v>19.940000000000001</v>
      </c>
      <c r="N1668" s="325">
        <f t="shared" si="332"/>
        <v>93.72999999999999</v>
      </c>
      <c r="O1668" s="27"/>
      <c r="P1668" s="56"/>
      <c r="Q1668" s="26"/>
      <c r="S1668" s="330">
        <v>39.35</v>
      </c>
      <c r="T1668" s="34">
        <v>2.5</v>
      </c>
      <c r="U1668" s="366">
        <f t="shared" si="327"/>
        <v>6.6666666666666666E-2</v>
      </c>
      <c r="V1668" s="58">
        <v>2.98</v>
      </c>
      <c r="W1668" s="36">
        <f>RTD("money.excel",,"8941","Price")</f>
        <v>37.5</v>
      </c>
      <c r="X1668" s="67"/>
      <c r="Y1668" s="15">
        <f t="shared" si="328"/>
        <v>37.5</v>
      </c>
      <c r="Z1668" s="3" t="e">
        <f t="shared" si="329"/>
        <v>#DIV/0!</v>
      </c>
      <c r="AB1668" s="16" t="s">
        <v>852</v>
      </c>
      <c r="AE1668" s="33">
        <f t="shared" si="330"/>
        <v>0</v>
      </c>
      <c r="AF1668" s="43" t="s">
        <v>3173</v>
      </c>
      <c r="AG1668" s="128"/>
      <c r="AI1668" s="64">
        <f t="shared" si="331"/>
        <v>1.6447368421052631E-4</v>
      </c>
      <c r="AJ1668" s="313">
        <f>RTD("money.excel",,$G1668,"PredictVolume")</f>
        <v>5</v>
      </c>
      <c r="AK1668" s="348"/>
    </row>
    <row r="1669" spans="1:37">
      <c r="A1669" s="132" t="s">
        <v>3474</v>
      </c>
      <c r="B1669" s="93">
        <v>55</v>
      </c>
      <c r="C1669" s="93">
        <v>98</v>
      </c>
      <c r="D1669" s="93">
        <v>-4</v>
      </c>
      <c r="E1669" s="93">
        <v>41</v>
      </c>
      <c r="F1669" s="58">
        <v>10.83</v>
      </c>
      <c r="G1669" s="81">
        <v>9960</v>
      </c>
      <c r="H1669" s="8" t="s">
        <v>330</v>
      </c>
      <c r="I1669" s="16" t="s">
        <v>853</v>
      </c>
      <c r="J1669" s="75">
        <v>77.819999999999993</v>
      </c>
      <c r="K1669" s="75">
        <v>5.04</v>
      </c>
      <c r="L1669" s="75">
        <v>64.900000000000006</v>
      </c>
      <c r="N1669" s="325">
        <f t="shared" si="332"/>
        <v>147.76</v>
      </c>
      <c r="O1669" s="27"/>
      <c r="P1669" s="56"/>
      <c r="Q1669" s="26"/>
      <c r="S1669" s="330">
        <v>19.64</v>
      </c>
      <c r="T1669" s="34">
        <v>1</v>
      </c>
      <c r="U1669" s="366">
        <f t="shared" si="327"/>
        <v>3.8461538461538464E-2</v>
      </c>
      <c r="V1669" s="97">
        <v>1.41</v>
      </c>
      <c r="W1669" s="13">
        <f>RTD("money.excel",,"9960","Price")</f>
        <v>26</v>
      </c>
      <c r="X1669" s="67"/>
      <c r="Y1669" s="15">
        <f t="shared" si="328"/>
        <v>26</v>
      </c>
      <c r="Z1669" s="3" t="e">
        <f t="shared" si="329"/>
        <v>#DIV/0!</v>
      </c>
      <c r="AB1669" s="16" t="s">
        <v>853</v>
      </c>
      <c r="AE1669" s="33">
        <f t="shared" si="330"/>
        <v>0</v>
      </c>
      <c r="AF1669" s="43" t="s">
        <v>3174</v>
      </c>
      <c r="AG1669" s="128"/>
      <c r="AI1669" s="64">
        <f t="shared" si="331"/>
        <v>1.0714285714285715E-3</v>
      </c>
      <c r="AJ1669" s="313">
        <f>RTD("money.excel",,$G1669,"PredictVolume")</f>
        <v>36</v>
      </c>
      <c r="AK1669" s="348"/>
    </row>
    <row r="1670" spans="1:37">
      <c r="B1670" s="93"/>
      <c r="C1670" s="93"/>
      <c r="D1670" s="93"/>
      <c r="E1670" s="93"/>
      <c r="F1670" s="58"/>
      <c r="G1670" s="81"/>
      <c r="H1670" s="8"/>
      <c r="I1670" s="16"/>
      <c r="J1670" s="75"/>
      <c r="K1670" s="75"/>
      <c r="N1670" s="325"/>
      <c r="O1670" s="27"/>
      <c r="P1670" s="56"/>
      <c r="Q1670" s="26"/>
      <c r="T1670" s="34"/>
      <c r="V1670" s="97"/>
      <c r="W1670" s="13"/>
      <c r="X1670" s="67"/>
      <c r="Y1670" s="15"/>
      <c r="Z1670" s="3"/>
      <c r="AB1670" s="16"/>
      <c r="AE1670" s="33"/>
      <c r="AF1670" s="43"/>
      <c r="AG1670" s="128"/>
      <c r="AI1670" s="64"/>
      <c r="AJ1670" s="313"/>
      <c r="AK1670" s="348"/>
    </row>
    <row r="1671" spans="1:37">
      <c r="A1671" s="132" t="s">
        <v>1854</v>
      </c>
      <c r="B1671" s="93" t="s">
        <v>1657</v>
      </c>
      <c r="C1671" s="93" t="s">
        <v>1658</v>
      </c>
      <c r="D1671" s="93" t="s">
        <v>1659</v>
      </c>
      <c r="E1671" s="93" t="s">
        <v>1660</v>
      </c>
      <c r="F1671" s="8" t="s">
        <v>1122</v>
      </c>
      <c r="G1671" s="27" t="s">
        <v>1035</v>
      </c>
      <c r="H1671" s="55" t="s">
        <v>342</v>
      </c>
      <c r="I1671" s="8" t="s">
        <v>332</v>
      </c>
      <c r="J1671" s="324" t="s">
        <v>1529</v>
      </c>
      <c r="K1671" s="324" t="s">
        <v>1217</v>
      </c>
      <c r="L1671" s="324" t="s">
        <v>298</v>
      </c>
      <c r="M1671" s="324" t="s">
        <v>1115</v>
      </c>
      <c r="N1671" s="324" t="s">
        <v>6091</v>
      </c>
      <c r="O1671" s="27" t="s">
        <v>6253</v>
      </c>
      <c r="P1671" s="56" t="s">
        <v>6219</v>
      </c>
      <c r="Q1671" s="26" t="s">
        <v>6313</v>
      </c>
      <c r="R1671" s="309" t="s">
        <v>4371</v>
      </c>
      <c r="S1671" s="335" t="s">
        <v>4398</v>
      </c>
      <c r="T1671" s="10" t="s">
        <v>75</v>
      </c>
      <c r="U1671" s="364" t="s">
        <v>6152</v>
      </c>
      <c r="V1671" s="69" t="s">
        <v>4022</v>
      </c>
      <c r="W1671" s="28" t="s">
        <v>2</v>
      </c>
      <c r="X1671" s="17" t="s">
        <v>1465</v>
      </c>
      <c r="Y1671" s="14" t="s">
        <v>5</v>
      </c>
      <c r="Z1671" s="21" t="s">
        <v>3</v>
      </c>
      <c r="AA1671" s="322" t="s">
        <v>117</v>
      </c>
      <c r="AB1671" s="8" t="s">
        <v>332</v>
      </c>
      <c r="AC1671" s="73" t="s">
        <v>1466</v>
      </c>
      <c r="AD1671" s="74" t="s">
        <v>1223</v>
      </c>
      <c r="AE1671" s="32" t="s">
        <v>1224</v>
      </c>
      <c r="AF1671" s="43"/>
      <c r="AG1671" s="128"/>
      <c r="AI1671" s="8" t="s">
        <v>4414</v>
      </c>
      <c r="AJ1671" s="50" t="s">
        <v>4121</v>
      </c>
      <c r="AK1671" s="348" t="s">
        <v>6074</v>
      </c>
    </row>
    <row r="1672" spans="1:37">
      <c r="A1672" s="148" t="s">
        <v>2506</v>
      </c>
      <c r="B1672" s="93">
        <v>7</v>
      </c>
      <c r="C1672" s="93">
        <v>185</v>
      </c>
      <c r="D1672" s="93">
        <v>4</v>
      </c>
      <c r="E1672" s="93">
        <v>1</v>
      </c>
      <c r="F1672" s="6">
        <v>2.48</v>
      </c>
      <c r="G1672" s="81">
        <v>2616</v>
      </c>
      <c r="H1672" s="8" t="s">
        <v>332</v>
      </c>
      <c r="I1672" s="22" t="s">
        <v>1040</v>
      </c>
      <c r="J1672" s="75">
        <v>59.59</v>
      </c>
      <c r="K1672" s="75">
        <v>3.73</v>
      </c>
      <c r="L1672" s="75">
        <v>0.18</v>
      </c>
      <c r="N1672" s="325">
        <f t="shared" ref="N1672" si="333">J1672+K1672+L1672+M1672</f>
        <v>63.5</v>
      </c>
      <c r="O1672" s="27"/>
      <c r="P1672" s="56"/>
      <c r="Q1672" s="26"/>
      <c r="S1672" s="330">
        <v>29.98</v>
      </c>
      <c r="T1672" s="34">
        <v>2.2000000000000002</v>
      </c>
      <c r="U1672" s="366">
        <f t="shared" ref="U1672:U1683" si="334">T1672/W1672</f>
        <v>5.6994818652849742E-2</v>
      </c>
      <c r="V1672" s="97">
        <v>2.73</v>
      </c>
      <c r="W1672" s="13">
        <f>RTD("money.excel",,"2616","Price")</f>
        <v>38.6</v>
      </c>
      <c r="X1672" s="67"/>
      <c r="Y1672" s="15">
        <f t="shared" ref="Y1672:Y1683" si="335">W1672-X1672</f>
        <v>38.6</v>
      </c>
      <c r="Z1672" s="3" t="e">
        <f t="shared" ref="Z1672:Z1683" si="336">Y1672/X1672</f>
        <v>#DIV/0!</v>
      </c>
      <c r="AB1672" s="22" t="s">
        <v>1040</v>
      </c>
      <c r="AE1672" s="33">
        <f t="shared" ref="AE1672:AE1683" si="337">AD1672-AC1672</f>
        <v>0</v>
      </c>
      <c r="AF1672" s="43" t="s">
        <v>3207</v>
      </c>
      <c r="AG1672" s="128"/>
      <c r="AI1672" s="64">
        <f t="shared" ref="AI1672:AI1683" si="338">AJ1672/(A1672*10000)</f>
        <v>6.9343065693430652E-4</v>
      </c>
      <c r="AJ1672" s="313">
        <f>RTD("money.excel",,$G1672,"PredictVolume")</f>
        <v>95</v>
      </c>
      <c r="AK1672" s="348"/>
    </row>
    <row r="1673" spans="1:37">
      <c r="A1673" s="148" t="s">
        <v>2292</v>
      </c>
      <c r="B1673" s="82">
        <v>-1</v>
      </c>
      <c r="C1673" s="81">
        <v>125</v>
      </c>
      <c r="D1673" s="81">
        <v>31</v>
      </c>
      <c r="E1673" s="81">
        <v>48</v>
      </c>
      <c r="F1673" s="6">
        <v>4.4000000000000004</v>
      </c>
      <c r="G1673" s="81">
        <v>8926</v>
      </c>
      <c r="H1673" s="8" t="s">
        <v>332</v>
      </c>
      <c r="I1673" s="22" t="s">
        <v>1041</v>
      </c>
      <c r="J1673" s="330">
        <v>53.91</v>
      </c>
      <c r="K1673" s="330">
        <v>7.72</v>
      </c>
      <c r="L1673" s="330">
        <v>3.54</v>
      </c>
      <c r="N1673" s="325">
        <f t="shared" ref="N1673:N1682" si="339">J1673+K1673+L1673+M1673</f>
        <v>65.17</v>
      </c>
      <c r="O1673" s="27"/>
      <c r="P1673" s="56"/>
      <c r="Q1673" s="26"/>
      <c r="S1673" s="330">
        <v>0.01</v>
      </c>
      <c r="T1673" s="34">
        <v>1.9</v>
      </c>
      <c r="U1673" s="366">
        <f t="shared" si="334"/>
        <v>5.1420838971583213E-2</v>
      </c>
      <c r="V1673" s="97">
        <v>1.81</v>
      </c>
      <c r="W1673" s="36">
        <f>RTD("money.excel",,"8926","Price")</f>
        <v>36.950000000000003</v>
      </c>
      <c r="X1673" s="67"/>
      <c r="Y1673" s="15">
        <f t="shared" si="335"/>
        <v>36.950000000000003</v>
      </c>
      <c r="Z1673" s="3" t="e">
        <f t="shared" si="336"/>
        <v>#DIV/0!</v>
      </c>
      <c r="AB1673" s="22" t="s">
        <v>1041</v>
      </c>
      <c r="AE1673" s="33">
        <f t="shared" si="337"/>
        <v>0</v>
      </c>
      <c r="AF1673" s="43" t="s">
        <v>2295</v>
      </c>
      <c r="AG1673" s="128"/>
      <c r="AI1673" s="64">
        <f t="shared" si="338"/>
        <v>8.9473684210526316E-4</v>
      </c>
      <c r="AJ1673" s="313">
        <f>RTD("money.excel",,$G1673,"PredictVolume")</f>
        <v>527</v>
      </c>
      <c r="AK1673" s="348"/>
    </row>
    <row r="1674" spans="1:37">
      <c r="A1674" s="132" t="s">
        <v>1793</v>
      </c>
      <c r="B1674" s="81">
        <v>22</v>
      </c>
      <c r="C1674" s="81">
        <v>34</v>
      </c>
      <c r="D1674" s="81">
        <v>0</v>
      </c>
      <c r="E1674" s="82">
        <v>-6</v>
      </c>
      <c r="F1674" s="58">
        <v>19.16</v>
      </c>
      <c r="G1674" s="81">
        <v>8917</v>
      </c>
      <c r="H1674" s="8" t="s">
        <v>332</v>
      </c>
      <c r="I1674" s="16" t="s">
        <v>1037</v>
      </c>
      <c r="J1674" s="75">
        <v>65.709999999999994</v>
      </c>
      <c r="K1674" s="75">
        <v>1.3</v>
      </c>
      <c r="L1674" s="75">
        <v>0.01</v>
      </c>
      <c r="N1674" s="325">
        <f t="shared" si="339"/>
        <v>67.02</v>
      </c>
      <c r="O1674" s="27"/>
      <c r="P1674" s="56"/>
      <c r="Q1674" s="26"/>
      <c r="S1674" s="330">
        <v>0</v>
      </c>
      <c r="T1674" s="34">
        <v>2.5</v>
      </c>
      <c r="U1674" s="366">
        <f t="shared" si="334"/>
        <v>2.7777777777777776E-2</v>
      </c>
      <c r="V1674" s="97">
        <v>2.4700000000000002</v>
      </c>
      <c r="W1674" s="36">
        <f>RTD("money.excel",,"8917","Price")</f>
        <v>90</v>
      </c>
      <c r="X1674" s="67"/>
      <c r="Y1674" s="15">
        <f t="shared" si="335"/>
        <v>90</v>
      </c>
      <c r="Z1674" s="3" t="e">
        <f t="shared" si="336"/>
        <v>#DIV/0!</v>
      </c>
      <c r="AB1674" s="16" t="s">
        <v>1037</v>
      </c>
      <c r="AE1674" s="33">
        <f t="shared" si="337"/>
        <v>0</v>
      </c>
      <c r="AF1674" s="43" t="s">
        <v>3206</v>
      </c>
      <c r="AG1674" s="128"/>
      <c r="AI1674" s="64">
        <f t="shared" si="338"/>
        <v>7.4626865671641793E-6</v>
      </c>
      <c r="AJ1674" s="313">
        <f>RTD("money.excel",,$G1674,"PredictVolume")</f>
        <v>1</v>
      </c>
      <c r="AK1674" s="348"/>
    </row>
    <row r="1675" spans="1:37">
      <c r="A1675" s="132" t="s">
        <v>2455</v>
      </c>
      <c r="B1675" s="93">
        <v>-4</v>
      </c>
      <c r="C1675" s="93">
        <v>-17</v>
      </c>
      <c r="D1675" s="93">
        <v>6</v>
      </c>
      <c r="E1675" s="93">
        <v>-15</v>
      </c>
      <c r="F1675" s="58">
        <v>14.84</v>
      </c>
      <c r="G1675" s="81">
        <v>9931</v>
      </c>
      <c r="H1675" s="8" t="s">
        <v>332</v>
      </c>
      <c r="I1675" s="22" t="s">
        <v>1045</v>
      </c>
      <c r="J1675" s="75">
        <v>78.19</v>
      </c>
      <c r="K1675" s="75">
        <v>0.41</v>
      </c>
      <c r="L1675" s="75">
        <v>0.03</v>
      </c>
      <c r="N1675" s="325">
        <f t="shared" si="339"/>
        <v>78.63</v>
      </c>
      <c r="O1675" s="27"/>
      <c r="P1675" s="56"/>
      <c r="Q1675" s="26"/>
      <c r="S1675" s="330">
        <v>27.66</v>
      </c>
      <c r="T1675" s="34">
        <v>1.3</v>
      </c>
      <c r="U1675" s="366">
        <f t="shared" si="334"/>
        <v>3.2911392405063293E-2</v>
      </c>
      <c r="V1675" s="97">
        <v>1.79</v>
      </c>
      <c r="W1675" s="13">
        <f>RTD("money.excel",,"9931","Price")</f>
        <v>39.5</v>
      </c>
      <c r="X1675" s="67"/>
      <c r="Y1675" s="15">
        <f t="shared" si="335"/>
        <v>39.5</v>
      </c>
      <c r="Z1675" s="3" t="e">
        <f t="shared" si="336"/>
        <v>#DIV/0!</v>
      </c>
      <c r="AB1675" s="22" t="s">
        <v>1045</v>
      </c>
      <c r="AE1675" s="33">
        <f t="shared" si="337"/>
        <v>0</v>
      </c>
      <c r="AF1675" s="43" t="s">
        <v>3206</v>
      </c>
      <c r="AG1675" s="128"/>
      <c r="AI1675" s="64">
        <f t="shared" si="338"/>
        <v>2.7272727272727273E-5</v>
      </c>
      <c r="AJ1675" s="313">
        <f>RTD("money.excel",,$G1675,"PredictVolume")</f>
        <v>3</v>
      </c>
      <c r="AK1675" s="348"/>
    </row>
    <row r="1676" spans="1:37">
      <c r="A1676" s="132" t="s">
        <v>1773</v>
      </c>
      <c r="B1676" s="81">
        <v>24</v>
      </c>
      <c r="C1676" s="81">
        <v>43</v>
      </c>
      <c r="D1676" s="81">
        <v>28</v>
      </c>
      <c r="E1676" s="82">
        <v>-8</v>
      </c>
      <c r="F1676" s="58">
        <v>14.17</v>
      </c>
      <c r="G1676" s="81">
        <v>8931</v>
      </c>
      <c r="H1676" s="8" t="s">
        <v>332</v>
      </c>
      <c r="I1676" s="16" t="s">
        <v>1039</v>
      </c>
      <c r="J1676" s="75">
        <v>74.75</v>
      </c>
      <c r="K1676" s="75">
        <v>0.18</v>
      </c>
      <c r="L1676" s="75">
        <v>7.75</v>
      </c>
      <c r="N1676" s="325">
        <f t="shared" si="339"/>
        <v>82.68</v>
      </c>
      <c r="O1676" s="27"/>
      <c r="P1676" s="56"/>
      <c r="Q1676" s="26"/>
      <c r="S1676" s="330">
        <v>0</v>
      </c>
      <c r="T1676" s="34">
        <v>1.4</v>
      </c>
      <c r="U1676" s="366">
        <f t="shared" si="334"/>
        <v>4.4515103338632747E-2</v>
      </c>
      <c r="V1676" s="58">
        <v>1.49</v>
      </c>
      <c r="W1676" s="36">
        <f>RTD("money.excel",,"8931","Price")</f>
        <v>31.45</v>
      </c>
      <c r="X1676" s="67"/>
      <c r="Y1676" s="15">
        <f t="shared" si="335"/>
        <v>31.45</v>
      </c>
      <c r="Z1676" s="3" t="e">
        <f t="shared" si="336"/>
        <v>#DIV/0!</v>
      </c>
      <c r="AB1676" s="16" t="s">
        <v>1039</v>
      </c>
      <c r="AE1676" s="33">
        <f t="shared" si="337"/>
        <v>0</v>
      </c>
      <c r="AF1676" s="43" t="s">
        <v>2295</v>
      </c>
      <c r="AG1676" s="128"/>
      <c r="AI1676" s="64">
        <f t="shared" si="338"/>
        <v>4.1803278688524591E-4</v>
      </c>
      <c r="AJ1676" s="313">
        <f>RTD("money.excel",,$G1676,"PredictVolume")</f>
        <v>51</v>
      </c>
      <c r="AK1676" s="348"/>
    </row>
    <row r="1677" spans="1:37">
      <c r="A1677" s="132" t="s">
        <v>2394</v>
      </c>
      <c r="B1677" s="93">
        <v>7</v>
      </c>
      <c r="C1677" s="93">
        <v>36</v>
      </c>
      <c r="D1677" s="93">
        <v>31</v>
      </c>
      <c r="E1677" s="93">
        <v>-12</v>
      </c>
      <c r="F1677" s="58">
        <v>16.09</v>
      </c>
      <c r="G1677" s="81">
        <v>9918</v>
      </c>
      <c r="H1677" s="8" t="s">
        <v>332</v>
      </c>
      <c r="I1677" s="22" t="s">
        <v>1043</v>
      </c>
      <c r="J1677" s="75">
        <v>84.02</v>
      </c>
      <c r="K1677" s="75">
        <v>1.04</v>
      </c>
      <c r="L1677" s="75">
        <v>0.04</v>
      </c>
      <c r="N1677" s="325">
        <f t="shared" si="339"/>
        <v>85.100000000000009</v>
      </c>
      <c r="O1677" s="27"/>
      <c r="P1677" s="56"/>
      <c r="Q1677" s="26"/>
      <c r="S1677" s="330">
        <v>42.54</v>
      </c>
      <c r="T1677" s="34">
        <v>1.6</v>
      </c>
      <c r="U1677" s="366">
        <f t="shared" si="334"/>
        <v>3.7914691943127965E-2</v>
      </c>
      <c r="V1677" s="97">
        <v>1.84</v>
      </c>
      <c r="W1677" s="13">
        <f>RTD("money.excel",,"9918","Price")</f>
        <v>42.2</v>
      </c>
      <c r="X1677" s="67"/>
      <c r="Y1677" s="15">
        <f t="shared" si="335"/>
        <v>42.2</v>
      </c>
      <c r="Z1677" s="3" t="e">
        <f t="shared" si="336"/>
        <v>#DIV/0!</v>
      </c>
      <c r="AB1677" s="22" t="s">
        <v>1043</v>
      </c>
      <c r="AE1677" s="33">
        <f t="shared" si="337"/>
        <v>0</v>
      </c>
      <c r="AF1677" s="43" t="s">
        <v>3206</v>
      </c>
      <c r="AG1677" s="128"/>
      <c r="AI1677" s="64">
        <f t="shared" si="338"/>
        <v>6.1111111111111107E-5</v>
      </c>
      <c r="AJ1677" s="313">
        <f>RTD("money.excel",,$G1677,"PredictVolume")</f>
        <v>11</v>
      </c>
      <c r="AK1677" s="348"/>
    </row>
    <row r="1678" spans="1:37">
      <c r="A1678" s="132" t="s">
        <v>3657</v>
      </c>
      <c r="B1678" s="93">
        <v>16</v>
      </c>
      <c r="C1678" s="93">
        <v>15</v>
      </c>
      <c r="D1678" s="93">
        <v>24</v>
      </c>
      <c r="E1678" s="93">
        <v>2</v>
      </c>
      <c r="F1678" s="58">
        <v>15.58</v>
      </c>
      <c r="G1678" s="81">
        <v>9926</v>
      </c>
      <c r="H1678" s="8" t="s">
        <v>332</v>
      </c>
      <c r="I1678" s="22" t="s">
        <v>1044</v>
      </c>
      <c r="J1678" s="75">
        <v>85.52</v>
      </c>
      <c r="K1678" s="75">
        <v>0.23</v>
      </c>
      <c r="N1678" s="325">
        <f t="shared" si="339"/>
        <v>85.75</v>
      </c>
      <c r="O1678" s="27"/>
      <c r="P1678" s="56"/>
      <c r="Q1678" s="26"/>
      <c r="S1678" s="330">
        <v>22.05</v>
      </c>
      <c r="T1678" s="34">
        <v>1.8</v>
      </c>
      <c r="U1678" s="366">
        <f t="shared" si="334"/>
        <v>3.7151702786377708E-2</v>
      </c>
      <c r="V1678" s="97">
        <v>2.34</v>
      </c>
      <c r="W1678" s="13">
        <f>RTD("money.excel",,"9926","Price")</f>
        <v>48.45</v>
      </c>
      <c r="X1678" s="67"/>
      <c r="Y1678" s="15">
        <f t="shared" si="335"/>
        <v>48.45</v>
      </c>
      <c r="Z1678" s="3" t="e">
        <f t="shared" si="336"/>
        <v>#DIV/0!</v>
      </c>
      <c r="AB1678" s="22" t="s">
        <v>1044</v>
      </c>
      <c r="AE1678" s="33">
        <f t="shared" si="337"/>
        <v>0</v>
      </c>
      <c r="AF1678" s="43" t="s">
        <v>3206</v>
      </c>
      <c r="AG1678" s="128"/>
      <c r="AI1678" s="64">
        <f t="shared" si="338"/>
        <v>2.7932960893854749E-5</v>
      </c>
      <c r="AJ1678" s="313">
        <f>RTD("money.excel",,$G1678,"PredictVolume")</f>
        <v>5</v>
      </c>
      <c r="AK1678" s="348"/>
    </row>
    <row r="1679" spans="1:37">
      <c r="A1679" s="148" t="s">
        <v>2350</v>
      </c>
      <c r="B1679" s="81">
        <v>4</v>
      </c>
      <c r="C1679" s="82">
        <v>-6</v>
      </c>
      <c r="D1679" s="81">
        <v>10</v>
      </c>
      <c r="E1679" s="82">
        <v>-20</v>
      </c>
      <c r="F1679" s="6">
        <v>7</v>
      </c>
      <c r="G1679" s="81">
        <v>8908</v>
      </c>
      <c r="H1679" s="8" t="s">
        <v>332</v>
      </c>
      <c r="I1679" s="16" t="s">
        <v>1036</v>
      </c>
      <c r="J1679" s="75">
        <v>85.74</v>
      </c>
      <c r="K1679" s="75">
        <v>0.02</v>
      </c>
      <c r="L1679" s="75">
        <v>0.03</v>
      </c>
      <c r="N1679" s="325">
        <f t="shared" si="339"/>
        <v>85.789999999999992</v>
      </c>
      <c r="O1679" s="27"/>
      <c r="P1679" s="56"/>
      <c r="Q1679" s="26"/>
      <c r="S1679" s="330">
        <v>0</v>
      </c>
      <c r="T1679" s="34">
        <v>1.6</v>
      </c>
      <c r="U1679" s="366">
        <f t="shared" si="334"/>
        <v>2.2955523672883789E-2</v>
      </c>
      <c r="V1679" s="97">
        <v>2.0299999999999998</v>
      </c>
      <c r="W1679" s="36">
        <f>RTD("money.excel",,"8908","Price")</f>
        <v>69.7</v>
      </c>
      <c r="X1679" s="67"/>
      <c r="Y1679" s="15">
        <f t="shared" si="335"/>
        <v>69.7</v>
      </c>
      <c r="Z1679" s="3" t="e">
        <f t="shared" si="336"/>
        <v>#DIV/0!</v>
      </c>
      <c r="AA1679" s="174" t="s">
        <v>1943</v>
      </c>
      <c r="AB1679" s="16" t="s">
        <v>1036</v>
      </c>
      <c r="AE1679" s="33">
        <f t="shared" si="337"/>
        <v>0</v>
      </c>
      <c r="AF1679" s="43" t="s">
        <v>3206</v>
      </c>
      <c r="AG1679" s="128"/>
      <c r="AI1679" s="64">
        <f t="shared" si="338"/>
        <v>5.5000000000000002E-5</v>
      </c>
      <c r="AJ1679" s="313">
        <f>RTD("money.excel",,$G1679,"PredictVolume")</f>
        <v>11</v>
      </c>
      <c r="AK1679" s="348"/>
    </row>
    <row r="1680" spans="1:37">
      <c r="A1680" s="132" t="s">
        <v>2520</v>
      </c>
      <c r="B1680" s="93">
        <v>-5</v>
      </c>
      <c r="C1680" s="93">
        <v>4</v>
      </c>
      <c r="D1680" s="93">
        <v>13</v>
      </c>
      <c r="E1680" s="93">
        <v>-10</v>
      </c>
      <c r="F1680" s="58">
        <v>19.2</v>
      </c>
      <c r="G1680" s="81">
        <v>9908</v>
      </c>
      <c r="H1680" s="8" t="s">
        <v>332</v>
      </c>
      <c r="I1680" s="22" t="s">
        <v>1042</v>
      </c>
      <c r="J1680" s="75">
        <v>84.26</v>
      </c>
      <c r="K1680" s="75">
        <v>2.11</v>
      </c>
      <c r="L1680" s="75">
        <v>0.37</v>
      </c>
      <c r="N1680" s="325">
        <f t="shared" si="339"/>
        <v>86.740000000000009</v>
      </c>
      <c r="O1680" s="27"/>
      <c r="P1680" s="56"/>
      <c r="Q1680" s="26"/>
      <c r="S1680" s="330">
        <v>24.89</v>
      </c>
      <c r="T1680" s="34">
        <v>1.1000000000000001</v>
      </c>
      <c r="U1680" s="366">
        <f t="shared" si="334"/>
        <v>3.3639143730886847E-2</v>
      </c>
      <c r="V1680" s="97">
        <v>1.64</v>
      </c>
      <c r="W1680" s="13">
        <f>RTD("money.excel",,"9908","Price")</f>
        <v>32.700000000000003</v>
      </c>
      <c r="X1680" s="67"/>
      <c r="Y1680" s="15">
        <f t="shared" si="335"/>
        <v>32.700000000000003</v>
      </c>
      <c r="Z1680" s="3" t="e">
        <f t="shared" si="336"/>
        <v>#DIV/0!</v>
      </c>
      <c r="AB1680" s="22" t="s">
        <v>1042</v>
      </c>
      <c r="AE1680" s="33">
        <f t="shared" si="337"/>
        <v>0</v>
      </c>
      <c r="AF1680" s="43" t="s">
        <v>3206</v>
      </c>
      <c r="AG1680" s="128"/>
      <c r="AI1680" s="64">
        <f t="shared" si="338"/>
        <v>1.3178294573643412E-4</v>
      </c>
      <c r="AJ1680" s="313">
        <f>RTD("money.excel",,$G1680,"PredictVolume")</f>
        <v>68</v>
      </c>
      <c r="AK1680" s="348"/>
    </row>
    <row r="1681" spans="1:37">
      <c r="A1681" s="148" t="s">
        <v>1770</v>
      </c>
      <c r="B1681" s="93">
        <v>-1</v>
      </c>
      <c r="C1681" s="93">
        <v>-16</v>
      </c>
      <c r="D1681" s="93">
        <v>2</v>
      </c>
      <c r="E1681" s="93">
        <v>-11</v>
      </c>
      <c r="F1681" s="6">
        <v>3.43</v>
      </c>
      <c r="G1681" s="81">
        <v>9937</v>
      </c>
      <c r="H1681" s="8" t="s">
        <v>332</v>
      </c>
      <c r="I1681" s="22" t="s">
        <v>1046</v>
      </c>
      <c r="J1681" s="75">
        <v>87.79</v>
      </c>
      <c r="K1681" s="75">
        <v>1.9</v>
      </c>
      <c r="L1681" s="75">
        <v>0.13</v>
      </c>
      <c r="N1681" s="325">
        <f t="shared" si="339"/>
        <v>89.820000000000007</v>
      </c>
      <c r="O1681" s="27"/>
      <c r="P1681" s="56"/>
      <c r="Q1681" s="26"/>
      <c r="S1681" s="330">
        <v>11.68</v>
      </c>
      <c r="T1681" s="34">
        <v>2.2999999999999998</v>
      </c>
      <c r="U1681" s="366">
        <f t="shared" si="334"/>
        <v>4.708290685772773E-2</v>
      </c>
      <c r="V1681" s="97">
        <v>2.57</v>
      </c>
      <c r="W1681" s="13">
        <f>RTD("money.excel",,"9937","Price")</f>
        <v>48.85</v>
      </c>
      <c r="X1681" s="67"/>
      <c r="Y1681" s="15">
        <f t="shared" si="335"/>
        <v>48.85</v>
      </c>
      <c r="Z1681" s="3" t="e">
        <f t="shared" si="336"/>
        <v>#DIV/0!</v>
      </c>
      <c r="AB1681" s="22" t="s">
        <v>1046</v>
      </c>
      <c r="AE1681" s="33">
        <f t="shared" si="337"/>
        <v>0</v>
      </c>
      <c r="AF1681" s="43" t="s">
        <v>3207</v>
      </c>
      <c r="AG1681" s="128"/>
      <c r="AI1681" s="64">
        <f t="shared" si="338"/>
        <v>1.2297734627831716E-4</v>
      </c>
      <c r="AJ1681" s="313">
        <f>RTD("money.excel",,$G1681,"PredictVolume")</f>
        <v>38</v>
      </c>
      <c r="AK1681" s="348"/>
    </row>
    <row r="1682" spans="1:37">
      <c r="A1682" s="148" t="s">
        <v>1832</v>
      </c>
      <c r="B1682" s="82">
        <v>-109</v>
      </c>
      <c r="C1682" s="82">
        <v>-131</v>
      </c>
      <c r="D1682" s="81">
        <v>4</v>
      </c>
      <c r="E1682" s="82">
        <v>-27</v>
      </c>
      <c r="F1682" s="6">
        <v>-2.85</v>
      </c>
      <c r="G1682" s="81">
        <v>6505</v>
      </c>
      <c r="H1682" s="17" t="s">
        <v>332</v>
      </c>
      <c r="I1682" s="22" t="s">
        <v>6027</v>
      </c>
      <c r="J1682" s="333">
        <v>96.56</v>
      </c>
      <c r="K1682" s="330">
        <v>7.63</v>
      </c>
      <c r="L1682" s="75">
        <v>0.04</v>
      </c>
      <c r="N1682" s="325">
        <f t="shared" si="339"/>
        <v>104.23</v>
      </c>
      <c r="O1682" s="27"/>
      <c r="P1682" s="56"/>
      <c r="Q1682" s="26"/>
      <c r="S1682" s="330">
        <v>0</v>
      </c>
      <c r="T1682" s="200">
        <v>0.59</v>
      </c>
      <c r="U1682" s="366">
        <f t="shared" si="334"/>
        <v>6.1650992685475439E-3</v>
      </c>
      <c r="V1682" s="58">
        <v>0.78</v>
      </c>
      <c r="W1682" s="36">
        <f>RTD("money.excel",,"6505","Price")</f>
        <v>95.7</v>
      </c>
      <c r="X1682" s="66"/>
      <c r="Y1682" s="15">
        <f t="shared" si="335"/>
        <v>95.7</v>
      </c>
      <c r="Z1682" s="3" t="e">
        <f t="shared" si="336"/>
        <v>#DIV/0!</v>
      </c>
      <c r="AA1682" s="174" t="s">
        <v>1943</v>
      </c>
      <c r="AB1682" s="22" t="s">
        <v>6027</v>
      </c>
      <c r="AE1682" s="33">
        <f t="shared" si="337"/>
        <v>0</v>
      </c>
      <c r="AF1682" s="43" t="s">
        <v>3120</v>
      </c>
      <c r="AG1682" s="128"/>
      <c r="AI1682" s="64">
        <f t="shared" si="338"/>
        <v>6.7962184873949583E-4</v>
      </c>
      <c r="AJ1682" s="313">
        <f>RTD("money.excel",,$G1682,"PredictVolume")</f>
        <v>6470</v>
      </c>
      <c r="AK1682" s="348"/>
    </row>
    <row r="1683" spans="1:37">
      <c r="A1683" s="148" t="s">
        <v>3663</v>
      </c>
      <c r="B1683" s="81">
        <v>88</v>
      </c>
      <c r="C1683" s="82">
        <v>-41</v>
      </c>
      <c r="D1683" s="81">
        <v>0</v>
      </c>
      <c r="E1683" s="81">
        <v>47</v>
      </c>
      <c r="F1683" s="6">
        <v>1.29</v>
      </c>
      <c r="G1683" s="81">
        <v>8927</v>
      </c>
      <c r="H1683" s="8" t="s">
        <v>332</v>
      </c>
      <c r="I1683" s="16" t="s">
        <v>1038</v>
      </c>
      <c r="J1683" s="330">
        <v>72.430000000000007</v>
      </c>
      <c r="K1683" s="330">
        <v>0.17</v>
      </c>
      <c r="L1683" s="75">
        <v>5.68</v>
      </c>
      <c r="M1683" s="330">
        <v>32.82</v>
      </c>
      <c r="N1683" s="325">
        <f>K1683+J1683+L1683+M1683</f>
        <v>111.1</v>
      </c>
      <c r="O1683" s="27"/>
      <c r="P1683" s="56"/>
      <c r="Q1683" s="26"/>
      <c r="R1683" s="308" t="s">
        <v>4373</v>
      </c>
      <c r="S1683" s="330">
        <v>0.37</v>
      </c>
      <c r="T1683" s="34">
        <v>0.47</v>
      </c>
      <c r="U1683" s="366">
        <f t="shared" si="334"/>
        <v>1.4596273291925463E-2</v>
      </c>
      <c r="V1683" s="58">
        <v>0.95</v>
      </c>
      <c r="W1683" s="36">
        <f>RTD("money.excel",,"8927","Price")</f>
        <v>32.200000000000003</v>
      </c>
      <c r="X1683" s="67"/>
      <c r="Y1683" s="15">
        <f t="shared" si="335"/>
        <v>32.200000000000003</v>
      </c>
      <c r="Z1683" s="3" t="e">
        <f t="shared" si="336"/>
        <v>#DIV/0!</v>
      </c>
      <c r="AA1683" s="174" t="s">
        <v>1943</v>
      </c>
      <c r="AB1683" s="16" t="s">
        <v>1038</v>
      </c>
      <c r="AE1683" s="33">
        <f t="shared" si="337"/>
        <v>0</v>
      </c>
      <c r="AF1683" s="43" t="s">
        <v>3207</v>
      </c>
      <c r="AG1683" s="128"/>
      <c r="AI1683" s="64">
        <f t="shared" si="338"/>
        <v>7.1138211382113826E-4</v>
      </c>
      <c r="AJ1683" s="313">
        <f>RTD("money.excel",,$G1683,"PredictVolume")</f>
        <v>175</v>
      </c>
      <c r="AK1683" s="348"/>
    </row>
    <row r="1684" spans="1:37">
      <c r="A1684" s="148"/>
      <c r="B1684" s="81"/>
      <c r="C1684" s="82"/>
      <c r="D1684" s="81"/>
      <c r="E1684" s="81"/>
      <c r="F1684" s="6"/>
      <c r="G1684" s="81"/>
      <c r="H1684" s="8"/>
      <c r="I1684" s="16"/>
      <c r="J1684" s="330"/>
      <c r="K1684" s="330"/>
      <c r="M1684" s="330"/>
      <c r="N1684" s="325"/>
      <c r="O1684" s="27"/>
      <c r="P1684" s="56"/>
      <c r="Q1684" s="26"/>
      <c r="T1684" s="34"/>
      <c r="V1684" s="58"/>
      <c r="W1684" s="36"/>
      <c r="X1684" s="67"/>
      <c r="Y1684" s="15"/>
      <c r="Z1684" s="3"/>
      <c r="AB1684" s="16"/>
      <c r="AE1684" s="33"/>
      <c r="AF1684" s="43"/>
      <c r="AG1684" s="128"/>
      <c r="AK1684" s="348"/>
    </row>
    <row r="1685" spans="1:37">
      <c r="A1685" s="132" t="s">
        <v>1854</v>
      </c>
      <c r="B1685" s="93" t="s">
        <v>1657</v>
      </c>
      <c r="C1685" s="93" t="s">
        <v>1658</v>
      </c>
      <c r="D1685" s="93" t="s">
        <v>1659</v>
      </c>
      <c r="E1685" s="93" t="s">
        <v>1660</v>
      </c>
      <c r="F1685" s="8" t="s">
        <v>1122</v>
      </c>
      <c r="G1685" s="27" t="s">
        <v>6028</v>
      </c>
      <c r="H1685" s="55" t="s">
        <v>342</v>
      </c>
      <c r="I1685" s="30" t="s">
        <v>4112</v>
      </c>
      <c r="J1685" s="324" t="s">
        <v>1529</v>
      </c>
      <c r="K1685" s="324" t="s">
        <v>1217</v>
      </c>
      <c r="L1685" s="324" t="s">
        <v>298</v>
      </c>
      <c r="M1685" s="324" t="s">
        <v>1115</v>
      </c>
      <c r="N1685" s="324" t="s">
        <v>6091</v>
      </c>
      <c r="O1685" s="27" t="s">
        <v>6253</v>
      </c>
      <c r="P1685" s="56" t="s">
        <v>6219</v>
      </c>
      <c r="Q1685" s="26" t="s">
        <v>6313</v>
      </c>
      <c r="R1685" s="309" t="s">
        <v>4371</v>
      </c>
      <c r="S1685" s="335" t="s">
        <v>4398</v>
      </c>
      <c r="T1685" s="10" t="s">
        <v>75</v>
      </c>
      <c r="U1685" s="364" t="s">
        <v>6152</v>
      </c>
      <c r="V1685" s="69" t="s">
        <v>4022</v>
      </c>
      <c r="W1685" s="28" t="s">
        <v>2</v>
      </c>
      <c r="X1685" s="17" t="s">
        <v>1465</v>
      </c>
      <c r="Y1685" s="14" t="s">
        <v>5</v>
      </c>
      <c r="Z1685" s="21" t="s">
        <v>3</v>
      </c>
      <c r="AA1685" s="322" t="s">
        <v>117</v>
      </c>
      <c r="AB1685" s="30" t="s">
        <v>4112</v>
      </c>
      <c r="AC1685" s="73" t="s">
        <v>1466</v>
      </c>
      <c r="AD1685" s="74" t="s">
        <v>1223</v>
      </c>
      <c r="AE1685" s="32" t="s">
        <v>1224</v>
      </c>
      <c r="AF1685" s="43"/>
      <c r="AG1685" s="128"/>
      <c r="AI1685" s="8" t="s">
        <v>4414</v>
      </c>
      <c r="AJ1685" s="50" t="s">
        <v>4121</v>
      </c>
      <c r="AK1685" s="348" t="s">
        <v>6074</v>
      </c>
    </row>
    <row r="1686" spans="1:37">
      <c r="A1686" s="148" t="s">
        <v>2181</v>
      </c>
      <c r="B1686" s="82">
        <v>-16</v>
      </c>
      <c r="C1686" s="81">
        <v>11</v>
      </c>
      <c r="D1686" s="82">
        <v>-29</v>
      </c>
      <c r="E1686" s="81">
        <v>46</v>
      </c>
      <c r="F1686" s="6">
        <v>5.99</v>
      </c>
      <c r="G1686" s="81">
        <v>1785</v>
      </c>
      <c r="H1686" s="8" t="s">
        <v>334</v>
      </c>
      <c r="I1686" s="16" t="s">
        <v>324</v>
      </c>
      <c r="J1686" s="330">
        <v>39.29</v>
      </c>
      <c r="K1686" s="75">
        <v>14.23</v>
      </c>
      <c r="L1686" s="75">
        <v>23.09</v>
      </c>
      <c r="N1686" s="325">
        <f t="shared" ref="N1686" si="340">J1686+K1686+L1686+M1686</f>
        <v>76.61</v>
      </c>
      <c r="O1686" s="27"/>
      <c r="P1686" s="56"/>
      <c r="Q1686" s="26"/>
      <c r="S1686" s="330">
        <v>0.27</v>
      </c>
      <c r="T1686" s="34">
        <v>1</v>
      </c>
      <c r="U1686" s="366">
        <f t="shared" ref="U1686:U1717" si="341">T1686/W1686</f>
        <v>1.9960079840319361E-2</v>
      </c>
      <c r="V1686" s="97">
        <v>1.69</v>
      </c>
      <c r="W1686" s="36">
        <f>RTD("money.excel",,"1785","Price")</f>
        <v>50.1</v>
      </c>
      <c r="X1686" s="67"/>
      <c r="Y1686" s="15">
        <f t="shared" ref="Y1686:Y1749" si="342">W1686-X1686</f>
        <v>50.1</v>
      </c>
      <c r="Z1686" s="3" t="e">
        <f t="shared" ref="Z1686:Z1749" si="343">Y1686/X1686</f>
        <v>#DIV/0!</v>
      </c>
      <c r="AA1686" s="174" t="s">
        <v>1943</v>
      </c>
      <c r="AB1686" s="16" t="s">
        <v>324</v>
      </c>
      <c r="AE1686" s="33">
        <f t="shared" ref="AE1686:AE1749" si="344">AD1686-AC1686</f>
        <v>0</v>
      </c>
      <c r="AF1686" s="43" t="s">
        <v>2776</v>
      </c>
      <c r="AG1686" s="128"/>
      <c r="AI1686" s="64">
        <f t="shared" ref="AI1686:AI1717" si="345">AJ1686/(A1686*10000)</f>
        <v>3.0287648054145517E-3</v>
      </c>
      <c r="AJ1686" s="313">
        <f>RTD("money.excel",,$G1686,"PredictVolume")</f>
        <v>1790</v>
      </c>
      <c r="AK1686" s="348"/>
    </row>
    <row r="1687" spans="1:37">
      <c r="A1687" s="148" t="s">
        <v>2279</v>
      </c>
      <c r="B1687" s="82">
        <v>-20</v>
      </c>
      <c r="C1687" s="82">
        <v>-71</v>
      </c>
      <c r="D1687" s="82">
        <v>-9</v>
      </c>
      <c r="E1687" s="81">
        <v>0</v>
      </c>
      <c r="F1687" s="6">
        <v>0.42</v>
      </c>
      <c r="G1687" s="81">
        <v>2312</v>
      </c>
      <c r="H1687" s="8" t="s">
        <v>334</v>
      </c>
      <c r="I1687" s="22" t="s">
        <v>524</v>
      </c>
      <c r="J1687" s="330">
        <v>59.44</v>
      </c>
      <c r="K1687" s="330">
        <v>11.4</v>
      </c>
      <c r="L1687" s="330">
        <v>16.48</v>
      </c>
      <c r="N1687" s="325">
        <f t="shared" ref="N1687:N1749" si="346">J1687+K1687+L1687+M1687</f>
        <v>87.320000000000007</v>
      </c>
      <c r="O1687" s="27"/>
      <c r="P1687" s="56"/>
      <c r="Q1687" s="26"/>
      <c r="S1687" s="330">
        <v>0.19</v>
      </c>
      <c r="T1687" s="34">
        <v>0.3</v>
      </c>
      <c r="U1687" s="366">
        <f t="shared" si="341"/>
        <v>2.1352313167259784E-2</v>
      </c>
      <c r="V1687" s="97">
        <v>0.11</v>
      </c>
      <c r="W1687" s="36">
        <f>RTD("money.excel",,"2312","Price")</f>
        <v>14.05</v>
      </c>
      <c r="X1687" s="67"/>
      <c r="Y1687" s="15">
        <f t="shared" si="342"/>
        <v>14.05</v>
      </c>
      <c r="Z1687" s="3" t="e">
        <f t="shared" si="343"/>
        <v>#DIV/0!</v>
      </c>
      <c r="AA1687" s="174" t="s">
        <v>1943</v>
      </c>
      <c r="AB1687" s="22" t="s">
        <v>524</v>
      </c>
      <c r="AE1687" s="33">
        <f t="shared" si="344"/>
        <v>0</v>
      </c>
      <c r="AF1687" s="43" t="s">
        <v>2280</v>
      </c>
      <c r="AG1687" s="269"/>
      <c r="AI1687" s="64">
        <f t="shared" si="345"/>
        <v>4.8452054794520544E-3</v>
      </c>
      <c r="AJ1687" s="313">
        <f>RTD("money.excel",,$G1687,"PredictVolume")</f>
        <v>7074</v>
      </c>
      <c r="AK1687" s="348"/>
    </row>
    <row r="1688" spans="1:37">
      <c r="A1688" s="148" t="s">
        <v>1774</v>
      </c>
      <c r="B1688" s="81">
        <v>129</v>
      </c>
      <c r="C1688" s="81">
        <v>122</v>
      </c>
      <c r="D1688" s="81">
        <v>46</v>
      </c>
      <c r="E1688" s="81">
        <v>25</v>
      </c>
      <c r="F1688" s="6">
        <v>2.23</v>
      </c>
      <c r="G1688" s="81">
        <v>2317</v>
      </c>
      <c r="H1688" s="17" t="s">
        <v>334</v>
      </c>
      <c r="I1688" s="22" t="s">
        <v>6029</v>
      </c>
      <c r="J1688" s="333">
        <v>71.540000000000006</v>
      </c>
      <c r="K1688" s="330">
        <v>48.88</v>
      </c>
      <c r="L1688" s="75">
        <v>1.51</v>
      </c>
      <c r="N1688" s="325">
        <f t="shared" si="346"/>
        <v>121.93000000000002</v>
      </c>
      <c r="O1688" s="27"/>
      <c r="P1688" s="56"/>
      <c r="Q1688" s="26"/>
      <c r="S1688" s="330">
        <v>0.95</v>
      </c>
      <c r="T1688" s="223">
        <v>4</v>
      </c>
      <c r="U1688" s="366">
        <f t="shared" si="341"/>
        <v>3.864734299516908E-2</v>
      </c>
      <c r="V1688" s="58">
        <v>9.7200000000000006</v>
      </c>
      <c r="W1688" s="13">
        <f>RTD("money.excel",,"2317","Price")</f>
        <v>103.5</v>
      </c>
      <c r="X1688" s="66"/>
      <c r="Y1688" s="15">
        <f t="shared" si="342"/>
        <v>103.5</v>
      </c>
      <c r="Z1688" s="3" t="e">
        <f t="shared" si="343"/>
        <v>#DIV/0!</v>
      </c>
      <c r="AA1688" s="174" t="s">
        <v>2185</v>
      </c>
      <c r="AB1688" s="22" t="s">
        <v>6029</v>
      </c>
      <c r="AE1688" s="33">
        <f t="shared" si="344"/>
        <v>0</v>
      </c>
      <c r="AF1688" s="61" t="s">
        <v>3086</v>
      </c>
      <c r="AG1688" s="128"/>
      <c r="AI1688" s="64">
        <f t="shared" si="345"/>
        <v>1.7033189033189033E-3</v>
      </c>
      <c r="AJ1688" s="313">
        <f>RTD("money.excel",,$G1688,"PredictVolume")</f>
        <v>23608</v>
      </c>
      <c r="AK1688" s="348"/>
    </row>
    <row r="1689" spans="1:37">
      <c r="A1689" s="148" t="s">
        <v>1736</v>
      </c>
      <c r="B1689" s="82">
        <v>-33</v>
      </c>
      <c r="C1689" s="82">
        <v>-50</v>
      </c>
      <c r="D1689" s="81">
        <v>33</v>
      </c>
      <c r="E1689" s="81">
        <v>22</v>
      </c>
      <c r="F1689" s="6">
        <v>2.5</v>
      </c>
      <c r="G1689" s="81">
        <v>2354</v>
      </c>
      <c r="H1689" s="17" t="s">
        <v>334</v>
      </c>
      <c r="I1689" s="22" t="s">
        <v>6030</v>
      </c>
      <c r="J1689" s="330">
        <v>52.72</v>
      </c>
      <c r="K1689" s="330">
        <v>19.920000000000002</v>
      </c>
      <c r="L1689" s="75">
        <v>6.79</v>
      </c>
      <c r="N1689" s="325">
        <f t="shared" si="346"/>
        <v>79.430000000000007</v>
      </c>
      <c r="O1689" s="27"/>
      <c r="P1689" s="56"/>
      <c r="Q1689" s="26"/>
      <c r="S1689" s="330">
        <v>0.03</v>
      </c>
      <c r="T1689" s="34">
        <v>1.8</v>
      </c>
      <c r="U1689" s="366">
        <f t="shared" si="341"/>
        <v>2.8846153846153848E-2</v>
      </c>
      <c r="V1689" s="58">
        <v>3.34</v>
      </c>
      <c r="W1689" s="36">
        <f>RTD("money.excel",,"2354","Price")</f>
        <v>62.4</v>
      </c>
      <c r="X1689" s="67"/>
      <c r="Y1689" s="15">
        <f t="shared" si="342"/>
        <v>62.4</v>
      </c>
      <c r="Z1689" s="3" t="e">
        <f t="shared" si="343"/>
        <v>#DIV/0!</v>
      </c>
      <c r="AA1689" s="174" t="s">
        <v>1943</v>
      </c>
      <c r="AB1689" s="22" t="s">
        <v>6030</v>
      </c>
      <c r="AE1689" s="33">
        <f t="shared" si="344"/>
        <v>0</v>
      </c>
      <c r="AF1689" s="122" t="s">
        <v>2819</v>
      </c>
      <c r="AG1689" s="128"/>
      <c r="AI1689" s="64">
        <f t="shared" si="345"/>
        <v>8.6453900709219857E-4</v>
      </c>
      <c r="AJ1689" s="313">
        <f>RTD("money.excel",,$G1689,"PredictVolume")</f>
        <v>1219</v>
      </c>
      <c r="AK1689" s="348"/>
    </row>
    <row r="1690" spans="1:37">
      <c r="A1690" s="148" t="s">
        <v>3665</v>
      </c>
      <c r="B1690" s="93">
        <v>-79</v>
      </c>
      <c r="C1690" s="93">
        <v>-129</v>
      </c>
      <c r="D1690" s="93">
        <v>-6</v>
      </c>
      <c r="E1690" s="93">
        <v>51</v>
      </c>
      <c r="F1690" s="6">
        <v>3.8</v>
      </c>
      <c r="G1690" s="81">
        <v>2359</v>
      </c>
      <c r="H1690" s="17" t="s">
        <v>334</v>
      </c>
      <c r="I1690" s="22" t="s">
        <v>525</v>
      </c>
      <c r="J1690" s="75">
        <v>50.5</v>
      </c>
      <c r="K1690" s="75">
        <v>3.12</v>
      </c>
      <c r="L1690" s="75">
        <v>17.13</v>
      </c>
      <c r="N1690" s="325">
        <f t="shared" si="346"/>
        <v>70.75</v>
      </c>
      <c r="O1690" s="27"/>
      <c r="P1690" s="56"/>
      <c r="Q1690" s="26"/>
      <c r="S1690" s="330">
        <v>19.170000000000002</v>
      </c>
      <c r="T1690" s="34">
        <v>0.5</v>
      </c>
      <c r="U1690" s="366">
        <f t="shared" si="341"/>
        <v>1.9417475728155338E-2</v>
      </c>
      <c r="V1690" s="97">
        <v>0.12</v>
      </c>
      <c r="W1690" s="13">
        <f>RTD("money.excel",,"2359","Price")</f>
        <v>25.75</v>
      </c>
      <c r="X1690" s="67"/>
      <c r="Y1690" s="15">
        <f t="shared" si="342"/>
        <v>25.75</v>
      </c>
      <c r="Z1690" s="3" t="e">
        <f t="shared" si="343"/>
        <v>#DIV/0!</v>
      </c>
      <c r="AB1690" s="22" t="s">
        <v>525</v>
      </c>
      <c r="AE1690" s="33">
        <f t="shared" si="344"/>
        <v>0</v>
      </c>
      <c r="AF1690" s="43" t="s">
        <v>1100</v>
      </c>
      <c r="AG1690" s="128"/>
      <c r="AI1690" s="64">
        <f t="shared" si="345"/>
        <v>5.5403508771929823E-2</v>
      </c>
      <c r="AJ1690" s="313">
        <f>RTD("money.excel",,$G1690,"PredictVolume")</f>
        <v>9474</v>
      </c>
      <c r="AK1690" s="348"/>
    </row>
    <row r="1691" spans="1:37">
      <c r="A1691" s="132" t="s">
        <v>2241</v>
      </c>
      <c r="B1691" s="81">
        <v>365</v>
      </c>
      <c r="C1691" s="81">
        <v>62</v>
      </c>
      <c r="D1691" s="82">
        <v>-11</v>
      </c>
      <c r="E1691" s="82">
        <v>-11</v>
      </c>
      <c r="F1691" s="58">
        <v>20.81</v>
      </c>
      <c r="G1691" s="81">
        <v>2360</v>
      </c>
      <c r="H1691" s="8" t="s">
        <v>334</v>
      </c>
      <c r="I1691" s="22" t="s">
        <v>50</v>
      </c>
      <c r="J1691" s="330">
        <v>75.64</v>
      </c>
      <c r="K1691" s="75">
        <v>69.83</v>
      </c>
      <c r="L1691" s="75">
        <v>0.73</v>
      </c>
      <c r="N1691" s="325">
        <f t="shared" si="346"/>
        <v>146.19999999999999</v>
      </c>
      <c r="O1691" s="27"/>
      <c r="P1691" s="56"/>
      <c r="Q1691" s="26"/>
      <c r="S1691" s="330">
        <v>1.03</v>
      </c>
      <c r="T1691" s="67">
        <v>4.5</v>
      </c>
      <c r="U1691" s="366">
        <f t="shared" si="341"/>
        <v>2.5000000000000001E-2</v>
      </c>
      <c r="V1691" s="58">
        <v>9.81</v>
      </c>
      <c r="W1691" s="13">
        <f>RTD("money.excel",,"2360","Price")</f>
        <v>180</v>
      </c>
      <c r="X1691" s="67"/>
      <c r="Y1691" s="15">
        <f t="shared" si="342"/>
        <v>180</v>
      </c>
      <c r="Z1691" s="3" t="e">
        <f t="shared" si="343"/>
        <v>#DIV/0!</v>
      </c>
      <c r="AA1691" s="174" t="s">
        <v>2185</v>
      </c>
      <c r="AB1691" s="22" t="s">
        <v>50</v>
      </c>
      <c r="AE1691" s="33">
        <f t="shared" si="344"/>
        <v>0</v>
      </c>
      <c r="AF1691" s="122" t="s">
        <v>3787</v>
      </c>
      <c r="AG1691" s="128"/>
      <c r="AI1691" s="64">
        <f t="shared" si="345"/>
        <v>1.5439429928741093E-3</v>
      </c>
      <c r="AJ1691" s="313">
        <f>RTD("money.excel",,$G1691,"PredictVolume")</f>
        <v>650</v>
      </c>
      <c r="AK1691" s="348"/>
    </row>
    <row r="1692" spans="1:37">
      <c r="A1692" s="148" t="s">
        <v>1768</v>
      </c>
      <c r="B1692" s="82">
        <v>-21</v>
      </c>
      <c r="C1692" s="82">
        <v>-20</v>
      </c>
      <c r="D1692" s="82">
        <v>-1</v>
      </c>
      <c r="E1692" s="82">
        <v>-2</v>
      </c>
      <c r="F1692" s="6">
        <v>8.5299999999999994</v>
      </c>
      <c r="G1692" s="81">
        <v>2373</v>
      </c>
      <c r="H1692" s="8" t="s">
        <v>334</v>
      </c>
      <c r="I1692" s="23" t="s">
        <v>262</v>
      </c>
      <c r="J1692" s="75">
        <v>90.27</v>
      </c>
      <c r="K1692" s="330">
        <v>1.75</v>
      </c>
      <c r="L1692" s="75">
        <v>0.11</v>
      </c>
      <c r="N1692" s="325">
        <f t="shared" si="346"/>
        <v>92.13</v>
      </c>
      <c r="O1692" s="27"/>
      <c r="P1692" s="56"/>
      <c r="Q1692" s="26"/>
      <c r="T1692" s="67">
        <v>6</v>
      </c>
      <c r="U1692" s="366">
        <f t="shared" si="341"/>
        <v>6.726457399103139E-2</v>
      </c>
      <c r="V1692" s="97">
        <v>6.4</v>
      </c>
      <c r="W1692" s="36">
        <f>RTD("money.excel",,"2373","Price")</f>
        <v>89.2</v>
      </c>
      <c r="X1692" s="67"/>
      <c r="Y1692" s="15">
        <f t="shared" si="342"/>
        <v>89.2</v>
      </c>
      <c r="Z1692" s="3" t="e">
        <f t="shared" si="343"/>
        <v>#DIV/0!</v>
      </c>
      <c r="AA1692" s="174" t="s">
        <v>2185</v>
      </c>
      <c r="AB1692" s="23" t="s">
        <v>262</v>
      </c>
      <c r="AE1692" s="33">
        <f t="shared" si="344"/>
        <v>0</v>
      </c>
      <c r="AF1692" s="124" t="s">
        <v>3087</v>
      </c>
      <c r="AG1692" s="128"/>
      <c r="AI1692" s="64">
        <f t="shared" si="345"/>
        <v>8.8983050847457631E-5</v>
      </c>
      <c r="AJ1692" s="313">
        <f>RTD("money.excel",,$G1692,"PredictVolume")</f>
        <v>21</v>
      </c>
      <c r="AK1692" s="348"/>
    </row>
    <row r="1693" spans="1:37">
      <c r="A1693" s="148" t="s">
        <v>3666</v>
      </c>
      <c r="B1693" s="81">
        <v>621</v>
      </c>
      <c r="C1693" s="82">
        <v>-51</v>
      </c>
      <c r="D1693" s="81">
        <v>7</v>
      </c>
      <c r="E1693" s="81">
        <v>6</v>
      </c>
      <c r="F1693" s="6">
        <v>-29.21</v>
      </c>
      <c r="G1693" s="81">
        <v>2390</v>
      </c>
      <c r="H1693" s="8" t="s">
        <v>334</v>
      </c>
      <c r="I1693" s="22" t="s">
        <v>527</v>
      </c>
      <c r="J1693" s="75">
        <v>34.29</v>
      </c>
      <c r="K1693" s="75">
        <v>2.1</v>
      </c>
      <c r="L1693" s="75">
        <v>25.99</v>
      </c>
      <c r="M1693" s="330">
        <v>29.3</v>
      </c>
      <c r="N1693" s="325">
        <f t="shared" si="346"/>
        <v>91.679999999999993</v>
      </c>
      <c r="O1693" s="27"/>
      <c r="P1693" s="56"/>
      <c r="Q1693" s="26"/>
      <c r="R1693" s="308" t="s">
        <v>6053</v>
      </c>
      <c r="S1693" s="330">
        <v>3.52</v>
      </c>
      <c r="T1693" s="34">
        <v>0</v>
      </c>
      <c r="U1693" s="366">
        <f t="shared" si="341"/>
        <v>0</v>
      </c>
      <c r="V1693" s="97">
        <v>6.38</v>
      </c>
      <c r="W1693" s="36">
        <f>RTD("money.excel",,"2390","Price")</f>
        <v>19.3</v>
      </c>
      <c r="X1693" s="67"/>
      <c r="Y1693" s="15">
        <f t="shared" si="342"/>
        <v>19.3</v>
      </c>
      <c r="Z1693" s="3" t="e">
        <f t="shared" si="343"/>
        <v>#DIV/0!</v>
      </c>
      <c r="AB1693" s="22" t="s">
        <v>527</v>
      </c>
      <c r="AE1693" s="33">
        <f t="shared" si="344"/>
        <v>0</v>
      </c>
      <c r="AF1693" s="43" t="s">
        <v>3088</v>
      </c>
      <c r="AG1693" s="128"/>
      <c r="AI1693" s="64">
        <f t="shared" si="345"/>
        <v>2.3738317757009348E-3</v>
      </c>
      <c r="AJ1693" s="313">
        <f>RTD("money.excel",,$G1693,"PredictVolume")</f>
        <v>508</v>
      </c>
      <c r="AK1693" s="348"/>
    </row>
    <row r="1694" spans="1:37">
      <c r="A1694" s="132" t="s">
        <v>2414</v>
      </c>
      <c r="B1694" s="82">
        <v>-37</v>
      </c>
      <c r="C1694" s="82">
        <v>-40</v>
      </c>
      <c r="D1694" s="82">
        <v>-24</v>
      </c>
      <c r="E1694" s="81">
        <v>17</v>
      </c>
      <c r="F1694" s="58">
        <v>12.63</v>
      </c>
      <c r="G1694" s="81">
        <v>2404</v>
      </c>
      <c r="H1694" s="8" t="s">
        <v>334</v>
      </c>
      <c r="I1694" s="22" t="s">
        <v>528</v>
      </c>
      <c r="J1694" s="330">
        <v>32.520000000000003</v>
      </c>
      <c r="K1694" s="330">
        <v>27.52</v>
      </c>
      <c r="L1694" s="330">
        <v>6.13</v>
      </c>
      <c r="M1694" s="330">
        <v>9.1</v>
      </c>
      <c r="N1694" s="325">
        <f t="shared" si="346"/>
        <v>75.27</v>
      </c>
      <c r="O1694" s="27"/>
      <c r="P1694" s="56"/>
      <c r="Q1694" s="26"/>
      <c r="R1694" s="308" t="s">
        <v>4374</v>
      </c>
      <c r="S1694" s="330">
        <v>2.42</v>
      </c>
      <c r="T1694" s="67">
        <v>17</v>
      </c>
      <c r="U1694" s="366">
        <f t="shared" si="341"/>
        <v>8.9947089947089942E-2</v>
      </c>
      <c r="V1694" s="97">
        <v>14.98</v>
      </c>
      <c r="W1694" s="36">
        <f>RTD("money.excel",,"2404","Price")</f>
        <v>189</v>
      </c>
      <c r="X1694" s="67"/>
      <c r="Y1694" s="15">
        <f t="shared" si="342"/>
        <v>189</v>
      </c>
      <c r="Z1694" s="3" t="e">
        <f t="shared" si="343"/>
        <v>#DIV/0!</v>
      </c>
      <c r="AA1694" s="174" t="s">
        <v>2185</v>
      </c>
      <c r="AB1694" s="22" t="s">
        <v>528</v>
      </c>
      <c r="AE1694" s="33">
        <f t="shared" si="344"/>
        <v>0</v>
      </c>
      <c r="AF1694" s="43" t="s">
        <v>1513</v>
      </c>
      <c r="AG1694" s="128"/>
      <c r="AI1694" s="64">
        <f t="shared" si="345"/>
        <v>9.3210526315789469E-3</v>
      </c>
      <c r="AJ1694" s="313">
        <f>RTD("money.excel",,$G1694,"PredictVolume")</f>
        <v>1771</v>
      </c>
      <c r="AK1694" s="348">
        <v>4.53</v>
      </c>
    </row>
    <row r="1695" spans="1:37">
      <c r="A1695" s="132" t="s">
        <v>1851</v>
      </c>
      <c r="B1695" s="93">
        <v>-38</v>
      </c>
      <c r="C1695" s="93">
        <v>-29</v>
      </c>
      <c r="D1695" s="93">
        <v>-29</v>
      </c>
      <c r="E1695" s="93">
        <v>24</v>
      </c>
      <c r="F1695" s="58">
        <v>15.23</v>
      </c>
      <c r="G1695" s="81">
        <v>2423</v>
      </c>
      <c r="H1695" s="8" t="s">
        <v>334</v>
      </c>
      <c r="I1695" s="22" t="s">
        <v>529</v>
      </c>
      <c r="J1695" s="75">
        <v>70.41</v>
      </c>
      <c r="K1695" s="75">
        <v>2.17</v>
      </c>
      <c r="L1695" s="75">
        <v>1.69</v>
      </c>
      <c r="N1695" s="325">
        <f t="shared" si="346"/>
        <v>74.27</v>
      </c>
      <c r="O1695" s="27"/>
      <c r="P1695" s="56"/>
      <c r="Q1695" s="26"/>
      <c r="S1695" s="330">
        <v>37.67</v>
      </c>
      <c r="T1695" s="34">
        <v>1.2</v>
      </c>
      <c r="U1695" s="366">
        <f t="shared" si="341"/>
        <v>4.3087971274685812E-2</v>
      </c>
      <c r="V1695" s="97">
        <v>1.37</v>
      </c>
      <c r="W1695" s="13">
        <f>RTD("money.excel",,"2423","Price")</f>
        <v>27.85</v>
      </c>
      <c r="X1695" s="67"/>
      <c r="Y1695" s="15">
        <f t="shared" si="342"/>
        <v>27.85</v>
      </c>
      <c r="Z1695" s="3" t="e">
        <f t="shared" si="343"/>
        <v>#DIV/0!</v>
      </c>
      <c r="AB1695" s="22" t="s">
        <v>529</v>
      </c>
      <c r="AE1695" s="33">
        <f t="shared" si="344"/>
        <v>0</v>
      </c>
      <c r="AF1695" s="43" t="s">
        <v>3089</v>
      </c>
      <c r="AG1695" s="128"/>
      <c r="AI1695" s="64">
        <f t="shared" si="345"/>
        <v>2.6896551724137931E-4</v>
      </c>
      <c r="AJ1695" s="313">
        <f>RTD("money.excel",,$G1695,"PredictVolume")</f>
        <v>39</v>
      </c>
      <c r="AK1695" s="348"/>
    </row>
    <row r="1696" spans="1:37">
      <c r="A1696" s="132" t="s">
        <v>1837</v>
      </c>
      <c r="B1696" s="82">
        <v>-22</v>
      </c>
      <c r="C1696" s="82">
        <v>-25</v>
      </c>
      <c r="D1696" s="81">
        <v>4</v>
      </c>
      <c r="E1696" s="82">
        <v>-7</v>
      </c>
      <c r="F1696" s="58">
        <v>13.08</v>
      </c>
      <c r="G1696" s="81">
        <v>2433</v>
      </c>
      <c r="H1696" s="8" t="s">
        <v>334</v>
      </c>
      <c r="I1696" s="22" t="s">
        <v>530</v>
      </c>
      <c r="J1696" s="75">
        <v>79.45</v>
      </c>
      <c r="K1696" s="75">
        <v>0.97</v>
      </c>
      <c r="L1696" s="330">
        <v>0.27</v>
      </c>
      <c r="N1696" s="325">
        <f t="shared" si="346"/>
        <v>80.69</v>
      </c>
      <c r="O1696" s="27"/>
      <c r="P1696" s="56"/>
      <c r="Q1696" s="26"/>
      <c r="T1696" s="67">
        <v>3.6</v>
      </c>
      <c r="U1696" s="366">
        <f t="shared" si="341"/>
        <v>7.0450097847358117E-2</v>
      </c>
      <c r="V1696" s="97">
        <v>3.93</v>
      </c>
      <c r="W1696" s="36">
        <f>RTD("money.excel",,"2433","Price")</f>
        <v>51.1</v>
      </c>
      <c r="X1696" s="67"/>
      <c r="Y1696" s="15">
        <f t="shared" si="342"/>
        <v>51.1</v>
      </c>
      <c r="Z1696" s="3" t="e">
        <f t="shared" si="343"/>
        <v>#DIV/0!</v>
      </c>
      <c r="AA1696" s="174" t="s">
        <v>1986</v>
      </c>
      <c r="AB1696" s="22" t="s">
        <v>530</v>
      </c>
      <c r="AE1696" s="33">
        <f t="shared" si="344"/>
        <v>0</v>
      </c>
      <c r="AF1696" s="43" t="s">
        <v>3090</v>
      </c>
      <c r="AG1696" s="128"/>
      <c r="AI1696" s="64">
        <f t="shared" si="345"/>
        <v>4.3055555555555555E-4</v>
      </c>
      <c r="AJ1696" s="313">
        <f>RTD("money.excel",,$G1696,"PredictVolume")</f>
        <v>62</v>
      </c>
      <c r="AK1696" s="348"/>
    </row>
    <row r="1697" spans="1:37">
      <c r="A1697" s="148" t="s">
        <v>2049</v>
      </c>
      <c r="B1697" s="81">
        <v>179</v>
      </c>
      <c r="C1697" s="81">
        <v>25</v>
      </c>
      <c r="D1697" s="81">
        <v>5</v>
      </c>
      <c r="E1697" s="81">
        <v>14</v>
      </c>
      <c r="F1697" s="6">
        <v>5.08</v>
      </c>
      <c r="G1697" s="81">
        <v>2461</v>
      </c>
      <c r="H1697" s="8" t="s">
        <v>334</v>
      </c>
      <c r="I1697" s="22" t="s">
        <v>531</v>
      </c>
      <c r="J1697" s="330">
        <v>31.85</v>
      </c>
      <c r="K1697" s="330">
        <v>7.42</v>
      </c>
      <c r="L1697" s="75">
        <v>30.01</v>
      </c>
      <c r="M1697" s="330">
        <v>8.23</v>
      </c>
      <c r="N1697" s="325">
        <f t="shared" si="346"/>
        <v>77.510000000000005</v>
      </c>
      <c r="O1697" s="27"/>
      <c r="P1697" s="56"/>
      <c r="Q1697" s="26"/>
      <c r="R1697" s="308" t="s">
        <v>4373</v>
      </c>
      <c r="S1697" s="330">
        <v>3.23</v>
      </c>
      <c r="T1697" s="34">
        <v>0.54</v>
      </c>
      <c r="U1697" s="366">
        <f t="shared" si="341"/>
        <v>2.288135593220339E-2</v>
      </c>
      <c r="V1697" s="97">
        <v>2.62</v>
      </c>
      <c r="W1697" s="36">
        <f>RTD("money.excel",,"2461","Price")</f>
        <v>23.6</v>
      </c>
      <c r="X1697" s="67"/>
      <c r="Y1697" s="15">
        <f t="shared" si="342"/>
        <v>23.6</v>
      </c>
      <c r="Z1697" s="3" t="e">
        <f t="shared" si="343"/>
        <v>#DIV/0!</v>
      </c>
      <c r="AB1697" s="22" t="s">
        <v>531</v>
      </c>
      <c r="AE1697" s="33">
        <f t="shared" si="344"/>
        <v>0</v>
      </c>
      <c r="AF1697" s="43" t="s">
        <v>3091</v>
      </c>
      <c r="AG1697" s="128"/>
      <c r="AI1697" s="64">
        <f t="shared" si="345"/>
        <v>5.8902439024390244E-3</v>
      </c>
      <c r="AJ1697" s="313">
        <f>RTD("money.excel",,$G1697,"PredictVolume")</f>
        <v>966</v>
      </c>
      <c r="AK1697" s="348"/>
    </row>
    <row r="1698" spans="1:37">
      <c r="A1698" s="148" t="s">
        <v>1928</v>
      </c>
      <c r="B1698" s="82">
        <v>-32</v>
      </c>
      <c r="C1698" s="82">
        <v>-32</v>
      </c>
      <c r="D1698" s="81">
        <v>1</v>
      </c>
      <c r="E1698" s="82">
        <v>-14</v>
      </c>
      <c r="F1698" s="6">
        <v>7.42</v>
      </c>
      <c r="G1698" s="81">
        <v>2464</v>
      </c>
      <c r="H1698" s="8" t="s">
        <v>334</v>
      </c>
      <c r="I1698" s="22" t="s">
        <v>532</v>
      </c>
      <c r="J1698" s="75">
        <v>25.49</v>
      </c>
      <c r="K1698" s="75">
        <v>5.29</v>
      </c>
      <c r="L1698" s="75">
        <v>10.1</v>
      </c>
      <c r="N1698" s="325">
        <f t="shared" si="346"/>
        <v>40.879999999999995</v>
      </c>
      <c r="O1698" s="27"/>
      <c r="P1698" s="56"/>
      <c r="Q1698" s="26"/>
      <c r="S1698" s="330">
        <v>0.05</v>
      </c>
      <c r="T1698" s="34">
        <v>2</v>
      </c>
      <c r="U1698" s="366">
        <f t="shared" si="341"/>
        <v>4.8543689320388349E-2</v>
      </c>
      <c r="V1698" s="97">
        <v>2.63</v>
      </c>
      <c r="W1698" s="36">
        <f>RTD("money.excel",,"2464","Price")</f>
        <v>41.2</v>
      </c>
      <c r="X1698" s="67"/>
      <c r="Y1698" s="15">
        <f t="shared" si="342"/>
        <v>41.2</v>
      </c>
      <c r="Z1698" s="3" t="e">
        <f t="shared" si="343"/>
        <v>#DIV/0!</v>
      </c>
      <c r="AA1698" s="174" t="s">
        <v>1943</v>
      </c>
      <c r="AB1698" s="22" t="s">
        <v>532</v>
      </c>
      <c r="AE1698" s="33">
        <f t="shared" si="344"/>
        <v>0</v>
      </c>
      <c r="AF1698" s="43" t="s">
        <v>1505</v>
      </c>
      <c r="AG1698" s="128"/>
      <c r="AI1698" s="64">
        <f t="shared" si="345"/>
        <v>9.5897435897435894E-4</v>
      </c>
      <c r="AJ1698" s="313">
        <f>RTD("money.excel",,$G1698,"PredictVolume")</f>
        <v>187</v>
      </c>
      <c r="AK1698" s="348"/>
    </row>
    <row r="1699" spans="1:37">
      <c r="A1699" s="132" t="s">
        <v>2276</v>
      </c>
      <c r="B1699" s="82">
        <v>-28</v>
      </c>
      <c r="C1699" s="82">
        <v>-37</v>
      </c>
      <c r="D1699" s="82">
        <v>-10</v>
      </c>
      <c r="E1699" s="82">
        <v>-54</v>
      </c>
      <c r="F1699" s="58">
        <v>21.9</v>
      </c>
      <c r="G1699" s="81">
        <v>2474</v>
      </c>
      <c r="H1699" s="206" t="s">
        <v>334</v>
      </c>
      <c r="I1699" s="22" t="s">
        <v>289</v>
      </c>
      <c r="J1699" s="330">
        <v>57.84</v>
      </c>
      <c r="K1699" s="75">
        <v>47.52</v>
      </c>
      <c r="L1699" s="330">
        <v>5.51</v>
      </c>
      <c r="N1699" s="325">
        <f t="shared" si="346"/>
        <v>110.87000000000002</v>
      </c>
      <c r="O1699" s="27"/>
      <c r="P1699" s="56"/>
      <c r="Q1699" s="26"/>
      <c r="R1699" s="308" t="s">
        <v>4373</v>
      </c>
      <c r="S1699" s="330">
        <v>1.49</v>
      </c>
      <c r="T1699" s="67">
        <v>12</v>
      </c>
      <c r="U1699" s="366">
        <f t="shared" si="341"/>
        <v>8.2191780821917804E-2</v>
      </c>
      <c r="V1699" s="58">
        <v>25.03</v>
      </c>
      <c r="W1699" s="13">
        <f>RTD("money.excel",,"2474","Price")</f>
        <v>146</v>
      </c>
      <c r="X1699" s="67"/>
      <c r="Y1699" s="15">
        <f t="shared" si="342"/>
        <v>146</v>
      </c>
      <c r="Z1699" s="3" t="e">
        <f t="shared" si="343"/>
        <v>#DIV/0!</v>
      </c>
      <c r="AA1699" s="174" t="s">
        <v>2185</v>
      </c>
      <c r="AB1699" s="22" t="s">
        <v>289</v>
      </c>
      <c r="AE1699" s="33">
        <f t="shared" si="344"/>
        <v>0</v>
      </c>
      <c r="AF1699" s="122" t="s">
        <v>2915</v>
      </c>
      <c r="AG1699" s="128"/>
      <c r="AI1699" s="64">
        <f t="shared" si="345"/>
        <v>2.9526938239159001E-3</v>
      </c>
      <c r="AJ1699" s="313">
        <f>RTD("money.excel",,$G1699,"PredictVolume")</f>
        <v>2247</v>
      </c>
      <c r="AK1699" s="348"/>
    </row>
    <row r="1700" spans="1:37">
      <c r="A1700" s="148" t="s">
        <v>2210</v>
      </c>
      <c r="B1700" s="93">
        <v>-52</v>
      </c>
      <c r="C1700" s="93">
        <v>-64</v>
      </c>
      <c r="D1700" s="93">
        <v>-4</v>
      </c>
      <c r="E1700" s="93">
        <v>7</v>
      </c>
      <c r="F1700" s="6">
        <v>4.71</v>
      </c>
      <c r="G1700" s="81">
        <v>2477</v>
      </c>
      <c r="H1700" s="8" t="s">
        <v>334</v>
      </c>
      <c r="I1700" s="22" t="s">
        <v>1137</v>
      </c>
      <c r="J1700" s="75">
        <v>79.849999999999994</v>
      </c>
      <c r="K1700" s="75">
        <v>22.93</v>
      </c>
      <c r="L1700" s="75">
        <v>11.15</v>
      </c>
      <c r="N1700" s="325">
        <f t="shared" si="346"/>
        <v>113.93</v>
      </c>
      <c r="O1700" s="27"/>
      <c r="P1700" s="56"/>
      <c r="Q1700" s="26"/>
      <c r="S1700" s="330">
        <v>32.590000000000003</v>
      </c>
      <c r="T1700" s="34">
        <v>1.45</v>
      </c>
      <c r="U1700" s="366">
        <f t="shared" si="341"/>
        <v>4.4207317073170736E-2</v>
      </c>
      <c r="V1700" s="97">
        <v>0.92</v>
      </c>
      <c r="W1700" s="13">
        <f>RTD("money.excel",,"2477","Price")</f>
        <v>32.799999999999997</v>
      </c>
      <c r="X1700" s="67"/>
      <c r="Y1700" s="15">
        <f t="shared" si="342"/>
        <v>32.799999999999997</v>
      </c>
      <c r="Z1700" s="3" t="e">
        <f t="shared" si="343"/>
        <v>#DIV/0!</v>
      </c>
      <c r="AB1700" s="22" t="s">
        <v>1137</v>
      </c>
      <c r="AE1700" s="33">
        <f t="shared" si="344"/>
        <v>0</v>
      </c>
      <c r="AF1700" s="43" t="s">
        <v>3092</v>
      </c>
      <c r="AG1700" s="128"/>
      <c r="AI1700" s="64">
        <f t="shared" si="345"/>
        <v>5.1969696969696973E-3</v>
      </c>
      <c r="AJ1700" s="313">
        <f>RTD("money.excel",,$G1700,"PredictVolume")</f>
        <v>1029</v>
      </c>
      <c r="AK1700" s="348"/>
    </row>
    <row r="1701" spans="1:37">
      <c r="A1701" s="148" t="s">
        <v>1880</v>
      </c>
      <c r="B1701" s="93">
        <v>-166</v>
      </c>
      <c r="C1701" s="93">
        <v>-180</v>
      </c>
      <c r="D1701" s="93">
        <v>58</v>
      </c>
      <c r="E1701" s="93">
        <v>-24</v>
      </c>
      <c r="F1701" s="6">
        <v>-1.05</v>
      </c>
      <c r="G1701" s="81">
        <v>2482</v>
      </c>
      <c r="H1701" s="8" t="s">
        <v>334</v>
      </c>
      <c r="I1701" s="22" t="s">
        <v>533</v>
      </c>
      <c r="J1701" s="75">
        <v>59.41</v>
      </c>
      <c r="K1701" s="75">
        <v>0.16</v>
      </c>
      <c r="L1701" s="75">
        <v>32.03</v>
      </c>
      <c r="N1701" s="325">
        <f t="shared" si="346"/>
        <v>91.6</v>
      </c>
      <c r="O1701" s="27"/>
      <c r="P1701" s="56"/>
      <c r="Q1701" s="26"/>
      <c r="S1701" s="330">
        <v>40.409999999999997</v>
      </c>
      <c r="T1701" s="34">
        <v>0</v>
      </c>
      <c r="U1701" s="366">
        <f t="shared" si="341"/>
        <v>0</v>
      </c>
      <c r="V1701" s="97">
        <v>-0.5</v>
      </c>
      <c r="W1701" s="13">
        <f>RTD("money.excel",,"2482","Price")</f>
        <v>13.55</v>
      </c>
      <c r="X1701" s="67"/>
      <c r="Y1701" s="15">
        <f t="shared" si="342"/>
        <v>13.55</v>
      </c>
      <c r="Z1701" s="3" t="e">
        <f t="shared" si="343"/>
        <v>#DIV/0!</v>
      </c>
      <c r="AB1701" s="22" t="s">
        <v>533</v>
      </c>
      <c r="AE1701" s="33">
        <f t="shared" si="344"/>
        <v>0</v>
      </c>
      <c r="AF1701" s="43" t="s">
        <v>3093</v>
      </c>
      <c r="AG1701" s="128"/>
      <c r="AI1701" s="64">
        <f t="shared" si="345"/>
        <v>4.7987117552334944E-3</v>
      </c>
      <c r="AJ1701" s="313">
        <f>RTD("money.excel",,$G1701,"PredictVolume")</f>
        <v>298</v>
      </c>
      <c r="AK1701" s="348"/>
    </row>
    <row r="1702" spans="1:37">
      <c r="A1702" s="148" t="s">
        <v>2616</v>
      </c>
      <c r="B1702" s="93">
        <v>-40</v>
      </c>
      <c r="C1702" s="93">
        <v>-47</v>
      </c>
      <c r="D1702" s="93">
        <v>-26</v>
      </c>
      <c r="E1702" s="93">
        <v>79</v>
      </c>
      <c r="F1702" s="6">
        <v>9.2100000000000009</v>
      </c>
      <c r="G1702" s="81">
        <v>2488</v>
      </c>
      <c r="H1702" s="8" t="s">
        <v>334</v>
      </c>
      <c r="I1702" s="22" t="s">
        <v>534</v>
      </c>
      <c r="J1702" s="330">
        <v>45.55</v>
      </c>
      <c r="K1702" s="330">
        <v>4.04</v>
      </c>
      <c r="L1702" s="330">
        <v>31.31</v>
      </c>
      <c r="N1702" s="325">
        <f t="shared" si="346"/>
        <v>80.899999999999991</v>
      </c>
      <c r="O1702" s="27"/>
      <c r="P1702" s="56"/>
      <c r="Q1702" s="26"/>
      <c r="S1702" s="330">
        <v>19.600000000000001</v>
      </c>
      <c r="T1702" s="34">
        <v>1.5</v>
      </c>
      <c r="U1702" s="366">
        <f t="shared" si="341"/>
        <v>5.6074766355140186E-2</v>
      </c>
      <c r="V1702" s="97">
        <v>2.27</v>
      </c>
      <c r="W1702" s="36">
        <f>RTD("money.excel",,"2488","Price")</f>
        <v>26.75</v>
      </c>
      <c r="X1702" s="67"/>
      <c r="Y1702" s="15">
        <f t="shared" si="342"/>
        <v>26.75</v>
      </c>
      <c r="Z1702" s="3" t="e">
        <f t="shared" si="343"/>
        <v>#DIV/0!</v>
      </c>
      <c r="AB1702" s="22" t="s">
        <v>534</v>
      </c>
      <c r="AE1702" s="33">
        <f t="shared" si="344"/>
        <v>0</v>
      </c>
      <c r="AF1702" s="43" t="s">
        <v>3094</v>
      </c>
      <c r="AG1702" s="128"/>
      <c r="AI1702" s="64">
        <f t="shared" si="345"/>
        <v>2.9999999999999997E-4</v>
      </c>
      <c r="AJ1702" s="313">
        <f>RTD("money.excel",,$G1702,"PredictVolume")</f>
        <v>24</v>
      </c>
      <c r="AK1702" s="348"/>
    </row>
    <row r="1703" spans="1:37">
      <c r="A1703" s="148" t="s">
        <v>2384</v>
      </c>
      <c r="B1703" s="81">
        <v>185</v>
      </c>
      <c r="C1703" s="81">
        <v>76</v>
      </c>
      <c r="D1703" s="81">
        <v>26</v>
      </c>
      <c r="E1703" s="81">
        <v>53</v>
      </c>
      <c r="F1703" s="6">
        <v>-1.04</v>
      </c>
      <c r="G1703" s="81">
        <v>2495</v>
      </c>
      <c r="H1703" s="8" t="s">
        <v>334</v>
      </c>
      <c r="I1703" s="22" t="s">
        <v>535</v>
      </c>
      <c r="J1703" s="75">
        <v>53.94</v>
      </c>
      <c r="K1703" s="75">
        <v>16.739999999999998</v>
      </c>
      <c r="L1703" s="75">
        <v>15.37</v>
      </c>
      <c r="M1703" s="330">
        <v>14.54</v>
      </c>
      <c r="N1703" s="325">
        <f t="shared" si="346"/>
        <v>100.59</v>
      </c>
      <c r="O1703" s="27"/>
      <c r="P1703" s="56"/>
      <c r="Q1703" s="26"/>
      <c r="R1703" s="308" t="s">
        <v>4372</v>
      </c>
      <c r="S1703" s="330">
        <v>3.68</v>
      </c>
      <c r="T1703" s="34">
        <v>0.3</v>
      </c>
      <c r="U1703" s="366">
        <f t="shared" si="341"/>
        <v>1.9801980198019802E-2</v>
      </c>
      <c r="V1703" s="58">
        <v>0.25</v>
      </c>
      <c r="W1703" s="36">
        <f>RTD("money.excel",,"2495","Price")</f>
        <v>15.15</v>
      </c>
      <c r="X1703" s="67"/>
      <c r="Y1703" s="15">
        <f t="shared" si="342"/>
        <v>15.15</v>
      </c>
      <c r="Z1703" s="3" t="e">
        <f t="shared" si="343"/>
        <v>#DIV/0!</v>
      </c>
      <c r="AA1703" s="174" t="s">
        <v>1943</v>
      </c>
      <c r="AB1703" s="22" t="s">
        <v>535</v>
      </c>
      <c r="AE1703" s="33">
        <f t="shared" si="344"/>
        <v>0</v>
      </c>
      <c r="AF1703" s="43" t="s">
        <v>3095</v>
      </c>
      <c r="AG1703" s="128"/>
      <c r="AI1703" s="64">
        <f t="shared" si="345"/>
        <v>1.8937728937728937E-3</v>
      </c>
      <c r="AJ1703" s="313">
        <f>RTD("money.excel",,$G1703,"PredictVolume")</f>
        <v>517</v>
      </c>
      <c r="AK1703" s="348"/>
    </row>
    <row r="1704" spans="1:37">
      <c r="A1704" s="148" t="s">
        <v>1768</v>
      </c>
      <c r="B1704" s="93">
        <v>61</v>
      </c>
      <c r="C1704" s="93">
        <v>72</v>
      </c>
      <c r="D1704" s="93">
        <v>2</v>
      </c>
      <c r="E1704" s="93">
        <v>11</v>
      </c>
      <c r="F1704" s="6">
        <v>2.14</v>
      </c>
      <c r="G1704" s="81">
        <v>3018</v>
      </c>
      <c r="H1704" s="8" t="s">
        <v>334</v>
      </c>
      <c r="I1704" s="22" t="s">
        <v>536</v>
      </c>
      <c r="J1704" s="330">
        <v>56.16</v>
      </c>
      <c r="K1704" s="330">
        <v>2.17</v>
      </c>
      <c r="L1704" s="330">
        <v>25.98</v>
      </c>
      <c r="N1704" s="325">
        <f t="shared" si="346"/>
        <v>84.31</v>
      </c>
      <c r="O1704" s="27"/>
      <c r="P1704" s="56"/>
      <c r="Q1704" s="26"/>
      <c r="S1704" s="330">
        <v>16.760000000000002</v>
      </c>
      <c r="T1704" s="34">
        <v>0</v>
      </c>
      <c r="U1704" s="366">
        <f t="shared" si="341"/>
        <v>0</v>
      </c>
      <c r="V1704" s="97">
        <v>-0.8</v>
      </c>
      <c r="W1704" s="13">
        <f>RTD("money.excel",,"3018","Price")</f>
        <v>20</v>
      </c>
      <c r="X1704" s="67"/>
      <c r="Y1704" s="15">
        <f t="shared" si="342"/>
        <v>20</v>
      </c>
      <c r="Z1704" s="3" t="e">
        <f t="shared" si="343"/>
        <v>#DIV/0!</v>
      </c>
      <c r="AB1704" s="22" t="s">
        <v>536</v>
      </c>
      <c r="AE1704" s="33">
        <f t="shared" si="344"/>
        <v>0</v>
      </c>
      <c r="AF1704" s="43" t="s">
        <v>3096</v>
      </c>
      <c r="AG1704" s="128"/>
      <c r="AI1704" s="64">
        <f t="shared" si="345"/>
        <v>1.4322033898305085E-3</v>
      </c>
      <c r="AJ1704" s="313">
        <f>RTD("money.excel",,$G1704,"PredictVolume")</f>
        <v>338</v>
      </c>
      <c r="AK1704" s="348"/>
    </row>
    <row r="1705" spans="1:37">
      <c r="A1705" s="132" t="s">
        <v>1768</v>
      </c>
      <c r="B1705" s="81">
        <v>23</v>
      </c>
      <c r="C1705" s="81">
        <v>31</v>
      </c>
      <c r="D1705" s="81">
        <v>3</v>
      </c>
      <c r="E1705" s="81">
        <v>29</v>
      </c>
      <c r="F1705" s="58">
        <v>30.9</v>
      </c>
      <c r="G1705" s="81">
        <v>3030</v>
      </c>
      <c r="H1705" s="8" t="s">
        <v>334</v>
      </c>
      <c r="I1705" s="22" t="s">
        <v>110</v>
      </c>
      <c r="J1705" s="75">
        <v>61.56</v>
      </c>
      <c r="K1705" s="75">
        <v>22.2</v>
      </c>
      <c r="L1705" s="75">
        <v>6.77</v>
      </c>
      <c r="N1705" s="325">
        <f t="shared" si="346"/>
        <v>90.53</v>
      </c>
      <c r="O1705" s="27"/>
      <c r="P1705" s="56"/>
      <c r="Q1705" s="26"/>
      <c r="S1705" s="330">
        <v>7.0000000000000007E-2</v>
      </c>
      <c r="T1705" s="67">
        <v>3.3</v>
      </c>
      <c r="U1705" s="366">
        <f t="shared" si="341"/>
        <v>5.1321928460342149E-2</v>
      </c>
      <c r="V1705" s="97">
        <v>4.63</v>
      </c>
      <c r="W1705" s="36">
        <f>RTD("money.excel",,"3030","Price")</f>
        <v>64.3</v>
      </c>
      <c r="X1705" s="67"/>
      <c r="Y1705" s="15">
        <f t="shared" si="342"/>
        <v>64.3</v>
      </c>
      <c r="Z1705" s="3" t="e">
        <f t="shared" si="343"/>
        <v>#DIV/0!</v>
      </c>
      <c r="AA1705" s="174" t="s">
        <v>1986</v>
      </c>
      <c r="AB1705" s="22" t="s">
        <v>110</v>
      </c>
      <c r="AE1705" s="33">
        <f t="shared" si="344"/>
        <v>0</v>
      </c>
      <c r="AF1705" s="122" t="s">
        <v>3097</v>
      </c>
      <c r="AG1705" s="128"/>
      <c r="AI1705" s="64">
        <f t="shared" si="345"/>
        <v>1.8686440677966102E-3</v>
      </c>
      <c r="AJ1705" s="313">
        <f>RTD("money.excel",,$G1705,"PredictVolume")</f>
        <v>441</v>
      </c>
      <c r="AK1705" s="348"/>
    </row>
    <row r="1706" spans="1:37">
      <c r="A1706" s="148" t="s">
        <v>1815</v>
      </c>
      <c r="B1706" s="93">
        <v>-110</v>
      </c>
      <c r="C1706" s="93">
        <v>-112</v>
      </c>
      <c r="D1706" s="93">
        <v>-12</v>
      </c>
      <c r="E1706" s="93">
        <v>25</v>
      </c>
      <c r="F1706" s="6">
        <v>-1.36</v>
      </c>
      <c r="G1706" s="81">
        <v>3043</v>
      </c>
      <c r="H1706" s="8" t="s">
        <v>334</v>
      </c>
      <c r="I1706" s="22" t="s">
        <v>537</v>
      </c>
      <c r="J1706" s="75">
        <v>24.75</v>
      </c>
      <c r="K1706" s="75">
        <v>1.62</v>
      </c>
      <c r="N1706" s="325">
        <f t="shared" si="346"/>
        <v>26.37</v>
      </c>
      <c r="O1706" s="27"/>
      <c r="P1706" s="56"/>
      <c r="Q1706" s="26"/>
      <c r="S1706" s="330">
        <v>2.39</v>
      </c>
      <c r="T1706" s="34">
        <v>0</v>
      </c>
      <c r="U1706" s="366">
        <f t="shared" si="341"/>
        <v>0</v>
      </c>
      <c r="V1706" s="97">
        <v>-0.25</v>
      </c>
      <c r="W1706" s="36">
        <f>RTD("money.excel",,"3043","Price")</f>
        <v>4.6100000000000003</v>
      </c>
      <c r="X1706" s="67"/>
      <c r="Y1706" s="15">
        <f t="shared" si="342"/>
        <v>4.6100000000000003</v>
      </c>
      <c r="Z1706" s="3" t="e">
        <f t="shared" si="343"/>
        <v>#DIV/0!</v>
      </c>
      <c r="AB1706" s="22" t="s">
        <v>537</v>
      </c>
      <c r="AE1706" s="33">
        <f t="shared" si="344"/>
        <v>0</v>
      </c>
      <c r="AF1706" s="43" t="s">
        <v>3098</v>
      </c>
      <c r="AG1706" s="269"/>
      <c r="AI1706" s="64">
        <f t="shared" si="345"/>
        <v>5.0000000000000001E-4</v>
      </c>
      <c r="AJ1706" s="313">
        <f>RTD("money.excel",,$G1706,"PredictVolume")</f>
        <v>97</v>
      </c>
      <c r="AK1706" s="348"/>
    </row>
    <row r="1707" spans="1:37">
      <c r="A1707" s="148" t="s">
        <v>3559</v>
      </c>
      <c r="B1707" s="93">
        <v>-2</v>
      </c>
      <c r="C1707" s="93">
        <v>29</v>
      </c>
      <c r="D1707" s="93">
        <v>-12</v>
      </c>
      <c r="E1707" s="93">
        <v>-79</v>
      </c>
      <c r="F1707" s="6">
        <v>-42.74</v>
      </c>
      <c r="G1707" s="81">
        <v>3067</v>
      </c>
      <c r="H1707" s="8" t="s">
        <v>334</v>
      </c>
      <c r="I1707" s="16" t="s">
        <v>506</v>
      </c>
      <c r="J1707" s="75">
        <v>84.89</v>
      </c>
      <c r="K1707" s="75">
        <v>30</v>
      </c>
      <c r="N1707" s="325">
        <f t="shared" si="346"/>
        <v>114.89</v>
      </c>
      <c r="O1707" s="27"/>
      <c r="P1707" s="56"/>
      <c r="Q1707" s="26"/>
      <c r="S1707" s="330">
        <v>54.75</v>
      </c>
      <c r="T1707" s="34">
        <v>0</v>
      </c>
      <c r="U1707" s="366">
        <f t="shared" si="341"/>
        <v>0</v>
      </c>
      <c r="V1707" s="97">
        <v>-0.8</v>
      </c>
      <c r="W1707" s="13">
        <f>RTD("money.excel",,"3067","Price")</f>
        <v>40</v>
      </c>
      <c r="X1707" s="67"/>
      <c r="Y1707" s="15">
        <f t="shared" si="342"/>
        <v>40</v>
      </c>
      <c r="Z1707" s="3" t="e">
        <f t="shared" si="343"/>
        <v>#DIV/0!</v>
      </c>
      <c r="AB1707" s="16" t="s">
        <v>506</v>
      </c>
      <c r="AE1707" s="33">
        <f t="shared" si="344"/>
        <v>0</v>
      </c>
      <c r="AF1707" s="43" t="s">
        <v>2968</v>
      </c>
      <c r="AG1707" s="128"/>
      <c r="AI1707" s="64">
        <f t="shared" si="345"/>
        <v>1.7241379310344826E-4</v>
      </c>
      <c r="AJ1707" s="313">
        <f>RTD("money.excel",,$G1707,"PredictVolume")</f>
        <v>5</v>
      </c>
      <c r="AK1707" s="348"/>
    </row>
    <row r="1708" spans="1:37">
      <c r="A1708" s="132" t="s">
        <v>3558</v>
      </c>
      <c r="B1708" s="93">
        <v>93</v>
      </c>
      <c r="C1708" s="93">
        <v>152</v>
      </c>
      <c r="D1708" s="93">
        <v>6</v>
      </c>
      <c r="E1708" s="93">
        <v>28</v>
      </c>
      <c r="F1708" s="58">
        <v>12.07</v>
      </c>
      <c r="G1708" s="81">
        <v>3093</v>
      </c>
      <c r="H1708" s="8" t="s">
        <v>334</v>
      </c>
      <c r="I1708" s="16" t="s">
        <v>6031</v>
      </c>
      <c r="J1708" s="75">
        <v>68.69</v>
      </c>
      <c r="K1708" s="75">
        <v>67.66</v>
      </c>
      <c r="L1708" s="75">
        <v>3.99</v>
      </c>
      <c r="N1708" s="325">
        <f t="shared" si="346"/>
        <v>140.34</v>
      </c>
      <c r="O1708" s="27"/>
      <c r="P1708" s="56"/>
      <c r="Q1708" s="26"/>
      <c r="S1708" s="330">
        <v>70.44</v>
      </c>
      <c r="T1708" s="67">
        <v>4.2</v>
      </c>
      <c r="U1708" s="366">
        <f t="shared" si="341"/>
        <v>4.9237983587338809E-2</v>
      </c>
      <c r="V1708" s="58">
        <v>4.8600000000000003</v>
      </c>
      <c r="W1708" s="13">
        <f>RTD("money.excel",,"3093","Price")</f>
        <v>85.3</v>
      </c>
      <c r="X1708" s="67"/>
      <c r="Y1708" s="15">
        <f t="shared" si="342"/>
        <v>85.3</v>
      </c>
      <c r="Z1708" s="3" t="e">
        <f t="shared" si="343"/>
        <v>#DIV/0!</v>
      </c>
      <c r="AA1708" s="174" t="s">
        <v>1986</v>
      </c>
      <c r="AB1708" s="16" t="s">
        <v>6031</v>
      </c>
      <c r="AE1708" s="33">
        <f t="shared" si="344"/>
        <v>0</v>
      </c>
      <c r="AF1708" s="43" t="s">
        <v>2969</v>
      </c>
      <c r="AG1708" s="128"/>
      <c r="AI1708" s="64">
        <f t="shared" si="345"/>
        <v>3.856749311294766E-4</v>
      </c>
      <c r="AJ1708" s="313">
        <f>RTD("money.excel",,$G1708,"PredictVolume")</f>
        <v>14</v>
      </c>
      <c r="AK1708" s="348"/>
    </row>
    <row r="1709" spans="1:37">
      <c r="A1709" s="132" t="s">
        <v>1906</v>
      </c>
      <c r="B1709" s="81">
        <v>27</v>
      </c>
      <c r="C1709" s="81">
        <v>28</v>
      </c>
      <c r="D1709" s="82">
        <v>-11</v>
      </c>
      <c r="E1709" s="81">
        <v>52</v>
      </c>
      <c r="F1709" s="58">
        <v>21.43</v>
      </c>
      <c r="G1709" s="81">
        <v>3131</v>
      </c>
      <c r="H1709" s="8" t="s">
        <v>334</v>
      </c>
      <c r="I1709" s="16" t="s">
        <v>6032</v>
      </c>
      <c r="J1709" s="330">
        <v>37.42</v>
      </c>
      <c r="K1709" s="75">
        <v>10.78</v>
      </c>
      <c r="N1709" s="325">
        <f t="shared" si="346"/>
        <v>48.2</v>
      </c>
      <c r="O1709" s="27"/>
      <c r="P1709" s="56"/>
      <c r="Q1709" s="26"/>
      <c r="T1709" s="67">
        <v>11</v>
      </c>
      <c r="U1709" s="366">
        <f t="shared" si="341"/>
        <v>3.7037037037037035E-2</v>
      </c>
      <c r="V1709" s="97">
        <v>13.92</v>
      </c>
      <c r="W1709" s="36">
        <f>RTD("money.excel",,"3131","Price")</f>
        <v>297</v>
      </c>
      <c r="X1709" s="67"/>
      <c r="Y1709" s="15">
        <f t="shared" si="342"/>
        <v>297</v>
      </c>
      <c r="Z1709" s="3" t="e">
        <f t="shared" si="343"/>
        <v>#DIV/0!</v>
      </c>
      <c r="AA1709" s="174" t="s">
        <v>2185</v>
      </c>
      <c r="AB1709" s="16" t="s">
        <v>6032</v>
      </c>
      <c r="AE1709" s="33">
        <f t="shared" si="344"/>
        <v>0</v>
      </c>
      <c r="AF1709" s="43" t="s">
        <v>2827</v>
      </c>
      <c r="AG1709" s="128"/>
      <c r="AI1709" s="64">
        <f t="shared" si="345"/>
        <v>7.3287671232876717E-3</v>
      </c>
      <c r="AJ1709" s="313">
        <f>RTD("money.excel",,$G1709,"PredictVolume")</f>
        <v>214</v>
      </c>
      <c r="AK1709" s="348"/>
    </row>
    <row r="1710" spans="1:37">
      <c r="A1710" s="148" t="s">
        <v>3560</v>
      </c>
      <c r="B1710" s="93">
        <v>218</v>
      </c>
      <c r="C1710" s="142">
        <v>1748</v>
      </c>
      <c r="D1710" s="93">
        <v>-31</v>
      </c>
      <c r="E1710" s="93">
        <v>12</v>
      </c>
      <c r="F1710" s="6">
        <v>5.6</v>
      </c>
      <c r="G1710" s="81">
        <v>3285</v>
      </c>
      <c r="H1710" s="8" t="s">
        <v>334</v>
      </c>
      <c r="I1710" s="16" t="s">
        <v>6033</v>
      </c>
      <c r="J1710" s="75">
        <v>46.83</v>
      </c>
      <c r="K1710" s="75">
        <v>0.36</v>
      </c>
      <c r="L1710" s="75">
        <v>16.48</v>
      </c>
      <c r="N1710" s="325">
        <f t="shared" si="346"/>
        <v>63.67</v>
      </c>
      <c r="O1710" s="27"/>
      <c r="P1710" s="56"/>
      <c r="Q1710" s="26"/>
      <c r="S1710" s="330">
        <v>13.52</v>
      </c>
      <c r="T1710" s="34">
        <v>0.35</v>
      </c>
      <c r="U1710" s="366">
        <f t="shared" si="341"/>
        <v>1.6355140186915886E-2</v>
      </c>
      <c r="V1710" s="97">
        <v>0.66</v>
      </c>
      <c r="W1710" s="36">
        <f>RTD("money.excel",,"3285","Price")</f>
        <v>21.4</v>
      </c>
      <c r="X1710" s="67"/>
      <c r="Y1710" s="15">
        <f t="shared" si="342"/>
        <v>21.4</v>
      </c>
      <c r="Z1710" s="3" t="e">
        <f t="shared" si="343"/>
        <v>#DIV/0!</v>
      </c>
      <c r="AB1710" s="16" t="s">
        <v>6033</v>
      </c>
      <c r="AE1710" s="33">
        <f t="shared" si="344"/>
        <v>0</v>
      </c>
      <c r="AF1710" s="43" t="s">
        <v>2795</v>
      </c>
      <c r="AG1710" s="128"/>
      <c r="AI1710" s="64">
        <f t="shared" si="345"/>
        <v>1.8140589569160998E-4</v>
      </c>
      <c r="AJ1710" s="313">
        <f>RTD("money.excel",,$G1710,"PredictVolume")</f>
        <v>8</v>
      </c>
      <c r="AK1710" s="348"/>
    </row>
    <row r="1711" spans="1:37">
      <c r="A1711" s="148" t="s">
        <v>2147</v>
      </c>
      <c r="B1711" s="81">
        <v>148</v>
      </c>
      <c r="C1711" s="81">
        <v>173</v>
      </c>
      <c r="D1711" s="82">
        <v>-5</v>
      </c>
      <c r="E1711" s="81">
        <v>12</v>
      </c>
      <c r="F1711" s="6">
        <v>8.91</v>
      </c>
      <c r="G1711" s="81">
        <v>3289</v>
      </c>
      <c r="H1711" s="8" t="s">
        <v>334</v>
      </c>
      <c r="I1711" s="16" t="s">
        <v>167</v>
      </c>
      <c r="J1711" s="330">
        <v>22.97</v>
      </c>
      <c r="K1711" s="330">
        <v>6.82</v>
      </c>
      <c r="L1711" s="330">
        <v>26.74</v>
      </c>
      <c r="N1711" s="325">
        <f t="shared" si="346"/>
        <v>56.53</v>
      </c>
      <c r="O1711" s="27"/>
      <c r="P1711" s="56"/>
      <c r="Q1711" s="26"/>
      <c r="S1711" s="330">
        <v>1.85</v>
      </c>
      <c r="T1711" s="34">
        <v>1.5</v>
      </c>
      <c r="U1711" s="366">
        <f t="shared" si="341"/>
        <v>3.1055900621118016E-2</v>
      </c>
      <c r="V1711" s="97">
        <v>2.8</v>
      </c>
      <c r="W1711" s="36">
        <f>RTD("money.excel",,"3289","Price")</f>
        <v>48.3</v>
      </c>
      <c r="X1711" s="67"/>
      <c r="Y1711" s="15">
        <f t="shared" si="342"/>
        <v>48.3</v>
      </c>
      <c r="Z1711" s="3" t="e">
        <f t="shared" si="343"/>
        <v>#DIV/0!</v>
      </c>
      <c r="AA1711" s="174" t="s">
        <v>1943</v>
      </c>
      <c r="AB1711" s="16" t="s">
        <v>167</v>
      </c>
      <c r="AE1711" s="33">
        <f t="shared" si="344"/>
        <v>0</v>
      </c>
      <c r="AF1711" s="122" t="s">
        <v>2970</v>
      </c>
      <c r="AG1711" s="128"/>
      <c r="AI1711" s="64">
        <f t="shared" si="345"/>
        <v>1.7841880341880343E-3</v>
      </c>
      <c r="AJ1711" s="313">
        <f>RTD("money.excel",,$G1711,"PredictVolume")</f>
        <v>167</v>
      </c>
      <c r="AK1711" s="348"/>
    </row>
    <row r="1712" spans="1:37">
      <c r="A1712" s="132" t="s">
        <v>3561</v>
      </c>
      <c r="B1712" s="93">
        <v>36</v>
      </c>
      <c r="C1712" s="93">
        <v>105</v>
      </c>
      <c r="D1712" s="93">
        <v>1</v>
      </c>
      <c r="E1712" s="93">
        <v>-8</v>
      </c>
      <c r="F1712" s="58">
        <v>10.02</v>
      </c>
      <c r="G1712" s="81">
        <v>3303</v>
      </c>
      <c r="H1712" s="8" t="s">
        <v>334</v>
      </c>
      <c r="I1712" s="16" t="s">
        <v>507</v>
      </c>
      <c r="J1712" s="75">
        <v>49.62</v>
      </c>
      <c r="K1712" s="75">
        <v>4.29</v>
      </c>
      <c r="L1712" s="75">
        <v>13.92</v>
      </c>
      <c r="N1712" s="325">
        <f t="shared" si="346"/>
        <v>67.83</v>
      </c>
      <c r="O1712" s="27"/>
      <c r="P1712" s="56"/>
      <c r="Q1712" s="26"/>
      <c r="S1712" s="330">
        <v>20.3</v>
      </c>
      <c r="T1712" s="34">
        <v>1.4</v>
      </c>
      <c r="U1712" s="366">
        <f t="shared" si="341"/>
        <v>5.2830188679245278E-2</v>
      </c>
      <c r="V1712" s="97">
        <v>1.54</v>
      </c>
      <c r="W1712" s="36">
        <f>RTD("money.excel",,"3303","Price")</f>
        <v>26.5</v>
      </c>
      <c r="X1712" s="67"/>
      <c r="Y1712" s="15">
        <f t="shared" si="342"/>
        <v>26.5</v>
      </c>
      <c r="Z1712" s="3" t="e">
        <f t="shared" si="343"/>
        <v>#DIV/0!</v>
      </c>
      <c r="AB1712" s="16" t="s">
        <v>507</v>
      </c>
      <c r="AE1712" s="33">
        <f t="shared" si="344"/>
        <v>0</v>
      </c>
      <c r="AF1712" s="43" t="s">
        <v>3011</v>
      </c>
      <c r="AG1712" s="128"/>
      <c r="AI1712" s="64">
        <f t="shared" si="345"/>
        <v>6.9406867845993757E-3</v>
      </c>
      <c r="AJ1712" s="313">
        <f>RTD("money.excel",,$G1712,"PredictVolume")</f>
        <v>667</v>
      </c>
      <c r="AK1712" s="348"/>
    </row>
    <row r="1713" spans="1:37">
      <c r="A1713" s="148" t="s">
        <v>1807</v>
      </c>
      <c r="B1713" s="82">
        <v>-30</v>
      </c>
      <c r="C1713" s="81">
        <v>17</v>
      </c>
      <c r="D1713" s="81">
        <v>15</v>
      </c>
      <c r="E1713" s="81">
        <v>25</v>
      </c>
      <c r="F1713" s="6">
        <v>5.26</v>
      </c>
      <c r="G1713" s="81">
        <v>3305</v>
      </c>
      <c r="H1713" s="8" t="s">
        <v>334</v>
      </c>
      <c r="I1713" s="22" t="s">
        <v>538</v>
      </c>
      <c r="J1713" s="75">
        <v>43.68</v>
      </c>
      <c r="K1713" s="75">
        <v>2.36</v>
      </c>
      <c r="L1713" s="75">
        <v>8.16</v>
      </c>
      <c r="N1713" s="325">
        <f t="shared" si="346"/>
        <v>54.2</v>
      </c>
      <c r="O1713" s="27"/>
      <c r="P1713" s="56"/>
      <c r="Q1713" s="26"/>
      <c r="S1713" s="330">
        <v>0.19</v>
      </c>
      <c r="T1713" s="34">
        <v>1.5</v>
      </c>
      <c r="U1713" s="366">
        <f t="shared" si="341"/>
        <v>2.1067415730337078E-2</v>
      </c>
      <c r="V1713" s="97">
        <v>1.51</v>
      </c>
      <c r="W1713" s="36">
        <f>RTD("money.excel",,"3305","Price")</f>
        <v>71.2</v>
      </c>
      <c r="X1713" s="67"/>
      <c r="Y1713" s="15">
        <f t="shared" si="342"/>
        <v>71.2</v>
      </c>
      <c r="Z1713" s="3" t="e">
        <f t="shared" si="343"/>
        <v>#DIV/0!</v>
      </c>
      <c r="AA1713" s="174" t="s">
        <v>1943</v>
      </c>
      <c r="AB1713" s="22" t="s">
        <v>538</v>
      </c>
      <c r="AE1713" s="33">
        <f t="shared" si="344"/>
        <v>0</v>
      </c>
      <c r="AF1713" s="43" t="s">
        <v>3099</v>
      </c>
      <c r="AG1713" s="128"/>
      <c r="AI1713" s="64">
        <f t="shared" si="345"/>
        <v>1.2067796610169492E-2</v>
      </c>
      <c r="AJ1713" s="313">
        <f>RTD("money.excel",,$G1713,"PredictVolume")</f>
        <v>1424</v>
      </c>
      <c r="AK1713" s="348"/>
    </row>
    <row r="1714" spans="1:37">
      <c r="A1714" s="148" t="s">
        <v>1878</v>
      </c>
      <c r="B1714" s="82">
        <v>-8</v>
      </c>
      <c r="C1714" s="82">
        <v>-16</v>
      </c>
      <c r="D1714" s="82">
        <v>-1</v>
      </c>
      <c r="E1714" s="81">
        <v>10</v>
      </c>
      <c r="F1714" s="6">
        <v>9.17</v>
      </c>
      <c r="G1714" s="81">
        <v>3324</v>
      </c>
      <c r="H1714" s="8" t="s">
        <v>334</v>
      </c>
      <c r="I1714" s="16" t="s">
        <v>242</v>
      </c>
      <c r="J1714" s="75">
        <v>29.16</v>
      </c>
      <c r="K1714" s="75">
        <v>25.69</v>
      </c>
      <c r="L1714" s="75">
        <v>38.33</v>
      </c>
      <c r="M1714" s="75">
        <v>19.97</v>
      </c>
      <c r="N1714" s="325">
        <f t="shared" si="346"/>
        <v>113.15</v>
      </c>
      <c r="O1714" s="27" t="s">
        <v>6327</v>
      </c>
      <c r="P1714" s="56" t="s">
        <v>6261</v>
      </c>
      <c r="Q1714" s="26" t="s">
        <v>6257</v>
      </c>
      <c r="R1714" s="309" t="s">
        <v>6219</v>
      </c>
      <c r="S1714" s="330">
        <v>4.1100000000000003</v>
      </c>
      <c r="T1714" s="67">
        <v>5.6</v>
      </c>
      <c r="U1714" s="366">
        <f t="shared" si="341"/>
        <v>2.5925925925925925E-2</v>
      </c>
      <c r="V1714" s="97">
        <v>12.05</v>
      </c>
      <c r="W1714" s="36">
        <f>RTD("money.excel",,"3324","Price")</f>
        <v>216</v>
      </c>
      <c r="X1714" s="67"/>
      <c r="Y1714" s="15">
        <f t="shared" si="342"/>
        <v>216</v>
      </c>
      <c r="Z1714" s="3" t="e">
        <f t="shared" si="343"/>
        <v>#DIV/0!</v>
      </c>
      <c r="AA1714" s="174" t="s">
        <v>2185</v>
      </c>
      <c r="AB1714" s="16" t="s">
        <v>242</v>
      </c>
      <c r="AE1714" s="33">
        <f t="shared" si="344"/>
        <v>0</v>
      </c>
      <c r="AF1714" s="43" t="s">
        <v>3459</v>
      </c>
      <c r="AG1714" s="128"/>
      <c r="AI1714" s="64">
        <f t="shared" si="345"/>
        <v>2.1787330316742081E-2</v>
      </c>
      <c r="AJ1714" s="313">
        <f>RTD("money.excel",,$G1714,"PredictVolume")</f>
        <v>1926</v>
      </c>
      <c r="AK1714" s="348">
        <v>31.74</v>
      </c>
    </row>
    <row r="1715" spans="1:37">
      <c r="A1715" s="132" t="s">
        <v>2456</v>
      </c>
      <c r="B1715" s="82">
        <v>-84</v>
      </c>
      <c r="C1715" s="82">
        <v>-83</v>
      </c>
      <c r="D1715" s="81">
        <v>2</v>
      </c>
      <c r="E1715" s="82">
        <v>-69</v>
      </c>
      <c r="F1715" s="58">
        <v>16.57</v>
      </c>
      <c r="G1715" s="81">
        <v>3373</v>
      </c>
      <c r="H1715" s="8" t="s">
        <v>334</v>
      </c>
      <c r="I1715" s="16" t="s">
        <v>509</v>
      </c>
      <c r="J1715" s="75">
        <v>24.24</v>
      </c>
      <c r="K1715" s="330">
        <v>5.91</v>
      </c>
      <c r="L1715" s="75">
        <v>18.86</v>
      </c>
      <c r="M1715" s="330">
        <v>25.74</v>
      </c>
      <c r="N1715" s="325">
        <f t="shared" si="346"/>
        <v>74.75</v>
      </c>
      <c r="O1715" s="27"/>
      <c r="P1715" s="56"/>
      <c r="Q1715" s="26"/>
      <c r="R1715" s="308" t="s">
        <v>6109</v>
      </c>
      <c r="S1715" s="330">
        <v>3.42</v>
      </c>
      <c r="T1715" s="67">
        <v>10</v>
      </c>
      <c r="U1715" s="366">
        <f t="shared" si="341"/>
        <v>0.32679738562091504</v>
      </c>
      <c r="V1715" s="97">
        <v>4.6500000000000004</v>
      </c>
      <c r="W1715" s="36">
        <f>RTD("money.excel",,"3373","Price")</f>
        <v>30.6</v>
      </c>
      <c r="X1715" s="67"/>
      <c r="Y1715" s="15">
        <f t="shared" si="342"/>
        <v>30.6</v>
      </c>
      <c r="Z1715" s="3" t="e">
        <f t="shared" si="343"/>
        <v>#DIV/0!</v>
      </c>
      <c r="AA1715" s="174" t="s">
        <v>2185</v>
      </c>
      <c r="AB1715" s="16" t="s">
        <v>509</v>
      </c>
      <c r="AE1715" s="33">
        <f t="shared" si="344"/>
        <v>0</v>
      </c>
      <c r="AF1715" s="43" t="s">
        <v>3789</v>
      </c>
      <c r="AG1715" s="128"/>
      <c r="AI1715" s="64">
        <f t="shared" si="345"/>
        <v>1.0854503464203234E-3</v>
      </c>
      <c r="AJ1715" s="313">
        <f>RTD("money.excel",,$G1715,"PredictVolume")</f>
        <v>47</v>
      </c>
      <c r="AK1715" s="348">
        <v>58.94</v>
      </c>
    </row>
    <row r="1716" spans="1:37">
      <c r="A1716" s="132" t="s">
        <v>2591</v>
      </c>
      <c r="B1716" s="81">
        <v>72</v>
      </c>
      <c r="C1716" s="81">
        <v>77</v>
      </c>
      <c r="D1716" s="81">
        <v>2</v>
      </c>
      <c r="E1716" s="81">
        <v>26</v>
      </c>
      <c r="F1716" s="58">
        <v>12.08</v>
      </c>
      <c r="G1716" s="81">
        <v>3402</v>
      </c>
      <c r="H1716" s="8" t="s">
        <v>334</v>
      </c>
      <c r="I1716" s="16" t="s">
        <v>510</v>
      </c>
      <c r="J1716" s="330">
        <v>24.14</v>
      </c>
      <c r="K1716" s="75">
        <v>4.03</v>
      </c>
      <c r="L1716" s="75">
        <v>4.7</v>
      </c>
      <c r="N1716" s="325">
        <f t="shared" si="346"/>
        <v>32.870000000000005</v>
      </c>
      <c r="O1716" s="27"/>
      <c r="P1716" s="56"/>
      <c r="Q1716" s="26"/>
      <c r="S1716" s="330">
        <v>0.23</v>
      </c>
      <c r="T1716" s="34">
        <v>2.7</v>
      </c>
      <c r="U1716" s="366">
        <f t="shared" si="341"/>
        <v>5.3677932405566606E-2</v>
      </c>
      <c r="V1716" s="97">
        <v>4.05</v>
      </c>
      <c r="W1716" s="36">
        <f>RTD("money.excel",,"3402","Price")</f>
        <v>50.3</v>
      </c>
      <c r="X1716" s="67"/>
      <c r="Y1716" s="15">
        <f t="shared" si="342"/>
        <v>50.3</v>
      </c>
      <c r="Z1716" s="3" t="e">
        <f t="shared" si="343"/>
        <v>#DIV/0!</v>
      </c>
      <c r="AB1716" s="16" t="s">
        <v>510</v>
      </c>
      <c r="AE1716" s="33">
        <f t="shared" si="344"/>
        <v>0</v>
      </c>
      <c r="AF1716" s="43" t="s">
        <v>3039</v>
      </c>
      <c r="AG1716" s="128"/>
      <c r="AI1716" s="64">
        <f t="shared" si="345"/>
        <v>6.0958904109589037E-3</v>
      </c>
      <c r="AJ1716" s="313">
        <f>RTD("money.excel",,$G1716,"PredictVolume")</f>
        <v>445</v>
      </c>
      <c r="AK1716" s="348"/>
    </row>
    <row r="1717" spans="1:37">
      <c r="A1717" s="132" t="s">
        <v>1851</v>
      </c>
      <c r="B1717" s="81">
        <v>12</v>
      </c>
      <c r="C1717" s="81">
        <v>27</v>
      </c>
      <c r="D1717" s="82">
        <v>-2</v>
      </c>
      <c r="E1717" s="81">
        <v>11</v>
      </c>
      <c r="F1717" s="58">
        <v>14.21</v>
      </c>
      <c r="G1717" s="81">
        <v>3450</v>
      </c>
      <c r="H1717" s="8" t="s">
        <v>334</v>
      </c>
      <c r="I1717" s="22" t="s">
        <v>6034</v>
      </c>
      <c r="J1717" s="330">
        <v>19.18</v>
      </c>
      <c r="K1717" s="330">
        <v>7.31</v>
      </c>
      <c r="L1717" s="330">
        <v>23.93</v>
      </c>
      <c r="N1717" s="325">
        <f t="shared" si="346"/>
        <v>50.42</v>
      </c>
      <c r="O1717" s="27"/>
      <c r="P1717" s="56"/>
      <c r="Q1717" s="26"/>
      <c r="S1717" s="330">
        <v>0.25</v>
      </c>
      <c r="T1717" s="34">
        <v>1.4</v>
      </c>
      <c r="U1717" s="366">
        <f t="shared" si="341"/>
        <v>2.8484231943031534E-2</v>
      </c>
      <c r="V1717" s="97">
        <v>1.65</v>
      </c>
      <c r="W1717" s="36">
        <f>RTD("money.excel",,"3450","Price")</f>
        <v>49.15</v>
      </c>
      <c r="X1717" s="67"/>
      <c r="Y1717" s="15">
        <f t="shared" si="342"/>
        <v>49.15</v>
      </c>
      <c r="Z1717" s="3" t="e">
        <f t="shared" si="343"/>
        <v>#DIV/0!</v>
      </c>
      <c r="AA1717" s="174" t="s">
        <v>1943</v>
      </c>
      <c r="AB1717" s="22" t="s">
        <v>6034</v>
      </c>
      <c r="AE1717" s="33">
        <f t="shared" si="344"/>
        <v>0</v>
      </c>
      <c r="AF1717" s="122" t="s">
        <v>2668</v>
      </c>
      <c r="AG1717" s="128"/>
      <c r="AI1717" s="64">
        <f t="shared" si="345"/>
        <v>8.8275862068965514E-4</v>
      </c>
      <c r="AJ1717" s="313">
        <f>RTD("money.excel",,$G1717,"PredictVolume")</f>
        <v>128</v>
      </c>
      <c r="AK1717" s="348"/>
    </row>
    <row r="1718" spans="1:37">
      <c r="A1718" s="148" t="s">
        <v>3500</v>
      </c>
      <c r="B1718" s="93">
        <v>102</v>
      </c>
      <c r="C1718" s="93">
        <v>101</v>
      </c>
      <c r="D1718" s="93">
        <v>-2</v>
      </c>
      <c r="E1718" s="93">
        <v>44</v>
      </c>
      <c r="F1718" s="6">
        <v>0.44</v>
      </c>
      <c r="G1718" s="81">
        <v>3498</v>
      </c>
      <c r="H1718" s="8" t="s">
        <v>334</v>
      </c>
      <c r="I1718" s="16" t="s">
        <v>245</v>
      </c>
      <c r="J1718" s="330">
        <v>37.64</v>
      </c>
      <c r="K1718" s="330">
        <v>4.37</v>
      </c>
      <c r="L1718" s="330">
        <v>9.4700000000000006</v>
      </c>
      <c r="N1718" s="325">
        <f t="shared" si="346"/>
        <v>51.48</v>
      </c>
      <c r="O1718" s="27"/>
      <c r="P1718" s="56"/>
      <c r="Q1718" s="26"/>
      <c r="S1718" s="330">
        <v>15.98</v>
      </c>
      <c r="T1718" s="34">
        <v>0</v>
      </c>
      <c r="U1718" s="366">
        <f t="shared" ref="U1718:U1749" si="347">T1718/W1718</f>
        <v>0</v>
      </c>
      <c r="V1718" s="97">
        <v>-0.57999999999999996</v>
      </c>
      <c r="W1718" s="36">
        <f>RTD("money.excel",,"3498","Price")</f>
        <v>29.9</v>
      </c>
      <c r="X1718" s="67"/>
      <c r="Y1718" s="15">
        <f t="shared" si="342"/>
        <v>29.9</v>
      </c>
      <c r="Z1718" s="3" t="e">
        <f t="shared" si="343"/>
        <v>#DIV/0!</v>
      </c>
      <c r="AB1718" s="16" t="s">
        <v>245</v>
      </c>
      <c r="AE1718" s="33">
        <f t="shared" si="344"/>
        <v>0</v>
      </c>
      <c r="AF1718" s="124" t="s">
        <v>1520</v>
      </c>
      <c r="AG1718" s="128"/>
      <c r="AI1718" s="64">
        <f t="shared" ref="AI1718:AI1749" si="348">AJ1718/(A1718*10000)</f>
        <v>2.3622047244094488E-4</v>
      </c>
      <c r="AJ1718" s="313">
        <f>RTD("money.excel",,$G1718,"PredictVolume")</f>
        <v>15</v>
      </c>
      <c r="AK1718" s="348"/>
    </row>
    <row r="1719" spans="1:37">
      <c r="A1719" s="148" t="s">
        <v>1959</v>
      </c>
      <c r="B1719" s="82">
        <v>-1</v>
      </c>
      <c r="C1719" s="81">
        <v>41</v>
      </c>
      <c r="D1719" s="81">
        <v>15</v>
      </c>
      <c r="E1719" s="82">
        <v>-17</v>
      </c>
      <c r="F1719" s="6">
        <v>-41.51</v>
      </c>
      <c r="G1719" s="81">
        <v>3508</v>
      </c>
      <c r="H1719" s="8" t="s">
        <v>334</v>
      </c>
      <c r="I1719" s="16" t="s">
        <v>6035</v>
      </c>
      <c r="J1719" s="75">
        <v>29.48</v>
      </c>
      <c r="K1719" s="330">
        <v>8.3800000000000008</v>
      </c>
      <c r="L1719" s="330">
        <v>28.87</v>
      </c>
      <c r="M1719" s="330">
        <v>8.08</v>
      </c>
      <c r="N1719" s="325">
        <f t="shared" si="346"/>
        <v>74.81</v>
      </c>
      <c r="O1719" s="27"/>
      <c r="P1719" s="56"/>
      <c r="Q1719" s="26"/>
      <c r="R1719" s="308" t="s">
        <v>6059</v>
      </c>
      <c r="S1719" s="330">
        <v>4.17</v>
      </c>
      <c r="T1719" s="34">
        <v>0</v>
      </c>
      <c r="U1719" s="366">
        <f t="shared" si="347"/>
        <v>0</v>
      </c>
      <c r="V1719" s="97">
        <v>-1.71</v>
      </c>
      <c r="W1719" s="36">
        <f>RTD("money.excel",,"3508","Price")</f>
        <v>41.6</v>
      </c>
      <c r="X1719" s="67"/>
      <c r="Y1719" s="15">
        <f t="shared" si="342"/>
        <v>41.6</v>
      </c>
      <c r="Z1719" s="3" t="e">
        <f t="shared" si="343"/>
        <v>#DIV/0!</v>
      </c>
      <c r="AB1719" s="16" t="s">
        <v>6035</v>
      </c>
      <c r="AE1719" s="33">
        <f t="shared" si="344"/>
        <v>0</v>
      </c>
      <c r="AF1719" s="122" t="s">
        <v>3040</v>
      </c>
      <c r="AG1719" s="128"/>
      <c r="AI1719" s="64">
        <f t="shared" si="348"/>
        <v>2.3401960784313725E-2</v>
      </c>
      <c r="AJ1719" s="313">
        <f>RTD("money.excel",,$G1719,"PredictVolume")</f>
        <v>2387</v>
      </c>
      <c r="AK1719" s="348"/>
    </row>
    <row r="1720" spans="1:37">
      <c r="A1720" s="148" t="s">
        <v>2496</v>
      </c>
      <c r="B1720" s="93">
        <v>42</v>
      </c>
      <c r="C1720" s="93">
        <v>77</v>
      </c>
      <c r="D1720" s="93">
        <v>-2</v>
      </c>
      <c r="E1720" s="93">
        <v>130</v>
      </c>
      <c r="F1720" s="6">
        <v>-48</v>
      </c>
      <c r="G1720" s="81">
        <v>3518</v>
      </c>
      <c r="H1720" s="8" t="s">
        <v>334</v>
      </c>
      <c r="I1720" s="22" t="s">
        <v>539</v>
      </c>
      <c r="J1720" s="75">
        <v>43.35</v>
      </c>
      <c r="K1720" s="75">
        <v>7.87</v>
      </c>
      <c r="L1720" s="75">
        <v>21.98</v>
      </c>
      <c r="N1720" s="325">
        <f t="shared" si="346"/>
        <v>73.2</v>
      </c>
      <c r="O1720" s="27"/>
      <c r="P1720" s="56"/>
      <c r="Q1720" s="26"/>
      <c r="S1720" s="330">
        <v>10.63</v>
      </c>
      <c r="T1720" s="34">
        <v>0</v>
      </c>
      <c r="U1720" s="366">
        <f t="shared" si="347"/>
        <v>0</v>
      </c>
      <c r="V1720" s="97">
        <v>-0.71</v>
      </c>
      <c r="W1720" s="36">
        <f>RTD("money.excel",,"3518","Price")</f>
        <v>20.45</v>
      </c>
      <c r="X1720" s="67"/>
      <c r="Y1720" s="15">
        <f t="shared" si="342"/>
        <v>20.45</v>
      </c>
      <c r="Z1720" s="3" t="e">
        <f t="shared" si="343"/>
        <v>#DIV/0!</v>
      </c>
      <c r="AB1720" s="22" t="s">
        <v>539</v>
      </c>
      <c r="AE1720" s="33">
        <f t="shared" si="344"/>
        <v>0</v>
      </c>
      <c r="AF1720" s="43" t="s">
        <v>3100</v>
      </c>
      <c r="AG1720" s="128"/>
      <c r="AI1720" s="64">
        <f t="shared" si="348"/>
        <v>5.0742574257425744E-4</v>
      </c>
      <c r="AJ1720" s="313">
        <f>RTD("money.excel",,$G1720,"PredictVolume")</f>
        <v>41</v>
      </c>
      <c r="AK1720" s="348"/>
    </row>
    <row r="1721" spans="1:37">
      <c r="A1721" s="132" t="s">
        <v>2599</v>
      </c>
      <c r="B1721" s="81">
        <v>31</v>
      </c>
      <c r="C1721" s="81">
        <v>10</v>
      </c>
      <c r="D1721" s="81">
        <v>1</v>
      </c>
      <c r="E1721" s="81">
        <v>38</v>
      </c>
      <c r="F1721" s="58">
        <v>15.28</v>
      </c>
      <c r="G1721" s="81">
        <v>3541</v>
      </c>
      <c r="H1721" s="8" t="s">
        <v>334</v>
      </c>
      <c r="I1721" s="16" t="s">
        <v>169</v>
      </c>
      <c r="J1721" s="75">
        <v>23</v>
      </c>
      <c r="K1721" s="330">
        <v>2.77</v>
      </c>
      <c r="L1721" s="75">
        <v>15.31</v>
      </c>
      <c r="M1721" s="75">
        <v>13.76</v>
      </c>
      <c r="N1721" s="325">
        <f t="shared" si="346"/>
        <v>54.839999999999996</v>
      </c>
      <c r="O1721" s="27"/>
      <c r="P1721" s="56"/>
      <c r="Q1721" s="26"/>
      <c r="R1721" s="308" t="s">
        <v>4373</v>
      </c>
      <c r="S1721" s="330">
        <v>1.3</v>
      </c>
      <c r="T1721" s="34">
        <v>2.02</v>
      </c>
      <c r="U1721" s="366">
        <f t="shared" si="347"/>
        <v>3.4353741496598644E-2</v>
      </c>
      <c r="V1721" s="97">
        <v>2.82</v>
      </c>
      <c r="W1721" s="36">
        <f>RTD("money.excel",,"3541","Price")</f>
        <v>58.8</v>
      </c>
      <c r="X1721" s="67"/>
      <c r="Y1721" s="15">
        <f t="shared" si="342"/>
        <v>58.8</v>
      </c>
      <c r="Z1721" s="3" t="e">
        <f t="shared" si="343"/>
        <v>#DIV/0!</v>
      </c>
      <c r="AA1721" s="174" t="s">
        <v>1943</v>
      </c>
      <c r="AB1721" s="16" t="s">
        <v>169</v>
      </c>
      <c r="AE1721" s="33">
        <f t="shared" si="344"/>
        <v>0</v>
      </c>
      <c r="AF1721" s="122" t="s">
        <v>3041</v>
      </c>
      <c r="AG1721" s="128"/>
      <c r="AI1721" s="64">
        <f t="shared" si="348"/>
        <v>4.5598591549295773E-3</v>
      </c>
      <c r="AJ1721" s="313">
        <f>RTD("money.excel",,$G1721,"PredictVolume")</f>
        <v>259</v>
      </c>
      <c r="AK1721" s="348"/>
    </row>
    <row r="1722" spans="1:37">
      <c r="A1722" s="132" t="s">
        <v>2599</v>
      </c>
      <c r="B1722" s="93">
        <v>19</v>
      </c>
      <c r="C1722" s="93">
        <v>19</v>
      </c>
      <c r="D1722" s="93">
        <v>-4</v>
      </c>
      <c r="E1722" s="93">
        <v>-5</v>
      </c>
      <c r="F1722" s="58">
        <v>15.72</v>
      </c>
      <c r="G1722" s="81">
        <v>3551</v>
      </c>
      <c r="H1722" s="8" t="s">
        <v>334</v>
      </c>
      <c r="I1722" s="16" t="s">
        <v>511</v>
      </c>
      <c r="J1722" s="75">
        <v>39.17</v>
      </c>
      <c r="K1722" s="75">
        <v>4.8600000000000003</v>
      </c>
      <c r="L1722" s="75">
        <v>9.2799999999999994</v>
      </c>
      <c r="N1722" s="325">
        <f t="shared" si="346"/>
        <v>53.31</v>
      </c>
      <c r="O1722" s="27"/>
      <c r="P1722" s="56"/>
      <c r="Q1722" s="26"/>
      <c r="S1722" s="330">
        <v>20.03</v>
      </c>
      <c r="T1722" s="34">
        <v>2.2000000000000002</v>
      </c>
      <c r="U1722" s="366">
        <f t="shared" si="347"/>
        <v>3.1339031339031341E-2</v>
      </c>
      <c r="V1722" s="97">
        <v>4.4400000000000004</v>
      </c>
      <c r="W1722" s="36">
        <f>RTD("money.excel",,"3551","Price")</f>
        <v>70.2</v>
      </c>
      <c r="X1722" s="67"/>
      <c r="Y1722" s="15">
        <f t="shared" si="342"/>
        <v>70.2</v>
      </c>
      <c r="Z1722" s="3" t="e">
        <f t="shared" si="343"/>
        <v>#DIV/0!</v>
      </c>
      <c r="AB1722" s="16" t="s">
        <v>511</v>
      </c>
      <c r="AE1722" s="33">
        <f t="shared" si="344"/>
        <v>0</v>
      </c>
      <c r="AF1722" s="43" t="s">
        <v>2827</v>
      </c>
      <c r="AG1722" s="128"/>
      <c r="AI1722" s="64">
        <f t="shared" si="348"/>
        <v>1.9190140845070423E-3</v>
      </c>
      <c r="AJ1722" s="313">
        <f>RTD("money.excel",,$G1722,"PredictVolume")</f>
        <v>109</v>
      </c>
      <c r="AK1722" s="348"/>
    </row>
    <row r="1723" spans="1:37">
      <c r="A1723" s="148" t="s">
        <v>1921</v>
      </c>
      <c r="B1723" s="95">
        <v>1368</v>
      </c>
      <c r="C1723" s="81">
        <v>763</v>
      </c>
      <c r="D1723" s="81">
        <v>1</v>
      </c>
      <c r="E1723" s="82">
        <v>-13</v>
      </c>
      <c r="F1723" s="6">
        <v>5.17</v>
      </c>
      <c r="G1723" s="81">
        <v>3552</v>
      </c>
      <c r="H1723" s="8" t="s">
        <v>334</v>
      </c>
      <c r="I1723" s="16" t="s">
        <v>6036</v>
      </c>
      <c r="J1723" s="75">
        <v>36.58</v>
      </c>
      <c r="K1723" s="330">
        <v>21.55</v>
      </c>
      <c r="L1723" s="330">
        <v>26.82</v>
      </c>
      <c r="M1723" s="330">
        <v>18.88</v>
      </c>
      <c r="N1723" s="325">
        <f t="shared" si="346"/>
        <v>103.82999999999998</v>
      </c>
      <c r="O1723" s="27"/>
      <c r="P1723" s="56"/>
      <c r="Q1723" s="26"/>
      <c r="R1723" s="308" t="s">
        <v>4373</v>
      </c>
      <c r="S1723" s="330">
        <v>3.58</v>
      </c>
      <c r="T1723" s="34">
        <v>1.5</v>
      </c>
      <c r="U1723" s="366">
        <f t="shared" si="347"/>
        <v>1.1406844106463879E-2</v>
      </c>
      <c r="V1723" s="97">
        <v>6.38</v>
      </c>
      <c r="W1723" s="36">
        <f>RTD("money.excel",,"3552","Price")</f>
        <v>131.5</v>
      </c>
      <c r="X1723" s="67"/>
      <c r="Y1723" s="15">
        <f t="shared" si="342"/>
        <v>131.5</v>
      </c>
      <c r="Z1723" s="3" t="e">
        <f t="shared" si="343"/>
        <v>#DIV/0!</v>
      </c>
      <c r="AA1723" s="174" t="s">
        <v>1943</v>
      </c>
      <c r="AB1723" s="16" t="s">
        <v>6036</v>
      </c>
      <c r="AE1723" s="33">
        <f t="shared" si="344"/>
        <v>0</v>
      </c>
      <c r="AF1723" s="122" t="s">
        <v>2844</v>
      </c>
      <c r="AG1723" s="128"/>
      <c r="AI1723" s="64">
        <f t="shared" si="348"/>
        <v>4.8247663551401867E-3</v>
      </c>
      <c r="AJ1723" s="313">
        <f>RTD("money.excel",,$G1723,"PredictVolume")</f>
        <v>413</v>
      </c>
      <c r="AK1723" s="348"/>
    </row>
    <row r="1724" spans="1:37">
      <c r="A1724" s="132" t="s">
        <v>2340</v>
      </c>
      <c r="B1724" s="81">
        <v>21</v>
      </c>
      <c r="C1724" s="81">
        <v>67</v>
      </c>
      <c r="D1724" s="82">
        <v>-1</v>
      </c>
      <c r="E1724" s="81">
        <v>44</v>
      </c>
      <c r="F1724" s="58">
        <v>18.27</v>
      </c>
      <c r="G1724" s="81">
        <v>3580</v>
      </c>
      <c r="H1724" s="8" t="s">
        <v>334</v>
      </c>
      <c r="I1724" s="16" t="s">
        <v>6037</v>
      </c>
      <c r="J1724" s="330">
        <v>14.54</v>
      </c>
      <c r="K1724" s="330">
        <v>1.1499999999999999</v>
      </c>
      <c r="L1724" s="330">
        <v>31.34</v>
      </c>
      <c r="M1724" s="330">
        <v>10.74</v>
      </c>
      <c r="N1724" s="325">
        <f t="shared" si="346"/>
        <v>57.77</v>
      </c>
      <c r="O1724" s="27"/>
      <c r="P1724" s="56"/>
      <c r="Q1724" s="26"/>
      <c r="R1724" s="308" t="s">
        <v>6107</v>
      </c>
      <c r="S1724" s="330">
        <v>1.18</v>
      </c>
      <c r="T1724" s="34">
        <v>1.3</v>
      </c>
      <c r="U1724" s="366">
        <f t="shared" si="347"/>
        <v>2.1558872305140964E-2</v>
      </c>
      <c r="V1724" s="97">
        <v>2.1800000000000002</v>
      </c>
      <c r="W1724" s="36">
        <f>RTD("money.excel",,"3580","Price")</f>
        <v>60.3</v>
      </c>
      <c r="X1724" s="67"/>
      <c r="Y1724" s="15">
        <f t="shared" si="342"/>
        <v>60.3</v>
      </c>
      <c r="Z1724" s="3" t="e">
        <f t="shared" si="343"/>
        <v>#DIV/0!</v>
      </c>
      <c r="AA1724" s="174" t="s">
        <v>1943</v>
      </c>
      <c r="AB1724" s="16" t="s">
        <v>6037</v>
      </c>
      <c r="AE1724" s="33">
        <f t="shared" si="344"/>
        <v>0</v>
      </c>
      <c r="AF1724" s="122" t="s">
        <v>2841</v>
      </c>
      <c r="AG1724" s="128"/>
      <c r="AI1724" s="64">
        <f t="shared" si="348"/>
        <v>3.6202531645569622E-3</v>
      </c>
      <c r="AJ1724" s="313">
        <f>RTD("money.excel",,$G1724,"PredictVolume")</f>
        <v>143</v>
      </c>
      <c r="AK1724" s="348">
        <v>27.61</v>
      </c>
    </row>
    <row r="1725" spans="1:37">
      <c r="A1725" s="132" t="s">
        <v>1803</v>
      </c>
      <c r="B1725" s="81">
        <v>53</v>
      </c>
      <c r="C1725" s="81">
        <v>61</v>
      </c>
      <c r="D1725" s="81">
        <v>13</v>
      </c>
      <c r="E1725" s="81">
        <v>16</v>
      </c>
      <c r="F1725" s="58">
        <v>20.190000000000001</v>
      </c>
      <c r="G1725" s="81">
        <v>3587</v>
      </c>
      <c r="H1725" s="8" t="s">
        <v>334</v>
      </c>
      <c r="I1725" s="16" t="s">
        <v>170</v>
      </c>
      <c r="J1725" s="75">
        <v>27.72</v>
      </c>
      <c r="K1725" s="75">
        <v>7.02</v>
      </c>
      <c r="L1725" s="75">
        <v>20.45</v>
      </c>
      <c r="M1725" s="330">
        <v>22.13</v>
      </c>
      <c r="N1725" s="325">
        <f t="shared" si="346"/>
        <v>77.319999999999993</v>
      </c>
      <c r="O1725" s="27"/>
      <c r="P1725" s="56"/>
      <c r="Q1725" s="26"/>
      <c r="R1725" s="308" t="s">
        <v>4374</v>
      </c>
      <c r="S1725" s="330">
        <v>1.37</v>
      </c>
      <c r="T1725" s="67">
        <v>4.5</v>
      </c>
      <c r="U1725" s="366">
        <f t="shared" si="347"/>
        <v>3.1358885017421602E-2</v>
      </c>
      <c r="V1725" s="97">
        <v>8.48</v>
      </c>
      <c r="W1725" s="36">
        <f>RTD("money.excel",,"3587","Price")</f>
        <v>143.5</v>
      </c>
      <c r="X1725" s="67"/>
      <c r="Y1725" s="15">
        <f t="shared" si="342"/>
        <v>143.5</v>
      </c>
      <c r="Z1725" s="3" t="e">
        <f t="shared" si="343"/>
        <v>#DIV/0!</v>
      </c>
      <c r="AA1725" s="174" t="s">
        <v>2185</v>
      </c>
      <c r="AB1725" s="16" t="s">
        <v>170</v>
      </c>
      <c r="AE1725" s="33">
        <f t="shared" si="344"/>
        <v>0</v>
      </c>
      <c r="AF1725" s="122" t="s">
        <v>2366</v>
      </c>
      <c r="AG1725" s="128"/>
      <c r="AI1725" s="64">
        <f t="shared" si="348"/>
        <v>3.1300160513643657E-3</v>
      </c>
      <c r="AJ1725" s="313">
        <f>RTD("money.excel",,$G1725,"PredictVolume")</f>
        <v>195</v>
      </c>
      <c r="AK1725" s="348"/>
    </row>
    <row r="1726" spans="1:37">
      <c r="A1726" s="148" t="s">
        <v>2419</v>
      </c>
      <c r="B1726" s="82">
        <v>-62</v>
      </c>
      <c r="C1726" s="82">
        <v>-54</v>
      </c>
      <c r="D1726" s="82">
        <v>-1</v>
      </c>
      <c r="E1726" s="82">
        <v>-7</v>
      </c>
      <c r="F1726" s="6">
        <v>4.2300000000000004</v>
      </c>
      <c r="G1726" s="81">
        <v>3617</v>
      </c>
      <c r="H1726" s="8" t="s">
        <v>334</v>
      </c>
      <c r="I1726" s="22" t="s">
        <v>540</v>
      </c>
      <c r="J1726" s="330">
        <v>67.61</v>
      </c>
      <c r="K1726" s="330">
        <v>3.19</v>
      </c>
      <c r="L1726" s="330">
        <v>3.19</v>
      </c>
      <c r="N1726" s="325">
        <f t="shared" si="346"/>
        <v>73.989999999999995</v>
      </c>
      <c r="O1726" s="27"/>
      <c r="P1726" s="56"/>
      <c r="Q1726" s="26"/>
      <c r="S1726" s="330">
        <v>0.02</v>
      </c>
      <c r="T1726" s="67">
        <v>5.4</v>
      </c>
      <c r="U1726" s="366">
        <f t="shared" si="347"/>
        <v>7.7474892395982792E-2</v>
      </c>
      <c r="V1726" s="97">
        <v>5.72</v>
      </c>
      <c r="W1726" s="36">
        <f>RTD("money.excel",,"3617","Price")</f>
        <v>69.7</v>
      </c>
      <c r="X1726" s="67"/>
      <c r="Y1726" s="15">
        <f t="shared" si="342"/>
        <v>69.7</v>
      </c>
      <c r="Z1726" s="3" t="e">
        <f t="shared" si="343"/>
        <v>#DIV/0!</v>
      </c>
      <c r="AA1726" s="174" t="s">
        <v>1986</v>
      </c>
      <c r="AB1726" s="22" t="s">
        <v>540</v>
      </c>
      <c r="AE1726" s="33">
        <f t="shared" si="344"/>
        <v>0</v>
      </c>
      <c r="AF1726" s="43" t="s">
        <v>1509</v>
      </c>
      <c r="AG1726" s="128"/>
      <c r="AI1726" s="64">
        <f t="shared" si="348"/>
        <v>9.2592592592592596E-4</v>
      </c>
      <c r="AJ1726" s="313">
        <f>RTD("money.excel",,$G1726,"PredictVolume")</f>
        <v>75</v>
      </c>
      <c r="AK1726" s="348"/>
    </row>
    <row r="1727" spans="1:37">
      <c r="A1727" s="148" t="s">
        <v>2593</v>
      </c>
      <c r="B1727" s="93">
        <v>-13</v>
      </c>
      <c r="C1727" s="93">
        <v>155</v>
      </c>
      <c r="D1727" s="93">
        <v>12</v>
      </c>
      <c r="E1727" s="93">
        <v>-4</v>
      </c>
      <c r="F1727" s="6">
        <v>2.48</v>
      </c>
      <c r="G1727" s="81">
        <v>3628</v>
      </c>
      <c r="H1727" s="8" t="s">
        <v>334</v>
      </c>
      <c r="I1727" s="16" t="s">
        <v>6038</v>
      </c>
      <c r="J1727" s="75">
        <v>62.39</v>
      </c>
      <c r="K1727" s="75">
        <v>0.17</v>
      </c>
      <c r="L1727" s="75">
        <v>5.16</v>
      </c>
      <c r="N1727" s="325">
        <f t="shared" si="346"/>
        <v>67.72</v>
      </c>
      <c r="O1727" s="27"/>
      <c r="P1727" s="56"/>
      <c r="Q1727" s="26"/>
      <c r="S1727" s="330">
        <v>63.85</v>
      </c>
      <c r="T1727" s="34">
        <v>1</v>
      </c>
      <c r="U1727" s="366">
        <f t="shared" si="347"/>
        <v>1.6977928692699491E-2</v>
      </c>
      <c r="V1727" s="97">
        <v>0.93</v>
      </c>
      <c r="W1727" s="36">
        <f>RTD("money.excel",,"3628","Price")</f>
        <v>58.9</v>
      </c>
      <c r="X1727" s="67"/>
      <c r="Y1727" s="15">
        <f t="shared" si="342"/>
        <v>58.9</v>
      </c>
      <c r="Z1727" s="3" t="e">
        <f t="shared" si="343"/>
        <v>#DIV/0!</v>
      </c>
      <c r="AB1727" s="16" t="s">
        <v>6038</v>
      </c>
      <c r="AE1727" s="33">
        <f t="shared" si="344"/>
        <v>0</v>
      </c>
      <c r="AF1727" s="43" t="s">
        <v>1509</v>
      </c>
      <c r="AG1727" s="128"/>
      <c r="AI1727" s="64">
        <f t="shared" si="348"/>
        <v>0.22415555555555555</v>
      </c>
      <c r="AJ1727" s="313">
        <f>RTD("money.excel",,$G1727,"PredictVolume")</f>
        <v>10087</v>
      </c>
      <c r="AK1727" s="348"/>
    </row>
    <row r="1728" spans="1:37">
      <c r="A1728" s="148" t="s">
        <v>3541</v>
      </c>
      <c r="B1728" s="93">
        <v>-314</v>
      </c>
      <c r="C1728" s="93">
        <v>-29</v>
      </c>
      <c r="D1728" s="93">
        <v>5</v>
      </c>
      <c r="E1728" s="93">
        <v>56</v>
      </c>
      <c r="F1728" s="6">
        <v>-35</v>
      </c>
      <c r="G1728" s="81">
        <v>3642</v>
      </c>
      <c r="H1728" s="8" t="s">
        <v>334</v>
      </c>
      <c r="I1728" s="16" t="s">
        <v>512</v>
      </c>
      <c r="J1728" s="75">
        <v>44.87</v>
      </c>
      <c r="K1728" s="75">
        <v>0.21</v>
      </c>
      <c r="L1728" s="75">
        <v>78.930000000000007</v>
      </c>
      <c r="N1728" s="325">
        <f t="shared" si="346"/>
        <v>124.01</v>
      </c>
      <c r="O1728" s="27"/>
      <c r="P1728" s="56"/>
      <c r="Q1728" s="26"/>
      <c r="S1728" s="330">
        <v>7.58</v>
      </c>
      <c r="T1728" s="34">
        <v>0</v>
      </c>
      <c r="U1728" s="366">
        <f t="shared" si="347"/>
        <v>0</v>
      </c>
      <c r="V1728" s="97">
        <v>-4.46</v>
      </c>
      <c r="W1728" s="36">
        <f>RTD("money.excel",,"3642","Price")</f>
        <v>8.23</v>
      </c>
      <c r="X1728" s="67"/>
      <c r="Y1728" s="15">
        <f t="shared" si="342"/>
        <v>8.23</v>
      </c>
      <c r="Z1728" s="3" t="e">
        <f t="shared" si="343"/>
        <v>#DIV/0!</v>
      </c>
      <c r="AB1728" s="16" t="s">
        <v>512</v>
      </c>
      <c r="AE1728" s="33">
        <f t="shared" si="344"/>
        <v>0</v>
      </c>
      <c r="AF1728" s="43" t="s">
        <v>3042</v>
      </c>
      <c r="AI1728" s="64">
        <f t="shared" si="348"/>
        <v>3.1073446327683617E-4</v>
      </c>
      <c r="AJ1728" s="313">
        <f>RTD("money.excel",,$G1728,"PredictVolume")</f>
        <v>11</v>
      </c>
    </row>
    <row r="1729" spans="1:37">
      <c r="A1729" s="148" t="s">
        <v>3562</v>
      </c>
      <c r="B1729" s="93">
        <v>-71</v>
      </c>
      <c r="C1729" s="93">
        <v>169</v>
      </c>
      <c r="D1729" s="93">
        <v>43</v>
      </c>
      <c r="E1729" s="93">
        <v>97</v>
      </c>
      <c r="F1729" s="6">
        <v>1.35</v>
      </c>
      <c r="G1729" s="81">
        <v>3663</v>
      </c>
      <c r="H1729" s="8" t="s">
        <v>334</v>
      </c>
      <c r="I1729" s="16" t="s">
        <v>6039</v>
      </c>
      <c r="J1729" s="75">
        <v>64.98</v>
      </c>
      <c r="K1729" s="75">
        <v>3.67</v>
      </c>
      <c r="L1729" s="75">
        <v>15.94</v>
      </c>
      <c r="N1729" s="325">
        <f t="shared" si="346"/>
        <v>84.59</v>
      </c>
      <c r="O1729" s="27"/>
      <c r="P1729" s="56"/>
      <c r="Q1729" s="26"/>
      <c r="S1729" s="330">
        <v>45.82</v>
      </c>
      <c r="T1729" s="34">
        <v>0.8</v>
      </c>
      <c r="U1729" s="366">
        <f t="shared" si="347"/>
        <v>2.6490066225165566E-2</v>
      </c>
      <c r="V1729" s="97">
        <v>0.64</v>
      </c>
      <c r="W1729" s="36">
        <f>RTD("money.excel",,"3663","Price")</f>
        <v>30.2</v>
      </c>
      <c r="X1729" s="67"/>
      <c r="Y1729" s="15">
        <f t="shared" si="342"/>
        <v>30.2</v>
      </c>
      <c r="Z1729" s="3" t="e">
        <f t="shared" si="343"/>
        <v>#DIV/0!</v>
      </c>
      <c r="AA1729" s="174" t="s">
        <v>1943</v>
      </c>
      <c r="AB1729" s="16" t="s">
        <v>6039</v>
      </c>
      <c r="AE1729" s="33">
        <f t="shared" si="344"/>
        <v>0</v>
      </c>
      <c r="AF1729" s="43" t="s">
        <v>3043</v>
      </c>
      <c r="AG1729" s="128"/>
      <c r="AI1729" s="64">
        <f t="shared" si="348"/>
        <v>2.8163265306122448E-3</v>
      </c>
      <c r="AJ1729" s="313">
        <f>RTD("money.excel",,$G1729,"PredictVolume")</f>
        <v>207</v>
      </c>
      <c r="AK1729" s="348"/>
    </row>
    <row r="1730" spans="1:37">
      <c r="A1730" s="148" t="s">
        <v>6220</v>
      </c>
      <c r="B1730" s="81">
        <v>18</v>
      </c>
      <c r="C1730" s="81">
        <v>9</v>
      </c>
      <c r="D1730" s="81">
        <v>6</v>
      </c>
      <c r="E1730" s="81">
        <v>44</v>
      </c>
      <c r="F1730" s="6">
        <v>9.18</v>
      </c>
      <c r="G1730" s="81">
        <v>3665</v>
      </c>
      <c r="H1730" s="206" t="s">
        <v>334</v>
      </c>
      <c r="I1730" s="22" t="s">
        <v>283</v>
      </c>
      <c r="J1730" s="330">
        <v>57.22</v>
      </c>
      <c r="K1730" s="75">
        <v>46.92</v>
      </c>
      <c r="L1730" s="330">
        <v>8.9700000000000006</v>
      </c>
      <c r="M1730" s="330">
        <v>4</v>
      </c>
      <c r="N1730" s="325">
        <f t="shared" si="346"/>
        <v>117.11</v>
      </c>
      <c r="O1730" s="27" t="s">
        <v>6213</v>
      </c>
      <c r="P1730" s="56"/>
      <c r="Q1730" s="26"/>
      <c r="R1730" s="309" t="s">
        <v>6219</v>
      </c>
      <c r="S1730" s="330">
        <v>8.1999999999999993</v>
      </c>
      <c r="T1730" s="67">
        <v>8.1</v>
      </c>
      <c r="U1730" s="366">
        <f t="shared" si="347"/>
        <v>2.596153846153846E-2</v>
      </c>
      <c r="V1730" s="58">
        <v>15.51</v>
      </c>
      <c r="W1730" s="13">
        <f>RTD("money.excel",,"3665","Price")</f>
        <v>312</v>
      </c>
      <c r="X1730" s="67"/>
      <c r="Y1730" s="15">
        <f t="shared" si="342"/>
        <v>312</v>
      </c>
      <c r="Z1730" s="3" t="e">
        <f t="shared" si="343"/>
        <v>#DIV/0!</v>
      </c>
      <c r="AA1730" s="174" t="s">
        <v>2185</v>
      </c>
      <c r="AB1730" s="22" t="s">
        <v>283</v>
      </c>
      <c r="AE1730" s="33">
        <f t="shared" si="344"/>
        <v>0</v>
      </c>
      <c r="AF1730" s="122" t="s">
        <v>2829</v>
      </c>
      <c r="AG1730" s="128"/>
      <c r="AI1730" s="64">
        <f t="shared" si="348"/>
        <v>5.4037184594953519E-2</v>
      </c>
      <c r="AJ1730" s="313">
        <f>RTD("money.excel",,$G1730,"PredictVolume")</f>
        <v>8138</v>
      </c>
      <c r="AK1730" s="348">
        <v>5.0599999999999996</v>
      </c>
    </row>
    <row r="1731" spans="1:37">
      <c r="A1731" s="148" t="s">
        <v>1907</v>
      </c>
      <c r="B1731" s="82">
        <v>-45</v>
      </c>
      <c r="C1731" s="82">
        <v>-62</v>
      </c>
      <c r="D1731" s="82">
        <v>-8</v>
      </c>
      <c r="E1731" s="81">
        <v>7</v>
      </c>
      <c r="F1731" s="6">
        <v>1.01</v>
      </c>
      <c r="G1731" s="81">
        <v>4554</v>
      </c>
      <c r="H1731" s="8" t="s">
        <v>334</v>
      </c>
      <c r="I1731" s="24" t="s">
        <v>258</v>
      </c>
      <c r="J1731" s="330">
        <v>36.770000000000003</v>
      </c>
      <c r="K1731" s="330">
        <v>23.66</v>
      </c>
      <c r="L1731" s="330"/>
      <c r="N1731" s="325">
        <f t="shared" si="346"/>
        <v>60.430000000000007</v>
      </c>
      <c r="O1731" s="27"/>
      <c r="P1731" s="56"/>
      <c r="Q1731" s="26"/>
      <c r="T1731" s="34">
        <v>0.14000000000000001</v>
      </c>
      <c r="U1731" s="366">
        <f t="shared" si="347"/>
        <v>4.7377326565143825E-3</v>
      </c>
      <c r="V1731" s="97">
        <v>0.24</v>
      </c>
      <c r="W1731" s="36">
        <f>RTD("money.excel",,"4554","Price")</f>
        <v>29.55</v>
      </c>
      <c r="X1731" s="67"/>
      <c r="Y1731" s="15">
        <f t="shared" si="342"/>
        <v>29.55</v>
      </c>
      <c r="Z1731" s="3" t="e">
        <f t="shared" si="343"/>
        <v>#DIV/0!</v>
      </c>
      <c r="AA1731" s="174" t="s">
        <v>1943</v>
      </c>
      <c r="AB1731" s="24" t="s">
        <v>258</v>
      </c>
      <c r="AE1731" s="33">
        <f t="shared" si="344"/>
        <v>0</v>
      </c>
      <c r="AF1731" s="124" t="s">
        <v>2639</v>
      </c>
      <c r="AG1731" s="128"/>
      <c r="AI1731" s="64">
        <f t="shared" si="348"/>
        <v>1.074766355140187E-3</v>
      </c>
      <c r="AJ1731" s="313">
        <f>RTD("money.excel",,$G1731,"PredictVolume")</f>
        <v>23</v>
      </c>
      <c r="AK1731" s="348"/>
    </row>
    <row r="1732" spans="1:37">
      <c r="A1732" s="132" t="s">
        <v>3568</v>
      </c>
      <c r="B1732" s="81">
        <v>79</v>
      </c>
      <c r="C1732" s="81">
        <v>74</v>
      </c>
      <c r="D1732" s="82">
        <v>-10</v>
      </c>
      <c r="E1732" s="82">
        <v>-18</v>
      </c>
      <c r="F1732" s="58">
        <v>14.49</v>
      </c>
      <c r="G1732" s="81">
        <v>4760</v>
      </c>
      <c r="H1732" s="8" t="s">
        <v>334</v>
      </c>
      <c r="I1732" s="24" t="s">
        <v>3990</v>
      </c>
      <c r="J1732" s="75">
        <v>30.96</v>
      </c>
      <c r="K1732" s="75">
        <v>1.93</v>
      </c>
      <c r="L1732" s="330">
        <v>20.85</v>
      </c>
      <c r="M1732" s="330">
        <v>23.43</v>
      </c>
      <c r="N1732" s="325">
        <f t="shared" si="346"/>
        <v>77.17</v>
      </c>
      <c r="O1732" s="27" t="s">
        <v>6159</v>
      </c>
      <c r="P1732" s="56"/>
      <c r="Q1732" s="26"/>
      <c r="R1732" s="308" t="s">
        <v>6154</v>
      </c>
      <c r="S1732" s="330">
        <v>1.41</v>
      </c>
      <c r="T1732" s="67">
        <v>3.17</v>
      </c>
      <c r="U1732" s="366">
        <f t="shared" si="347"/>
        <v>4.0330788804071246E-2</v>
      </c>
      <c r="V1732" s="97">
        <v>7.05</v>
      </c>
      <c r="W1732" s="36">
        <f>RTD("money.excel",,"4760","Price")</f>
        <v>78.599999999999994</v>
      </c>
      <c r="X1732" s="67"/>
      <c r="Y1732" s="15">
        <f t="shared" si="342"/>
        <v>78.599999999999994</v>
      </c>
      <c r="Z1732" s="3" t="e">
        <f t="shared" si="343"/>
        <v>#DIV/0!</v>
      </c>
      <c r="AA1732" s="174" t="s">
        <v>2185</v>
      </c>
      <c r="AB1732" s="24" t="s">
        <v>3990</v>
      </c>
      <c r="AE1732" s="33">
        <f t="shared" si="344"/>
        <v>0</v>
      </c>
      <c r="AF1732" s="124" t="s">
        <v>3061</v>
      </c>
      <c r="AG1732" s="128"/>
      <c r="AI1732" s="64">
        <f t="shared" si="348"/>
        <v>1.0526315789473684E-3</v>
      </c>
      <c r="AJ1732" s="313">
        <f>RTD("money.excel",,$G1732,"PredictVolume")</f>
        <v>34</v>
      </c>
      <c r="AK1732" s="348">
        <v>82.6</v>
      </c>
    </row>
    <row r="1733" spans="1:37">
      <c r="A1733" s="148" t="s">
        <v>3563</v>
      </c>
      <c r="B1733" s="93">
        <v>16</v>
      </c>
      <c r="C1733" s="93">
        <v>14</v>
      </c>
      <c r="D1733" s="93">
        <v>-61</v>
      </c>
      <c r="E1733" s="142">
        <v>2840</v>
      </c>
      <c r="F1733" s="6">
        <v>-29</v>
      </c>
      <c r="G1733" s="81">
        <v>5205</v>
      </c>
      <c r="H1733" s="8" t="s">
        <v>334</v>
      </c>
      <c r="I1733" s="16" t="s">
        <v>1138</v>
      </c>
      <c r="J1733" s="75">
        <v>47.51</v>
      </c>
      <c r="K1733" s="75">
        <v>0</v>
      </c>
      <c r="N1733" s="325">
        <f t="shared" si="346"/>
        <v>47.51</v>
      </c>
      <c r="O1733" s="27"/>
      <c r="P1733" s="56"/>
      <c r="Q1733" s="26"/>
      <c r="S1733" s="330">
        <v>39.33</v>
      </c>
      <c r="T1733" s="34">
        <v>0</v>
      </c>
      <c r="U1733" s="366">
        <f t="shared" si="347"/>
        <v>0</v>
      </c>
      <c r="V1733" s="97">
        <v>-0.59</v>
      </c>
      <c r="W1733" s="36">
        <f>RTD("money.excel",,"5205","Price")</f>
        <v>15.1</v>
      </c>
      <c r="X1733" s="67"/>
      <c r="Y1733" s="15">
        <f t="shared" si="342"/>
        <v>15.1</v>
      </c>
      <c r="Z1733" s="3" t="e">
        <f t="shared" si="343"/>
        <v>#DIV/0!</v>
      </c>
      <c r="AB1733" s="16" t="s">
        <v>1138</v>
      </c>
      <c r="AE1733" s="33">
        <f t="shared" si="344"/>
        <v>0</v>
      </c>
      <c r="AF1733" s="43" t="s">
        <v>3044</v>
      </c>
      <c r="AG1733" s="128"/>
      <c r="AI1733" s="64">
        <f t="shared" si="348"/>
        <v>1.5544041450777201E-4</v>
      </c>
      <c r="AJ1733" s="313">
        <f>RTD("money.excel",,$G1733,"PredictVolume")</f>
        <v>3</v>
      </c>
      <c r="AK1733" s="348"/>
    </row>
    <row r="1734" spans="1:37">
      <c r="A1734" s="148" t="s">
        <v>3667</v>
      </c>
      <c r="B1734" s="93">
        <v>-213</v>
      </c>
      <c r="C1734" s="93">
        <v>-199</v>
      </c>
      <c r="D1734" s="93">
        <v>-9</v>
      </c>
      <c r="E1734" s="93">
        <v>75</v>
      </c>
      <c r="F1734" s="6">
        <v>2.5299999999999998</v>
      </c>
      <c r="G1734" s="81">
        <v>5225</v>
      </c>
      <c r="H1734" s="8" t="s">
        <v>334</v>
      </c>
      <c r="I1734" s="22" t="s">
        <v>541</v>
      </c>
      <c r="J1734" s="75">
        <v>70.709999999999994</v>
      </c>
      <c r="K1734" s="75">
        <v>60.4</v>
      </c>
      <c r="L1734" s="75">
        <v>5.43</v>
      </c>
      <c r="N1734" s="325">
        <f t="shared" si="346"/>
        <v>136.54</v>
      </c>
      <c r="O1734" s="27"/>
      <c r="P1734" s="56"/>
      <c r="Q1734" s="26"/>
      <c r="S1734" s="330">
        <v>7.54</v>
      </c>
      <c r="T1734" s="34">
        <v>0</v>
      </c>
      <c r="U1734" s="366">
        <f t="shared" si="347"/>
        <v>0</v>
      </c>
      <c r="V1734" s="234">
        <v>-11.09</v>
      </c>
      <c r="W1734" s="13">
        <f>RTD("money.excel",,"5225","Price")</f>
        <v>25.15</v>
      </c>
      <c r="X1734" s="67"/>
      <c r="Y1734" s="15">
        <f t="shared" si="342"/>
        <v>25.15</v>
      </c>
      <c r="Z1734" s="3" t="e">
        <f t="shared" si="343"/>
        <v>#DIV/0!</v>
      </c>
      <c r="AA1734" s="174" t="s">
        <v>1943</v>
      </c>
      <c r="AB1734" s="22" t="s">
        <v>541</v>
      </c>
      <c r="AE1734" s="33">
        <f t="shared" si="344"/>
        <v>0</v>
      </c>
      <c r="AF1734" s="43" t="s">
        <v>3101</v>
      </c>
      <c r="AG1734" s="128"/>
      <c r="AI1734" s="64">
        <f t="shared" si="348"/>
        <v>1.4780487804878048E-2</v>
      </c>
      <c r="AJ1734" s="313">
        <f>RTD("money.excel",,$G1734,"PredictVolume")</f>
        <v>909</v>
      </c>
      <c r="AK1734" s="348"/>
    </row>
    <row r="1735" spans="1:37">
      <c r="A1735" s="148" t="s">
        <v>3501</v>
      </c>
      <c r="B1735" s="81">
        <v>68</v>
      </c>
      <c r="C1735" s="81">
        <v>92</v>
      </c>
      <c r="D1735" s="81">
        <v>33</v>
      </c>
      <c r="E1735" s="81">
        <v>26</v>
      </c>
      <c r="F1735" s="6">
        <v>-0.94</v>
      </c>
      <c r="G1735" s="81">
        <v>5383</v>
      </c>
      <c r="H1735" s="8" t="s">
        <v>334</v>
      </c>
      <c r="I1735" s="16" t="s">
        <v>513</v>
      </c>
      <c r="J1735" s="330">
        <v>57.18</v>
      </c>
      <c r="K1735" s="75">
        <v>8.7799999999999994</v>
      </c>
      <c r="N1735" s="325">
        <f t="shared" si="346"/>
        <v>65.959999999999994</v>
      </c>
      <c r="O1735" s="27"/>
      <c r="P1735" s="56"/>
      <c r="Q1735" s="26"/>
      <c r="T1735" s="34">
        <v>0</v>
      </c>
      <c r="U1735" s="366">
        <f t="shared" si="347"/>
        <v>0</v>
      </c>
      <c r="V1735" s="58">
        <v>-0.81</v>
      </c>
      <c r="W1735" s="36">
        <f>RTD("money.excel",,"5383","Price")</f>
        <v>39.049999999999997</v>
      </c>
      <c r="X1735" s="67"/>
      <c r="Y1735" s="15">
        <f t="shared" si="342"/>
        <v>39.049999999999997</v>
      </c>
      <c r="Z1735" s="3" t="e">
        <f t="shared" si="343"/>
        <v>#DIV/0!</v>
      </c>
      <c r="AB1735" s="16" t="s">
        <v>513</v>
      </c>
      <c r="AE1735" s="33">
        <f t="shared" si="344"/>
        <v>0</v>
      </c>
      <c r="AF1735" s="43" t="s">
        <v>3045</v>
      </c>
      <c r="AG1735" s="128"/>
      <c r="AI1735" s="64">
        <f t="shared" si="348"/>
        <v>5.667506297229219E-4</v>
      </c>
      <c r="AJ1735" s="313">
        <f>RTD("money.excel",,$G1735,"PredictVolume")</f>
        <v>45</v>
      </c>
      <c r="AK1735" s="348"/>
    </row>
    <row r="1736" spans="1:37">
      <c r="A1736" s="148" t="s">
        <v>1895</v>
      </c>
      <c r="B1736" s="81">
        <v>267</v>
      </c>
      <c r="C1736" s="81">
        <v>308</v>
      </c>
      <c r="D1736" s="81">
        <v>0</v>
      </c>
      <c r="E1736" s="81">
        <v>35</v>
      </c>
      <c r="F1736" s="6">
        <v>8.5</v>
      </c>
      <c r="G1736" s="81">
        <v>5452</v>
      </c>
      <c r="H1736" s="8" t="s">
        <v>334</v>
      </c>
      <c r="I1736" s="16" t="s">
        <v>514</v>
      </c>
      <c r="J1736" s="330">
        <v>45.27</v>
      </c>
      <c r="K1736" s="330">
        <v>10.11</v>
      </c>
      <c r="L1736" s="330">
        <v>13.94</v>
      </c>
      <c r="N1736" s="325">
        <f t="shared" si="346"/>
        <v>69.320000000000007</v>
      </c>
      <c r="O1736" s="27"/>
      <c r="P1736" s="56"/>
      <c r="Q1736" s="26"/>
      <c r="S1736" s="330">
        <v>0.39</v>
      </c>
      <c r="T1736" s="34">
        <v>0.6</v>
      </c>
      <c r="U1736" s="366">
        <f t="shared" si="347"/>
        <v>2.8037383177570093E-2</v>
      </c>
      <c r="V1736" s="97">
        <v>1.63</v>
      </c>
      <c r="W1736" s="36">
        <f>RTD("money.excel",,"5452","Price")</f>
        <v>21.4</v>
      </c>
      <c r="X1736" s="67"/>
      <c r="Y1736" s="15">
        <f t="shared" si="342"/>
        <v>21.4</v>
      </c>
      <c r="Z1736" s="3" t="e">
        <f t="shared" si="343"/>
        <v>#DIV/0!</v>
      </c>
      <c r="AB1736" s="16" t="s">
        <v>514</v>
      </c>
      <c r="AE1736" s="33">
        <f t="shared" si="344"/>
        <v>0</v>
      </c>
      <c r="AF1736" s="43" t="s">
        <v>3046</v>
      </c>
      <c r="AG1736" s="128"/>
      <c r="AI1736" s="64">
        <f t="shared" si="348"/>
        <v>1.7027027027027026E-3</v>
      </c>
      <c r="AJ1736" s="313">
        <f>RTD("money.excel",,$G1736,"PredictVolume")</f>
        <v>252</v>
      </c>
      <c r="AK1736" s="348"/>
    </row>
    <row r="1737" spans="1:37">
      <c r="A1737" s="148" t="s">
        <v>1959</v>
      </c>
      <c r="B1737" s="82">
        <v>-114</v>
      </c>
      <c r="C1737" s="82">
        <v>-77</v>
      </c>
      <c r="D1737" s="81">
        <v>62</v>
      </c>
      <c r="E1737" s="81">
        <v>11</v>
      </c>
      <c r="F1737" s="6">
        <v>4.51</v>
      </c>
      <c r="G1737" s="81">
        <v>5489</v>
      </c>
      <c r="H1737" s="8" t="s">
        <v>334</v>
      </c>
      <c r="I1737" s="16" t="s">
        <v>6040</v>
      </c>
      <c r="J1737" s="75">
        <v>78.849999999999994</v>
      </c>
      <c r="K1737" s="75">
        <v>0.91</v>
      </c>
      <c r="L1737" s="75">
        <v>1.04</v>
      </c>
      <c r="N1737" s="325">
        <f t="shared" si="346"/>
        <v>80.8</v>
      </c>
      <c r="O1737" s="27"/>
      <c r="P1737" s="56"/>
      <c r="Q1737" s="26"/>
      <c r="S1737" s="330">
        <v>0</v>
      </c>
      <c r="T1737" s="34">
        <v>1</v>
      </c>
      <c r="U1737" s="366">
        <f t="shared" si="347"/>
        <v>2.9027576197387515E-2</v>
      </c>
      <c r="V1737" s="58">
        <v>-0.28999999999999998</v>
      </c>
      <c r="W1737" s="36">
        <f>RTD("money.excel",,"5489","Price")</f>
        <v>34.450000000000003</v>
      </c>
      <c r="X1737" s="67"/>
      <c r="Y1737" s="15">
        <f t="shared" si="342"/>
        <v>34.450000000000003</v>
      </c>
      <c r="Z1737" s="3" t="e">
        <f t="shared" si="343"/>
        <v>#DIV/0!</v>
      </c>
      <c r="AB1737" s="16" t="s">
        <v>6040</v>
      </c>
      <c r="AE1737" s="33">
        <f t="shared" si="344"/>
        <v>0</v>
      </c>
      <c r="AF1737" s="122" t="s">
        <v>2956</v>
      </c>
      <c r="AG1737" s="128"/>
      <c r="AI1737" s="64">
        <f t="shared" si="348"/>
        <v>3.4313725490196079E-4</v>
      </c>
      <c r="AJ1737" s="313">
        <f>RTD("money.excel",,$G1737,"PredictVolume")</f>
        <v>35</v>
      </c>
      <c r="AK1737" s="348"/>
    </row>
    <row r="1738" spans="1:37">
      <c r="A1738" s="148" t="s">
        <v>2062</v>
      </c>
      <c r="B1738" s="93">
        <v>-9</v>
      </c>
      <c r="C1738" s="93">
        <v>-1</v>
      </c>
      <c r="D1738" s="93">
        <v>25</v>
      </c>
      <c r="E1738" s="93">
        <v>7</v>
      </c>
      <c r="F1738" s="6">
        <v>7.86</v>
      </c>
      <c r="G1738" s="81">
        <v>5493</v>
      </c>
      <c r="H1738" s="8" t="s">
        <v>334</v>
      </c>
      <c r="I1738" s="16" t="s">
        <v>6041</v>
      </c>
      <c r="J1738" s="75">
        <v>52.63</v>
      </c>
      <c r="K1738" s="75">
        <v>7.0000000000000007E-2</v>
      </c>
      <c r="L1738" s="75">
        <v>0.61</v>
      </c>
      <c r="N1738" s="325">
        <f t="shared" si="346"/>
        <v>53.31</v>
      </c>
      <c r="O1738" s="27"/>
      <c r="P1738" s="56"/>
      <c r="Q1738" s="26"/>
      <c r="S1738" s="330">
        <v>18.78</v>
      </c>
      <c r="T1738" s="34">
        <v>2</v>
      </c>
      <c r="U1738" s="366">
        <f t="shared" si="347"/>
        <v>4.5506257110352673E-2</v>
      </c>
      <c r="V1738" s="97">
        <v>2.8</v>
      </c>
      <c r="W1738" s="13">
        <f>RTD("money.excel",,"5493","Price")</f>
        <v>43.95</v>
      </c>
      <c r="X1738" s="67"/>
      <c r="Y1738" s="15">
        <f t="shared" si="342"/>
        <v>43.95</v>
      </c>
      <c r="Z1738" s="3" t="e">
        <f t="shared" si="343"/>
        <v>#DIV/0!</v>
      </c>
      <c r="AB1738" s="16" t="s">
        <v>6041</v>
      </c>
      <c r="AE1738" s="33">
        <f t="shared" si="344"/>
        <v>0</v>
      </c>
      <c r="AF1738" s="43" t="s">
        <v>3047</v>
      </c>
      <c r="AG1738" s="128"/>
      <c r="AI1738" s="64">
        <f t="shared" si="348"/>
        <v>4.807692307692308E-4</v>
      </c>
      <c r="AJ1738" s="313">
        <f>RTD("money.excel",,$G1738,"PredictVolume")</f>
        <v>20</v>
      </c>
      <c r="AK1738" s="348"/>
    </row>
    <row r="1739" spans="1:37">
      <c r="A1739" s="132" t="s">
        <v>2634</v>
      </c>
      <c r="B1739" s="81">
        <v>20</v>
      </c>
      <c r="C1739" s="81">
        <v>26</v>
      </c>
      <c r="D1739" s="82">
        <v>-3</v>
      </c>
      <c r="E1739" s="81">
        <v>86</v>
      </c>
      <c r="F1739" s="58">
        <v>10.61</v>
      </c>
      <c r="G1739" s="81">
        <v>5536</v>
      </c>
      <c r="H1739" s="8" t="s">
        <v>334</v>
      </c>
      <c r="I1739" s="16" t="s">
        <v>160</v>
      </c>
      <c r="J1739" s="330">
        <v>18.75</v>
      </c>
      <c r="K1739" s="75">
        <v>18.02</v>
      </c>
      <c r="L1739" s="75">
        <v>1.69</v>
      </c>
      <c r="N1739" s="325">
        <f t="shared" si="346"/>
        <v>38.459999999999994</v>
      </c>
      <c r="O1739" s="27"/>
      <c r="P1739" s="56"/>
      <c r="Q1739" s="26"/>
      <c r="S1739" s="330">
        <v>0.41</v>
      </c>
      <c r="T1739" s="67">
        <v>12</v>
      </c>
      <c r="U1739" s="366">
        <f t="shared" si="347"/>
        <v>5.7279236276849645E-2</v>
      </c>
      <c r="V1739" s="97">
        <v>19.7</v>
      </c>
      <c r="W1739" s="36">
        <f>RTD("money.excel",,"5536","Price")</f>
        <v>209.5</v>
      </c>
      <c r="X1739" s="67"/>
      <c r="Y1739" s="15">
        <f t="shared" si="342"/>
        <v>209.5</v>
      </c>
      <c r="Z1739" s="3" t="e">
        <f t="shared" si="343"/>
        <v>#DIV/0!</v>
      </c>
      <c r="AA1739" s="174" t="s">
        <v>2185</v>
      </c>
      <c r="AB1739" s="16" t="s">
        <v>160</v>
      </c>
      <c r="AE1739" s="33">
        <f t="shared" si="344"/>
        <v>0</v>
      </c>
      <c r="AF1739" s="122" t="s">
        <v>1513</v>
      </c>
      <c r="AG1739" s="128"/>
      <c r="AI1739" s="64">
        <f t="shared" si="348"/>
        <v>2.3076923076923079E-3</v>
      </c>
      <c r="AJ1739" s="313">
        <f>RTD("money.excel",,$G1739,"PredictVolume")</f>
        <v>132</v>
      </c>
      <c r="AK1739" s="348"/>
    </row>
    <row r="1740" spans="1:37">
      <c r="A1740" s="148" t="s">
        <v>2792</v>
      </c>
      <c r="B1740" s="82">
        <v>-65</v>
      </c>
      <c r="C1740" s="82">
        <v>-114</v>
      </c>
      <c r="D1740" s="81">
        <v>1</v>
      </c>
      <c r="E1740" s="82">
        <v>-19</v>
      </c>
      <c r="F1740" s="6">
        <v>-0.4</v>
      </c>
      <c r="G1740" s="81">
        <v>6139</v>
      </c>
      <c r="H1740" s="8" t="s">
        <v>334</v>
      </c>
      <c r="I1740" s="22" t="s">
        <v>542</v>
      </c>
      <c r="J1740" s="330">
        <v>50.41</v>
      </c>
      <c r="K1740" s="330">
        <v>14.89</v>
      </c>
      <c r="L1740" s="330">
        <v>6.42</v>
      </c>
      <c r="N1740" s="325">
        <f t="shared" si="346"/>
        <v>71.72</v>
      </c>
      <c r="O1740" s="27"/>
      <c r="P1740" s="56"/>
      <c r="Q1740" s="26"/>
      <c r="S1740" s="330">
        <v>0</v>
      </c>
      <c r="T1740" s="34">
        <v>1</v>
      </c>
      <c r="U1740" s="366">
        <f t="shared" si="347"/>
        <v>3.2626427406199025E-2</v>
      </c>
      <c r="V1740" s="97">
        <v>1.52</v>
      </c>
      <c r="W1740" s="36">
        <f>RTD("money.excel",,"6139","Price")</f>
        <v>30.65</v>
      </c>
      <c r="X1740" s="67"/>
      <c r="Y1740" s="15">
        <f t="shared" si="342"/>
        <v>30.65</v>
      </c>
      <c r="Z1740" s="3" t="e">
        <f t="shared" si="343"/>
        <v>#DIV/0!</v>
      </c>
      <c r="AA1740" s="174" t="s">
        <v>1943</v>
      </c>
      <c r="AB1740" s="22" t="s">
        <v>542</v>
      </c>
      <c r="AE1740" s="33">
        <f t="shared" si="344"/>
        <v>0</v>
      </c>
      <c r="AF1740" s="43" t="s">
        <v>1513</v>
      </c>
      <c r="AG1740" s="128"/>
      <c r="AI1740" s="64">
        <f t="shared" si="348"/>
        <v>1.3155555555555555E-3</v>
      </c>
      <c r="AJ1740" s="313">
        <f>RTD("money.excel",,$G1740,"PredictVolume")</f>
        <v>296</v>
      </c>
      <c r="AK1740" s="348"/>
    </row>
    <row r="1741" spans="1:37">
      <c r="A1741" s="132" t="s">
        <v>1909</v>
      </c>
      <c r="B1741" s="81">
        <v>14</v>
      </c>
      <c r="C1741" s="81">
        <v>22</v>
      </c>
      <c r="D1741" s="81">
        <v>1</v>
      </c>
      <c r="E1741" s="81">
        <v>25</v>
      </c>
      <c r="F1741" s="58">
        <v>28.89</v>
      </c>
      <c r="G1741" s="81">
        <v>6146</v>
      </c>
      <c r="H1741" s="8" t="s">
        <v>334</v>
      </c>
      <c r="I1741" s="16" t="s">
        <v>6042</v>
      </c>
      <c r="J1741" s="330">
        <v>52.92</v>
      </c>
      <c r="K1741" s="75">
        <v>55.81</v>
      </c>
      <c r="L1741" s="75">
        <v>0.7</v>
      </c>
      <c r="N1741" s="325">
        <f t="shared" si="346"/>
        <v>109.43</v>
      </c>
      <c r="O1741" s="27"/>
      <c r="P1741" s="56"/>
      <c r="Q1741" s="26"/>
      <c r="S1741" s="330">
        <v>0</v>
      </c>
      <c r="T1741" s="67">
        <v>6</v>
      </c>
      <c r="U1741" s="366">
        <f t="shared" si="347"/>
        <v>3.2345013477088951E-2</v>
      </c>
      <c r="V1741" s="58">
        <v>8.0299999999999994</v>
      </c>
      <c r="W1741" s="13">
        <f>RTD("money.excel",,"6146","Price")</f>
        <v>185.5</v>
      </c>
      <c r="X1741" s="67"/>
      <c r="Y1741" s="15">
        <f t="shared" si="342"/>
        <v>185.5</v>
      </c>
      <c r="Z1741" s="3" t="e">
        <f t="shared" si="343"/>
        <v>#DIV/0!</v>
      </c>
      <c r="AA1741" s="174" t="s">
        <v>2185</v>
      </c>
      <c r="AB1741" s="16" t="s">
        <v>6042</v>
      </c>
      <c r="AE1741" s="33">
        <f t="shared" si="344"/>
        <v>0</v>
      </c>
      <c r="AF1741" s="122" t="s">
        <v>3493</v>
      </c>
      <c r="AG1741" s="128"/>
      <c r="AI1741" s="64">
        <f t="shared" si="348"/>
        <v>4.1341991341991343E-3</v>
      </c>
      <c r="AJ1741" s="313">
        <f>RTD("money.excel",,$G1741,"PredictVolume")</f>
        <v>382</v>
      </c>
      <c r="AK1741" s="348"/>
    </row>
    <row r="1742" spans="1:37">
      <c r="A1742" s="148" t="s">
        <v>3564</v>
      </c>
      <c r="B1742" s="93">
        <v>74</v>
      </c>
      <c r="C1742" s="93">
        <v>69</v>
      </c>
      <c r="D1742" s="93">
        <v>16</v>
      </c>
      <c r="E1742" s="93">
        <v>107</v>
      </c>
      <c r="F1742" s="6">
        <v>8.08</v>
      </c>
      <c r="G1742" s="81">
        <v>6151</v>
      </c>
      <c r="H1742" s="8" t="s">
        <v>334</v>
      </c>
      <c r="I1742" s="16" t="s">
        <v>6043</v>
      </c>
      <c r="J1742" s="75">
        <v>31.69</v>
      </c>
      <c r="K1742" s="75">
        <v>7.0000000000000007E-2</v>
      </c>
      <c r="L1742" s="75">
        <v>2.61</v>
      </c>
      <c r="N1742" s="325">
        <f t="shared" si="346"/>
        <v>34.370000000000005</v>
      </c>
      <c r="O1742" s="27"/>
      <c r="P1742" s="56"/>
      <c r="Q1742" s="26"/>
      <c r="S1742" s="330">
        <v>14.52</v>
      </c>
      <c r="T1742" s="34">
        <v>1.8</v>
      </c>
      <c r="U1742" s="366">
        <f t="shared" si="347"/>
        <v>4.7872340425531915E-2</v>
      </c>
      <c r="V1742" s="97">
        <v>2.11</v>
      </c>
      <c r="W1742" s="36">
        <f>RTD("money.excel",,"6151","Price")</f>
        <v>37.6</v>
      </c>
      <c r="X1742" s="67"/>
      <c r="Y1742" s="15">
        <f t="shared" si="342"/>
        <v>37.6</v>
      </c>
      <c r="Z1742" s="3" t="e">
        <f t="shared" si="343"/>
        <v>#DIV/0!</v>
      </c>
      <c r="AB1742" s="16" t="s">
        <v>6043</v>
      </c>
      <c r="AE1742" s="33">
        <f t="shared" si="344"/>
        <v>0</v>
      </c>
      <c r="AF1742" s="43" t="s">
        <v>3048</v>
      </c>
      <c r="AG1742" s="128"/>
      <c r="AI1742" s="64">
        <f t="shared" si="348"/>
        <v>2.2603978300180833E-3</v>
      </c>
      <c r="AJ1742" s="313">
        <f>RTD("money.excel",,$G1742,"PredictVolume")</f>
        <v>125</v>
      </c>
      <c r="AK1742" s="348"/>
    </row>
    <row r="1743" spans="1:37">
      <c r="A1743" s="132" t="s">
        <v>1564</v>
      </c>
      <c r="B1743" s="81">
        <v>119</v>
      </c>
      <c r="C1743" s="81">
        <v>111</v>
      </c>
      <c r="D1743" s="81">
        <v>31</v>
      </c>
      <c r="E1743" s="81">
        <v>-5</v>
      </c>
      <c r="F1743" s="58">
        <v>24.41</v>
      </c>
      <c r="G1743" s="81">
        <v>6187</v>
      </c>
      <c r="H1743" s="8" t="s">
        <v>334</v>
      </c>
      <c r="I1743" s="16" t="s">
        <v>6044</v>
      </c>
      <c r="J1743" s="75">
        <v>38.64</v>
      </c>
      <c r="K1743" s="75">
        <v>25.28</v>
      </c>
      <c r="L1743" s="75">
        <v>27.79</v>
      </c>
      <c r="M1743" s="75">
        <v>20.57</v>
      </c>
      <c r="N1743" s="325">
        <f t="shared" si="346"/>
        <v>112.28</v>
      </c>
      <c r="O1743" s="27" t="s">
        <v>6258</v>
      </c>
      <c r="P1743" s="56" t="s">
        <v>6415</v>
      </c>
      <c r="Q1743" s="26" t="s">
        <v>6416</v>
      </c>
      <c r="R1743" s="309" t="s">
        <v>6420</v>
      </c>
      <c r="S1743" s="330">
        <v>3.34</v>
      </c>
      <c r="T1743" s="67">
        <v>4.5</v>
      </c>
      <c r="U1743" s="366">
        <f t="shared" si="347"/>
        <v>3.237410071942446E-2</v>
      </c>
      <c r="V1743" s="97">
        <v>6.37</v>
      </c>
      <c r="W1743" s="36">
        <f>RTD("money.excel",,"6187","Price")</f>
        <v>139</v>
      </c>
      <c r="X1743" s="67"/>
      <c r="Y1743" s="15">
        <f t="shared" si="342"/>
        <v>139</v>
      </c>
      <c r="Z1743" s="3" t="e">
        <f t="shared" si="343"/>
        <v>#DIV/0!</v>
      </c>
      <c r="AA1743" s="174" t="s">
        <v>2185</v>
      </c>
      <c r="AB1743" s="16" t="s">
        <v>6044</v>
      </c>
      <c r="AE1743" s="33">
        <f t="shared" si="344"/>
        <v>0</v>
      </c>
      <c r="AF1743" s="43" t="s">
        <v>2827</v>
      </c>
      <c r="AG1743" s="128"/>
      <c r="AI1743" s="64">
        <f t="shared" si="348"/>
        <v>6.1944777911164463E-2</v>
      </c>
      <c r="AJ1743" s="313">
        <f>RTD("money.excel",,$G1743,"PredictVolume")</f>
        <v>5160</v>
      </c>
      <c r="AK1743" s="348">
        <v>42.79</v>
      </c>
    </row>
    <row r="1744" spans="1:37">
      <c r="A1744" s="132" t="s">
        <v>1927</v>
      </c>
      <c r="B1744" s="93">
        <v>16</v>
      </c>
      <c r="C1744" s="93">
        <v>11</v>
      </c>
      <c r="D1744" s="93">
        <v>-11</v>
      </c>
      <c r="E1744" s="93">
        <v>-15</v>
      </c>
      <c r="F1744" s="58">
        <v>15.87</v>
      </c>
      <c r="G1744" s="81">
        <v>6192</v>
      </c>
      <c r="H1744" s="8" t="s">
        <v>334</v>
      </c>
      <c r="I1744" s="22" t="s">
        <v>543</v>
      </c>
      <c r="J1744" s="75">
        <v>66.81</v>
      </c>
      <c r="K1744" s="75">
        <v>29.19</v>
      </c>
      <c r="L1744" s="75">
        <v>3.41</v>
      </c>
      <c r="N1744" s="325">
        <f t="shared" si="346"/>
        <v>99.41</v>
      </c>
      <c r="O1744" s="27"/>
      <c r="P1744" s="56"/>
      <c r="Q1744" s="26"/>
      <c r="S1744" s="330">
        <v>11.48</v>
      </c>
      <c r="T1744" s="67">
        <v>3.4</v>
      </c>
      <c r="U1744" s="366">
        <f t="shared" si="347"/>
        <v>4.7156726768377254E-2</v>
      </c>
      <c r="V1744" s="97">
        <v>6.97</v>
      </c>
      <c r="W1744" s="13">
        <f>RTD("money.excel",,"6192","Price")</f>
        <v>72.099999999999994</v>
      </c>
      <c r="X1744" s="67"/>
      <c r="Y1744" s="15">
        <f t="shared" si="342"/>
        <v>72.099999999999994</v>
      </c>
      <c r="Z1744" s="3" t="e">
        <f t="shared" si="343"/>
        <v>#DIV/0!</v>
      </c>
      <c r="AA1744" s="174" t="s">
        <v>1986</v>
      </c>
      <c r="AB1744" s="22" t="s">
        <v>543</v>
      </c>
      <c r="AE1744" s="33">
        <f t="shared" si="344"/>
        <v>0</v>
      </c>
      <c r="AF1744" s="43" t="s">
        <v>3102</v>
      </c>
      <c r="AG1744" s="27"/>
      <c r="AI1744" s="64">
        <f t="shared" si="348"/>
        <v>4.3396226415094339E-4</v>
      </c>
      <c r="AJ1744" s="313">
        <f>RTD("money.excel",,$G1744,"PredictVolume")</f>
        <v>46</v>
      </c>
      <c r="AK1744" s="108"/>
    </row>
    <row r="1745" spans="1:37">
      <c r="A1745" s="148" t="s">
        <v>2309</v>
      </c>
      <c r="B1745" s="81">
        <v>51</v>
      </c>
      <c r="C1745" s="81">
        <v>34</v>
      </c>
      <c r="D1745" s="81">
        <v>37</v>
      </c>
      <c r="E1745" s="81">
        <v>63</v>
      </c>
      <c r="F1745" s="6">
        <v>5.33</v>
      </c>
      <c r="G1745" s="81">
        <v>6196</v>
      </c>
      <c r="H1745" s="8" t="s">
        <v>334</v>
      </c>
      <c r="I1745" s="22" t="s">
        <v>113</v>
      </c>
      <c r="J1745" s="75">
        <v>69.91</v>
      </c>
      <c r="K1745" s="330">
        <v>10.52</v>
      </c>
      <c r="L1745" s="75">
        <v>12.63</v>
      </c>
      <c r="M1745" s="330">
        <v>59.11</v>
      </c>
      <c r="N1745" s="75">
        <f t="shared" si="346"/>
        <v>152.16999999999999</v>
      </c>
      <c r="O1745" s="27"/>
      <c r="P1745" s="56"/>
      <c r="Q1745" s="26"/>
      <c r="R1745" s="308" t="s">
        <v>4374</v>
      </c>
      <c r="S1745" s="330">
        <v>2.4300000000000002</v>
      </c>
      <c r="T1745" s="67">
        <v>3.5</v>
      </c>
      <c r="U1745" s="366">
        <f t="shared" si="347"/>
        <v>2.2950819672131147E-2</v>
      </c>
      <c r="V1745" s="58">
        <v>6.73</v>
      </c>
      <c r="W1745" s="36">
        <f>RTD("money.excel",,"6196","Price")</f>
        <v>152.5</v>
      </c>
      <c r="X1745" s="67"/>
      <c r="Y1745" s="15">
        <f t="shared" si="342"/>
        <v>152.5</v>
      </c>
      <c r="Z1745" s="3" t="e">
        <f t="shared" si="343"/>
        <v>#DIV/0!</v>
      </c>
      <c r="AA1745" s="174" t="s">
        <v>2185</v>
      </c>
      <c r="AB1745" s="22" t="s">
        <v>113</v>
      </c>
      <c r="AE1745" s="33">
        <f t="shared" si="344"/>
        <v>0</v>
      </c>
      <c r="AF1745" s="122" t="s">
        <v>2641</v>
      </c>
      <c r="AG1745" s="128"/>
      <c r="AI1745" s="64">
        <f t="shared" si="348"/>
        <v>3.1093750000000002E-3</v>
      </c>
      <c r="AJ1745" s="313">
        <f>RTD("money.excel",,$G1745,"PredictVolume")</f>
        <v>597</v>
      </c>
      <c r="AK1745" s="348">
        <v>24.14</v>
      </c>
    </row>
    <row r="1746" spans="1:37">
      <c r="A1746" s="132" t="s">
        <v>3668</v>
      </c>
      <c r="B1746" s="93">
        <v>-1</v>
      </c>
      <c r="C1746" s="93">
        <v>13</v>
      </c>
      <c r="D1746" s="93">
        <v>-1</v>
      </c>
      <c r="E1746" s="93">
        <v>107</v>
      </c>
      <c r="F1746" s="58">
        <v>10.34</v>
      </c>
      <c r="G1746" s="81">
        <v>6201</v>
      </c>
      <c r="H1746" s="8" t="s">
        <v>334</v>
      </c>
      <c r="I1746" s="22" t="s">
        <v>544</v>
      </c>
      <c r="J1746" s="75">
        <v>70.98</v>
      </c>
      <c r="K1746" s="75">
        <v>0.17</v>
      </c>
      <c r="L1746" s="75">
        <v>0.2</v>
      </c>
      <c r="N1746" s="325">
        <f t="shared" si="346"/>
        <v>71.350000000000009</v>
      </c>
      <c r="O1746" s="27"/>
      <c r="P1746" s="56"/>
      <c r="Q1746" s="26"/>
      <c r="S1746" s="330">
        <v>48.99</v>
      </c>
      <c r="T1746" s="67">
        <v>3</v>
      </c>
      <c r="U1746" s="366">
        <f t="shared" si="347"/>
        <v>6.7950169875424696E-2</v>
      </c>
      <c r="V1746" s="97">
        <v>4.05</v>
      </c>
      <c r="W1746" s="13">
        <f>RTD("money.excel",,"6201","Price")</f>
        <v>44.15</v>
      </c>
      <c r="X1746" s="67"/>
      <c r="Y1746" s="15">
        <f t="shared" si="342"/>
        <v>44.15</v>
      </c>
      <c r="Z1746" s="3" t="e">
        <f t="shared" si="343"/>
        <v>#DIV/0!</v>
      </c>
      <c r="AA1746" s="174" t="s">
        <v>2185</v>
      </c>
      <c r="AB1746" s="22" t="s">
        <v>544</v>
      </c>
      <c r="AE1746" s="33">
        <f t="shared" si="344"/>
        <v>0</v>
      </c>
      <c r="AF1746" s="43" t="s">
        <v>3103</v>
      </c>
      <c r="AG1746" s="128"/>
      <c r="AI1746" s="64">
        <f t="shared" si="348"/>
        <v>2.8026905829596412E-4</v>
      </c>
      <c r="AJ1746" s="313">
        <f>RTD("money.excel",,$G1746,"PredictVolume")</f>
        <v>25</v>
      </c>
      <c r="AK1746" s="348"/>
    </row>
    <row r="1747" spans="1:37">
      <c r="A1747" s="148" t="s">
        <v>3669</v>
      </c>
      <c r="B1747" s="93">
        <v>134</v>
      </c>
      <c r="C1747" s="93">
        <v>99</v>
      </c>
      <c r="D1747" s="93">
        <v>-7</v>
      </c>
      <c r="E1747" s="93">
        <v>81</v>
      </c>
      <c r="F1747" s="6">
        <v>5.15</v>
      </c>
      <c r="G1747" s="81">
        <v>6215</v>
      </c>
      <c r="H1747" s="8" t="s">
        <v>334</v>
      </c>
      <c r="I1747" s="22" t="s">
        <v>545</v>
      </c>
      <c r="J1747" s="75">
        <v>41.93</v>
      </c>
      <c r="K1747" s="75">
        <v>5.81</v>
      </c>
      <c r="L1747" s="75">
        <v>17.72</v>
      </c>
      <c r="N1747" s="325">
        <f t="shared" si="346"/>
        <v>65.460000000000008</v>
      </c>
      <c r="O1747" s="27"/>
      <c r="P1747" s="56"/>
      <c r="Q1747" s="26"/>
      <c r="S1747" s="330">
        <v>24.65</v>
      </c>
      <c r="T1747" s="34">
        <v>0.5</v>
      </c>
      <c r="U1747" s="366">
        <f t="shared" si="347"/>
        <v>1.9083969465648856E-2</v>
      </c>
      <c r="V1747" s="97">
        <v>0.96</v>
      </c>
      <c r="W1747" s="36">
        <f>RTD("money.excel",,"6215","Price")</f>
        <v>26.2</v>
      </c>
      <c r="X1747" s="67"/>
      <c r="Y1747" s="15">
        <f t="shared" si="342"/>
        <v>26.2</v>
      </c>
      <c r="Z1747" s="3" t="e">
        <f t="shared" si="343"/>
        <v>#DIV/0!</v>
      </c>
      <c r="AB1747" s="22" t="s">
        <v>545</v>
      </c>
      <c r="AE1747" s="33">
        <f t="shared" si="344"/>
        <v>0</v>
      </c>
      <c r="AF1747" s="43" t="s">
        <v>1505</v>
      </c>
      <c r="AG1747" s="128"/>
      <c r="AI1747" s="64">
        <f t="shared" si="348"/>
        <v>2.5603864734299515E-3</v>
      </c>
      <c r="AJ1747" s="313">
        <f>RTD("money.excel",,$G1747,"PredictVolume")</f>
        <v>212</v>
      </c>
      <c r="AK1747" s="348"/>
    </row>
    <row r="1748" spans="1:37">
      <c r="A1748" s="148" t="s">
        <v>1899</v>
      </c>
      <c r="B1748" s="93">
        <v>44</v>
      </c>
      <c r="C1748" s="93">
        <v>26</v>
      </c>
      <c r="D1748" s="93">
        <v>142</v>
      </c>
      <c r="E1748" s="93">
        <v>5</v>
      </c>
      <c r="F1748" s="6">
        <v>-13.29</v>
      </c>
      <c r="G1748" s="81">
        <v>6247</v>
      </c>
      <c r="H1748" s="8" t="s">
        <v>334</v>
      </c>
      <c r="I1748" s="16" t="s">
        <v>515</v>
      </c>
      <c r="J1748" s="75">
        <v>87.92</v>
      </c>
      <c r="K1748" s="75">
        <v>0</v>
      </c>
      <c r="N1748" s="325">
        <f t="shared" si="346"/>
        <v>87.92</v>
      </c>
      <c r="O1748" s="27"/>
      <c r="P1748" s="56"/>
      <c r="Q1748" s="26"/>
      <c r="S1748" s="330">
        <v>56.35</v>
      </c>
      <c r="T1748" s="34">
        <v>0</v>
      </c>
      <c r="U1748" s="366">
        <f t="shared" si="347"/>
        <v>0</v>
      </c>
      <c r="V1748" s="97">
        <v>-1.31</v>
      </c>
      <c r="W1748" s="13">
        <f>RTD("money.excel",,"6247","Price")</f>
        <v>10.5</v>
      </c>
      <c r="X1748" s="67"/>
      <c r="Y1748" s="15">
        <f t="shared" si="342"/>
        <v>10.5</v>
      </c>
      <c r="Z1748" s="3" t="e">
        <f t="shared" si="343"/>
        <v>#DIV/0!</v>
      </c>
      <c r="AB1748" s="16" t="s">
        <v>515</v>
      </c>
      <c r="AE1748" s="33">
        <f t="shared" si="344"/>
        <v>0</v>
      </c>
      <c r="AF1748" s="43" t="s">
        <v>3049</v>
      </c>
      <c r="AG1748" s="128"/>
      <c r="AI1748" s="64">
        <f t="shared" si="348"/>
        <v>3.1509121061359865E-4</v>
      </c>
      <c r="AJ1748" s="313">
        <f>RTD("money.excel",,$G1748,"PredictVolume")</f>
        <v>19</v>
      </c>
      <c r="AK1748" s="348"/>
    </row>
    <row r="1749" spans="1:37">
      <c r="A1749" s="148" t="s">
        <v>1963</v>
      </c>
      <c r="B1749" s="81">
        <v>60</v>
      </c>
      <c r="C1749" s="81">
        <v>50</v>
      </c>
      <c r="D1749" s="81">
        <v>9</v>
      </c>
      <c r="E1749" s="81">
        <v>28</v>
      </c>
      <c r="F1749" s="6">
        <v>6.33</v>
      </c>
      <c r="G1749" s="81">
        <v>6275</v>
      </c>
      <c r="H1749" s="8" t="s">
        <v>334</v>
      </c>
      <c r="I1749" s="16" t="s">
        <v>516</v>
      </c>
      <c r="J1749" s="75">
        <v>22.94</v>
      </c>
      <c r="K1749" s="330">
        <v>1.87</v>
      </c>
      <c r="L1749" s="75">
        <v>24.85</v>
      </c>
      <c r="M1749" s="330">
        <v>12.93</v>
      </c>
      <c r="N1749" s="325">
        <f t="shared" si="346"/>
        <v>62.59</v>
      </c>
      <c r="O1749" s="27"/>
      <c r="P1749" s="56"/>
      <c r="Q1749" s="26"/>
      <c r="R1749" s="308" t="s">
        <v>6059</v>
      </c>
      <c r="S1749" s="330">
        <v>2.48</v>
      </c>
      <c r="T1749" s="34">
        <v>1.5</v>
      </c>
      <c r="U1749" s="366">
        <f t="shared" si="347"/>
        <v>3.768844221105528E-2</v>
      </c>
      <c r="V1749" s="97">
        <v>2.84</v>
      </c>
      <c r="W1749" s="36">
        <f>RTD("money.excel",,"6275","Price")</f>
        <v>39.799999999999997</v>
      </c>
      <c r="X1749" s="67"/>
      <c r="Y1749" s="15">
        <f t="shared" si="342"/>
        <v>39.799999999999997</v>
      </c>
      <c r="Z1749" s="3" t="e">
        <f t="shared" si="343"/>
        <v>#DIV/0!</v>
      </c>
      <c r="AA1749" s="174" t="s">
        <v>1943</v>
      </c>
      <c r="AB1749" s="16" t="s">
        <v>516</v>
      </c>
      <c r="AE1749" s="33">
        <f t="shared" si="344"/>
        <v>0</v>
      </c>
      <c r="AF1749" s="43" t="s">
        <v>2793</v>
      </c>
      <c r="AG1749" s="128"/>
      <c r="AI1749" s="64">
        <f t="shared" si="348"/>
        <v>3.6160458452722061E-2</v>
      </c>
      <c r="AJ1749" s="313">
        <f>RTD("money.excel",,$G1749,"PredictVolume")</f>
        <v>2524</v>
      </c>
      <c r="AK1749" s="348"/>
    </row>
    <row r="1750" spans="1:37">
      <c r="A1750" s="148" t="s">
        <v>1895</v>
      </c>
      <c r="B1750" s="82">
        <v>-108</v>
      </c>
      <c r="C1750" s="82">
        <v>-152</v>
      </c>
      <c r="D1750" s="81">
        <v>52</v>
      </c>
      <c r="E1750" s="81">
        <v>68</v>
      </c>
      <c r="F1750" s="6">
        <v>-3.23</v>
      </c>
      <c r="G1750" s="81">
        <v>6283</v>
      </c>
      <c r="H1750" s="8" t="s">
        <v>334</v>
      </c>
      <c r="I1750" s="22" t="s">
        <v>358</v>
      </c>
      <c r="J1750" s="330">
        <v>67.900000000000006</v>
      </c>
      <c r="K1750" s="330">
        <v>19.190000000000001</v>
      </c>
      <c r="L1750" s="330">
        <v>17.37</v>
      </c>
      <c r="N1750" s="325">
        <f t="shared" ref="N1750:N1769" si="349">J1750+K1750+L1750+M1750</f>
        <v>104.46000000000001</v>
      </c>
      <c r="O1750" s="27"/>
      <c r="P1750" s="56"/>
      <c r="Q1750" s="26"/>
      <c r="S1750" s="330">
        <v>0.4</v>
      </c>
      <c r="T1750" s="34">
        <v>0</v>
      </c>
      <c r="U1750" s="366">
        <f t="shared" ref="U1750:U1769" si="350">T1750/W1750</f>
        <v>0</v>
      </c>
      <c r="V1750" s="97">
        <v>-0.25</v>
      </c>
      <c r="W1750" s="36">
        <f>RTD("money.excel",,"6283","Price")</f>
        <v>37.75</v>
      </c>
      <c r="X1750" s="67"/>
      <c r="Y1750" s="15">
        <f t="shared" ref="Y1750:Y1769" si="351">W1750-X1750</f>
        <v>37.75</v>
      </c>
      <c r="Z1750" s="3" t="e">
        <f t="shared" ref="Z1750:Z1769" si="352">Y1750/X1750</f>
        <v>#DIV/0!</v>
      </c>
      <c r="AA1750" s="174" t="s">
        <v>1943</v>
      </c>
      <c r="AB1750" s="22" t="s">
        <v>358</v>
      </c>
      <c r="AE1750" s="33">
        <f t="shared" ref="AE1750:AE1769" si="353">AD1750-AC1750</f>
        <v>0</v>
      </c>
      <c r="AF1750" s="43" t="s">
        <v>3104</v>
      </c>
      <c r="AG1750" s="128"/>
      <c r="AI1750" s="64">
        <f t="shared" ref="AI1750:AI1769" si="354">AJ1750/(A1750*10000)</f>
        <v>1.0202702702702703E-3</v>
      </c>
      <c r="AJ1750" s="313">
        <f>RTD("money.excel",,$G1750,"PredictVolume")</f>
        <v>151</v>
      </c>
      <c r="AK1750" s="348"/>
    </row>
    <row r="1751" spans="1:37">
      <c r="A1751" s="132" t="s">
        <v>2325</v>
      </c>
      <c r="B1751" s="81">
        <v>8</v>
      </c>
      <c r="C1751" s="81">
        <v>8</v>
      </c>
      <c r="D1751" s="81">
        <v>3</v>
      </c>
      <c r="E1751" s="81">
        <v>16</v>
      </c>
      <c r="F1751" s="58">
        <v>21.25</v>
      </c>
      <c r="G1751" s="81">
        <v>6409</v>
      </c>
      <c r="H1751" s="8" t="s">
        <v>334</v>
      </c>
      <c r="I1751" s="22" t="s">
        <v>51</v>
      </c>
      <c r="J1751" s="330">
        <v>47.18</v>
      </c>
      <c r="K1751" s="330">
        <v>66.69</v>
      </c>
      <c r="L1751" s="75">
        <v>0.11</v>
      </c>
      <c r="N1751" s="325">
        <f t="shared" si="349"/>
        <v>113.98</v>
      </c>
      <c r="O1751" s="27"/>
      <c r="P1751" s="56"/>
      <c r="Q1751" s="26"/>
      <c r="S1751" s="330">
        <v>0</v>
      </c>
      <c r="T1751" s="67">
        <v>23.5</v>
      </c>
      <c r="U1751" s="366">
        <f t="shared" si="350"/>
        <v>1.6206896551724137E-2</v>
      </c>
      <c r="V1751" s="97">
        <v>25.94</v>
      </c>
      <c r="W1751" s="157">
        <f>RTD("money.excel",,"6409","Price")</f>
        <v>1450</v>
      </c>
      <c r="X1751" s="67"/>
      <c r="Y1751" s="143">
        <f t="shared" si="351"/>
        <v>1450</v>
      </c>
      <c r="Z1751" s="3" t="e">
        <f t="shared" si="352"/>
        <v>#DIV/0!</v>
      </c>
      <c r="AA1751" s="174" t="s">
        <v>2185</v>
      </c>
      <c r="AB1751" s="22" t="s">
        <v>51</v>
      </c>
      <c r="AE1751" s="33">
        <f t="shared" si="353"/>
        <v>0</v>
      </c>
      <c r="AF1751" s="122" t="s">
        <v>1509</v>
      </c>
      <c r="AG1751" s="128"/>
      <c r="AI1751" s="64">
        <f t="shared" si="354"/>
        <v>5.4919908466819227E-4</v>
      </c>
      <c r="AJ1751" s="313">
        <f>RTD("money.excel",,$G1751,"PredictVolume")</f>
        <v>48</v>
      </c>
      <c r="AK1751" s="348"/>
    </row>
    <row r="1752" spans="1:37">
      <c r="A1752" s="132" t="s">
        <v>4267</v>
      </c>
      <c r="B1752" s="81">
        <v>71</v>
      </c>
      <c r="C1752" s="81">
        <v>65</v>
      </c>
      <c r="D1752" s="82">
        <v>-20</v>
      </c>
      <c r="E1752" s="81">
        <v>30</v>
      </c>
      <c r="F1752" s="58">
        <v>16.79</v>
      </c>
      <c r="G1752" s="81">
        <v>6438</v>
      </c>
      <c r="H1752" s="8" t="s">
        <v>334</v>
      </c>
      <c r="I1752" s="22" t="s">
        <v>6045</v>
      </c>
      <c r="J1752" s="330">
        <v>23.09</v>
      </c>
      <c r="K1752" s="75">
        <v>23.57</v>
      </c>
      <c r="L1752" s="330">
        <v>34.4</v>
      </c>
      <c r="M1752" s="75">
        <v>13.6</v>
      </c>
      <c r="N1752" s="325">
        <f t="shared" si="349"/>
        <v>94.66</v>
      </c>
      <c r="O1752" s="27"/>
      <c r="P1752" s="56"/>
      <c r="Q1752" s="26"/>
      <c r="R1752" s="309" t="s">
        <v>6219</v>
      </c>
      <c r="S1752" s="330">
        <v>2.4300000000000002</v>
      </c>
      <c r="T1752" s="67">
        <v>6.5</v>
      </c>
      <c r="U1752" s="366">
        <f t="shared" si="350"/>
        <v>5.3941908713692949E-2</v>
      </c>
      <c r="V1752" s="97">
        <v>10.36</v>
      </c>
      <c r="W1752" s="36">
        <f>RTD("money.excel",,"6438","Price")</f>
        <v>120.5</v>
      </c>
      <c r="X1752" s="67"/>
      <c r="Y1752" s="15">
        <f t="shared" si="351"/>
        <v>120.5</v>
      </c>
      <c r="Z1752" s="3" t="e">
        <f t="shared" si="352"/>
        <v>#DIV/0!</v>
      </c>
      <c r="AA1752" s="174" t="s">
        <v>2185</v>
      </c>
      <c r="AB1752" s="22" t="s">
        <v>6045</v>
      </c>
      <c r="AE1752" s="33">
        <f t="shared" si="353"/>
        <v>0</v>
      </c>
      <c r="AF1752" s="61" t="s">
        <v>2827</v>
      </c>
      <c r="AG1752" s="269"/>
      <c r="AI1752" s="64">
        <f t="shared" si="354"/>
        <v>2.064295485636115E-2</v>
      </c>
      <c r="AJ1752" s="313">
        <f>RTD("money.excel",,$G1752,"PredictVolume")</f>
        <v>1509</v>
      </c>
      <c r="AK1752" s="348">
        <v>28.19</v>
      </c>
    </row>
    <row r="1753" spans="1:37">
      <c r="A1753" s="148" t="s">
        <v>2669</v>
      </c>
      <c r="B1753" s="93">
        <v>-146</v>
      </c>
      <c r="C1753" s="93">
        <v>-43</v>
      </c>
      <c r="D1753" s="93">
        <v>-24</v>
      </c>
      <c r="E1753" s="93">
        <v>3</v>
      </c>
      <c r="F1753" s="6">
        <v>-13.56</v>
      </c>
      <c r="G1753" s="81">
        <v>6512</v>
      </c>
      <c r="H1753" s="8" t="s">
        <v>334</v>
      </c>
      <c r="I1753" s="16" t="s">
        <v>518</v>
      </c>
      <c r="J1753" s="75">
        <v>36.5</v>
      </c>
      <c r="K1753" s="75">
        <v>0</v>
      </c>
      <c r="N1753" s="325">
        <f t="shared" si="349"/>
        <v>36.5</v>
      </c>
      <c r="O1753" s="27"/>
      <c r="P1753" s="56"/>
      <c r="Q1753" s="26"/>
      <c r="S1753" s="330">
        <v>19.93</v>
      </c>
      <c r="T1753" s="34">
        <v>0</v>
      </c>
      <c r="U1753" s="366">
        <f t="shared" si="350"/>
        <v>0</v>
      </c>
      <c r="V1753" s="97">
        <v>-0.73</v>
      </c>
      <c r="W1753" s="36">
        <f>RTD("money.excel",,"6512","Price")</f>
        <v>18.5</v>
      </c>
      <c r="X1753" s="67"/>
      <c r="Y1753" s="15">
        <f t="shared" si="351"/>
        <v>18.5</v>
      </c>
      <c r="Z1753" s="3" t="e">
        <f t="shared" si="352"/>
        <v>#DIV/0!</v>
      </c>
      <c r="AB1753" s="16" t="s">
        <v>518</v>
      </c>
      <c r="AE1753" s="33">
        <f t="shared" si="353"/>
        <v>0</v>
      </c>
      <c r="AF1753" s="43" t="s">
        <v>3050</v>
      </c>
      <c r="AG1753" s="269"/>
      <c r="AI1753" s="64">
        <f t="shared" si="354"/>
        <v>6.8000000000000005E-4</v>
      </c>
      <c r="AJ1753" s="313">
        <f>RTD("money.excel",,$G1753,"PredictVolume")</f>
        <v>17</v>
      </c>
      <c r="AK1753" s="348"/>
    </row>
    <row r="1754" spans="1:37">
      <c r="A1754" s="148" t="s">
        <v>2321</v>
      </c>
      <c r="B1754" s="81">
        <v>171</v>
      </c>
      <c r="C1754" s="81">
        <v>194</v>
      </c>
      <c r="D1754" s="82">
        <v>-19</v>
      </c>
      <c r="E1754" s="82">
        <v>-23</v>
      </c>
      <c r="F1754" s="6">
        <v>6.68</v>
      </c>
      <c r="G1754" s="81">
        <v>6558</v>
      </c>
      <c r="H1754" s="8" t="s">
        <v>334</v>
      </c>
      <c r="I1754" s="22" t="s">
        <v>1131</v>
      </c>
      <c r="J1754" s="330">
        <v>40.03</v>
      </c>
      <c r="K1754" s="75">
        <v>2.59</v>
      </c>
      <c r="L1754" s="75">
        <v>17.010000000000002</v>
      </c>
      <c r="N1754" s="325">
        <f t="shared" si="349"/>
        <v>59.63000000000001</v>
      </c>
      <c r="O1754" s="27"/>
      <c r="P1754" s="56"/>
      <c r="Q1754" s="26"/>
      <c r="S1754" s="330">
        <v>0</v>
      </c>
      <c r="T1754" s="34">
        <v>0.3</v>
      </c>
      <c r="U1754" s="366">
        <f t="shared" si="350"/>
        <v>1.0221465076660987E-2</v>
      </c>
      <c r="V1754" s="97">
        <v>1.42</v>
      </c>
      <c r="W1754" s="36">
        <f>RTD("money.excel",,"6558","Price")</f>
        <v>29.35</v>
      </c>
      <c r="X1754" s="67"/>
      <c r="Y1754" s="15">
        <f t="shared" si="351"/>
        <v>29.35</v>
      </c>
      <c r="Z1754" s="3" t="e">
        <f t="shared" si="352"/>
        <v>#DIV/0!</v>
      </c>
      <c r="AA1754" s="174" t="s">
        <v>4383</v>
      </c>
      <c r="AB1754" s="22" t="s">
        <v>1131</v>
      </c>
      <c r="AE1754" s="33">
        <f t="shared" si="353"/>
        <v>0</v>
      </c>
      <c r="AF1754" s="43" t="s">
        <v>2323</v>
      </c>
      <c r="AG1754" s="128"/>
      <c r="AI1754" s="64">
        <f t="shared" si="354"/>
        <v>1.7951668584579978E-3</v>
      </c>
      <c r="AJ1754" s="313">
        <f>RTD("money.excel",,$G1754,"PredictVolume")</f>
        <v>156</v>
      </c>
      <c r="AK1754" s="348"/>
    </row>
    <row r="1755" spans="1:37">
      <c r="A1755" s="148" t="s">
        <v>1555</v>
      </c>
      <c r="B1755" s="82">
        <v>-41</v>
      </c>
      <c r="C1755" s="82">
        <v>-59</v>
      </c>
      <c r="D1755" s="82">
        <v>-3</v>
      </c>
      <c r="E1755" s="81">
        <v>77</v>
      </c>
      <c r="F1755" s="6">
        <v>9.6300000000000008</v>
      </c>
      <c r="G1755" s="81">
        <v>6613</v>
      </c>
      <c r="H1755" s="8" t="s">
        <v>334</v>
      </c>
      <c r="I1755" s="16" t="s">
        <v>519</v>
      </c>
      <c r="J1755" s="330">
        <v>62.19</v>
      </c>
      <c r="K1755" s="330">
        <v>1.1499999999999999</v>
      </c>
      <c r="L1755" s="75">
        <v>2.69</v>
      </c>
      <c r="N1755" s="325">
        <f t="shared" si="349"/>
        <v>66.03</v>
      </c>
      <c r="O1755" s="27"/>
      <c r="P1755" s="56"/>
      <c r="Q1755" s="26"/>
      <c r="S1755" s="330">
        <v>0</v>
      </c>
      <c r="T1755" s="67">
        <v>8</v>
      </c>
      <c r="U1755" s="366">
        <f t="shared" si="350"/>
        <v>4.6920821114369501E-2</v>
      </c>
      <c r="V1755" s="97">
        <v>12.01</v>
      </c>
      <c r="W1755" s="36">
        <f>RTD("money.excel",,"6613","Price")</f>
        <v>170.5</v>
      </c>
      <c r="X1755" s="67"/>
      <c r="Y1755" s="15">
        <f t="shared" si="351"/>
        <v>170.5</v>
      </c>
      <c r="Z1755" s="3" t="e">
        <f t="shared" si="352"/>
        <v>#DIV/0!</v>
      </c>
      <c r="AA1755" s="174" t="s">
        <v>2185</v>
      </c>
      <c r="AB1755" s="16" t="s">
        <v>519</v>
      </c>
      <c r="AE1755" s="33">
        <f t="shared" si="353"/>
        <v>0</v>
      </c>
      <c r="AF1755" s="43" t="s">
        <v>1987</v>
      </c>
      <c r="AG1755" s="128"/>
      <c r="AI1755" s="64">
        <f t="shared" si="354"/>
        <v>8.8495575221238937E-4</v>
      </c>
      <c r="AJ1755" s="313">
        <f>RTD("money.excel",,$G1755,"PredictVolume")</f>
        <v>30</v>
      </c>
      <c r="AK1755" s="348"/>
    </row>
    <row r="1756" spans="1:37">
      <c r="A1756" s="132" t="s">
        <v>2251</v>
      </c>
      <c r="B1756" s="93">
        <v>-64</v>
      </c>
      <c r="C1756" s="93">
        <v>-71</v>
      </c>
      <c r="D1756" s="93">
        <v>1</v>
      </c>
      <c r="E1756" s="93">
        <v>-81</v>
      </c>
      <c r="F1756" s="58">
        <v>15.33</v>
      </c>
      <c r="G1756" s="81">
        <v>6654</v>
      </c>
      <c r="H1756" s="8" t="s">
        <v>334</v>
      </c>
      <c r="I1756" s="16" t="s">
        <v>1139</v>
      </c>
      <c r="J1756" s="75">
        <v>63.42</v>
      </c>
      <c r="K1756" s="75">
        <v>0.05</v>
      </c>
      <c r="N1756" s="325">
        <f t="shared" si="349"/>
        <v>63.47</v>
      </c>
      <c r="O1756" s="27"/>
      <c r="P1756" s="56"/>
      <c r="Q1756" s="26"/>
      <c r="S1756" s="330">
        <v>58.78</v>
      </c>
      <c r="T1756" s="34">
        <v>1.5</v>
      </c>
      <c r="U1756" s="366">
        <f t="shared" si="350"/>
        <v>1.935483870967742E-2</v>
      </c>
      <c r="V1756" s="58">
        <v>2.06</v>
      </c>
      <c r="W1756" s="36">
        <f>RTD("money.excel",,"6654","Price")</f>
        <v>77.5</v>
      </c>
      <c r="X1756" s="67"/>
      <c r="Y1756" s="15">
        <f t="shared" si="351"/>
        <v>77.5</v>
      </c>
      <c r="Z1756" s="3" t="e">
        <f t="shared" si="352"/>
        <v>#DIV/0!</v>
      </c>
      <c r="AA1756" s="174" t="s">
        <v>1943</v>
      </c>
      <c r="AB1756" s="16" t="s">
        <v>1139</v>
      </c>
      <c r="AE1756" s="33">
        <f t="shared" si="353"/>
        <v>0</v>
      </c>
      <c r="AF1756" s="43" t="s">
        <v>2684</v>
      </c>
      <c r="AG1756" s="128"/>
      <c r="AI1756" s="64">
        <f t="shared" si="354"/>
        <v>1.3813813813813814E-3</v>
      </c>
      <c r="AJ1756" s="313">
        <f>RTD("money.excel",,$G1756,"PredictVolume")</f>
        <v>46</v>
      </c>
      <c r="AK1756" s="348"/>
    </row>
    <row r="1757" spans="1:37">
      <c r="A1757" s="148" t="s">
        <v>1890</v>
      </c>
      <c r="B1757" s="81">
        <v>41</v>
      </c>
      <c r="C1757" s="81">
        <v>74</v>
      </c>
      <c r="D1757" s="81">
        <v>44</v>
      </c>
      <c r="E1757" s="81">
        <v>43</v>
      </c>
      <c r="F1757" s="6">
        <v>8.23</v>
      </c>
      <c r="G1757" s="81">
        <v>6667</v>
      </c>
      <c r="H1757" s="8" t="s">
        <v>334</v>
      </c>
      <c r="I1757" s="16" t="s">
        <v>1140</v>
      </c>
      <c r="J1757" s="75">
        <v>51.31</v>
      </c>
      <c r="K1757" s="75">
        <v>1.86</v>
      </c>
      <c r="L1757" s="75">
        <v>17.920000000000002</v>
      </c>
      <c r="N1757" s="325">
        <f t="shared" si="349"/>
        <v>71.09</v>
      </c>
      <c r="O1757" s="27"/>
      <c r="P1757" s="56"/>
      <c r="Q1757" s="26"/>
      <c r="S1757" s="330">
        <v>0.51</v>
      </c>
      <c r="T1757" s="34">
        <v>1.66</v>
      </c>
      <c r="U1757" s="366">
        <f t="shared" si="350"/>
        <v>0.02</v>
      </c>
      <c r="V1757" s="58">
        <v>2.57</v>
      </c>
      <c r="W1757" s="36">
        <f>RTD("money.excel",,"6667","Price")</f>
        <v>83</v>
      </c>
      <c r="X1757" s="67"/>
      <c r="Y1757" s="15">
        <f t="shared" si="351"/>
        <v>83</v>
      </c>
      <c r="Z1757" s="3" t="e">
        <f t="shared" si="352"/>
        <v>#DIV/0!</v>
      </c>
      <c r="AA1757" s="174" t="s">
        <v>1943</v>
      </c>
      <c r="AB1757" s="16" t="s">
        <v>1140</v>
      </c>
      <c r="AE1757" s="33">
        <f t="shared" si="353"/>
        <v>0</v>
      </c>
      <c r="AF1757" s="43" t="s">
        <v>3051</v>
      </c>
      <c r="AG1757" s="128"/>
      <c r="AI1757" s="64">
        <f t="shared" si="354"/>
        <v>8.2412060301507543E-3</v>
      </c>
      <c r="AJ1757" s="313">
        <f>RTD("money.excel",,$G1757,"PredictVolume")</f>
        <v>328</v>
      </c>
      <c r="AK1757" s="348"/>
    </row>
    <row r="1758" spans="1:37">
      <c r="A1758" s="132" t="s">
        <v>6128</v>
      </c>
      <c r="B1758" s="81">
        <v>131</v>
      </c>
      <c r="C1758" s="81">
        <v>138</v>
      </c>
      <c r="D1758" s="81">
        <v>57</v>
      </c>
      <c r="E1758" s="81">
        <v>58</v>
      </c>
      <c r="F1758" s="58">
        <v>11.18</v>
      </c>
      <c r="G1758" s="81">
        <v>6691</v>
      </c>
      <c r="H1758" s="8" t="s">
        <v>334</v>
      </c>
      <c r="I1758" s="22" t="s">
        <v>4433</v>
      </c>
      <c r="J1758" s="330">
        <v>60.57</v>
      </c>
      <c r="K1758" s="330">
        <v>0.14000000000000001</v>
      </c>
      <c r="M1758" s="75">
        <v>26.73</v>
      </c>
      <c r="N1758" s="325">
        <f>J1758+K1758+L1758+M1758</f>
        <v>87.44</v>
      </c>
      <c r="O1758" s="27" t="s">
        <v>6127</v>
      </c>
      <c r="P1758" s="56"/>
      <c r="Q1758" s="26"/>
      <c r="T1758" s="67">
        <v>11</v>
      </c>
      <c r="U1758" s="366">
        <f t="shared" si="350"/>
        <v>6.0273972602739728E-2</v>
      </c>
      <c r="V1758" s="97">
        <v>16.7</v>
      </c>
      <c r="W1758" s="36">
        <f>RTD("money.excel",,"6691","Price")</f>
        <v>182.5</v>
      </c>
      <c r="X1758" s="67"/>
      <c r="Y1758" s="15">
        <f t="shared" si="351"/>
        <v>182.5</v>
      </c>
      <c r="Z1758" s="3" t="e">
        <f t="shared" si="352"/>
        <v>#DIV/0!</v>
      </c>
      <c r="AA1758" s="174" t="s">
        <v>2185</v>
      </c>
      <c r="AB1758" s="22" t="s">
        <v>4433</v>
      </c>
      <c r="AE1758" s="33">
        <f t="shared" si="353"/>
        <v>0</v>
      </c>
      <c r="AF1758" s="43" t="s">
        <v>4434</v>
      </c>
      <c r="AG1758" s="128"/>
      <c r="AI1758" s="64">
        <f t="shared" si="354"/>
        <v>7.069219440353461E-4</v>
      </c>
      <c r="AJ1758" s="313">
        <f>RTD("money.excel",,$G1758,"PredictVolume")</f>
        <v>48</v>
      </c>
      <c r="AK1758" s="348"/>
    </row>
    <row r="1759" spans="1:37">
      <c r="A1759" s="148" t="s">
        <v>1732</v>
      </c>
      <c r="B1759" s="81">
        <v>258</v>
      </c>
      <c r="C1759" s="81">
        <v>245</v>
      </c>
      <c r="D1759" s="81">
        <v>22</v>
      </c>
      <c r="E1759" s="81">
        <v>59</v>
      </c>
      <c r="F1759" s="6">
        <v>4.3899999999999997</v>
      </c>
      <c r="G1759" s="81">
        <v>6698</v>
      </c>
      <c r="H1759" s="8" t="s">
        <v>334</v>
      </c>
      <c r="I1759" s="22" t="s">
        <v>2016</v>
      </c>
      <c r="J1759" s="330">
        <v>37.229999999999997</v>
      </c>
      <c r="K1759" s="75">
        <v>3.77</v>
      </c>
      <c r="L1759" s="75">
        <v>23.42</v>
      </c>
      <c r="M1759" s="75">
        <v>36.54</v>
      </c>
      <c r="N1759" s="325">
        <f t="shared" si="349"/>
        <v>100.96000000000001</v>
      </c>
      <c r="O1759" s="27"/>
      <c r="P1759" s="56"/>
      <c r="Q1759" s="26"/>
      <c r="R1759" s="308" t="s">
        <v>4372</v>
      </c>
      <c r="S1759" s="330">
        <v>1.61</v>
      </c>
      <c r="T1759" s="34">
        <v>0.5</v>
      </c>
      <c r="U1759" s="366">
        <f t="shared" si="350"/>
        <v>1.1210762331838564E-2</v>
      </c>
      <c r="V1759" s="97">
        <v>0.53</v>
      </c>
      <c r="W1759" s="36">
        <f>RTD("money.excel",,"6698","Price")</f>
        <v>44.6</v>
      </c>
      <c r="X1759" s="67"/>
      <c r="Y1759" s="15">
        <f t="shared" si="351"/>
        <v>44.6</v>
      </c>
      <c r="Z1759" s="3" t="e">
        <f t="shared" si="352"/>
        <v>#DIV/0!</v>
      </c>
      <c r="AA1759" s="174" t="s">
        <v>1943</v>
      </c>
      <c r="AB1759" s="22" t="s">
        <v>2016</v>
      </c>
      <c r="AE1759" s="33">
        <f t="shared" si="353"/>
        <v>0</v>
      </c>
      <c r="AF1759" s="43" t="s">
        <v>2853</v>
      </c>
      <c r="AG1759" s="128"/>
      <c r="AI1759" s="64">
        <f t="shared" si="354"/>
        <v>2.6957831325301203E-3</v>
      </c>
      <c r="AJ1759" s="313">
        <f>RTD("money.excel",,$G1759,"PredictVolume")</f>
        <v>179</v>
      </c>
      <c r="AK1759" s="348"/>
    </row>
    <row r="1760" spans="1:37">
      <c r="A1760" s="148" t="s">
        <v>1773</v>
      </c>
      <c r="B1760" s="82">
        <v>-21</v>
      </c>
      <c r="C1760" s="81">
        <v>30</v>
      </c>
      <c r="D1760" s="81">
        <v>7</v>
      </c>
      <c r="E1760" s="82">
        <v>-14</v>
      </c>
      <c r="F1760" s="6">
        <v>3.98</v>
      </c>
      <c r="G1760" s="81">
        <v>6743</v>
      </c>
      <c r="H1760" s="8" t="s">
        <v>334</v>
      </c>
      <c r="I1760" s="22" t="s">
        <v>2566</v>
      </c>
      <c r="J1760" s="330">
        <v>57.56</v>
      </c>
      <c r="K1760" s="75">
        <v>3.95</v>
      </c>
      <c r="L1760" s="75">
        <v>5.12</v>
      </c>
      <c r="N1760" s="325">
        <f t="shared" si="349"/>
        <v>66.63000000000001</v>
      </c>
      <c r="O1760" s="27"/>
      <c r="P1760" s="56"/>
      <c r="Q1760" s="26"/>
      <c r="S1760" s="330">
        <v>4.4800000000000004</v>
      </c>
      <c r="T1760" s="67">
        <v>3.93</v>
      </c>
      <c r="U1760" s="366">
        <f t="shared" si="350"/>
        <v>5.7039187227866474E-2</v>
      </c>
      <c r="V1760" s="58">
        <v>4.04</v>
      </c>
      <c r="W1760" s="36">
        <f>RTD("money.excel",,"6743","Price")</f>
        <v>68.900000000000006</v>
      </c>
      <c r="X1760" s="67"/>
      <c r="Y1760" s="15">
        <f t="shared" si="351"/>
        <v>68.900000000000006</v>
      </c>
      <c r="Z1760" s="3" t="e">
        <f t="shared" si="352"/>
        <v>#DIV/0!</v>
      </c>
      <c r="AA1760" s="174" t="s">
        <v>2185</v>
      </c>
      <c r="AB1760" s="22" t="s">
        <v>2566</v>
      </c>
      <c r="AE1760" s="33">
        <f t="shared" si="353"/>
        <v>0</v>
      </c>
      <c r="AF1760" s="43" t="s">
        <v>4122</v>
      </c>
      <c r="AG1760" s="128"/>
      <c r="AI1760" s="64">
        <f t="shared" si="354"/>
        <v>2.0737704918032786E-3</v>
      </c>
      <c r="AJ1760" s="313">
        <f>RTD("money.excel",,$G1760,"PredictVolume")</f>
        <v>253</v>
      </c>
      <c r="AK1760" s="348"/>
    </row>
    <row r="1761" spans="1:37">
      <c r="A1761" s="148" t="s">
        <v>2137</v>
      </c>
      <c r="B1761" s="81">
        <v>7</v>
      </c>
      <c r="C1761" s="81">
        <v>40</v>
      </c>
      <c r="D1761" s="81">
        <v>1</v>
      </c>
      <c r="E1761" s="81">
        <v>8</v>
      </c>
      <c r="F1761" s="6">
        <v>14.24</v>
      </c>
      <c r="G1761" s="81">
        <v>8021</v>
      </c>
      <c r="H1761" s="8" t="s">
        <v>334</v>
      </c>
      <c r="I1761" s="22" t="s">
        <v>546</v>
      </c>
      <c r="J1761" s="330">
        <v>28.9</v>
      </c>
      <c r="K1761" s="75">
        <v>15.64</v>
      </c>
      <c r="L1761" s="75">
        <v>18.649999999999999</v>
      </c>
      <c r="N1761" s="325">
        <f t="shared" si="349"/>
        <v>63.19</v>
      </c>
      <c r="O1761" s="27"/>
      <c r="P1761" s="56"/>
      <c r="Q1761" s="26"/>
      <c r="S1761" s="330">
        <v>0.61</v>
      </c>
      <c r="T1761" s="34">
        <v>1.58</v>
      </c>
      <c r="U1761" s="366">
        <f t="shared" si="350"/>
        <v>4.3406593406593412E-2</v>
      </c>
      <c r="V1761" s="97">
        <v>1.98</v>
      </c>
      <c r="W1761" s="36">
        <f>RTD("money.excel",,"8021","Price")</f>
        <v>36.4</v>
      </c>
      <c r="X1761" s="67"/>
      <c r="Y1761" s="15">
        <f t="shared" si="351"/>
        <v>36.4</v>
      </c>
      <c r="Z1761" s="3" t="e">
        <f t="shared" si="352"/>
        <v>#DIV/0!</v>
      </c>
      <c r="AA1761" s="174" t="s">
        <v>1943</v>
      </c>
      <c r="AB1761" s="22" t="s">
        <v>546</v>
      </c>
      <c r="AE1761" s="33">
        <f t="shared" si="353"/>
        <v>0</v>
      </c>
      <c r="AF1761" s="43" t="s">
        <v>3105</v>
      </c>
      <c r="AG1761" s="128"/>
      <c r="AI1761" s="64">
        <f t="shared" si="354"/>
        <v>4.3309859154929574E-3</v>
      </c>
      <c r="AJ1761" s="313">
        <f>RTD("money.excel",,$G1761,"PredictVolume")</f>
        <v>615</v>
      </c>
      <c r="AK1761" s="348"/>
    </row>
    <row r="1762" spans="1:37">
      <c r="A1762" s="148" t="s">
        <v>3565</v>
      </c>
      <c r="B1762" s="93">
        <v>109</v>
      </c>
      <c r="C1762" s="93">
        <v>54</v>
      </c>
      <c r="D1762" s="93">
        <v>48</v>
      </c>
      <c r="E1762" s="93">
        <v>29</v>
      </c>
      <c r="F1762" s="6">
        <v>-1.57</v>
      </c>
      <c r="G1762" s="81">
        <v>8047</v>
      </c>
      <c r="H1762" s="8" t="s">
        <v>334</v>
      </c>
      <c r="I1762" s="16" t="s">
        <v>520</v>
      </c>
      <c r="J1762" s="75">
        <v>78.040000000000006</v>
      </c>
      <c r="K1762" s="75">
        <v>0</v>
      </c>
      <c r="L1762" s="75">
        <v>5.85</v>
      </c>
      <c r="N1762" s="325">
        <f t="shared" si="349"/>
        <v>83.89</v>
      </c>
      <c r="O1762" s="27"/>
      <c r="P1762" s="56"/>
      <c r="Q1762" s="26"/>
      <c r="S1762" s="330">
        <v>38.46</v>
      </c>
      <c r="T1762" s="34">
        <v>0.15</v>
      </c>
      <c r="U1762" s="366">
        <f t="shared" si="350"/>
        <v>1.0869565217391304E-2</v>
      </c>
      <c r="V1762" s="97">
        <v>0.27</v>
      </c>
      <c r="W1762" s="13">
        <f>RTD("money.excel",,"8047","Price")</f>
        <v>13.8</v>
      </c>
      <c r="X1762" s="67"/>
      <c r="Y1762" s="15">
        <f t="shared" si="351"/>
        <v>13.8</v>
      </c>
      <c r="Z1762" s="3" t="e">
        <f t="shared" si="352"/>
        <v>#DIV/0!</v>
      </c>
      <c r="AB1762" s="16" t="s">
        <v>520</v>
      </c>
      <c r="AE1762" s="33">
        <f t="shared" si="353"/>
        <v>0</v>
      </c>
      <c r="AF1762" s="43" t="s">
        <v>3052</v>
      </c>
      <c r="AG1762" s="128"/>
      <c r="AI1762" s="64">
        <f t="shared" si="354"/>
        <v>1.0311750599520384E-3</v>
      </c>
      <c r="AJ1762" s="313">
        <f>RTD("money.excel",,$G1762,"PredictVolume")</f>
        <v>43</v>
      </c>
      <c r="AK1762" s="348"/>
    </row>
    <row r="1763" spans="1:37">
      <c r="A1763" s="148" t="s">
        <v>2381</v>
      </c>
      <c r="B1763" s="82">
        <v>-44</v>
      </c>
      <c r="C1763" s="82">
        <v>-7</v>
      </c>
      <c r="D1763" s="81">
        <v>21</v>
      </c>
      <c r="E1763" s="81">
        <v>23</v>
      </c>
      <c r="F1763" s="6">
        <v>-19.149999999999999</v>
      </c>
      <c r="G1763" s="81">
        <v>8085</v>
      </c>
      <c r="H1763" s="8" t="s">
        <v>334</v>
      </c>
      <c r="I1763" s="16" t="s">
        <v>521</v>
      </c>
      <c r="J1763" s="330">
        <v>39.950000000000003</v>
      </c>
      <c r="K1763" s="330">
        <v>0.66</v>
      </c>
      <c r="N1763" s="325">
        <f t="shared" si="349"/>
        <v>40.61</v>
      </c>
      <c r="O1763" s="27"/>
      <c r="P1763" s="56"/>
      <c r="Q1763" s="26"/>
      <c r="T1763" s="34">
        <v>0</v>
      </c>
      <c r="U1763" s="366">
        <f t="shared" si="350"/>
        <v>0</v>
      </c>
      <c r="V1763" s="97">
        <v>-0.47</v>
      </c>
      <c r="W1763" s="36">
        <f>RTD("money.excel",,"8085","Price")</f>
        <v>16.350000000000001</v>
      </c>
      <c r="X1763" s="67"/>
      <c r="Y1763" s="15">
        <f t="shared" si="351"/>
        <v>16.350000000000001</v>
      </c>
      <c r="Z1763" s="3" t="e">
        <f t="shared" si="352"/>
        <v>#DIV/0!</v>
      </c>
      <c r="AB1763" s="16" t="s">
        <v>521</v>
      </c>
      <c r="AE1763" s="33">
        <f t="shared" si="353"/>
        <v>0</v>
      </c>
      <c r="AF1763" s="43" t="s">
        <v>2736</v>
      </c>
      <c r="AG1763" s="128"/>
      <c r="AI1763" s="64">
        <f t="shared" si="354"/>
        <v>2.3566878980891721E-4</v>
      </c>
      <c r="AJ1763" s="313">
        <f>RTD("money.excel",,$G1763,"PredictVolume")</f>
        <v>37</v>
      </c>
      <c r="AK1763" s="348"/>
    </row>
    <row r="1764" spans="1:37">
      <c r="A1764" s="148" t="s">
        <v>2236</v>
      </c>
      <c r="B1764" s="93">
        <v>47</v>
      </c>
      <c r="C1764" s="93">
        <v>10</v>
      </c>
      <c r="D1764" s="93">
        <v>-58</v>
      </c>
      <c r="E1764" s="93">
        <v>1</v>
      </c>
      <c r="F1764" s="6">
        <v>-9.07</v>
      </c>
      <c r="G1764" s="81">
        <v>8092</v>
      </c>
      <c r="H1764" s="8" t="s">
        <v>334</v>
      </c>
      <c r="I1764" s="16" t="s">
        <v>522</v>
      </c>
      <c r="J1764" s="75">
        <v>54.79</v>
      </c>
      <c r="K1764" s="75">
        <v>0</v>
      </c>
      <c r="N1764" s="325">
        <f t="shared" si="349"/>
        <v>54.79</v>
      </c>
      <c r="O1764" s="27"/>
      <c r="P1764" s="56"/>
      <c r="Q1764" s="26"/>
      <c r="S1764" s="330">
        <v>32.090000000000003</v>
      </c>
      <c r="T1764" s="34">
        <v>0</v>
      </c>
      <c r="U1764" s="366">
        <f t="shared" si="350"/>
        <v>0</v>
      </c>
      <c r="V1764" s="97">
        <v>-0.49</v>
      </c>
      <c r="W1764" s="13">
        <f>RTD("money.excel",,"8092","Price")</f>
        <v>10.25</v>
      </c>
      <c r="X1764" s="67"/>
      <c r="Y1764" s="15">
        <f t="shared" si="351"/>
        <v>10.25</v>
      </c>
      <c r="Z1764" s="3" t="e">
        <f t="shared" si="352"/>
        <v>#DIV/0!</v>
      </c>
      <c r="AB1764" s="16" t="s">
        <v>522</v>
      </c>
      <c r="AE1764" s="33">
        <f t="shared" si="353"/>
        <v>0</v>
      </c>
      <c r="AF1764" s="43" t="s">
        <v>3053</v>
      </c>
      <c r="AG1764" s="128"/>
      <c r="AI1764" s="64">
        <f t="shared" si="354"/>
        <v>2.6992287917737791E-3</v>
      </c>
      <c r="AJ1764" s="313">
        <f>RTD("money.excel",,$G1764,"PredictVolume")</f>
        <v>105</v>
      </c>
      <c r="AK1764" s="348"/>
    </row>
    <row r="1765" spans="1:37">
      <c r="A1765" s="132" t="s">
        <v>1752</v>
      </c>
      <c r="B1765" s="81">
        <v>954</v>
      </c>
      <c r="C1765" s="95">
        <v>1238</v>
      </c>
      <c r="D1765" s="82">
        <v>-16</v>
      </c>
      <c r="E1765" s="81">
        <v>33</v>
      </c>
      <c r="F1765" s="58">
        <v>11.48</v>
      </c>
      <c r="G1765" s="81">
        <v>8183</v>
      </c>
      <c r="H1765" s="8" t="s">
        <v>334</v>
      </c>
      <c r="I1765" s="16" t="s">
        <v>253</v>
      </c>
      <c r="J1765" s="75">
        <v>52.32</v>
      </c>
      <c r="K1765" s="75">
        <v>6.52</v>
      </c>
      <c r="L1765" s="75">
        <v>15.36</v>
      </c>
      <c r="N1765" s="325">
        <f t="shared" si="349"/>
        <v>74.2</v>
      </c>
      <c r="O1765" s="27"/>
      <c r="P1765" s="56"/>
      <c r="Q1765" s="26"/>
      <c r="S1765" s="330">
        <v>2.66</v>
      </c>
      <c r="T1765" s="34">
        <v>0.8</v>
      </c>
      <c r="U1765" s="366">
        <f t="shared" si="350"/>
        <v>1.4787430683918669E-2</v>
      </c>
      <c r="V1765" s="58">
        <v>2.46</v>
      </c>
      <c r="W1765" s="36">
        <f>RTD("money.excel",,"8183","Price")</f>
        <v>54.1</v>
      </c>
      <c r="X1765" s="67"/>
      <c r="Y1765" s="15">
        <f t="shared" si="351"/>
        <v>54.1</v>
      </c>
      <c r="Z1765" s="3" t="e">
        <f t="shared" si="352"/>
        <v>#DIV/0!</v>
      </c>
      <c r="AB1765" s="16" t="s">
        <v>253</v>
      </c>
      <c r="AE1765" s="33">
        <f t="shared" si="353"/>
        <v>0</v>
      </c>
      <c r="AF1765" s="122" t="s">
        <v>2846</v>
      </c>
      <c r="AG1765" s="128"/>
      <c r="AI1765" s="64">
        <f t="shared" si="354"/>
        <v>5.0826446280991732E-3</v>
      </c>
      <c r="AJ1765" s="313">
        <f>RTD("money.excel",,$G1765,"PredictVolume")</f>
        <v>615</v>
      </c>
      <c r="AK1765" s="348"/>
    </row>
    <row r="1766" spans="1:37">
      <c r="A1766" s="148" t="s">
        <v>2405</v>
      </c>
      <c r="B1766" s="82">
        <v>-77</v>
      </c>
      <c r="C1766" s="81">
        <v>11</v>
      </c>
      <c r="D1766" s="82">
        <v>-52</v>
      </c>
      <c r="E1766" s="82">
        <v>-29</v>
      </c>
      <c r="F1766" s="6">
        <v>-5.53</v>
      </c>
      <c r="G1766" s="81">
        <v>8201</v>
      </c>
      <c r="H1766" s="8" t="s">
        <v>334</v>
      </c>
      <c r="I1766" s="22" t="s">
        <v>547</v>
      </c>
      <c r="J1766" s="75">
        <v>62.96</v>
      </c>
      <c r="K1766" s="75">
        <v>2.65</v>
      </c>
      <c r="L1766" s="75">
        <v>0</v>
      </c>
      <c r="N1766" s="325">
        <f t="shared" si="349"/>
        <v>65.61</v>
      </c>
      <c r="O1766" s="27"/>
      <c r="P1766" s="56"/>
      <c r="Q1766" s="26"/>
      <c r="S1766" s="330">
        <v>0</v>
      </c>
      <c r="T1766" s="34">
        <v>0</v>
      </c>
      <c r="U1766" s="366">
        <f t="shared" si="350"/>
        <v>0</v>
      </c>
      <c r="V1766" s="97">
        <v>-0.76</v>
      </c>
      <c r="W1766" s="36">
        <f>RTD("money.excel",,"8201","Price")</f>
        <v>14.55</v>
      </c>
      <c r="X1766" s="67"/>
      <c r="Y1766" s="15">
        <f t="shared" si="351"/>
        <v>14.55</v>
      </c>
      <c r="Z1766" s="3" t="e">
        <f t="shared" si="352"/>
        <v>#DIV/0!</v>
      </c>
      <c r="AA1766" s="174" t="s">
        <v>1943</v>
      </c>
      <c r="AB1766" s="22" t="s">
        <v>547</v>
      </c>
      <c r="AE1766" s="33">
        <f t="shared" si="353"/>
        <v>0</v>
      </c>
      <c r="AF1766" s="43" t="s">
        <v>2406</v>
      </c>
      <c r="AG1766" s="128"/>
      <c r="AI1766" s="64">
        <f t="shared" si="354"/>
        <v>7.7724358974358976E-3</v>
      </c>
      <c r="AJ1766" s="313">
        <f>RTD("money.excel",,$G1766,"PredictVolume")</f>
        <v>485</v>
      </c>
      <c r="AK1766" s="348"/>
    </row>
    <row r="1767" spans="1:37">
      <c r="A1767" s="132" t="s">
        <v>1807</v>
      </c>
      <c r="B1767" s="81">
        <v>30</v>
      </c>
      <c r="C1767" s="81">
        <v>37</v>
      </c>
      <c r="D1767" s="82">
        <v>-43</v>
      </c>
      <c r="E1767" s="82">
        <v>-46</v>
      </c>
      <c r="F1767" s="58">
        <v>12.57</v>
      </c>
      <c r="G1767" s="81">
        <v>8383</v>
      </c>
      <c r="H1767" s="8" t="s">
        <v>334</v>
      </c>
      <c r="I1767" s="16" t="s">
        <v>175</v>
      </c>
      <c r="J1767" s="330">
        <v>36.549999999999997</v>
      </c>
      <c r="K1767" s="75">
        <v>7.51</v>
      </c>
      <c r="L1767" s="75">
        <v>13.29</v>
      </c>
      <c r="N1767" s="325">
        <f t="shared" si="349"/>
        <v>57.349999999999994</v>
      </c>
      <c r="O1767" s="27"/>
      <c r="P1767" s="56"/>
      <c r="Q1767" s="26"/>
      <c r="S1767" s="330">
        <v>0.36</v>
      </c>
      <c r="T1767" s="34">
        <v>2.5</v>
      </c>
      <c r="U1767" s="366">
        <f t="shared" si="350"/>
        <v>6.3291139240506333E-2</v>
      </c>
      <c r="V1767" s="97">
        <v>2.74</v>
      </c>
      <c r="W1767" s="36">
        <f>RTD("money.excel",,"8383","Price")</f>
        <v>39.5</v>
      </c>
      <c r="X1767" s="67"/>
      <c r="Y1767" s="15">
        <f t="shared" si="351"/>
        <v>39.5</v>
      </c>
      <c r="Z1767" s="3" t="e">
        <f t="shared" si="352"/>
        <v>#DIV/0!</v>
      </c>
      <c r="AA1767" s="174" t="s">
        <v>1943</v>
      </c>
      <c r="AB1767" s="16" t="s">
        <v>175</v>
      </c>
      <c r="AE1767" s="33">
        <f t="shared" si="353"/>
        <v>0</v>
      </c>
      <c r="AF1767" s="122" t="s">
        <v>3781</v>
      </c>
      <c r="AG1767" s="128"/>
      <c r="AI1767" s="64">
        <f t="shared" si="354"/>
        <v>7.652542372881356E-3</v>
      </c>
      <c r="AJ1767" s="313">
        <f>RTD("money.excel",,$G1767,"PredictVolume")</f>
        <v>903</v>
      </c>
      <c r="AK1767" s="348"/>
    </row>
    <row r="1768" spans="1:37">
      <c r="A1768" s="132" t="s">
        <v>3566</v>
      </c>
      <c r="B1768" s="81">
        <v>127</v>
      </c>
      <c r="C1768" s="81">
        <v>132</v>
      </c>
      <c r="D1768" s="81">
        <v>13</v>
      </c>
      <c r="E1768" s="81">
        <v>11</v>
      </c>
      <c r="F1768" s="58">
        <v>20.47</v>
      </c>
      <c r="G1768" s="81">
        <v>8431</v>
      </c>
      <c r="H1768" s="8" t="s">
        <v>334</v>
      </c>
      <c r="I1768" s="16" t="s">
        <v>6046</v>
      </c>
      <c r="J1768" s="75">
        <v>23.17</v>
      </c>
      <c r="K1768" s="75">
        <v>1.95</v>
      </c>
      <c r="L1768" s="75">
        <v>53.95</v>
      </c>
      <c r="M1768" s="75">
        <v>15.96</v>
      </c>
      <c r="N1768" s="325">
        <f t="shared" si="349"/>
        <v>95.03</v>
      </c>
      <c r="O1768" s="27" t="s">
        <v>6165</v>
      </c>
      <c r="P1768" s="56"/>
      <c r="Q1768" s="26"/>
      <c r="R1768" s="308" t="s">
        <v>4372</v>
      </c>
      <c r="S1768" s="330">
        <v>2.1800000000000002</v>
      </c>
      <c r="T1768" s="34">
        <v>0.8</v>
      </c>
      <c r="U1768" s="366">
        <f t="shared" si="350"/>
        <v>1.1461318051575933E-2</v>
      </c>
      <c r="V1768" s="97">
        <v>3.93</v>
      </c>
      <c r="W1768" s="36">
        <f>RTD("money.excel",,"8431","Price")</f>
        <v>69.8</v>
      </c>
      <c r="X1768" s="67"/>
      <c r="Y1768" s="15">
        <f t="shared" si="351"/>
        <v>69.8</v>
      </c>
      <c r="Z1768" s="3" t="e">
        <f t="shared" si="352"/>
        <v>#DIV/0!</v>
      </c>
      <c r="AA1768" s="174" t="s">
        <v>1943</v>
      </c>
      <c r="AB1768" s="16" t="s">
        <v>6046</v>
      </c>
      <c r="AE1768" s="33">
        <f t="shared" si="353"/>
        <v>0</v>
      </c>
      <c r="AF1768" s="43" t="s">
        <v>3054</v>
      </c>
      <c r="AG1768" s="128"/>
      <c r="AI1768" s="64">
        <f t="shared" si="354"/>
        <v>5.1910112359550564E-3</v>
      </c>
      <c r="AJ1768" s="313">
        <f>RTD("money.excel",,$G1768,"PredictVolume")</f>
        <v>231</v>
      </c>
      <c r="AK1768" s="348">
        <v>48.51</v>
      </c>
    </row>
    <row r="1769" spans="1:37">
      <c r="A1769" s="148" t="s">
        <v>2710</v>
      </c>
      <c r="B1769" s="93">
        <v>-128</v>
      </c>
      <c r="C1769" s="93">
        <v>-113</v>
      </c>
      <c r="D1769" s="93">
        <v>11</v>
      </c>
      <c r="E1769" s="93">
        <v>-25</v>
      </c>
      <c r="F1769" s="6">
        <v>-1.26</v>
      </c>
      <c r="G1769" s="81">
        <v>8455</v>
      </c>
      <c r="H1769" s="8" t="s">
        <v>334</v>
      </c>
      <c r="I1769" s="16" t="s">
        <v>1141</v>
      </c>
      <c r="J1769" s="75">
        <v>87.78</v>
      </c>
      <c r="K1769" s="75">
        <v>87.77</v>
      </c>
      <c r="N1769" s="325">
        <f t="shared" si="349"/>
        <v>175.55</v>
      </c>
      <c r="O1769" s="27"/>
      <c r="P1769" s="56"/>
      <c r="Q1769" s="26"/>
      <c r="S1769" s="330">
        <v>79.010000000000005</v>
      </c>
      <c r="T1769" s="34">
        <v>0</v>
      </c>
      <c r="U1769" s="366">
        <f t="shared" si="350"/>
        <v>0</v>
      </c>
      <c r="V1769" s="58">
        <v>-0.06</v>
      </c>
      <c r="W1769" s="13">
        <f>RTD("money.excel",,"8455","Price")</f>
        <v>29.45</v>
      </c>
      <c r="X1769" s="67"/>
      <c r="Y1769" s="15">
        <f t="shared" si="351"/>
        <v>29.45</v>
      </c>
      <c r="Z1769" s="3" t="e">
        <f t="shared" si="352"/>
        <v>#DIV/0!</v>
      </c>
      <c r="AB1769" s="16" t="s">
        <v>523</v>
      </c>
      <c r="AE1769" s="33">
        <f t="shared" si="353"/>
        <v>0</v>
      </c>
      <c r="AF1769" s="43" t="s">
        <v>3055</v>
      </c>
      <c r="AG1769" s="128"/>
      <c r="AI1769" s="64">
        <f t="shared" si="354"/>
        <v>1.9841269841269841E-4</v>
      </c>
      <c r="AJ1769" s="313">
        <f>RTD("money.excel",,$G1769,"PredictVolume")</f>
        <v>5</v>
      </c>
      <c r="AK1769" s="348"/>
    </row>
    <row r="1770" spans="1:37">
      <c r="A1770" s="148"/>
      <c r="B1770" s="93"/>
      <c r="C1770" s="93"/>
      <c r="D1770" s="93"/>
      <c r="E1770" s="93"/>
      <c r="F1770" s="6"/>
      <c r="G1770" s="81"/>
      <c r="H1770" s="8"/>
      <c r="I1770" s="16"/>
      <c r="J1770" s="75"/>
      <c r="K1770" s="75"/>
      <c r="N1770" s="325"/>
      <c r="O1770" s="27"/>
      <c r="P1770" s="56"/>
      <c r="Q1770" s="26"/>
      <c r="T1770" s="34"/>
      <c r="V1770" s="58"/>
      <c r="W1770" s="13"/>
      <c r="X1770" s="67"/>
      <c r="Y1770" s="15"/>
      <c r="Z1770" s="3"/>
      <c r="AB1770" s="16"/>
      <c r="AE1770" s="33"/>
      <c r="AF1770" s="43"/>
      <c r="AG1770" s="128"/>
      <c r="AI1770" s="64"/>
      <c r="AJ1770" s="313"/>
      <c r="AK1770" s="348"/>
    </row>
    <row r="1771" spans="1:37">
      <c r="A1771" s="132" t="s">
        <v>1854</v>
      </c>
      <c r="B1771" s="93" t="s">
        <v>1657</v>
      </c>
      <c r="C1771" s="93" t="s">
        <v>1658</v>
      </c>
      <c r="D1771" s="93" t="s">
        <v>1659</v>
      </c>
      <c r="E1771" s="93" t="s">
        <v>1660</v>
      </c>
      <c r="F1771" s="8" t="s">
        <v>1122</v>
      </c>
      <c r="G1771" s="27" t="s">
        <v>6047</v>
      </c>
      <c r="H1771" s="55" t="s">
        <v>342</v>
      </c>
      <c r="I1771" s="50" t="s">
        <v>1081</v>
      </c>
      <c r="J1771" s="324" t="s">
        <v>1529</v>
      </c>
      <c r="K1771" s="324" t="s">
        <v>1217</v>
      </c>
      <c r="L1771" s="324" t="s">
        <v>298</v>
      </c>
      <c r="M1771" s="324" t="s">
        <v>1115</v>
      </c>
      <c r="N1771" s="324" t="s">
        <v>6091</v>
      </c>
      <c r="O1771" s="27" t="s">
        <v>6253</v>
      </c>
      <c r="P1771" s="56" t="s">
        <v>6219</v>
      </c>
      <c r="Q1771" s="26" t="s">
        <v>6313</v>
      </c>
      <c r="R1771" s="309" t="s">
        <v>4371</v>
      </c>
      <c r="S1771" s="335" t="s">
        <v>4398</v>
      </c>
      <c r="T1771" s="10" t="s">
        <v>75</v>
      </c>
      <c r="U1771" s="364" t="s">
        <v>6152</v>
      </c>
      <c r="V1771" s="69" t="s">
        <v>4022</v>
      </c>
      <c r="W1771" s="28" t="s">
        <v>2</v>
      </c>
      <c r="X1771" s="17" t="s">
        <v>1465</v>
      </c>
      <c r="Y1771" s="14" t="s">
        <v>5</v>
      </c>
      <c r="Z1771" s="21" t="s">
        <v>3</v>
      </c>
      <c r="AA1771" s="322" t="s">
        <v>117</v>
      </c>
      <c r="AB1771" s="50" t="s">
        <v>1081</v>
      </c>
      <c r="AC1771" s="73" t="s">
        <v>1466</v>
      </c>
      <c r="AD1771" s="74" t="s">
        <v>1223</v>
      </c>
      <c r="AE1771" s="32" t="s">
        <v>1224</v>
      </c>
      <c r="AF1771" s="43"/>
      <c r="AG1771" s="128"/>
      <c r="AI1771" s="8" t="s">
        <v>4414</v>
      </c>
      <c r="AJ1771" s="50" t="s">
        <v>4121</v>
      </c>
      <c r="AK1771" s="348" t="s">
        <v>6074</v>
      </c>
    </row>
    <row r="1772" spans="1:37">
      <c r="A1772" s="148" t="s">
        <v>1885</v>
      </c>
      <c r="B1772" s="82">
        <v>-77</v>
      </c>
      <c r="C1772" s="82">
        <v>-81</v>
      </c>
      <c r="D1772" s="82">
        <v>-12</v>
      </c>
      <c r="E1772" s="82">
        <v>-18</v>
      </c>
      <c r="F1772" s="6">
        <v>1.93</v>
      </c>
      <c r="G1772" s="81">
        <v>2926</v>
      </c>
      <c r="H1772" s="8" t="s">
        <v>1081</v>
      </c>
      <c r="I1772" s="16" t="s">
        <v>6048</v>
      </c>
      <c r="J1772" s="75">
        <v>69.27</v>
      </c>
      <c r="K1772" s="330">
        <v>15.03</v>
      </c>
      <c r="L1772" s="330">
        <v>0.59</v>
      </c>
      <c r="N1772" s="325">
        <f t="shared" ref="N1772" si="355">J1772+K1772+L1772+M1772</f>
        <v>84.89</v>
      </c>
      <c r="O1772" s="27"/>
      <c r="P1772" s="56"/>
      <c r="Q1772" s="26"/>
      <c r="S1772" s="330">
        <v>0</v>
      </c>
      <c r="T1772" s="34">
        <v>0.84</v>
      </c>
      <c r="U1772" s="366">
        <f t="shared" ref="U1772:U1796" si="356">T1772/W1772</f>
        <v>1.3884297520661157E-2</v>
      </c>
      <c r="V1772" s="58">
        <v>1.1599999999999999</v>
      </c>
      <c r="W1772" s="36">
        <f>RTD("money.excel",,"2926","Price")</f>
        <v>60.5</v>
      </c>
      <c r="X1772" s="67"/>
      <c r="Y1772" s="15">
        <f t="shared" ref="Y1772:Y1796" si="357">W1772-X1772</f>
        <v>60.5</v>
      </c>
      <c r="Z1772" s="3" t="e">
        <f t="shared" ref="Z1772:Z1796" si="358">Y1772/X1772</f>
        <v>#DIV/0!</v>
      </c>
      <c r="AA1772" s="174" t="s">
        <v>1943</v>
      </c>
      <c r="AB1772" s="16" t="s">
        <v>6048</v>
      </c>
      <c r="AE1772" s="33">
        <f t="shared" ref="AE1772:AE1796" si="359">AD1772-AC1772</f>
        <v>0</v>
      </c>
      <c r="AF1772" s="122" t="s">
        <v>2867</v>
      </c>
      <c r="AG1772" s="128"/>
      <c r="AI1772" s="64">
        <f t="shared" ref="AI1772:AI1796" si="360">AJ1772/(A1772*10000)</f>
        <v>5.5063291139240507E-3</v>
      </c>
      <c r="AJ1772" s="313">
        <f>RTD("money.excel",,$G1772,"PredictVolume")</f>
        <v>261</v>
      </c>
      <c r="AK1772" s="348"/>
    </row>
    <row r="1773" spans="1:37">
      <c r="A1773" s="148" t="s">
        <v>1554</v>
      </c>
      <c r="B1773" s="93">
        <v>62</v>
      </c>
      <c r="C1773" s="93">
        <v>65</v>
      </c>
      <c r="D1773" s="93">
        <v>-9</v>
      </c>
      <c r="E1773" s="93">
        <v>369</v>
      </c>
      <c r="F1773" s="6">
        <v>-28.59</v>
      </c>
      <c r="G1773" s="81">
        <v>3064</v>
      </c>
      <c r="H1773" s="8" t="s">
        <v>1081</v>
      </c>
      <c r="I1773" s="16" t="s">
        <v>81</v>
      </c>
      <c r="J1773" s="75">
        <v>53.69</v>
      </c>
      <c r="K1773" s="75">
        <v>1.29</v>
      </c>
      <c r="N1773" s="325">
        <f t="shared" ref="N1773:N1796" si="361">J1773+K1773+L1773+M1773</f>
        <v>54.98</v>
      </c>
      <c r="O1773" s="27"/>
      <c r="P1773" s="56"/>
      <c r="Q1773" s="26"/>
      <c r="S1773" s="330">
        <v>28.63</v>
      </c>
      <c r="T1773" s="34">
        <v>0</v>
      </c>
      <c r="U1773" s="366">
        <f t="shared" si="356"/>
        <v>0</v>
      </c>
      <c r="V1773" s="97">
        <v>-1.1299999999999999</v>
      </c>
      <c r="W1773" s="13">
        <f>RTD("money.excel",,"3064","Price")</f>
        <v>13.95</v>
      </c>
      <c r="X1773" s="67"/>
      <c r="Y1773" s="15">
        <f t="shared" si="357"/>
        <v>13.95</v>
      </c>
      <c r="Z1773" s="3" t="e">
        <f t="shared" si="358"/>
        <v>#DIV/0!</v>
      </c>
      <c r="AB1773" s="16" t="s">
        <v>81</v>
      </c>
      <c r="AE1773" s="33">
        <f t="shared" si="359"/>
        <v>0</v>
      </c>
      <c r="AF1773" s="122" t="s">
        <v>2866</v>
      </c>
      <c r="AG1773" s="128"/>
      <c r="AI1773" s="64">
        <f t="shared" si="360"/>
        <v>3.7453183520599252E-5</v>
      </c>
      <c r="AJ1773" s="313">
        <f>RTD("money.excel",,$G1773,"PredictVolume")</f>
        <v>1</v>
      </c>
      <c r="AK1773" s="348"/>
    </row>
    <row r="1774" spans="1:37">
      <c r="A1774" s="148" t="s">
        <v>4643</v>
      </c>
      <c r="B1774" s="82">
        <v>-252</v>
      </c>
      <c r="C1774" s="82">
        <v>-308</v>
      </c>
      <c r="D1774" s="82">
        <v>-12</v>
      </c>
      <c r="E1774" s="82">
        <v>-17</v>
      </c>
      <c r="F1774" s="58">
        <v>-2.1800000000000002</v>
      </c>
      <c r="G1774" s="81">
        <v>3083</v>
      </c>
      <c r="H1774" s="8" t="s">
        <v>1081</v>
      </c>
      <c r="I1774" s="16" t="s">
        <v>6049</v>
      </c>
      <c r="J1774" s="330">
        <v>53.19</v>
      </c>
      <c r="K1774" s="330">
        <v>1.32</v>
      </c>
      <c r="L1774" s="75">
        <v>18.25</v>
      </c>
      <c r="M1774" s="330">
        <v>54.45</v>
      </c>
      <c r="N1774" s="325">
        <f t="shared" si="361"/>
        <v>127.21</v>
      </c>
      <c r="O1774" s="27"/>
      <c r="P1774" s="56"/>
      <c r="Q1774" s="26"/>
      <c r="R1774" s="308" t="s">
        <v>6061</v>
      </c>
      <c r="S1774" s="330">
        <v>1.35</v>
      </c>
      <c r="T1774" s="34">
        <v>0</v>
      </c>
      <c r="U1774" s="366">
        <f t="shared" si="356"/>
        <v>0</v>
      </c>
      <c r="V1774" s="58">
        <v>-0.19</v>
      </c>
      <c r="W1774" s="36">
        <f>RTD("money.excel",,"3083","Price")</f>
        <v>48.5</v>
      </c>
      <c r="X1774" s="67"/>
      <c r="Y1774" s="15">
        <f t="shared" si="357"/>
        <v>48.5</v>
      </c>
      <c r="Z1774" s="3" t="e">
        <f t="shared" si="358"/>
        <v>#DIV/0!</v>
      </c>
      <c r="AA1774" s="174" t="s">
        <v>1943</v>
      </c>
      <c r="AB1774" s="16" t="s">
        <v>6049</v>
      </c>
      <c r="AE1774" s="33">
        <f t="shared" si="359"/>
        <v>0</v>
      </c>
      <c r="AF1774" s="122" t="s">
        <v>2400</v>
      </c>
      <c r="AG1774" s="128"/>
      <c r="AI1774" s="64">
        <f t="shared" si="360"/>
        <v>7.2074159907300102E-3</v>
      </c>
      <c r="AJ1774" s="313">
        <f>RTD("money.excel",,$G1774,"PredictVolume")</f>
        <v>622</v>
      </c>
      <c r="AK1774" s="348"/>
    </row>
    <row r="1775" spans="1:37">
      <c r="A1775" s="132" t="s">
        <v>2656</v>
      </c>
      <c r="B1775" s="95">
        <v>1269</v>
      </c>
      <c r="C1775" s="95">
        <v>2070</v>
      </c>
      <c r="D1775" s="81">
        <v>138</v>
      </c>
      <c r="E1775" s="81">
        <v>31</v>
      </c>
      <c r="F1775" s="58">
        <v>50.91</v>
      </c>
      <c r="G1775" s="81">
        <v>3086</v>
      </c>
      <c r="H1775" s="8" t="s">
        <v>1081</v>
      </c>
      <c r="I1775" s="16" t="s">
        <v>6050</v>
      </c>
      <c r="J1775" s="330">
        <v>71.709999999999994</v>
      </c>
      <c r="K1775" s="75">
        <v>29.75</v>
      </c>
      <c r="L1775" s="75">
        <v>37.979999999999997</v>
      </c>
      <c r="M1775" s="330">
        <v>26.41</v>
      </c>
      <c r="N1775" s="75">
        <f t="shared" si="361"/>
        <v>165.85</v>
      </c>
      <c r="O1775" s="27" t="s">
        <v>6198</v>
      </c>
      <c r="P1775" s="56"/>
      <c r="Q1775" s="26"/>
      <c r="R1775" s="309" t="s">
        <v>6196</v>
      </c>
      <c r="S1775" s="330">
        <v>0.5</v>
      </c>
      <c r="T1775" s="34">
        <v>0</v>
      </c>
      <c r="U1775" s="366">
        <f t="shared" si="356"/>
        <v>0</v>
      </c>
      <c r="V1775" s="58">
        <v>5.7</v>
      </c>
      <c r="W1775" s="36">
        <f>RTD("money.excel",,"3086","Price")</f>
        <v>127</v>
      </c>
      <c r="X1775" s="67"/>
      <c r="Y1775" s="15">
        <f t="shared" si="357"/>
        <v>127</v>
      </c>
      <c r="Z1775" s="3" t="e">
        <f t="shared" si="358"/>
        <v>#DIV/0!</v>
      </c>
      <c r="AA1775" s="174" t="s">
        <v>1943</v>
      </c>
      <c r="AB1775" s="16" t="s">
        <v>6050</v>
      </c>
      <c r="AE1775" s="33">
        <f t="shared" si="359"/>
        <v>0</v>
      </c>
      <c r="AF1775" s="122" t="s">
        <v>2837</v>
      </c>
      <c r="AG1775" s="128"/>
      <c r="AI1775" s="64">
        <f t="shared" si="360"/>
        <v>5.1185567010309276E-2</v>
      </c>
      <c r="AJ1775" s="313">
        <f>RTD("money.excel",,$G1775,"PredictVolume")</f>
        <v>993</v>
      </c>
      <c r="AK1775" s="348">
        <v>15.07</v>
      </c>
    </row>
    <row r="1776" spans="1:37">
      <c r="A1776" s="132" t="s">
        <v>2075</v>
      </c>
      <c r="B1776" s="81">
        <v>49</v>
      </c>
      <c r="C1776" s="81">
        <v>55</v>
      </c>
      <c r="D1776" s="82">
        <v>-1</v>
      </c>
      <c r="E1776" s="81">
        <v>31</v>
      </c>
      <c r="F1776" s="58">
        <v>52.14</v>
      </c>
      <c r="G1776" s="81">
        <v>3293</v>
      </c>
      <c r="H1776" s="8" t="s">
        <v>1081</v>
      </c>
      <c r="I1776" s="16" t="s">
        <v>276</v>
      </c>
      <c r="J1776" s="75">
        <v>28.35</v>
      </c>
      <c r="K1776" s="330">
        <v>29.16</v>
      </c>
      <c r="L1776" s="75">
        <v>11.91</v>
      </c>
      <c r="N1776" s="325">
        <f t="shared" si="361"/>
        <v>69.42</v>
      </c>
      <c r="O1776" s="27"/>
      <c r="P1776" s="56"/>
      <c r="Q1776" s="26"/>
      <c r="S1776" s="330">
        <v>1.53</v>
      </c>
      <c r="T1776" s="67">
        <v>42</v>
      </c>
      <c r="U1776" s="366">
        <f t="shared" si="356"/>
        <v>6.1313868613138686E-2</v>
      </c>
      <c r="V1776" s="97">
        <v>59.47</v>
      </c>
      <c r="W1776" s="36">
        <f>RTD("money.excel",,"3293","Price")</f>
        <v>685</v>
      </c>
      <c r="X1776" s="67"/>
      <c r="Y1776" s="15">
        <f t="shared" si="357"/>
        <v>685</v>
      </c>
      <c r="Z1776" s="3" t="e">
        <f t="shared" si="358"/>
        <v>#DIV/0!</v>
      </c>
      <c r="AA1776" s="174" t="s">
        <v>2185</v>
      </c>
      <c r="AB1776" s="16" t="s">
        <v>276</v>
      </c>
      <c r="AE1776" s="33">
        <f t="shared" si="359"/>
        <v>0</v>
      </c>
      <c r="AF1776" s="122" t="s">
        <v>2837</v>
      </c>
      <c r="AG1776" s="128"/>
      <c r="AI1776" s="64">
        <f t="shared" si="360"/>
        <v>8.5106382978723403E-4</v>
      </c>
      <c r="AJ1776" s="313">
        <f>RTD("money.excel",,$G1776,"PredictVolume")</f>
        <v>60</v>
      </c>
      <c r="AK1776" s="348"/>
    </row>
    <row r="1777" spans="1:37">
      <c r="A1777" s="132" t="s">
        <v>4331</v>
      </c>
      <c r="B1777" s="81">
        <v>16</v>
      </c>
      <c r="C1777" s="81">
        <v>27</v>
      </c>
      <c r="D1777" s="82">
        <v>-22</v>
      </c>
      <c r="E1777" s="82">
        <v>-19</v>
      </c>
      <c r="F1777" s="58">
        <v>23.43</v>
      </c>
      <c r="G1777" s="81">
        <v>3546</v>
      </c>
      <c r="H1777" s="8" t="s">
        <v>1081</v>
      </c>
      <c r="I1777" s="16" t="s">
        <v>82</v>
      </c>
      <c r="J1777" s="330">
        <v>21.28</v>
      </c>
      <c r="K1777" s="330">
        <v>9.4</v>
      </c>
      <c r="L1777" s="75">
        <v>24.68</v>
      </c>
      <c r="M1777" s="330">
        <v>10.68</v>
      </c>
      <c r="N1777" s="325">
        <f t="shared" si="361"/>
        <v>66.039999999999992</v>
      </c>
      <c r="O1777" s="27" t="s">
        <v>1778</v>
      </c>
      <c r="P1777" s="56"/>
      <c r="Q1777" s="26"/>
      <c r="R1777" s="308" t="s">
        <v>6169</v>
      </c>
      <c r="S1777" s="330">
        <v>1.61</v>
      </c>
      <c r="T1777" s="67">
        <v>5.18</v>
      </c>
      <c r="U1777" s="366">
        <f t="shared" si="356"/>
        <v>6.2560386473429944E-2</v>
      </c>
      <c r="V1777" s="97">
        <v>6.82</v>
      </c>
      <c r="W1777" s="36">
        <f>RTD("money.excel",,"3546","Price")</f>
        <v>82.8</v>
      </c>
      <c r="X1777" s="67"/>
      <c r="Y1777" s="15">
        <f t="shared" si="357"/>
        <v>82.8</v>
      </c>
      <c r="Z1777" s="3" t="e">
        <f t="shared" si="358"/>
        <v>#DIV/0!</v>
      </c>
      <c r="AA1777" s="174" t="s">
        <v>2185</v>
      </c>
      <c r="AB1777" s="16" t="s">
        <v>82</v>
      </c>
      <c r="AE1777" s="33">
        <f t="shared" si="359"/>
        <v>0</v>
      </c>
      <c r="AF1777" s="122" t="s">
        <v>3793</v>
      </c>
      <c r="AG1777" s="128"/>
      <c r="AI1777" s="64">
        <f t="shared" si="360"/>
        <v>3.3195020746887966E-3</v>
      </c>
      <c r="AJ1777" s="313">
        <f>RTD("money.excel",,$G1777,"PredictVolume")</f>
        <v>160</v>
      </c>
      <c r="AK1777" s="348">
        <v>21.3</v>
      </c>
    </row>
    <row r="1778" spans="1:37">
      <c r="A1778" s="132" t="s">
        <v>3515</v>
      </c>
      <c r="B1778" s="93">
        <v>734</v>
      </c>
      <c r="C1778" s="142">
        <v>1285</v>
      </c>
      <c r="D1778" s="93">
        <v>-48</v>
      </c>
      <c r="E1778" s="93">
        <v>-50</v>
      </c>
      <c r="F1778" s="58">
        <v>12.01</v>
      </c>
      <c r="G1778" s="81">
        <v>3629</v>
      </c>
      <c r="H1778" s="8" t="s">
        <v>1081</v>
      </c>
      <c r="I1778" s="16" t="s">
        <v>3641</v>
      </c>
      <c r="J1778" s="75">
        <v>83.03</v>
      </c>
      <c r="K1778" s="75">
        <v>3.62</v>
      </c>
      <c r="L1778" s="75">
        <v>0.03</v>
      </c>
      <c r="N1778" s="325">
        <f t="shared" si="361"/>
        <v>86.68</v>
      </c>
      <c r="O1778" s="27"/>
      <c r="P1778" s="56"/>
      <c r="Q1778" s="26"/>
      <c r="S1778" s="330">
        <v>58.96</v>
      </c>
      <c r="T1778" s="34">
        <v>0</v>
      </c>
      <c r="U1778" s="366">
        <f t="shared" si="356"/>
        <v>0</v>
      </c>
      <c r="V1778" s="97">
        <v>0.7</v>
      </c>
      <c r="W1778" s="13">
        <f>RTD("money.excel",,"3629","Price")</f>
        <v>63.5</v>
      </c>
      <c r="X1778" s="67"/>
      <c r="Y1778" s="15">
        <f t="shared" si="357"/>
        <v>63.5</v>
      </c>
      <c r="Z1778" s="3" t="e">
        <f t="shared" si="358"/>
        <v>#DIV/0!</v>
      </c>
      <c r="AB1778" s="16" t="s">
        <v>3641</v>
      </c>
      <c r="AE1778" s="33">
        <f t="shared" si="359"/>
        <v>0</v>
      </c>
      <c r="AF1778" s="43" t="s">
        <v>3642</v>
      </c>
      <c r="AG1778" s="128"/>
      <c r="AI1778" s="64">
        <f t="shared" si="360"/>
        <v>1.2422360248447203E-4</v>
      </c>
      <c r="AJ1778" s="313">
        <f>RTD("money.excel",,$G1778,"PredictVolume")</f>
        <v>4</v>
      </c>
      <c r="AK1778" s="348"/>
    </row>
    <row r="1779" spans="1:37">
      <c r="A1779" s="148" t="s">
        <v>3508</v>
      </c>
      <c r="B1779" s="93">
        <v>31</v>
      </c>
      <c r="C1779" s="93">
        <v>27</v>
      </c>
      <c r="D1779" s="93">
        <v>-74</v>
      </c>
      <c r="E1779" s="93">
        <v>-70</v>
      </c>
      <c r="F1779" s="6">
        <v>-69.28</v>
      </c>
      <c r="G1779" s="81">
        <v>4806</v>
      </c>
      <c r="H1779" s="8" t="s">
        <v>1081</v>
      </c>
      <c r="I1779" s="16" t="s">
        <v>1082</v>
      </c>
      <c r="J1779" s="75">
        <v>52.94</v>
      </c>
      <c r="K1779" s="75">
        <v>12.71</v>
      </c>
      <c r="L1779" s="75">
        <v>0</v>
      </c>
      <c r="N1779" s="325">
        <f t="shared" si="361"/>
        <v>65.650000000000006</v>
      </c>
      <c r="O1779" s="27"/>
      <c r="P1779" s="56"/>
      <c r="Q1779" s="26"/>
      <c r="S1779" s="330">
        <v>11.33</v>
      </c>
      <c r="T1779" s="34">
        <v>0</v>
      </c>
      <c r="U1779" s="366">
        <f t="shared" si="356"/>
        <v>0</v>
      </c>
      <c r="V1779" s="97">
        <v>-2.77</v>
      </c>
      <c r="W1779" s="13">
        <f>RTD("money.excel",,"4806","Price")</f>
        <v>9.92</v>
      </c>
      <c r="X1779" s="67"/>
      <c r="Y1779" s="15">
        <f t="shared" si="357"/>
        <v>9.92</v>
      </c>
      <c r="Z1779" s="3" t="e">
        <f t="shared" si="358"/>
        <v>#DIV/0!</v>
      </c>
      <c r="AB1779" s="16" t="s">
        <v>1082</v>
      </c>
      <c r="AE1779" s="33">
        <f t="shared" si="359"/>
        <v>0</v>
      </c>
      <c r="AF1779" s="43" t="s">
        <v>2869</v>
      </c>
      <c r="AG1779" s="269"/>
      <c r="AI1779" s="64">
        <f t="shared" si="360"/>
        <v>1.1061946902654868E-4</v>
      </c>
      <c r="AJ1779" s="313">
        <f>RTD("money.excel",,$G1779,"PredictVolume")</f>
        <v>5</v>
      </c>
      <c r="AK1779" s="348"/>
    </row>
    <row r="1780" spans="1:37">
      <c r="A1780" s="148" t="s">
        <v>1979</v>
      </c>
      <c r="B1780" s="93">
        <v>50</v>
      </c>
      <c r="C1780" s="93">
        <v>55</v>
      </c>
      <c r="D1780" s="93">
        <v>-32</v>
      </c>
      <c r="E1780" s="93">
        <v>-93</v>
      </c>
      <c r="F1780" s="6">
        <v>-52.05</v>
      </c>
      <c r="G1780" s="81">
        <v>4946</v>
      </c>
      <c r="H1780" s="8" t="s">
        <v>1081</v>
      </c>
      <c r="I1780" s="16" t="s">
        <v>84</v>
      </c>
      <c r="J1780" s="75">
        <v>28.9</v>
      </c>
      <c r="K1780" s="75">
        <v>19.21</v>
      </c>
      <c r="N1780" s="325">
        <f t="shared" si="361"/>
        <v>48.11</v>
      </c>
      <c r="O1780" s="27"/>
      <c r="P1780" s="56"/>
      <c r="Q1780" s="26"/>
      <c r="S1780" s="330">
        <v>27.62</v>
      </c>
      <c r="T1780" s="34">
        <v>0</v>
      </c>
      <c r="U1780" s="366">
        <f t="shared" si="356"/>
        <v>0</v>
      </c>
      <c r="V1780" s="97">
        <v>-3.27</v>
      </c>
      <c r="W1780" s="36">
        <f>RTD("money.excel",,"4946","Price")</f>
        <v>79.099999999999994</v>
      </c>
      <c r="X1780" s="67"/>
      <c r="Y1780" s="15">
        <f t="shared" si="357"/>
        <v>79.099999999999994</v>
      </c>
      <c r="Z1780" s="3" t="e">
        <f t="shared" si="358"/>
        <v>#DIV/0!</v>
      </c>
      <c r="AB1780" s="16" t="s">
        <v>84</v>
      </c>
      <c r="AE1780" s="33">
        <f t="shared" si="359"/>
        <v>0</v>
      </c>
      <c r="AF1780" s="122" t="s">
        <v>2837</v>
      </c>
      <c r="AG1780" s="128"/>
      <c r="AI1780" s="64">
        <f t="shared" si="360"/>
        <v>0.10430656934306567</v>
      </c>
      <c r="AJ1780" s="313">
        <f>RTD("money.excel",,$G1780,"PredictVolume")</f>
        <v>1429</v>
      </c>
      <c r="AK1780" s="348"/>
    </row>
    <row r="1781" spans="1:37">
      <c r="A1781" s="148" t="s">
        <v>1814</v>
      </c>
      <c r="B1781" s="82">
        <v>-113</v>
      </c>
      <c r="C1781" s="82">
        <v>-105</v>
      </c>
      <c r="D1781" s="82">
        <v>-28</v>
      </c>
      <c r="E1781" s="82">
        <v>-58</v>
      </c>
      <c r="F1781" s="6">
        <v>-2.12</v>
      </c>
      <c r="G1781" s="81">
        <v>5263</v>
      </c>
      <c r="H1781" s="8" t="s">
        <v>1081</v>
      </c>
      <c r="I1781" s="16" t="s">
        <v>230</v>
      </c>
      <c r="J1781" s="75">
        <v>45.41</v>
      </c>
      <c r="K1781" s="75">
        <v>11.57</v>
      </c>
      <c r="L1781" s="330">
        <v>22.23</v>
      </c>
      <c r="N1781" s="325">
        <f t="shared" si="361"/>
        <v>79.209999999999994</v>
      </c>
      <c r="O1781" s="27"/>
      <c r="P1781" s="56"/>
      <c r="Q1781" s="26"/>
      <c r="S1781" s="330">
        <v>3.1</v>
      </c>
      <c r="T1781" s="34">
        <v>0</v>
      </c>
      <c r="U1781" s="366">
        <f t="shared" si="356"/>
        <v>0</v>
      </c>
      <c r="V1781" s="97">
        <v>-0.88</v>
      </c>
      <c r="W1781" s="36">
        <f>RTD("money.excel",,"5263","Price")</f>
        <v>116.5</v>
      </c>
      <c r="X1781" s="67"/>
      <c r="Y1781" s="15">
        <f t="shared" si="357"/>
        <v>116.5</v>
      </c>
      <c r="Z1781" s="3" t="e">
        <f t="shared" si="358"/>
        <v>#DIV/0!</v>
      </c>
      <c r="AB1781" s="16" t="s">
        <v>230</v>
      </c>
      <c r="AE1781" s="33">
        <f t="shared" si="359"/>
        <v>0</v>
      </c>
      <c r="AF1781" s="122" t="s">
        <v>3217</v>
      </c>
      <c r="AG1781" s="128"/>
      <c r="AI1781" s="64">
        <f t="shared" si="360"/>
        <v>1.1669658886894075E-3</v>
      </c>
      <c r="AJ1781" s="313">
        <f>RTD("money.excel",,$G1781,"PredictVolume")</f>
        <v>65</v>
      </c>
      <c r="AK1781" s="348"/>
    </row>
    <row r="1782" spans="1:37">
      <c r="A1782" s="132" t="s">
        <v>1636</v>
      </c>
      <c r="B1782" s="82">
        <v>-13</v>
      </c>
      <c r="C1782" s="82">
        <v>-7</v>
      </c>
      <c r="D1782" s="82">
        <v>-10</v>
      </c>
      <c r="E1782" s="82">
        <v>-20</v>
      </c>
      <c r="F1782" s="58">
        <v>15.49</v>
      </c>
      <c r="G1782" s="81">
        <v>5478</v>
      </c>
      <c r="H1782" s="8" t="s">
        <v>1081</v>
      </c>
      <c r="I1782" s="16" t="s">
        <v>233</v>
      </c>
      <c r="J1782" s="330">
        <v>57.54</v>
      </c>
      <c r="K1782" s="330">
        <v>31.74</v>
      </c>
      <c r="L1782" s="330">
        <v>7.15</v>
      </c>
      <c r="M1782" s="330">
        <v>17.239999999999998</v>
      </c>
      <c r="N1782" s="325">
        <f t="shared" si="361"/>
        <v>113.67</v>
      </c>
      <c r="O1782" s="27"/>
      <c r="P1782" s="56"/>
      <c r="Q1782" s="26"/>
      <c r="R1782" s="308" t="s">
        <v>4372</v>
      </c>
      <c r="S1782" s="330">
        <v>1.23</v>
      </c>
      <c r="T1782" s="67">
        <v>6</v>
      </c>
      <c r="U1782" s="366">
        <f t="shared" si="356"/>
        <v>6.5217391304347824E-2</v>
      </c>
      <c r="V1782" s="58">
        <v>6.89</v>
      </c>
      <c r="W1782" s="36">
        <f>RTD("money.excel",,"5478","Price")</f>
        <v>92</v>
      </c>
      <c r="X1782" s="67"/>
      <c r="Y1782" s="15">
        <f t="shared" si="357"/>
        <v>92</v>
      </c>
      <c r="Z1782" s="3" t="e">
        <f t="shared" si="358"/>
        <v>#DIV/0!</v>
      </c>
      <c r="AA1782" s="174" t="s">
        <v>2185</v>
      </c>
      <c r="AB1782" s="16" t="s">
        <v>233</v>
      </c>
      <c r="AE1782" s="33">
        <f t="shared" si="359"/>
        <v>0</v>
      </c>
      <c r="AF1782" s="122" t="s">
        <v>2837</v>
      </c>
      <c r="AG1782" s="128"/>
      <c r="AI1782" s="64">
        <f t="shared" si="360"/>
        <v>3.4645669291338583E-4</v>
      </c>
      <c r="AJ1782" s="313">
        <f>RTD("money.excel",,$G1782,"PredictVolume")</f>
        <v>44</v>
      </c>
      <c r="AK1782" s="348"/>
    </row>
    <row r="1783" spans="1:37">
      <c r="A1783" s="148" t="s">
        <v>1920</v>
      </c>
      <c r="B1783" s="93">
        <v>-485</v>
      </c>
      <c r="C1783" s="93">
        <v>-464</v>
      </c>
      <c r="D1783" s="93">
        <v>40</v>
      </c>
      <c r="E1783" s="93">
        <v>70</v>
      </c>
      <c r="F1783" s="75">
        <v>-106.06</v>
      </c>
      <c r="G1783" s="81">
        <v>6101</v>
      </c>
      <c r="H1783" s="8" t="s">
        <v>1081</v>
      </c>
      <c r="I1783" s="16" t="s">
        <v>1083</v>
      </c>
      <c r="J1783" s="75">
        <v>79.94</v>
      </c>
      <c r="K1783" s="75">
        <v>0.68</v>
      </c>
      <c r="L1783" s="75">
        <v>69.98</v>
      </c>
      <c r="N1783" s="325">
        <f t="shared" si="361"/>
        <v>150.60000000000002</v>
      </c>
      <c r="O1783" s="27"/>
      <c r="P1783" s="56"/>
      <c r="Q1783" s="26"/>
      <c r="S1783" s="330">
        <v>9.02</v>
      </c>
      <c r="T1783" s="34">
        <v>0</v>
      </c>
      <c r="U1783" s="366">
        <f t="shared" si="356"/>
        <v>0</v>
      </c>
      <c r="V1783" s="97">
        <v>-0.98</v>
      </c>
      <c r="W1783" s="13">
        <f>RTD("money.excel",,"6101","Price")</f>
        <v>21.5</v>
      </c>
      <c r="X1783" s="67"/>
      <c r="Y1783" s="15">
        <f t="shared" si="357"/>
        <v>21.5</v>
      </c>
      <c r="Z1783" s="3" t="e">
        <f t="shared" si="358"/>
        <v>#DIV/0!</v>
      </c>
      <c r="AB1783" s="16" t="s">
        <v>1083</v>
      </c>
      <c r="AE1783" s="33">
        <f t="shared" si="359"/>
        <v>0</v>
      </c>
      <c r="AF1783" s="43" t="s">
        <v>3218</v>
      </c>
      <c r="AG1783" s="128"/>
      <c r="AI1783" s="64">
        <f t="shared" si="360"/>
        <v>8.6206896551724131E-5</v>
      </c>
      <c r="AJ1783" s="313">
        <f>RTD("money.excel",,$G1783,"PredictVolume")</f>
        <v>10</v>
      </c>
      <c r="AK1783" s="348"/>
    </row>
    <row r="1784" spans="1:37">
      <c r="A1784" s="132" t="s">
        <v>1978</v>
      </c>
      <c r="B1784" s="82">
        <v>-202</v>
      </c>
      <c r="C1784" s="82">
        <v>-46</v>
      </c>
      <c r="D1784" s="81">
        <v>3</v>
      </c>
      <c r="E1784" s="81">
        <v>47</v>
      </c>
      <c r="F1784" s="58">
        <v>19.7</v>
      </c>
      <c r="G1784" s="81">
        <v>6111</v>
      </c>
      <c r="H1784" s="8" t="s">
        <v>1081</v>
      </c>
      <c r="I1784" s="16" t="s">
        <v>85</v>
      </c>
      <c r="J1784" s="75">
        <v>49.99</v>
      </c>
      <c r="K1784" s="75">
        <v>30.87</v>
      </c>
      <c r="L1784" s="75">
        <v>40.97</v>
      </c>
      <c r="M1784" s="330">
        <v>14.88</v>
      </c>
      <c r="N1784" s="75">
        <f t="shared" si="361"/>
        <v>136.71</v>
      </c>
      <c r="O1784" s="27"/>
      <c r="P1784" s="56"/>
      <c r="Q1784" s="26"/>
      <c r="R1784" s="308" t="s">
        <v>4373</v>
      </c>
      <c r="S1784" s="330">
        <v>1.2</v>
      </c>
      <c r="T1784" s="34">
        <v>0.6</v>
      </c>
      <c r="U1784" s="366">
        <f t="shared" si="356"/>
        <v>6.4516129032258064E-3</v>
      </c>
      <c r="V1784" s="97">
        <v>0.13</v>
      </c>
      <c r="W1784" s="36">
        <f>RTD("money.excel",,"6111","Price")</f>
        <v>93</v>
      </c>
      <c r="X1784" s="67"/>
      <c r="Y1784" s="15">
        <f t="shared" si="357"/>
        <v>93</v>
      </c>
      <c r="Z1784" s="3" t="e">
        <f t="shared" si="358"/>
        <v>#DIV/0!</v>
      </c>
      <c r="AA1784" s="174" t="s">
        <v>1943</v>
      </c>
      <c r="AB1784" s="16" t="s">
        <v>85</v>
      </c>
      <c r="AE1784" s="33">
        <f t="shared" si="359"/>
        <v>0</v>
      </c>
      <c r="AF1784" s="122" t="s">
        <v>2837</v>
      </c>
      <c r="AG1784" s="128"/>
      <c r="AI1784" s="64">
        <f t="shared" si="360"/>
        <v>5.2027439024390242E-2</v>
      </c>
      <c r="AJ1784" s="313">
        <f>RTD("money.excel",,$G1784,"PredictVolume")</f>
        <v>3413</v>
      </c>
      <c r="AK1784" s="348"/>
    </row>
    <row r="1785" spans="1:37">
      <c r="A1785" s="148" t="s">
        <v>2725</v>
      </c>
      <c r="B1785" s="93">
        <v>90</v>
      </c>
      <c r="C1785" s="93">
        <v>72</v>
      </c>
      <c r="D1785" s="93">
        <v>1</v>
      </c>
      <c r="E1785" s="93">
        <v>-32</v>
      </c>
      <c r="F1785" s="6">
        <v>-5.75</v>
      </c>
      <c r="G1785" s="81">
        <v>6144</v>
      </c>
      <c r="H1785" s="8" t="s">
        <v>1081</v>
      </c>
      <c r="I1785" s="16" t="s">
        <v>1084</v>
      </c>
      <c r="J1785" s="75">
        <v>94.9</v>
      </c>
      <c r="K1785" s="75">
        <v>34.82</v>
      </c>
      <c r="N1785" s="325">
        <f t="shared" si="361"/>
        <v>129.72</v>
      </c>
      <c r="O1785" s="27"/>
      <c r="P1785" s="56"/>
      <c r="Q1785" s="26"/>
      <c r="S1785" s="330">
        <v>52.02</v>
      </c>
      <c r="T1785" s="34">
        <v>0</v>
      </c>
      <c r="U1785" s="366">
        <f t="shared" si="356"/>
        <v>0</v>
      </c>
      <c r="V1785" s="97">
        <v>0.05</v>
      </c>
      <c r="W1785" s="13">
        <f>RTD("money.excel",,"6144","Price")</f>
        <v>14.5</v>
      </c>
      <c r="X1785" s="67"/>
      <c r="Y1785" s="15">
        <f t="shared" si="357"/>
        <v>14.5</v>
      </c>
      <c r="Z1785" s="3" t="e">
        <f t="shared" si="358"/>
        <v>#DIV/0!</v>
      </c>
      <c r="AB1785" s="16" t="s">
        <v>1084</v>
      </c>
      <c r="AE1785" s="33">
        <f t="shared" si="359"/>
        <v>0</v>
      </c>
      <c r="AF1785" s="43" t="s">
        <v>3219</v>
      </c>
      <c r="AG1785" s="269"/>
      <c r="AI1785" s="64">
        <f t="shared" si="360"/>
        <v>7.8328981723237601E-5</v>
      </c>
      <c r="AJ1785" s="313">
        <f>RTD("money.excel",,$G1785,"PredictVolume")</f>
        <v>3</v>
      </c>
      <c r="AK1785" s="348"/>
    </row>
    <row r="1786" spans="1:37">
      <c r="A1786" s="148" t="s">
        <v>1551</v>
      </c>
      <c r="B1786" s="93">
        <v>57</v>
      </c>
      <c r="C1786" s="93">
        <v>63</v>
      </c>
      <c r="D1786" s="93">
        <v>14</v>
      </c>
      <c r="E1786" s="93">
        <v>-77</v>
      </c>
      <c r="F1786" s="6">
        <v>-23.77</v>
      </c>
      <c r="G1786" s="81">
        <v>6169</v>
      </c>
      <c r="H1786" s="8" t="s">
        <v>1081</v>
      </c>
      <c r="I1786" s="16" t="s">
        <v>86</v>
      </c>
      <c r="J1786" s="75">
        <v>32.79</v>
      </c>
      <c r="K1786" s="75">
        <v>0.8</v>
      </c>
      <c r="N1786" s="325">
        <f t="shared" si="361"/>
        <v>33.589999999999996</v>
      </c>
      <c r="O1786" s="27"/>
      <c r="P1786" s="56"/>
      <c r="Q1786" s="26"/>
      <c r="S1786" s="330">
        <v>26.76</v>
      </c>
      <c r="T1786" s="34">
        <v>0</v>
      </c>
      <c r="U1786" s="366">
        <f t="shared" si="356"/>
        <v>0</v>
      </c>
      <c r="V1786" s="97">
        <v>-1.19</v>
      </c>
      <c r="W1786" s="36">
        <f>RTD("money.excel",,"6169","Price")</f>
        <v>22.55</v>
      </c>
      <c r="X1786" s="67"/>
      <c r="Y1786" s="15">
        <f t="shared" si="357"/>
        <v>22.55</v>
      </c>
      <c r="Z1786" s="3" t="e">
        <f t="shared" si="358"/>
        <v>#DIV/0!</v>
      </c>
      <c r="AB1786" s="16" t="s">
        <v>86</v>
      </c>
      <c r="AE1786" s="33">
        <f t="shared" si="359"/>
        <v>0</v>
      </c>
      <c r="AF1786" s="122" t="s">
        <v>2837</v>
      </c>
      <c r="AG1786" s="125"/>
      <c r="AI1786" s="64">
        <f t="shared" si="360"/>
        <v>6.8376068376068376E-4</v>
      </c>
      <c r="AJ1786" s="313">
        <f>RTD("money.excel",,$G1786,"PredictVolume")</f>
        <v>16</v>
      </c>
      <c r="AK1786" s="83"/>
    </row>
    <row r="1787" spans="1:37">
      <c r="A1787" s="132" t="s">
        <v>1824</v>
      </c>
      <c r="B1787" s="81">
        <v>11</v>
      </c>
      <c r="C1787" s="81">
        <v>9</v>
      </c>
      <c r="D1787" s="82">
        <v>-1</v>
      </c>
      <c r="E1787" s="81">
        <v>29</v>
      </c>
      <c r="F1787" s="58">
        <v>14.12</v>
      </c>
      <c r="G1787" s="81">
        <v>6180</v>
      </c>
      <c r="H1787" s="8" t="s">
        <v>1081</v>
      </c>
      <c r="I1787" s="16" t="s">
        <v>87</v>
      </c>
      <c r="J1787" s="75">
        <v>42.84</v>
      </c>
      <c r="K1787" s="75">
        <v>17.53</v>
      </c>
      <c r="L1787" s="75">
        <v>14.53</v>
      </c>
      <c r="M1787" s="330">
        <v>20.77</v>
      </c>
      <c r="N1787" s="325">
        <f t="shared" si="361"/>
        <v>95.67</v>
      </c>
      <c r="O1787" s="27"/>
      <c r="P1787" s="56"/>
      <c r="Q1787" s="26"/>
      <c r="R1787" s="308" t="s">
        <v>4372</v>
      </c>
      <c r="S1787" s="330">
        <v>1.02</v>
      </c>
      <c r="T1787" s="67">
        <v>4</v>
      </c>
      <c r="U1787" s="366">
        <f t="shared" si="356"/>
        <v>6.0606060606060608E-2</v>
      </c>
      <c r="V1787" s="97">
        <v>5.56</v>
      </c>
      <c r="W1787" s="36">
        <f>RTD("money.excel",,"6180","Price")</f>
        <v>66</v>
      </c>
      <c r="X1787" s="67"/>
      <c r="Y1787" s="15">
        <f t="shared" si="357"/>
        <v>66</v>
      </c>
      <c r="Z1787" s="3" t="e">
        <f t="shared" si="358"/>
        <v>#DIV/0!</v>
      </c>
      <c r="AA1787" s="174" t="s">
        <v>2185</v>
      </c>
      <c r="AB1787" s="16" t="s">
        <v>87</v>
      </c>
      <c r="AE1787" s="33">
        <f t="shared" si="359"/>
        <v>0</v>
      </c>
      <c r="AF1787" s="122" t="s">
        <v>3793</v>
      </c>
      <c r="AG1787" s="128"/>
      <c r="AI1787" s="64">
        <f t="shared" si="360"/>
        <v>2.8222857142857143E-2</v>
      </c>
      <c r="AJ1787" s="313">
        <f>RTD("money.excel",,$G1787,"PredictVolume")</f>
        <v>4939</v>
      </c>
      <c r="AK1787" s="348"/>
    </row>
    <row r="1788" spans="1:37">
      <c r="A1788" s="132" t="s">
        <v>1551</v>
      </c>
      <c r="B1788" s="81">
        <v>10</v>
      </c>
      <c r="C1788" s="81">
        <v>10</v>
      </c>
      <c r="D1788" s="81">
        <v>7</v>
      </c>
      <c r="E1788" s="81">
        <v>7</v>
      </c>
      <c r="F1788" s="58">
        <v>34.67</v>
      </c>
      <c r="G1788" s="81">
        <v>6294</v>
      </c>
      <c r="H1788" s="8" t="s">
        <v>1081</v>
      </c>
      <c r="I1788" s="16" t="s">
        <v>94</v>
      </c>
      <c r="J1788" s="330">
        <v>47.43</v>
      </c>
      <c r="K1788" s="330">
        <v>10.43</v>
      </c>
      <c r="L1788" s="330">
        <v>3.85</v>
      </c>
      <c r="N1788" s="325">
        <f t="shared" si="361"/>
        <v>61.71</v>
      </c>
      <c r="O1788" s="27"/>
      <c r="P1788" s="56"/>
      <c r="Q1788" s="26"/>
      <c r="T1788" s="67">
        <v>8</v>
      </c>
      <c r="U1788" s="366">
        <f t="shared" si="356"/>
        <v>6.3745019920318724E-2</v>
      </c>
      <c r="V1788" s="97">
        <v>11.32</v>
      </c>
      <c r="W1788" s="36">
        <f>RTD("money.excel",,"6294","Price")</f>
        <v>125.5</v>
      </c>
      <c r="X1788" s="67"/>
      <c r="Y1788" s="15">
        <f t="shared" si="357"/>
        <v>125.5</v>
      </c>
      <c r="Z1788" s="3" t="e">
        <f t="shared" si="358"/>
        <v>#DIV/0!</v>
      </c>
      <c r="AA1788" s="174" t="s">
        <v>1986</v>
      </c>
      <c r="AB1788" s="16" t="s">
        <v>94</v>
      </c>
      <c r="AE1788" s="33">
        <f t="shared" si="359"/>
        <v>0</v>
      </c>
      <c r="AF1788" s="122" t="s">
        <v>3220</v>
      </c>
      <c r="AG1788" s="128"/>
      <c r="AI1788" s="64">
        <f t="shared" si="360"/>
        <v>1.2820512820512821E-4</v>
      </c>
      <c r="AJ1788" s="313">
        <f>RTD("money.excel",,$G1788,"PredictVolume")</f>
        <v>3</v>
      </c>
      <c r="AK1788" s="348"/>
    </row>
    <row r="1789" spans="1:37">
      <c r="A1789" s="148" t="s">
        <v>1690</v>
      </c>
      <c r="B1789" s="82">
        <v>-200</v>
      </c>
      <c r="C1789" s="82">
        <v>-307</v>
      </c>
      <c r="D1789" s="82">
        <v>-23</v>
      </c>
      <c r="E1789" s="81">
        <v>335</v>
      </c>
      <c r="F1789" s="75">
        <v>-105.97</v>
      </c>
      <c r="G1789" s="81">
        <v>6482</v>
      </c>
      <c r="H1789" s="8" t="s">
        <v>1081</v>
      </c>
      <c r="I1789" s="16" t="s">
        <v>1085</v>
      </c>
      <c r="J1789" s="330">
        <v>54.47</v>
      </c>
      <c r="K1789" s="75">
        <v>5.17</v>
      </c>
      <c r="L1789" s="330"/>
      <c r="N1789" s="325">
        <f t="shared" si="361"/>
        <v>59.64</v>
      </c>
      <c r="O1789" s="27"/>
      <c r="P1789" s="56"/>
      <c r="Q1789" s="26"/>
      <c r="T1789" s="34">
        <v>0</v>
      </c>
      <c r="U1789" s="366">
        <f t="shared" si="356"/>
        <v>0</v>
      </c>
      <c r="V1789" s="58">
        <v>-3.39</v>
      </c>
      <c r="W1789" s="36">
        <f>RTD("money.excel",,"6482","Price")</f>
        <v>38.200000000000003</v>
      </c>
      <c r="X1789" s="67"/>
      <c r="Y1789" s="15">
        <f t="shared" si="357"/>
        <v>38.200000000000003</v>
      </c>
      <c r="Z1789" s="3" t="e">
        <f t="shared" si="358"/>
        <v>#DIV/0!</v>
      </c>
      <c r="AA1789" s="174" t="s">
        <v>1943</v>
      </c>
      <c r="AB1789" s="16" t="s">
        <v>1085</v>
      </c>
      <c r="AE1789" s="33">
        <f t="shared" si="359"/>
        <v>0</v>
      </c>
      <c r="AF1789" s="43" t="s">
        <v>3221</v>
      </c>
      <c r="AG1789" s="128"/>
      <c r="AI1789" s="64">
        <f t="shared" si="360"/>
        <v>5.8479532163742693E-5</v>
      </c>
      <c r="AJ1789" s="313">
        <f>RTD("money.excel",,$G1789,"PredictVolume")</f>
        <v>1</v>
      </c>
      <c r="AK1789" s="348"/>
    </row>
    <row r="1790" spans="1:37">
      <c r="A1790" s="148" t="s">
        <v>2481</v>
      </c>
      <c r="B1790" s="81">
        <v>407</v>
      </c>
      <c r="C1790" s="82">
        <v>-30</v>
      </c>
      <c r="D1790" s="82">
        <v>-2</v>
      </c>
      <c r="E1790" s="82">
        <v>-10</v>
      </c>
      <c r="F1790" s="6">
        <v>7.34</v>
      </c>
      <c r="G1790" s="81">
        <v>6542</v>
      </c>
      <c r="H1790" s="8" t="s">
        <v>1081</v>
      </c>
      <c r="I1790" s="16" t="s">
        <v>6051</v>
      </c>
      <c r="J1790" s="75">
        <v>68.319999999999993</v>
      </c>
      <c r="K1790" s="75">
        <v>20.41</v>
      </c>
      <c r="L1790" s="75">
        <v>2.82</v>
      </c>
      <c r="N1790" s="325">
        <f t="shared" si="361"/>
        <v>91.549999999999983</v>
      </c>
      <c r="O1790" s="27"/>
      <c r="P1790" s="56"/>
      <c r="Q1790" s="26"/>
      <c r="S1790" s="330">
        <v>0</v>
      </c>
      <c r="T1790" s="34">
        <v>0</v>
      </c>
      <c r="U1790" s="366">
        <f t="shared" si="356"/>
        <v>0</v>
      </c>
      <c r="V1790" s="58">
        <v>1.2</v>
      </c>
      <c r="W1790" s="36">
        <f>RTD("money.excel",,"6542","Price")</f>
        <v>46</v>
      </c>
      <c r="X1790" s="67"/>
      <c r="Y1790" s="15">
        <f t="shared" si="357"/>
        <v>46</v>
      </c>
      <c r="Z1790" s="3" t="e">
        <f t="shared" si="358"/>
        <v>#DIV/0!</v>
      </c>
      <c r="AB1790" s="16" t="s">
        <v>6051</v>
      </c>
      <c r="AE1790" s="33">
        <f t="shared" si="359"/>
        <v>0</v>
      </c>
      <c r="AF1790" s="122" t="s">
        <v>2837</v>
      </c>
      <c r="AG1790" s="128"/>
      <c r="AI1790" s="64">
        <f t="shared" si="360"/>
        <v>9.5238095238095241E-5</v>
      </c>
      <c r="AJ1790" s="313">
        <f>RTD("money.excel",,$G1790,"PredictVolume")</f>
        <v>4</v>
      </c>
      <c r="AK1790" s="348"/>
    </row>
    <row r="1791" spans="1:37">
      <c r="A1791" s="148" t="s">
        <v>3056</v>
      </c>
      <c r="B1791" s="82">
        <v>-38</v>
      </c>
      <c r="C1791" s="82">
        <v>-23</v>
      </c>
      <c r="D1791" s="95">
        <v>1514</v>
      </c>
      <c r="E1791" s="82">
        <v>-95</v>
      </c>
      <c r="F1791" s="6">
        <v>-20.79</v>
      </c>
      <c r="G1791" s="81">
        <v>6596</v>
      </c>
      <c r="H1791" s="8" t="s">
        <v>1081</v>
      </c>
      <c r="I1791" s="16" t="s">
        <v>1086</v>
      </c>
      <c r="J1791" s="75">
        <v>43.09</v>
      </c>
      <c r="K1791" s="330">
        <v>0.24</v>
      </c>
      <c r="L1791" s="75">
        <v>0.56999999999999995</v>
      </c>
      <c r="N1791" s="325">
        <f t="shared" si="361"/>
        <v>43.900000000000006</v>
      </c>
      <c r="O1791" s="27"/>
      <c r="P1791" s="56"/>
      <c r="Q1791" s="26"/>
      <c r="S1791" s="330">
        <v>0</v>
      </c>
      <c r="T1791" s="67">
        <v>4.5</v>
      </c>
      <c r="U1791" s="366">
        <f t="shared" si="356"/>
        <v>9.1836734693877556E-2</v>
      </c>
      <c r="V1791" s="97">
        <v>2.57</v>
      </c>
      <c r="W1791" s="36">
        <f>RTD("money.excel",,"6596","Price")</f>
        <v>49</v>
      </c>
      <c r="X1791" s="67"/>
      <c r="Y1791" s="15">
        <f t="shared" si="357"/>
        <v>49</v>
      </c>
      <c r="Z1791" s="3" t="e">
        <f t="shared" si="358"/>
        <v>#DIV/0!</v>
      </c>
      <c r="AA1791" s="174" t="s">
        <v>2185</v>
      </c>
      <c r="AB1791" s="16" t="s">
        <v>1086</v>
      </c>
      <c r="AE1791" s="33">
        <f t="shared" si="359"/>
        <v>0</v>
      </c>
      <c r="AF1791" s="43" t="s">
        <v>2345</v>
      </c>
      <c r="AG1791" s="125"/>
      <c r="AI1791" s="64">
        <f t="shared" si="360"/>
        <v>7.3333333333333334E-4</v>
      </c>
      <c r="AJ1791" s="313">
        <f>RTD("money.excel",,$G1791,"PredictVolume")</f>
        <v>22</v>
      </c>
      <c r="AK1791" s="83"/>
    </row>
    <row r="1792" spans="1:37">
      <c r="A1792" s="132" t="s">
        <v>1843</v>
      </c>
      <c r="B1792" s="82">
        <v>-31</v>
      </c>
      <c r="C1792" s="82">
        <v>-37</v>
      </c>
      <c r="D1792" s="81">
        <v>1</v>
      </c>
      <c r="E1792" s="82">
        <v>-26</v>
      </c>
      <c r="F1792" s="58">
        <v>46.43</v>
      </c>
      <c r="G1792" s="81">
        <v>8446</v>
      </c>
      <c r="H1792" s="8" t="s">
        <v>1081</v>
      </c>
      <c r="I1792" s="16" t="s">
        <v>164</v>
      </c>
      <c r="J1792" s="330">
        <v>49.16</v>
      </c>
      <c r="K1792" s="330">
        <v>3.33</v>
      </c>
      <c r="L1792" s="75">
        <v>4.82</v>
      </c>
      <c r="M1792" s="330">
        <v>34.31</v>
      </c>
      <c r="N1792" s="325">
        <f t="shared" si="361"/>
        <v>91.62</v>
      </c>
      <c r="O1792" s="27"/>
      <c r="P1792" s="56"/>
      <c r="Q1792" s="26"/>
      <c r="R1792" s="308" t="s">
        <v>6100</v>
      </c>
      <c r="S1792" s="330">
        <v>0.37</v>
      </c>
      <c r="T1792" s="67">
        <v>3.5</v>
      </c>
      <c r="U1792" s="366">
        <f t="shared" si="356"/>
        <v>4.0322580645161289E-2</v>
      </c>
      <c r="V1792" s="97">
        <v>7.34</v>
      </c>
      <c r="W1792" s="36">
        <f>RTD("money.excel",,"8446","Price")</f>
        <v>86.8</v>
      </c>
      <c r="X1792" s="67"/>
      <c r="Y1792" s="15">
        <f t="shared" si="357"/>
        <v>86.8</v>
      </c>
      <c r="Z1792" s="3" t="e">
        <f t="shared" si="358"/>
        <v>#DIV/0!</v>
      </c>
      <c r="AA1792" s="174" t="s">
        <v>2185</v>
      </c>
      <c r="AB1792" s="16" t="s">
        <v>164</v>
      </c>
      <c r="AE1792" s="33">
        <f t="shared" si="359"/>
        <v>0</v>
      </c>
      <c r="AF1792" s="122" t="s">
        <v>1485</v>
      </c>
      <c r="AG1792" s="128"/>
      <c r="AI1792" s="64">
        <f t="shared" si="360"/>
        <v>8.1285444234404541E-4</v>
      </c>
      <c r="AJ1792" s="313">
        <f>RTD("money.excel",,$G1792,"PredictVolume")</f>
        <v>43</v>
      </c>
      <c r="AK1792" s="348">
        <v>5.99</v>
      </c>
    </row>
    <row r="1793" spans="1:37">
      <c r="A1793" s="148" t="s">
        <v>1892</v>
      </c>
      <c r="B1793" s="82">
        <v>-143</v>
      </c>
      <c r="C1793" s="82">
        <v>-84</v>
      </c>
      <c r="D1793" s="81">
        <v>12</v>
      </c>
      <c r="E1793" s="82">
        <v>-10</v>
      </c>
      <c r="F1793" s="6">
        <v>-30.82</v>
      </c>
      <c r="G1793" s="81">
        <v>8450</v>
      </c>
      <c r="H1793" s="8" t="s">
        <v>1081</v>
      </c>
      <c r="I1793" s="16" t="s">
        <v>96</v>
      </c>
      <c r="J1793" s="75">
        <v>64.91</v>
      </c>
      <c r="K1793" s="75">
        <v>1.55</v>
      </c>
      <c r="L1793" s="75">
        <v>3.14</v>
      </c>
      <c r="N1793" s="325">
        <f t="shared" si="361"/>
        <v>69.599999999999994</v>
      </c>
      <c r="O1793" s="27"/>
      <c r="P1793" s="56"/>
      <c r="Q1793" s="26"/>
      <c r="S1793" s="330">
        <v>0</v>
      </c>
      <c r="T1793" s="34">
        <v>0</v>
      </c>
      <c r="U1793" s="366">
        <f t="shared" si="356"/>
        <v>0</v>
      </c>
      <c r="V1793" s="58">
        <v>-2.89</v>
      </c>
      <c r="W1793" s="36">
        <f>RTD("money.excel",,"8450","Price")</f>
        <v>37.549999999999997</v>
      </c>
      <c r="X1793" s="67"/>
      <c r="Y1793" s="15">
        <f t="shared" si="357"/>
        <v>37.549999999999997</v>
      </c>
      <c r="Z1793" s="3" t="e">
        <f t="shared" si="358"/>
        <v>#DIV/0!</v>
      </c>
      <c r="AA1793" s="174" t="s">
        <v>1943</v>
      </c>
      <c r="AB1793" s="16" t="s">
        <v>96</v>
      </c>
      <c r="AE1793" s="33">
        <f t="shared" si="359"/>
        <v>0</v>
      </c>
      <c r="AF1793" s="122" t="s">
        <v>3222</v>
      </c>
      <c r="AG1793" s="128"/>
      <c r="AI1793" s="64">
        <f t="shared" si="360"/>
        <v>2.3528265107212475E-2</v>
      </c>
      <c r="AJ1793" s="313">
        <f>RTD("money.excel",,$G1793,"PredictVolume")</f>
        <v>1207</v>
      </c>
      <c r="AK1793" s="348"/>
    </row>
    <row r="1794" spans="1:37">
      <c r="A1794" s="132" t="s">
        <v>1910</v>
      </c>
      <c r="B1794" s="82">
        <v>-39</v>
      </c>
      <c r="C1794" s="82">
        <v>-22</v>
      </c>
      <c r="D1794" s="82">
        <v>-5</v>
      </c>
      <c r="E1794" s="82">
        <v>-1</v>
      </c>
      <c r="F1794" s="58">
        <v>11.3</v>
      </c>
      <c r="G1794" s="81">
        <v>8489</v>
      </c>
      <c r="H1794" s="8" t="s">
        <v>1081</v>
      </c>
      <c r="I1794" s="16" t="s">
        <v>1087</v>
      </c>
      <c r="J1794" s="75">
        <v>23.79</v>
      </c>
      <c r="K1794" s="75">
        <v>1.97</v>
      </c>
      <c r="L1794" s="75">
        <v>15.81</v>
      </c>
      <c r="N1794" s="325">
        <f t="shared" si="361"/>
        <v>41.57</v>
      </c>
      <c r="O1794" s="27"/>
      <c r="P1794" s="56"/>
      <c r="Q1794" s="26"/>
      <c r="S1794" s="330">
        <v>0.02</v>
      </c>
      <c r="T1794" s="34">
        <v>0.7</v>
      </c>
      <c r="U1794" s="366">
        <f t="shared" si="356"/>
        <v>2.1806853582554516E-2</v>
      </c>
      <c r="V1794" s="97">
        <v>0.77</v>
      </c>
      <c r="W1794" s="36">
        <f>RTD("money.excel",,"8489","Price")</f>
        <v>32.1</v>
      </c>
      <c r="X1794" s="67"/>
      <c r="Y1794" s="15">
        <f t="shared" si="357"/>
        <v>32.1</v>
      </c>
      <c r="Z1794" s="3" t="e">
        <f t="shared" si="358"/>
        <v>#DIV/0!</v>
      </c>
      <c r="AB1794" s="16" t="s">
        <v>1087</v>
      </c>
      <c r="AE1794" s="33">
        <f t="shared" si="359"/>
        <v>0</v>
      </c>
      <c r="AF1794" s="43" t="s">
        <v>3223</v>
      </c>
      <c r="AG1794" s="128"/>
      <c r="AI1794" s="64">
        <f t="shared" si="360"/>
        <v>1.2962962962962963E-3</v>
      </c>
      <c r="AJ1794" s="313">
        <f>RTD("money.excel",,$G1794,"PredictVolume")</f>
        <v>49</v>
      </c>
      <c r="AK1794" s="348"/>
    </row>
    <row r="1795" spans="1:37">
      <c r="A1795" s="148" t="s">
        <v>3581</v>
      </c>
      <c r="B1795" s="93">
        <v>-29</v>
      </c>
      <c r="C1795" s="93">
        <v>-1</v>
      </c>
      <c r="D1795" s="93">
        <v>-7</v>
      </c>
      <c r="E1795" s="93">
        <v>-2</v>
      </c>
      <c r="F1795" s="6">
        <v>2.2799999999999998</v>
      </c>
      <c r="G1795" s="81">
        <v>8923</v>
      </c>
      <c r="H1795" s="8" t="s">
        <v>1081</v>
      </c>
      <c r="I1795" s="16" t="s">
        <v>1088</v>
      </c>
      <c r="J1795" s="75">
        <v>83.03</v>
      </c>
      <c r="K1795" s="75">
        <v>3.62</v>
      </c>
      <c r="L1795" s="75">
        <v>0.03</v>
      </c>
      <c r="N1795" s="325">
        <f t="shared" si="361"/>
        <v>86.68</v>
      </c>
      <c r="O1795" s="27"/>
      <c r="P1795" s="56"/>
      <c r="Q1795" s="26"/>
      <c r="S1795" s="330">
        <v>58.96</v>
      </c>
      <c r="T1795" s="34">
        <v>0.85</v>
      </c>
      <c r="U1795" s="366">
        <f t="shared" si="356"/>
        <v>4.4854881266490766E-2</v>
      </c>
      <c r="V1795" s="97">
        <v>0.94</v>
      </c>
      <c r="W1795" s="13">
        <f>RTD("money.excel",,"8923","Price")</f>
        <v>18.95</v>
      </c>
      <c r="X1795" s="67"/>
      <c r="Y1795" s="15">
        <f t="shared" si="357"/>
        <v>18.95</v>
      </c>
      <c r="Z1795" s="3" t="e">
        <f t="shared" si="358"/>
        <v>#DIV/0!</v>
      </c>
      <c r="AB1795" s="16" t="s">
        <v>1088</v>
      </c>
      <c r="AE1795" s="33">
        <f t="shared" si="359"/>
        <v>0</v>
      </c>
      <c r="AF1795" s="43" t="s">
        <v>1626</v>
      </c>
      <c r="AG1795" s="128"/>
      <c r="AI1795" s="64">
        <f t="shared" si="360"/>
        <v>3.2894736842105262E-5</v>
      </c>
      <c r="AJ1795" s="313">
        <f>RTD("money.excel",,$G1795,"PredictVolume")</f>
        <v>1</v>
      </c>
      <c r="AK1795" s="348"/>
    </row>
    <row r="1796" spans="1:37">
      <c r="A1796" s="148" t="s">
        <v>2470</v>
      </c>
      <c r="B1796" s="82">
        <v>-19</v>
      </c>
      <c r="C1796" s="82">
        <v>-35</v>
      </c>
      <c r="D1796" s="82">
        <v>-23</v>
      </c>
      <c r="E1796" s="81">
        <v>102</v>
      </c>
      <c r="F1796" s="6">
        <v>-35.03</v>
      </c>
      <c r="G1796" s="81">
        <v>9949</v>
      </c>
      <c r="H1796" s="8" t="s">
        <v>1081</v>
      </c>
      <c r="I1796" s="16" t="s">
        <v>1089</v>
      </c>
      <c r="J1796" s="330">
        <v>61.91</v>
      </c>
      <c r="K1796" s="330">
        <v>0.12</v>
      </c>
      <c r="L1796" s="330">
        <v>46.74</v>
      </c>
      <c r="N1796" s="325">
        <f t="shared" si="361"/>
        <v>108.77</v>
      </c>
      <c r="O1796" s="27"/>
      <c r="P1796" s="56"/>
      <c r="Q1796" s="26"/>
      <c r="S1796" s="330">
        <v>0</v>
      </c>
      <c r="T1796" s="34">
        <v>0</v>
      </c>
      <c r="U1796" s="366">
        <f t="shared" si="356"/>
        <v>0</v>
      </c>
      <c r="V1796" s="58">
        <v>-0.65</v>
      </c>
      <c r="W1796" s="36">
        <f>RTD("money.excel",,"9949","Price")</f>
        <v>12.7</v>
      </c>
      <c r="X1796" s="67"/>
      <c r="Y1796" s="15">
        <f t="shared" si="357"/>
        <v>12.7</v>
      </c>
      <c r="Z1796" s="3" t="e">
        <f t="shared" si="358"/>
        <v>#DIV/0!</v>
      </c>
      <c r="AB1796" s="16" t="s">
        <v>1089</v>
      </c>
      <c r="AE1796" s="33">
        <f t="shared" si="359"/>
        <v>0</v>
      </c>
      <c r="AF1796" s="43" t="s">
        <v>3224</v>
      </c>
      <c r="AG1796" s="128"/>
      <c r="AI1796" s="64">
        <f t="shared" si="360"/>
        <v>4.2553191489361702E-4</v>
      </c>
      <c r="AJ1796" s="313">
        <f>RTD("money.excel",,$G1796,"PredictVolume")</f>
        <v>20</v>
      </c>
      <c r="AK1796" s="348"/>
    </row>
    <row r="1797" spans="1:37">
      <c r="A1797" s="148"/>
      <c r="B1797" s="82"/>
      <c r="C1797" s="82"/>
      <c r="D1797" s="82"/>
      <c r="E1797" s="81"/>
      <c r="F1797" s="6"/>
      <c r="G1797" s="81"/>
      <c r="H1797" s="8"/>
      <c r="I1797" s="16"/>
      <c r="J1797" s="330"/>
      <c r="K1797" s="330"/>
      <c r="L1797" s="330"/>
      <c r="N1797" s="325"/>
      <c r="O1797" s="27"/>
      <c r="P1797" s="56"/>
      <c r="Q1797" s="26"/>
      <c r="T1797" s="34"/>
      <c r="V1797" s="58"/>
      <c r="W1797" s="36"/>
      <c r="X1797" s="67"/>
      <c r="Y1797" s="15"/>
      <c r="Z1797" s="3"/>
      <c r="AB1797" s="16"/>
      <c r="AE1797" s="33"/>
      <c r="AF1797" s="43"/>
      <c r="AG1797" s="128"/>
      <c r="AK1797" s="348"/>
    </row>
    <row r="1798" spans="1:37">
      <c r="A1798" s="132" t="s">
        <v>1854</v>
      </c>
      <c r="B1798" s="93" t="s">
        <v>1657</v>
      </c>
      <c r="C1798" s="93" t="s">
        <v>1658</v>
      </c>
      <c r="D1798" s="93" t="s">
        <v>1659</v>
      </c>
      <c r="E1798" s="93" t="s">
        <v>1660</v>
      </c>
      <c r="F1798" s="8" t="s">
        <v>1122</v>
      </c>
      <c r="G1798" s="27" t="s">
        <v>1080</v>
      </c>
      <c r="H1798" s="55" t="s">
        <v>342</v>
      </c>
      <c r="I1798" s="50" t="s">
        <v>356</v>
      </c>
      <c r="J1798" s="324" t="s">
        <v>1529</v>
      </c>
      <c r="K1798" s="324" t="s">
        <v>1217</v>
      </c>
      <c r="L1798" s="324" t="s">
        <v>298</v>
      </c>
      <c r="M1798" s="324" t="s">
        <v>1115</v>
      </c>
      <c r="N1798" s="324" t="s">
        <v>6091</v>
      </c>
      <c r="O1798" s="27" t="s">
        <v>6253</v>
      </c>
      <c r="P1798" s="56" t="s">
        <v>6219</v>
      </c>
      <c r="Q1798" s="26" t="s">
        <v>6313</v>
      </c>
      <c r="R1798" s="309" t="s">
        <v>4371</v>
      </c>
      <c r="S1798" s="335" t="s">
        <v>4398</v>
      </c>
      <c r="T1798" s="10" t="s">
        <v>75</v>
      </c>
      <c r="U1798" s="364" t="s">
        <v>6152</v>
      </c>
      <c r="V1798" s="69" t="s">
        <v>4022</v>
      </c>
      <c r="W1798" s="28" t="s">
        <v>2</v>
      </c>
      <c r="X1798" s="17" t="s">
        <v>1465</v>
      </c>
      <c r="Y1798" s="14" t="s">
        <v>5</v>
      </c>
      <c r="Z1798" s="21" t="s">
        <v>3</v>
      </c>
      <c r="AA1798" s="322" t="s">
        <v>117</v>
      </c>
      <c r="AB1798" s="50" t="s">
        <v>356</v>
      </c>
      <c r="AC1798" s="73" t="s">
        <v>1466</v>
      </c>
      <c r="AD1798" s="74" t="s">
        <v>1223</v>
      </c>
      <c r="AE1798" s="32" t="s">
        <v>1224</v>
      </c>
      <c r="AF1798" s="43"/>
      <c r="AG1798" s="128"/>
      <c r="AI1798" s="8" t="s">
        <v>4414</v>
      </c>
      <c r="AJ1798" s="50" t="s">
        <v>4121</v>
      </c>
      <c r="AK1798" s="348" t="s">
        <v>6074</v>
      </c>
    </row>
    <row r="1799" spans="1:37">
      <c r="A1799" s="148" t="s">
        <v>3643</v>
      </c>
      <c r="B1799" s="93">
        <v>64</v>
      </c>
      <c r="C1799" s="93">
        <v>54</v>
      </c>
      <c r="D1799" s="93">
        <v>33</v>
      </c>
      <c r="E1799" s="93">
        <v>86</v>
      </c>
      <c r="F1799" s="6">
        <v>-94.97</v>
      </c>
      <c r="G1799" s="81">
        <v>3085</v>
      </c>
      <c r="H1799" s="8" t="s">
        <v>6104</v>
      </c>
      <c r="I1799" s="16" t="s">
        <v>1048</v>
      </c>
      <c r="J1799" s="75">
        <v>64.45</v>
      </c>
      <c r="K1799" s="75">
        <v>23.24</v>
      </c>
      <c r="N1799" s="325">
        <f t="shared" ref="N1799" si="362">J1799+K1799+L1799+M1799</f>
        <v>87.69</v>
      </c>
      <c r="O1799" s="27"/>
      <c r="P1799" s="56"/>
      <c r="Q1799" s="26"/>
      <c r="S1799" s="330">
        <v>18.82</v>
      </c>
      <c r="T1799" s="34">
        <v>0</v>
      </c>
      <c r="U1799" s="366">
        <f>T1799/W1799</f>
        <v>0</v>
      </c>
      <c r="V1799" s="97">
        <v>-2.67</v>
      </c>
      <c r="W1799" s="13">
        <f>RTD("money.excel",,"3085","Price")</f>
        <v>10.1</v>
      </c>
      <c r="X1799" s="67"/>
      <c r="Y1799" s="15">
        <f t="shared" ref="Y1799:Y1808" si="363">W1799-X1799</f>
        <v>10.1</v>
      </c>
      <c r="Z1799" s="3" t="e">
        <f t="shared" ref="Z1799:Z1808" si="364">Y1799/X1799</f>
        <v>#DIV/0!</v>
      </c>
      <c r="AB1799" s="16" t="s">
        <v>1048</v>
      </c>
      <c r="AE1799" s="33">
        <f t="shared" ref="AE1799:AE1808" si="365">AD1799-AC1799</f>
        <v>0</v>
      </c>
      <c r="AF1799" s="43" t="s">
        <v>356</v>
      </c>
      <c r="AG1799" s="128"/>
      <c r="AI1799" s="64">
        <f>AJ1799/(A1799*10000)</f>
        <v>2.0833333333333333E-5</v>
      </c>
      <c r="AJ1799" s="313">
        <f>RTD("money.excel",,$G1799,"PredictVolume")</f>
        <v>1</v>
      </c>
      <c r="AK1799" s="348"/>
    </row>
    <row r="1800" spans="1:37">
      <c r="A1800" s="132" t="s">
        <v>1661</v>
      </c>
      <c r="B1800" s="81">
        <v>79</v>
      </c>
      <c r="C1800" s="81">
        <v>101</v>
      </c>
      <c r="D1800" s="81">
        <v>19</v>
      </c>
      <c r="E1800" s="81">
        <v>29</v>
      </c>
      <c r="F1800" s="58">
        <v>22.19</v>
      </c>
      <c r="G1800" s="81">
        <v>3687</v>
      </c>
      <c r="H1800" s="8" t="s">
        <v>6104</v>
      </c>
      <c r="I1800" s="16" t="s">
        <v>83</v>
      </c>
      <c r="J1800" s="75">
        <v>36.99</v>
      </c>
      <c r="K1800" s="75">
        <v>6.21</v>
      </c>
      <c r="L1800" s="75">
        <v>62.7</v>
      </c>
      <c r="M1800" s="330">
        <v>14.55</v>
      </c>
      <c r="N1800" s="325">
        <f t="shared" ref="N1800:N1808" si="366">J1800+K1800+L1800+M1800</f>
        <v>120.45</v>
      </c>
      <c r="O1800" s="27"/>
      <c r="P1800" s="56"/>
      <c r="Q1800" s="26"/>
      <c r="R1800" s="308" t="s">
        <v>4372</v>
      </c>
      <c r="S1800" s="330">
        <v>5.04</v>
      </c>
      <c r="T1800" s="34">
        <v>0.6</v>
      </c>
      <c r="U1800" s="366">
        <f>T1800/W1800</f>
        <v>3.1578947368421052E-3</v>
      </c>
      <c r="V1800" s="97">
        <v>2.23</v>
      </c>
      <c r="W1800" s="36">
        <f>RTD("money.excel",,"3687","Price")</f>
        <v>190</v>
      </c>
      <c r="X1800" s="67"/>
      <c r="Y1800" s="15">
        <f t="shared" si="363"/>
        <v>190</v>
      </c>
      <c r="Z1800" s="3" t="e">
        <f t="shared" si="364"/>
        <v>#DIV/0!</v>
      </c>
      <c r="AA1800" s="174" t="s">
        <v>1943</v>
      </c>
      <c r="AB1800" s="16" t="s">
        <v>83</v>
      </c>
      <c r="AE1800" s="33">
        <f t="shared" si="365"/>
        <v>0</v>
      </c>
      <c r="AF1800" s="122" t="s">
        <v>2868</v>
      </c>
      <c r="AG1800" s="128"/>
      <c r="AI1800" s="64">
        <f>AJ1800/(A1800*10000)</f>
        <v>0.20232558139534887</v>
      </c>
      <c r="AJ1800" s="313">
        <f>RTD("money.excel",,$G1800,"PredictVolume")</f>
        <v>6090</v>
      </c>
      <c r="AK1800" s="348"/>
    </row>
    <row r="1801" spans="1:37">
      <c r="A1801" s="132" t="s">
        <v>1855</v>
      </c>
      <c r="B1801" s="82">
        <v>-25</v>
      </c>
      <c r="C1801" s="82">
        <v>-19</v>
      </c>
      <c r="D1801" s="81">
        <v>1</v>
      </c>
      <c r="E1801" s="82">
        <v>-13</v>
      </c>
      <c r="F1801" s="58">
        <v>23.94</v>
      </c>
      <c r="G1801" s="81">
        <v>5278</v>
      </c>
      <c r="H1801" s="8" t="s">
        <v>6104</v>
      </c>
      <c r="I1801" s="16" t="s">
        <v>1091</v>
      </c>
      <c r="J1801" s="330">
        <v>45.06</v>
      </c>
      <c r="K1801" s="75">
        <v>43.09</v>
      </c>
      <c r="L1801" s="330"/>
      <c r="N1801" s="325">
        <f t="shared" si="366"/>
        <v>88.15</v>
      </c>
      <c r="O1801" s="27"/>
      <c r="P1801" s="56"/>
      <c r="Q1801" s="26"/>
      <c r="T1801" s="67">
        <v>3.46</v>
      </c>
      <c r="U1801" s="366">
        <f>T1801/W1801</f>
        <v>1.3007518796992482E-2</v>
      </c>
      <c r="V1801" s="97">
        <v>12.34</v>
      </c>
      <c r="W1801" s="13">
        <f>RTD("money.excel",,"5278","Price")</f>
        <v>266</v>
      </c>
      <c r="X1801" s="67"/>
      <c r="Y1801" s="15">
        <f t="shared" si="363"/>
        <v>266</v>
      </c>
      <c r="Z1801" s="3" t="e">
        <f t="shared" si="364"/>
        <v>#DIV/0!</v>
      </c>
      <c r="AA1801" s="174" t="s">
        <v>1986</v>
      </c>
      <c r="AB1801" s="16" t="s">
        <v>1091</v>
      </c>
      <c r="AE1801" s="33">
        <f t="shared" si="365"/>
        <v>0</v>
      </c>
      <c r="AF1801" s="43" t="s">
        <v>3225</v>
      </c>
      <c r="AG1801" s="128"/>
      <c r="AI1801" s="64">
        <f>AJ1801/(A1801*10000)</f>
        <v>5.131578947368421E-3</v>
      </c>
      <c r="AJ1801" s="313">
        <f>RTD("money.excel",,$G1801,"PredictVolume")</f>
        <v>78</v>
      </c>
      <c r="AK1801" s="348"/>
    </row>
    <row r="1802" spans="1:37">
      <c r="A1802" s="132" t="s">
        <v>2783</v>
      </c>
      <c r="B1802" s="81">
        <v>5</v>
      </c>
      <c r="C1802" s="81">
        <v>4</v>
      </c>
      <c r="D1802" s="82">
        <v>-4</v>
      </c>
      <c r="E1802" s="81">
        <v>8</v>
      </c>
      <c r="F1802" s="58">
        <v>49.97</v>
      </c>
      <c r="G1802" s="81">
        <v>5287</v>
      </c>
      <c r="H1802" s="151" t="s">
        <v>6104</v>
      </c>
      <c r="I1802" s="16" t="s">
        <v>277</v>
      </c>
      <c r="J1802" s="330">
        <v>58.82</v>
      </c>
      <c r="K1802" s="330">
        <v>31.75</v>
      </c>
      <c r="L1802" s="330">
        <v>0.66</v>
      </c>
      <c r="N1802" s="325">
        <f t="shared" si="366"/>
        <v>91.22999999999999</v>
      </c>
      <c r="O1802" s="27"/>
      <c r="P1802" s="56"/>
      <c r="Q1802" s="26"/>
      <c r="S1802" s="330">
        <v>0</v>
      </c>
      <c r="T1802" s="67">
        <v>13.83</v>
      </c>
      <c r="U1802" s="366">
        <f>T1802/W1802</f>
        <v>6.3150684931506856E-2</v>
      </c>
      <c r="V1802" s="97">
        <v>14.74</v>
      </c>
      <c r="W1802" s="36">
        <f>RTD("money.excel",,"5287","Price")</f>
        <v>219</v>
      </c>
      <c r="X1802" s="67"/>
      <c r="Y1802" s="15">
        <f t="shared" si="363"/>
        <v>219</v>
      </c>
      <c r="Z1802" s="3" t="e">
        <f t="shared" si="364"/>
        <v>#DIV/0!</v>
      </c>
      <c r="AA1802" s="174" t="s">
        <v>1986</v>
      </c>
      <c r="AB1802" s="16" t="s">
        <v>277</v>
      </c>
      <c r="AE1802" s="33">
        <f t="shared" si="365"/>
        <v>0</v>
      </c>
      <c r="AF1802" s="122" t="s">
        <v>356</v>
      </c>
      <c r="AG1802" s="128"/>
      <c r="AI1802" s="64">
        <f>AJ1802/(A1802*10000)</f>
        <v>5.1282051282051282E-4</v>
      </c>
      <c r="AJ1802" s="313">
        <f>RTD("money.excel",,$G1802,"PredictVolume")</f>
        <v>22</v>
      </c>
      <c r="AK1802" s="348"/>
    </row>
    <row r="1803" spans="1:37">
      <c r="A1803" s="132" t="s">
        <v>1899</v>
      </c>
      <c r="B1803" s="81">
        <v>29</v>
      </c>
      <c r="C1803" s="81">
        <v>56</v>
      </c>
      <c r="D1803" s="82">
        <v>-10</v>
      </c>
      <c r="E1803" s="81">
        <v>16</v>
      </c>
      <c r="F1803" s="58">
        <v>27.97</v>
      </c>
      <c r="G1803" s="81">
        <v>6741</v>
      </c>
      <c r="H1803" s="151" t="s">
        <v>6104</v>
      </c>
      <c r="I1803" s="16" t="s">
        <v>4084</v>
      </c>
      <c r="J1803" s="330">
        <v>75.8</v>
      </c>
      <c r="K1803" s="330">
        <v>62.32</v>
      </c>
      <c r="N1803" s="325">
        <f t="shared" si="366"/>
        <v>138.12</v>
      </c>
      <c r="O1803" s="27"/>
      <c r="P1803" s="56"/>
      <c r="Q1803" s="26"/>
      <c r="T1803" s="34"/>
      <c r="U1803" s="366">
        <f>T1803/W1803</f>
        <v>0</v>
      </c>
      <c r="V1803" s="97"/>
      <c r="W1803" s="36">
        <f>RTD("money.excel",,"6741","Price")</f>
        <v>151.5</v>
      </c>
      <c r="X1803" s="67"/>
      <c r="Y1803" s="15">
        <f t="shared" si="363"/>
        <v>151.5</v>
      </c>
      <c r="Z1803" s="161" t="e">
        <f t="shared" si="364"/>
        <v>#DIV/0!</v>
      </c>
      <c r="AB1803" s="16" t="s">
        <v>4084</v>
      </c>
      <c r="AE1803" s="33">
        <f t="shared" si="365"/>
        <v>0</v>
      </c>
      <c r="AF1803" s="43" t="s">
        <v>4091</v>
      </c>
      <c r="AG1803" s="128"/>
      <c r="AI1803" s="64">
        <f>AJ1803/(A1803*10000)</f>
        <v>1.7313432835820895E-2</v>
      </c>
      <c r="AJ1803" s="313">
        <f>RTD("money.excel",,$G1803,"PredictVolume")</f>
        <v>1044</v>
      </c>
      <c r="AK1803" s="348"/>
    </row>
    <row r="1804" spans="1:37">
      <c r="B1804" s="81"/>
      <c r="C1804" s="81"/>
      <c r="D1804" s="82"/>
      <c r="E1804" s="81"/>
      <c r="F1804" s="58"/>
      <c r="G1804" s="81"/>
      <c r="H1804" s="151"/>
      <c r="I1804" s="16"/>
      <c r="J1804" s="330"/>
      <c r="K1804" s="330"/>
      <c r="N1804" s="325"/>
      <c r="O1804" s="27"/>
      <c r="P1804" s="56"/>
      <c r="Q1804" s="26"/>
      <c r="T1804" s="34"/>
      <c r="U1804" s="366"/>
      <c r="V1804" s="97"/>
      <c r="W1804" s="36"/>
      <c r="X1804" s="67"/>
      <c r="Y1804" s="15"/>
      <c r="Z1804" s="161"/>
      <c r="AB1804" s="16"/>
      <c r="AE1804" s="33"/>
      <c r="AF1804" s="43"/>
      <c r="AG1804" s="128"/>
      <c r="AI1804" s="64"/>
      <c r="AJ1804" s="313"/>
      <c r="AK1804" s="348"/>
    </row>
    <row r="1805" spans="1:37">
      <c r="A1805" s="132" t="s">
        <v>6474</v>
      </c>
      <c r="B1805" s="81">
        <v>74</v>
      </c>
      <c r="C1805" s="81">
        <v>77</v>
      </c>
      <c r="D1805" s="82">
        <v>-10</v>
      </c>
      <c r="E1805" s="81">
        <v>16</v>
      </c>
      <c r="F1805" s="58">
        <v>28.27</v>
      </c>
      <c r="G1805" s="81">
        <v>6763</v>
      </c>
      <c r="H1805" s="151" t="s">
        <v>356</v>
      </c>
      <c r="I1805" s="16" t="s">
        <v>6473</v>
      </c>
      <c r="J1805" s="330">
        <v>45.02</v>
      </c>
      <c r="K1805" s="75">
        <v>2.91</v>
      </c>
      <c r="L1805" s="330"/>
      <c r="M1805" s="330"/>
      <c r="N1805" s="325">
        <f t="shared" ref="N1805" si="367">J1805+K1805+L1805+M1805</f>
        <v>47.930000000000007</v>
      </c>
      <c r="O1805" s="27"/>
      <c r="P1805" s="56"/>
      <c r="Q1805" s="26"/>
      <c r="T1805" s="34">
        <v>9.1</v>
      </c>
      <c r="U1805" s="366">
        <f>T1805/W1805</f>
        <v>9.8378378378378376E-3</v>
      </c>
      <c r="V1805" s="97">
        <v>22.91</v>
      </c>
      <c r="W1805" s="36">
        <f>RTD("money.excel",,"6763","Price")</f>
        <v>925</v>
      </c>
      <c r="X1805" s="67"/>
      <c r="Y1805" s="15">
        <f t="shared" ref="Y1805" si="368">W1805-X1805</f>
        <v>925</v>
      </c>
      <c r="Z1805" s="161" t="e">
        <f t="shared" ref="Z1805" si="369">Y1805/X1805</f>
        <v>#DIV/0!</v>
      </c>
      <c r="AB1805" s="16" t="s">
        <v>6473</v>
      </c>
      <c r="AE1805" s="33">
        <f t="shared" ref="AE1805" si="370">AD1805-AC1805</f>
        <v>0</v>
      </c>
      <c r="AF1805" s="128" t="s">
        <v>6476</v>
      </c>
      <c r="AG1805" s="243"/>
      <c r="AI1805" s="64">
        <f>AJ1805/(A1805*10000)</f>
        <v>1.7567567567567568E-3</v>
      </c>
      <c r="AJ1805" s="313">
        <f>RTD("money.excel",,$G1805,"PredictVolume")</f>
        <v>26</v>
      </c>
      <c r="AK1805" s="348"/>
    </row>
    <row r="1806" spans="1:37">
      <c r="A1806" s="148" t="s">
        <v>1807</v>
      </c>
      <c r="B1806" s="81">
        <v>20</v>
      </c>
      <c r="C1806" s="82">
        <v>15</v>
      </c>
      <c r="D1806" s="82">
        <v>-7</v>
      </c>
      <c r="E1806" s="81">
        <v>15</v>
      </c>
      <c r="F1806" s="6">
        <v>1.04</v>
      </c>
      <c r="G1806" s="81">
        <v>8044</v>
      </c>
      <c r="H1806" s="151" t="s">
        <v>6104</v>
      </c>
      <c r="I1806" s="16" t="s">
        <v>6052</v>
      </c>
      <c r="J1806" s="75">
        <v>43.7</v>
      </c>
      <c r="K1806" s="75">
        <v>32.75</v>
      </c>
      <c r="L1806" s="330">
        <v>27.47</v>
      </c>
      <c r="N1806" s="325">
        <f t="shared" si="366"/>
        <v>103.92</v>
      </c>
      <c r="O1806" s="27"/>
      <c r="P1806" s="56"/>
      <c r="Q1806" s="26"/>
      <c r="S1806" s="330">
        <v>7.24</v>
      </c>
      <c r="T1806" s="34">
        <v>1.31</v>
      </c>
      <c r="U1806" s="366">
        <f>T1806/W1806</f>
        <v>1.5429917550058892E-2</v>
      </c>
      <c r="V1806" s="97">
        <v>2.5499999999999998</v>
      </c>
      <c r="W1806" s="36">
        <f>RTD("money.excel",,"8044","Price")</f>
        <v>84.9</v>
      </c>
      <c r="X1806" s="67"/>
      <c r="Y1806" s="15">
        <f t="shared" si="363"/>
        <v>84.9</v>
      </c>
      <c r="Z1806" s="3" t="e">
        <f t="shared" si="364"/>
        <v>#DIV/0!</v>
      </c>
      <c r="AA1806" s="174" t="s">
        <v>1943</v>
      </c>
      <c r="AB1806" s="16" t="s">
        <v>6052</v>
      </c>
      <c r="AE1806" s="33">
        <f t="shared" si="365"/>
        <v>0</v>
      </c>
      <c r="AF1806" s="122" t="s">
        <v>356</v>
      </c>
      <c r="AG1806" s="128"/>
      <c r="AI1806" s="64">
        <f>AJ1806/(A1806*10000)</f>
        <v>1.085593220338983E-2</v>
      </c>
      <c r="AJ1806" s="313">
        <f>RTD("money.excel",,$G1806,"PredictVolume")</f>
        <v>1281</v>
      </c>
      <c r="AK1806" s="348"/>
    </row>
    <row r="1807" spans="1:37">
      <c r="A1807" s="132" t="s">
        <v>3644</v>
      </c>
      <c r="B1807" s="93">
        <v>21</v>
      </c>
      <c r="C1807" s="93">
        <v>29</v>
      </c>
      <c r="D1807" s="93">
        <v>-2</v>
      </c>
      <c r="E1807" s="93">
        <v>-9</v>
      </c>
      <c r="F1807" s="58">
        <v>11.65</v>
      </c>
      <c r="G1807" s="81">
        <v>8472</v>
      </c>
      <c r="H1807" s="151" t="s">
        <v>6104</v>
      </c>
      <c r="I1807" s="16" t="s">
        <v>1092</v>
      </c>
      <c r="J1807" s="75">
        <v>59.42</v>
      </c>
      <c r="K1807" s="75">
        <v>34.96</v>
      </c>
      <c r="N1807" s="325">
        <f t="shared" si="366"/>
        <v>94.38</v>
      </c>
      <c r="O1807" s="27"/>
      <c r="P1807" s="56"/>
      <c r="Q1807" s="26"/>
      <c r="S1807" s="330">
        <v>21.38</v>
      </c>
      <c r="T1807" s="34">
        <v>2.5</v>
      </c>
      <c r="U1807" s="366">
        <f>T1807/W1807</f>
        <v>5.2966101694915252E-2</v>
      </c>
      <c r="V1807" s="97">
        <v>2.61</v>
      </c>
      <c r="W1807" s="13">
        <f>RTD("money.excel",,"8472","Price")</f>
        <v>47.2</v>
      </c>
      <c r="X1807" s="67"/>
      <c r="Y1807" s="15">
        <f t="shared" si="363"/>
        <v>47.2</v>
      </c>
      <c r="Z1807" s="3" t="e">
        <f t="shared" si="364"/>
        <v>#DIV/0!</v>
      </c>
      <c r="AB1807" s="16" t="s">
        <v>1092</v>
      </c>
      <c r="AE1807" s="33">
        <f t="shared" si="365"/>
        <v>0</v>
      </c>
      <c r="AF1807" s="43" t="s">
        <v>3226</v>
      </c>
      <c r="AG1807" s="128"/>
      <c r="AI1807" s="64">
        <f>AJ1807/(A1807*10000)</f>
        <v>2.2598870056497175E-4</v>
      </c>
      <c r="AJ1807" s="313">
        <f>RTD("money.excel",,$G1807,"PredictVolume")</f>
        <v>4</v>
      </c>
      <c r="AK1807" s="348"/>
    </row>
    <row r="1808" spans="1:37">
      <c r="A1808" s="148" t="s">
        <v>2669</v>
      </c>
      <c r="B1808" s="82">
        <v>-2</v>
      </c>
      <c r="C1808" s="82">
        <v>-4</v>
      </c>
      <c r="D1808" s="82">
        <v>26</v>
      </c>
      <c r="E1808" s="82">
        <v>-33</v>
      </c>
      <c r="F1808" s="6">
        <v>0.98</v>
      </c>
      <c r="G1808" s="81">
        <v>8477</v>
      </c>
      <c r="H1808" s="8" t="s">
        <v>6104</v>
      </c>
      <c r="I1808" s="16" t="s">
        <v>1093</v>
      </c>
      <c r="J1808" s="75">
        <v>43.24</v>
      </c>
      <c r="K1808" s="330">
        <v>26.56</v>
      </c>
      <c r="N1808" s="325">
        <f t="shared" si="366"/>
        <v>69.8</v>
      </c>
      <c r="O1808" s="27"/>
      <c r="P1808" s="56"/>
      <c r="Q1808" s="26"/>
      <c r="T1808" s="34">
        <v>2.4500000000000002</v>
      </c>
      <c r="U1808" s="366">
        <f>T1808/W1808</f>
        <v>8.6419753086419748E-2</v>
      </c>
      <c r="V1808" s="97">
        <v>0.5</v>
      </c>
      <c r="W1808" s="36">
        <f>RTD("money.excel",,"8477","Price")</f>
        <v>28.35</v>
      </c>
      <c r="X1808" s="67"/>
      <c r="Y1808" s="15">
        <f t="shared" si="363"/>
        <v>28.35</v>
      </c>
      <c r="Z1808" s="3" t="e">
        <f t="shared" si="364"/>
        <v>#DIV/0!</v>
      </c>
      <c r="AA1808" s="174" t="s">
        <v>1943</v>
      </c>
      <c r="AB1808" s="16" t="s">
        <v>1093</v>
      </c>
      <c r="AE1808" s="33">
        <f t="shared" si="365"/>
        <v>0</v>
      </c>
      <c r="AF1808" s="43" t="s">
        <v>356</v>
      </c>
      <c r="AG1808" s="128"/>
      <c r="AI1808" s="64">
        <f>AJ1808/(A1808*10000)</f>
        <v>5.5999999999999995E-4</v>
      </c>
      <c r="AJ1808" s="313">
        <f>RTD("money.excel",,$G1808,"PredictVolume")</f>
        <v>14</v>
      </c>
      <c r="AK1808" s="348"/>
    </row>
    <row r="1809" spans="1:37">
      <c r="A1809" s="148"/>
      <c r="B1809" s="82"/>
      <c r="C1809" s="82"/>
      <c r="D1809" s="82"/>
      <c r="E1809" s="82"/>
      <c r="F1809" s="6"/>
      <c r="G1809" s="81"/>
      <c r="H1809" s="8"/>
      <c r="I1809" s="16"/>
      <c r="J1809" s="75"/>
      <c r="K1809" s="330"/>
      <c r="N1809" s="325"/>
      <c r="O1809" s="27"/>
      <c r="P1809" s="56"/>
      <c r="Q1809" s="26"/>
      <c r="T1809" s="34"/>
      <c r="V1809" s="97"/>
      <c r="W1809" s="36"/>
      <c r="X1809" s="67"/>
      <c r="Y1809" s="15"/>
      <c r="Z1809" s="3"/>
      <c r="AB1809" s="16"/>
      <c r="AE1809" s="33"/>
      <c r="AF1809" s="43"/>
      <c r="AG1809" s="128"/>
      <c r="AI1809" s="64"/>
      <c r="AJ1809" s="313"/>
      <c r="AK1809" s="348"/>
    </row>
    <row r="1810" spans="1:37">
      <c r="A1810" s="132" t="s">
        <v>1854</v>
      </c>
      <c r="B1810" s="93" t="s">
        <v>1657</v>
      </c>
      <c r="C1810" s="93" t="s">
        <v>1658</v>
      </c>
      <c r="D1810" s="93" t="s">
        <v>1659</v>
      </c>
      <c r="E1810" s="93" t="s">
        <v>1660</v>
      </c>
      <c r="F1810" s="8" t="s">
        <v>1122</v>
      </c>
      <c r="G1810" s="27" t="s">
        <v>1090</v>
      </c>
      <c r="H1810" s="55" t="s">
        <v>342</v>
      </c>
      <c r="I1810" s="50" t="s">
        <v>1094</v>
      </c>
      <c r="J1810" s="324" t="s">
        <v>1529</v>
      </c>
      <c r="K1810" s="324" t="s">
        <v>1217</v>
      </c>
      <c r="L1810" s="324" t="s">
        <v>298</v>
      </c>
      <c r="M1810" s="324" t="s">
        <v>1115</v>
      </c>
      <c r="N1810" s="324" t="s">
        <v>6091</v>
      </c>
      <c r="O1810" s="27" t="s">
        <v>6253</v>
      </c>
      <c r="P1810" s="56" t="s">
        <v>6219</v>
      </c>
      <c r="Q1810" s="26" t="s">
        <v>6313</v>
      </c>
      <c r="R1810" s="309" t="s">
        <v>4371</v>
      </c>
      <c r="S1810" s="335" t="s">
        <v>4398</v>
      </c>
      <c r="T1810" s="10" t="s">
        <v>75</v>
      </c>
      <c r="U1810" s="364" t="s">
        <v>6152</v>
      </c>
      <c r="V1810" s="69" t="s">
        <v>4022</v>
      </c>
      <c r="W1810" s="28" t="s">
        <v>2</v>
      </c>
      <c r="X1810" s="17" t="s">
        <v>1465</v>
      </c>
      <c r="Y1810" s="14" t="s">
        <v>5</v>
      </c>
      <c r="Z1810" s="21" t="s">
        <v>3</v>
      </c>
      <c r="AA1810" s="322" t="s">
        <v>117</v>
      </c>
      <c r="AB1810" s="50" t="s">
        <v>1094</v>
      </c>
      <c r="AC1810" s="73" t="s">
        <v>1466</v>
      </c>
      <c r="AD1810" s="74" t="s">
        <v>1223</v>
      </c>
      <c r="AE1810" s="32" t="s">
        <v>1224</v>
      </c>
      <c r="AF1810" s="43"/>
      <c r="AG1810" s="128"/>
      <c r="AI1810" s="8" t="s">
        <v>4414</v>
      </c>
      <c r="AJ1810" s="50" t="s">
        <v>4121</v>
      </c>
      <c r="AK1810" s="348" t="s">
        <v>6074</v>
      </c>
    </row>
    <row r="1811" spans="1:37">
      <c r="A1811" s="148" t="s">
        <v>1889</v>
      </c>
      <c r="B1811" s="82">
        <v>-904</v>
      </c>
      <c r="C1811" s="82">
        <v>-458</v>
      </c>
      <c r="D1811" s="81">
        <v>20</v>
      </c>
      <c r="E1811" s="82">
        <v>-26</v>
      </c>
      <c r="F1811" s="6">
        <v>-14.3</v>
      </c>
      <c r="G1811" s="81">
        <v>6578</v>
      </c>
      <c r="H1811" s="8" t="s">
        <v>1094</v>
      </c>
      <c r="I1811" s="16" t="s">
        <v>1187</v>
      </c>
      <c r="J1811" s="75">
        <v>32.01</v>
      </c>
      <c r="K1811" s="330">
        <v>0.2</v>
      </c>
      <c r="L1811" s="75">
        <v>4.7</v>
      </c>
      <c r="M1811" s="75">
        <v>14.21</v>
      </c>
      <c r="N1811" s="325">
        <f>J1811+K1811+L1811+M1811</f>
        <v>51.120000000000005</v>
      </c>
      <c r="O1811" s="27" t="s">
        <v>6247</v>
      </c>
      <c r="P1811" s="56"/>
      <c r="Q1811" s="26"/>
      <c r="R1811" s="308" t="s">
        <v>4373</v>
      </c>
      <c r="S1811" s="330">
        <v>0.16</v>
      </c>
      <c r="T1811" s="34">
        <v>1.2</v>
      </c>
      <c r="U1811" s="366">
        <f>T1811/W1811</f>
        <v>7.407407407407407E-2</v>
      </c>
      <c r="V1811" s="97">
        <v>-1.61</v>
      </c>
      <c r="W1811" s="13">
        <f>RTD("money.excel",,"6578","Price")</f>
        <v>16.2</v>
      </c>
      <c r="X1811" s="67"/>
      <c r="Y1811" s="15">
        <f>W1811-X1811</f>
        <v>16.2</v>
      </c>
      <c r="Z1811" s="3" t="e">
        <f>Y1811/X1811</f>
        <v>#DIV/0!</v>
      </c>
      <c r="AB1811" s="16" t="s">
        <v>1187</v>
      </c>
      <c r="AE1811" s="33">
        <f>AD1811-AC1811</f>
        <v>0</v>
      </c>
      <c r="AF1811" s="43" t="s">
        <v>3139</v>
      </c>
      <c r="AG1811" s="128"/>
      <c r="AI1811" s="64">
        <f>AJ1811/(A1811*10000)</f>
        <v>1.6284987277353689E-3</v>
      </c>
      <c r="AJ1811" s="313">
        <f>RTD("money.excel",,$G1811,"PredictVolume")</f>
        <v>64</v>
      </c>
      <c r="AK1811" s="348">
        <v>1.55</v>
      </c>
    </row>
    <row r="1812" spans="1:37">
      <c r="A1812" s="148" t="s">
        <v>3520</v>
      </c>
      <c r="B1812" s="93">
        <v>2</v>
      </c>
      <c r="C1812" s="93">
        <v>33</v>
      </c>
      <c r="D1812" s="93">
        <v>20</v>
      </c>
      <c r="E1812" s="93">
        <v>17</v>
      </c>
      <c r="F1812" s="6">
        <v>6.23</v>
      </c>
      <c r="G1812" s="81">
        <v>1240</v>
      </c>
      <c r="H1812" s="8" t="s">
        <v>1094</v>
      </c>
      <c r="I1812" s="16" t="s">
        <v>1186</v>
      </c>
      <c r="J1812" s="75">
        <v>57.58</v>
      </c>
      <c r="K1812" s="75">
        <v>0.26</v>
      </c>
      <c r="N1812" s="325">
        <f>J1812+K1812+L1812+M1812</f>
        <v>57.839999999999996</v>
      </c>
      <c r="O1812" s="27"/>
      <c r="P1812" s="56"/>
      <c r="Q1812" s="26"/>
      <c r="S1812" s="330">
        <v>19.739999999999998</v>
      </c>
      <c r="T1812" s="34">
        <v>2.5</v>
      </c>
      <c r="U1812" s="366">
        <f>T1812/W1812</f>
        <v>4.9701789264413522E-2</v>
      </c>
      <c r="V1812" s="97">
        <v>4.51</v>
      </c>
      <c r="W1812" s="13">
        <f>RTD("money.excel",,"1240","Price")</f>
        <v>50.3</v>
      </c>
      <c r="X1812" s="67"/>
      <c r="Y1812" s="15">
        <f>W1812-X1812</f>
        <v>50.3</v>
      </c>
      <c r="Z1812" s="3" t="e">
        <f>Y1812/X1812</f>
        <v>#DIV/0!</v>
      </c>
      <c r="AB1812" s="16" t="s">
        <v>1186</v>
      </c>
      <c r="AE1812" s="33">
        <f>AD1812-AC1812</f>
        <v>0</v>
      </c>
      <c r="AF1812" s="43" t="s">
        <v>3139</v>
      </c>
      <c r="AG1812" s="128"/>
      <c r="AI1812" s="64">
        <f>AJ1812/(A1812*10000)</f>
        <v>4.0000000000000002E-4</v>
      </c>
      <c r="AJ1812" s="313">
        <f>RTD("money.excel",,$G1812,"PredictVolume")</f>
        <v>14</v>
      </c>
      <c r="AK1812" s="348"/>
    </row>
    <row r="1813" spans="1:37">
      <c r="A1813" s="132" t="s">
        <v>2186</v>
      </c>
      <c r="B1813" s="93">
        <v>-11</v>
      </c>
      <c r="C1813" s="93">
        <v>4</v>
      </c>
      <c r="D1813" s="93">
        <v>52</v>
      </c>
      <c r="E1813" s="93">
        <v>4</v>
      </c>
      <c r="F1813" s="58">
        <v>17.760000000000002</v>
      </c>
      <c r="G1813" s="81">
        <v>6508</v>
      </c>
      <c r="H1813" s="8" t="s">
        <v>1094</v>
      </c>
      <c r="I1813" s="16" t="s">
        <v>1097</v>
      </c>
      <c r="J1813" s="75">
        <v>63.03</v>
      </c>
      <c r="K1813" s="75">
        <v>0.1</v>
      </c>
      <c r="L1813" s="75">
        <v>0.22</v>
      </c>
      <c r="N1813" s="325">
        <f>J1813+K1813+L1813+M1813</f>
        <v>63.35</v>
      </c>
      <c r="O1813" s="27"/>
      <c r="P1813" s="56"/>
      <c r="Q1813" s="26"/>
      <c r="S1813" s="330">
        <v>35.06</v>
      </c>
      <c r="T1813" s="34">
        <v>1.6</v>
      </c>
      <c r="U1813" s="366">
        <f>T1813/W1813</f>
        <v>4.7407407407407412E-2</v>
      </c>
      <c r="V1813" s="97">
        <v>2.2200000000000002</v>
      </c>
      <c r="W1813" s="13">
        <f>RTD("money.excel",,"6508","Price")</f>
        <v>33.75</v>
      </c>
      <c r="X1813" s="67"/>
      <c r="Y1813" s="15">
        <f>W1813-X1813</f>
        <v>33.75</v>
      </c>
      <c r="Z1813" s="3" t="e">
        <f>Y1813/X1813</f>
        <v>#DIV/0!</v>
      </c>
      <c r="AB1813" s="16" t="s">
        <v>1097</v>
      </c>
      <c r="AE1813" s="33">
        <f>AD1813-AC1813</f>
        <v>0</v>
      </c>
      <c r="AF1813" s="43" t="s">
        <v>3228</v>
      </c>
      <c r="AG1813" s="128"/>
      <c r="AI1813" s="64">
        <f>AJ1813/(A1813*10000)</f>
        <v>2.543962485345838E-3</v>
      </c>
      <c r="AJ1813" s="313">
        <f>RTD("money.excel",,$G1813,"PredictVolume")</f>
        <v>217</v>
      </c>
      <c r="AK1813" s="348"/>
    </row>
    <row r="1814" spans="1:37">
      <c r="A1814" s="132" t="s">
        <v>5436</v>
      </c>
      <c r="B1814" s="81">
        <v>70</v>
      </c>
      <c r="C1814" s="81">
        <v>70</v>
      </c>
      <c r="D1814" s="81">
        <v>67</v>
      </c>
      <c r="E1814" s="82">
        <v>-3</v>
      </c>
      <c r="F1814" s="58">
        <v>50.14</v>
      </c>
      <c r="G1814" s="81">
        <v>4171</v>
      </c>
      <c r="H1814" s="8" t="s">
        <v>1094</v>
      </c>
      <c r="I1814" s="16" t="s">
        <v>1096</v>
      </c>
      <c r="J1814" s="330">
        <v>29.09</v>
      </c>
      <c r="K1814" s="75">
        <v>18.68</v>
      </c>
      <c r="L1814" s="75">
        <v>17.11</v>
      </c>
      <c r="M1814" s="330">
        <v>14.79</v>
      </c>
      <c r="N1814" s="325">
        <f>J1814+K1814+L1814+M1814</f>
        <v>79.669999999999987</v>
      </c>
      <c r="O1814" s="27" t="s">
        <v>1735</v>
      </c>
      <c r="P1814" s="56"/>
      <c r="Q1814" s="26"/>
      <c r="R1814" s="308" t="s">
        <v>4373</v>
      </c>
      <c r="S1814" s="330">
        <v>2.64</v>
      </c>
      <c r="T1814" s="67">
        <v>3.83</v>
      </c>
      <c r="U1814" s="366">
        <f>T1814/W1814</f>
        <v>4.6368038740920103E-2</v>
      </c>
      <c r="V1814" s="97">
        <v>9.8800000000000008</v>
      </c>
      <c r="W1814" s="36">
        <f>RTD("money.excel",,"4171","Price")</f>
        <v>82.6</v>
      </c>
      <c r="X1814" s="67"/>
      <c r="Y1814" s="15">
        <f>W1814-X1814</f>
        <v>82.6</v>
      </c>
      <c r="Z1814" s="3" t="e">
        <f>Y1814/X1814</f>
        <v>#DIV/0!</v>
      </c>
      <c r="AA1814" s="174" t="s">
        <v>2185</v>
      </c>
      <c r="AB1814" s="16" t="s">
        <v>1096</v>
      </c>
      <c r="AE1814" s="33">
        <f>AD1814-AC1814</f>
        <v>0</v>
      </c>
      <c r="AF1814" s="43" t="s">
        <v>3227</v>
      </c>
      <c r="AG1814" s="128"/>
      <c r="AI1814" s="64">
        <f>AJ1814/(A1814*10000)</f>
        <v>4.3086124401913874E-2</v>
      </c>
      <c r="AJ1814" s="313">
        <f>RTD("money.excel",,$G1814,"PredictVolume")</f>
        <v>1801</v>
      </c>
      <c r="AK1814" s="348">
        <v>21.21</v>
      </c>
    </row>
    <row r="1815" spans="1:37">
      <c r="B1815" s="81"/>
      <c r="C1815" s="81"/>
      <c r="D1815" s="82"/>
      <c r="E1815" s="81"/>
      <c r="F1815" s="58"/>
      <c r="G1815" s="81"/>
      <c r="H1815" s="8"/>
      <c r="I1815" s="16"/>
      <c r="J1815" s="330"/>
      <c r="K1815" s="330"/>
      <c r="N1815" s="325"/>
      <c r="O1815" s="27"/>
      <c r="P1815" s="56"/>
      <c r="Q1815" s="26"/>
      <c r="T1815" s="67"/>
      <c r="V1815" s="97"/>
      <c r="W1815" s="36"/>
      <c r="X1815" s="67"/>
      <c r="Y1815" s="15"/>
      <c r="Z1815" s="3"/>
      <c r="AB1815" s="16"/>
      <c r="AE1815" s="33"/>
      <c r="AF1815" s="43"/>
      <c r="AG1815" s="128"/>
      <c r="AI1815" s="64"/>
      <c r="AJ1815" s="313"/>
      <c r="AK1815" s="348"/>
    </row>
    <row r="1816" spans="1:37">
      <c r="A1816" s="132" t="s">
        <v>1854</v>
      </c>
      <c r="B1816" s="93" t="s">
        <v>1657</v>
      </c>
      <c r="C1816" s="93" t="s">
        <v>1658</v>
      </c>
      <c r="D1816" s="93" t="s">
        <v>1659</v>
      </c>
      <c r="E1816" s="93" t="s">
        <v>1660</v>
      </c>
      <c r="F1816" s="8" t="s">
        <v>1122</v>
      </c>
      <c r="G1816" s="27" t="s">
        <v>932</v>
      </c>
      <c r="H1816" s="55" t="s">
        <v>342</v>
      </c>
      <c r="I1816" s="50" t="s">
        <v>931</v>
      </c>
      <c r="J1816" s="324" t="s">
        <v>266</v>
      </c>
      <c r="K1816" s="324" t="s">
        <v>1217</v>
      </c>
      <c r="L1816" s="324" t="s">
        <v>298</v>
      </c>
      <c r="M1816" s="324" t="s">
        <v>1115</v>
      </c>
      <c r="N1816" s="324" t="s">
        <v>6091</v>
      </c>
      <c r="O1816" s="27" t="s">
        <v>6253</v>
      </c>
      <c r="P1816" s="56" t="s">
        <v>6219</v>
      </c>
      <c r="Q1816" s="26" t="s">
        <v>6313</v>
      </c>
      <c r="R1816" s="309" t="s">
        <v>4371</v>
      </c>
      <c r="S1816" s="335" t="s">
        <v>4398</v>
      </c>
      <c r="T1816" s="10" t="s">
        <v>75</v>
      </c>
      <c r="U1816" s="364" t="s">
        <v>6152</v>
      </c>
      <c r="V1816" s="69" t="s">
        <v>4022</v>
      </c>
      <c r="W1816" s="28" t="s">
        <v>2</v>
      </c>
      <c r="X1816" s="17" t="s">
        <v>1465</v>
      </c>
      <c r="Y1816" s="14" t="s">
        <v>5</v>
      </c>
      <c r="Z1816" s="21" t="s">
        <v>3</v>
      </c>
      <c r="AA1816" s="322" t="s">
        <v>117</v>
      </c>
      <c r="AB1816" s="50" t="s">
        <v>931</v>
      </c>
      <c r="AC1816" s="73" t="s">
        <v>1466</v>
      </c>
      <c r="AD1816" s="74" t="s">
        <v>1223</v>
      </c>
      <c r="AE1816" s="32" t="s">
        <v>1224</v>
      </c>
      <c r="AF1816" s="43"/>
      <c r="AG1816" s="128"/>
      <c r="AI1816" s="8" t="s">
        <v>4414</v>
      </c>
      <c r="AJ1816" s="50" t="s">
        <v>4121</v>
      </c>
      <c r="AK1816" s="348" t="s">
        <v>6074</v>
      </c>
    </row>
    <row r="1817" spans="1:37">
      <c r="A1817" s="148" t="s">
        <v>3716</v>
      </c>
      <c r="B1817" s="93">
        <v>91</v>
      </c>
      <c r="C1817" s="93">
        <v>-24</v>
      </c>
      <c r="D1817" s="93">
        <v>29</v>
      </c>
      <c r="E1817" s="93">
        <v>48</v>
      </c>
      <c r="F1817" s="6">
        <v>3.28</v>
      </c>
      <c r="G1817" s="81">
        <v>2515</v>
      </c>
      <c r="H1817" s="8" t="s">
        <v>6105</v>
      </c>
      <c r="I1817" s="22" t="s">
        <v>345</v>
      </c>
      <c r="J1817" s="75">
        <v>47.4</v>
      </c>
      <c r="K1817" s="75">
        <v>7.69</v>
      </c>
      <c r="L1817" s="75">
        <v>17.89</v>
      </c>
      <c r="N1817" s="325">
        <f t="shared" ref="N1817" si="371">J1817+K1817+L1817+M1817</f>
        <v>72.97999999999999</v>
      </c>
      <c r="O1817" s="27"/>
      <c r="P1817" s="56"/>
      <c r="Q1817" s="26"/>
      <c r="S1817" s="330">
        <v>11.51</v>
      </c>
      <c r="T1817" s="34">
        <v>0.23</v>
      </c>
      <c r="U1817" s="366">
        <f>T1817/W1817</f>
        <v>2.59009009009009E-2</v>
      </c>
      <c r="V1817" s="97">
        <v>0.4</v>
      </c>
      <c r="W1817" s="36">
        <f>RTD("money.excel",,"2515","Price")</f>
        <v>8.8800000000000008</v>
      </c>
      <c r="X1817" s="67"/>
      <c r="Y1817" s="15">
        <f>W1817-X1817</f>
        <v>8.8800000000000008</v>
      </c>
      <c r="Z1817" s="3" t="e">
        <f>Y1817/X1817</f>
        <v>#DIV/0!</v>
      </c>
      <c r="AB1817" s="22" t="s">
        <v>345</v>
      </c>
      <c r="AE1817" s="33">
        <f>AD1817-AC1817</f>
        <v>0</v>
      </c>
      <c r="AF1817" s="43" t="s">
        <v>1619</v>
      </c>
      <c r="AG1817" s="128"/>
      <c r="AI1817" s="64">
        <f>AJ1817/(A1817*10000)</f>
        <v>1.7777777777777779E-3</v>
      </c>
      <c r="AJ1817" s="313">
        <f>RTD("money.excel",,$G1817,"PredictVolume")</f>
        <v>2720</v>
      </c>
      <c r="AK1817" s="348"/>
    </row>
    <row r="1818" spans="1:37">
      <c r="A1818" s="132" t="s">
        <v>2283</v>
      </c>
      <c r="B1818" s="81">
        <v>45</v>
      </c>
      <c r="C1818" s="81">
        <v>53</v>
      </c>
      <c r="D1818" s="82">
        <v>-16</v>
      </c>
      <c r="E1818" s="81">
        <v>6</v>
      </c>
      <c r="F1818" s="58">
        <v>24.36</v>
      </c>
      <c r="G1818" s="81">
        <v>5522</v>
      </c>
      <c r="H1818" s="206" t="s">
        <v>6105</v>
      </c>
      <c r="I1818" s="22" t="s">
        <v>147</v>
      </c>
      <c r="J1818" s="330">
        <v>86.7</v>
      </c>
      <c r="K1818" s="330">
        <v>14.79</v>
      </c>
      <c r="L1818" s="330">
        <v>0.25</v>
      </c>
      <c r="N1818" s="325">
        <f>J1818+K1818+L1818+M1818</f>
        <v>101.74000000000001</v>
      </c>
      <c r="O1818" s="27"/>
      <c r="P1818" s="56"/>
      <c r="Q1818" s="26"/>
      <c r="R1818" s="308" t="s">
        <v>4373</v>
      </c>
      <c r="S1818" s="330">
        <v>0.83</v>
      </c>
      <c r="T1818" s="67">
        <v>1</v>
      </c>
      <c r="U1818" s="366">
        <f>T1818/W1818</f>
        <v>1.5948963317384369E-2</v>
      </c>
      <c r="V1818" s="58">
        <v>6.13</v>
      </c>
      <c r="W1818" s="36">
        <f>RTD("money.excel",,"5522","Price")</f>
        <v>62.7</v>
      </c>
      <c r="X1818" s="67"/>
      <c r="Y1818" s="15">
        <f>W1818-X1818</f>
        <v>62.7</v>
      </c>
      <c r="Z1818" s="3" t="e">
        <f>Y1818/X1818</f>
        <v>#DIV/0!</v>
      </c>
      <c r="AA1818" s="174" t="s">
        <v>2185</v>
      </c>
      <c r="AB1818" s="22" t="s">
        <v>147</v>
      </c>
      <c r="AE1818" s="33">
        <f>AD1818-AC1818</f>
        <v>0</v>
      </c>
      <c r="AF1818" s="122" t="s">
        <v>2413</v>
      </c>
      <c r="AG1818" s="128"/>
      <c r="AI1818" s="64">
        <f>AJ1818/(A1818*10000)</f>
        <v>4.0973111395646605E-4</v>
      </c>
      <c r="AJ1818" s="313">
        <f>RTD("money.excel",,$G1818,"PredictVolume")</f>
        <v>320</v>
      </c>
      <c r="AK1818" s="348"/>
    </row>
    <row r="1819" spans="1:37">
      <c r="A1819" s="269"/>
      <c r="B1819" s="269"/>
      <c r="C1819" s="269"/>
      <c r="D1819" s="269"/>
      <c r="E1819" s="269"/>
      <c r="F1819" s="269"/>
      <c r="G1819" s="201"/>
      <c r="H1819" s="201"/>
      <c r="I1819" s="269"/>
      <c r="J1819" s="269"/>
      <c r="K1819" s="269"/>
      <c r="L1819" s="269"/>
      <c r="M1819" s="269"/>
      <c r="N1819" s="269"/>
      <c r="O1819" s="388"/>
      <c r="P1819" s="357"/>
      <c r="Q1819" s="382"/>
      <c r="R1819" s="269"/>
      <c r="S1819" s="269"/>
      <c r="T1819" s="269"/>
      <c r="V1819" s="269"/>
      <c r="W1819" s="269"/>
      <c r="X1819" s="269"/>
      <c r="Y1819" s="269"/>
      <c r="Z1819" s="269"/>
      <c r="AA1819" s="269"/>
      <c r="AB1819" s="269"/>
      <c r="AC1819" s="269"/>
      <c r="AD1819" s="269"/>
      <c r="AE1819" s="269"/>
      <c r="AF1819" s="269"/>
      <c r="AG1819" s="269"/>
      <c r="AH1819" s="269"/>
      <c r="AI1819" s="269"/>
      <c r="AJ1819" s="269"/>
      <c r="AK1819" s="348"/>
    </row>
    <row r="1820" spans="1:37">
      <c r="B1820" s="93"/>
      <c r="C1820" s="93"/>
      <c r="D1820" s="93"/>
      <c r="E1820" s="93"/>
      <c r="F1820" s="8"/>
      <c r="G1820" s="27"/>
      <c r="H1820" s="55"/>
      <c r="I1820" s="50"/>
      <c r="J1820" s="324"/>
      <c r="K1820" s="324"/>
      <c r="L1820" s="324"/>
      <c r="M1820" s="324"/>
      <c r="N1820" s="324"/>
      <c r="O1820" s="27"/>
      <c r="P1820" s="56"/>
      <c r="Q1820" s="26"/>
      <c r="R1820" s="309"/>
      <c r="S1820" s="335"/>
      <c r="T1820" s="10"/>
      <c r="V1820" s="69"/>
      <c r="W1820" s="28"/>
      <c r="X1820" s="17"/>
      <c r="Y1820" s="14"/>
      <c r="Z1820" s="21"/>
      <c r="AA1820" s="322"/>
      <c r="AB1820" s="50"/>
      <c r="AC1820" s="73"/>
      <c r="AD1820" s="74"/>
      <c r="AE1820" s="32"/>
      <c r="AF1820" s="43"/>
      <c r="AG1820" s="128"/>
      <c r="AI1820" s="8"/>
      <c r="AJ1820" s="50"/>
      <c r="AK1820" s="348"/>
    </row>
    <row r="1821" spans="1:37">
      <c r="B1821" s="93"/>
      <c r="C1821" s="93"/>
      <c r="D1821" s="93"/>
      <c r="E1821" s="93"/>
      <c r="F1821" s="8"/>
      <c r="G1821" s="27"/>
      <c r="H1821" s="55"/>
      <c r="I1821" s="50"/>
      <c r="J1821" s="324"/>
      <c r="K1821" s="324"/>
      <c r="L1821" s="324"/>
      <c r="M1821" s="324"/>
      <c r="N1821" s="324"/>
      <c r="O1821" s="27"/>
      <c r="P1821" s="56"/>
      <c r="Q1821" s="26"/>
      <c r="R1821" s="309"/>
      <c r="S1821" s="335"/>
      <c r="T1821" s="10"/>
      <c r="V1821" s="69"/>
      <c r="W1821" s="28"/>
      <c r="X1821" s="17"/>
      <c r="Y1821" s="14"/>
      <c r="Z1821" s="21"/>
      <c r="AA1821" s="322"/>
      <c r="AB1821" s="50"/>
      <c r="AC1821" s="73"/>
      <c r="AD1821" s="74"/>
      <c r="AE1821" s="32"/>
      <c r="AF1821" s="43"/>
      <c r="AG1821" s="128"/>
      <c r="AI1821" s="8"/>
      <c r="AJ1821" s="50"/>
      <c r="AK1821" s="348"/>
    </row>
    <row r="1822" spans="1:37">
      <c r="B1822" s="93"/>
      <c r="C1822" s="93"/>
      <c r="D1822" s="93"/>
      <c r="E1822" s="93"/>
      <c r="F1822" s="8"/>
      <c r="G1822" s="27"/>
      <c r="H1822" s="55"/>
      <c r="I1822" s="50"/>
      <c r="J1822" s="324"/>
      <c r="K1822" s="324"/>
      <c r="L1822" s="324"/>
      <c r="M1822" s="324"/>
      <c r="N1822" s="324"/>
      <c r="O1822" s="27"/>
      <c r="P1822" s="56"/>
      <c r="Q1822" s="26"/>
      <c r="R1822" s="309"/>
      <c r="S1822" s="335"/>
      <c r="T1822" s="10"/>
      <c r="V1822" s="69"/>
      <c r="W1822" s="28"/>
      <c r="X1822" s="17"/>
      <c r="Y1822" s="14"/>
      <c r="Z1822" s="21"/>
      <c r="AA1822" s="322"/>
      <c r="AB1822" s="50"/>
      <c r="AC1822" s="73"/>
      <c r="AD1822" s="74"/>
      <c r="AE1822" s="32"/>
      <c r="AF1822" s="43"/>
      <c r="AG1822" s="128"/>
      <c r="AI1822" s="8"/>
      <c r="AJ1822" s="50"/>
      <c r="AK1822" s="348"/>
    </row>
    <row r="1823" spans="1:37">
      <c r="B1823" s="93"/>
      <c r="C1823" s="93"/>
      <c r="D1823" s="93"/>
      <c r="E1823" s="93"/>
      <c r="F1823" s="8"/>
      <c r="G1823" s="27"/>
      <c r="H1823" s="55"/>
      <c r="I1823" s="50"/>
      <c r="J1823" s="324"/>
      <c r="K1823" s="324"/>
      <c r="L1823" s="324"/>
      <c r="M1823" s="324"/>
      <c r="N1823" s="324"/>
      <c r="O1823" s="27"/>
      <c r="P1823" s="56"/>
      <c r="Q1823" s="26"/>
      <c r="R1823" s="309"/>
      <c r="S1823" s="335"/>
      <c r="T1823" s="10"/>
      <c r="V1823" s="69"/>
      <c r="W1823" s="28"/>
      <c r="X1823" s="17"/>
      <c r="Y1823" s="14"/>
      <c r="Z1823" s="21"/>
      <c r="AA1823" s="322"/>
      <c r="AB1823" s="50"/>
      <c r="AC1823" s="73"/>
      <c r="AD1823" s="74"/>
      <c r="AE1823" s="32"/>
      <c r="AF1823" s="43"/>
      <c r="AG1823" s="128"/>
      <c r="AI1823" s="8"/>
      <c r="AJ1823" s="50"/>
      <c r="AK1823" s="348"/>
    </row>
    <row r="1824" spans="1:37">
      <c r="B1824" s="93"/>
      <c r="C1824" s="93"/>
      <c r="D1824" s="93"/>
      <c r="E1824" s="93"/>
      <c r="F1824" s="8"/>
      <c r="G1824" s="27"/>
      <c r="H1824" s="55"/>
      <c r="I1824" s="50"/>
      <c r="J1824" s="324"/>
      <c r="K1824" s="324"/>
      <c r="L1824" s="324"/>
      <c r="M1824" s="324"/>
      <c r="N1824" s="324"/>
      <c r="O1824" s="27"/>
      <c r="P1824" s="56"/>
      <c r="Q1824" s="26"/>
      <c r="R1824" s="309"/>
      <c r="S1824" s="335"/>
      <c r="T1824" s="10"/>
      <c r="V1824" s="69"/>
      <c r="W1824" s="28"/>
      <c r="X1824" s="17"/>
      <c r="Y1824" s="14"/>
      <c r="Z1824" s="21"/>
      <c r="AA1824" s="322"/>
      <c r="AB1824" s="50"/>
      <c r="AC1824" s="73"/>
      <c r="AD1824" s="74"/>
      <c r="AE1824" s="32"/>
      <c r="AF1824" s="43"/>
      <c r="AG1824" s="128"/>
      <c r="AI1824" s="8"/>
      <c r="AJ1824" s="50"/>
      <c r="AK1824" s="348"/>
    </row>
    <row r="1825" spans="2:37">
      <c r="B1825" s="93"/>
      <c r="C1825" s="93"/>
      <c r="D1825" s="93"/>
      <c r="E1825" s="93"/>
      <c r="F1825" s="8"/>
      <c r="G1825" s="27"/>
      <c r="H1825" s="55"/>
      <c r="I1825" s="50"/>
      <c r="J1825" s="324"/>
      <c r="K1825" s="324"/>
      <c r="L1825" s="324"/>
      <c r="M1825" s="324"/>
      <c r="N1825" s="324"/>
      <c r="O1825" s="27"/>
      <c r="P1825" s="56"/>
      <c r="Q1825" s="26"/>
      <c r="R1825" s="309"/>
      <c r="S1825" s="335"/>
      <c r="T1825" s="10"/>
      <c r="V1825" s="69"/>
      <c r="W1825" s="28"/>
      <c r="X1825" s="17"/>
      <c r="Y1825" s="14"/>
      <c r="Z1825" s="21"/>
      <c r="AA1825" s="322"/>
      <c r="AB1825" s="50"/>
      <c r="AC1825" s="73"/>
      <c r="AD1825" s="74"/>
      <c r="AE1825" s="32"/>
      <c r="AF1825" s="43"/>
      <c r="AG1825" s="128"/>
      <c r="AI1825" s="8"/>
      <c r="AJ1825" s="50"/>
      <c r="AK1825" s="348"/>
    </row>
    <row r="1826" spans="2:37">
      <c r="B1826" s="93"/>
      <c r="C1826" s="93"/>
      <c r="D1826" s="93"/>
      <c r="E1826" s="93"/>
      <c r="F1826" s="8"/>
      <c r="G1826" s="27"/>
      <c r="H1826" s="55"/>
      <c r="I1826" s="50"/>
      <c r="J1826" s="324"/>
      <c r="K1826" s="324"/>
      <c r="L1826" s="324"/>
      <c r="M1826" s="324"/>
      <c r="N1826" s="324"/>
      <c r="O1826" s="27"/>
      <c r="P1826" s="56"/>
      <c r="Q1826" s="26"/>
      <c r="R1826" s="309"/>
      <c r="S1826" s="335"/>
      <c r="T1826" s="10"/>
      <c r="V1826" s="69"/>
      <c r="W1826" s="28"/>
      <c r="X1826" s="17"/>
      <c r="Y1826" s="14"/>
      <c r="Z1826" s="21"/>
      <c r="AA1826" s="322"/>
      <c r="AB1826" s="50"/>
      <c r="AC1826" s="73"/>
      <c r="AD1826" s="74"/>
      <c r="AE1826" s="32"/>
      <c r="AF1826" s="43"/>
      <c r="AG1826" s="128"/>
      <c r="AI1826" s="8"/>
      <c r="AJ1826" s="50"/>
      <c r="AK1826" s="348"/>
    </row>
    <row r="1827" spans="2:37">
      <c r="B1827" s="93"/>
      <c r="C1827" s="93"/>
      <c r="D1827" s="93"/>
      <c r="E1827" s="93"/>
      <c r="F1827" s="8"/>
      <c r="G1827" s="27"/>
      <c r="H1827" s="55"/>
      <c r="I1827" s="50"/>
      <c r="J1827" s="324"/>
      <c r="K1827" s="324"/>
      <c r="L1827" s="324"/>
      <c r="M1827" s="324"/>
      <c r="N1827" s="324"/>
      <c r="O1827" s="27"/>
      <c r="P1827" s="56"/>
      <c r="Q1827" s="26"/>
      <c r="R1827" s="309"/>
      <c r="S1827" s="335"/>
      <c r="T1827" s="10"/>
      <c r="V1827" s="69"/>
      <c r="W1827" s="28"/>
      <c r="X1827" s="17"/>
      <c r="Y1827" s="14"/>
      <c r="Z1827" s="21"/>
      <c r="AA1827" s="322"/>
      <c r="AB1827" s="50"/>
      <c r="AC1827" s="73"/>
      <c r="AD1827" s="74"/>
      <c r="AE1827" s="32"/>
      <c r="AF1827" s="43"/>
      <c r="AG1827" s="128"/>
      <c r="AI1827" s="8"/>
      <c r="AJ1827" s="50"/>
      <c r="AK1827" s="348"/>
    </row>
    <row r="1828" spans="2:37">
      <c r="B1828" s="93"/>
      <c r="C1828" s="93"/>
      <c r="D1828" s="93"/>
      <c r="E1828" s="93"/>
      <c r="F1828" s="8"/>
      <c r="G1828" s="27"/>
      <c r="H1828" s="55"/>
      <c r="I1828" s="50"/>
      <c r="J1828" s="324"/>
      <c r="K1828" s="324"/>
      <c r="L1828" s="324"/>
      <c r="M1828" s="324"/>
      <c r="N1828" s="324"/>
      <c r="O1828" s="27"/>
      <c r="P1828" s="56"/>
      <c r="Q1828" s="26"/>
      <c r="R1828" s="309"/>
      <c r="S1828" s="335"/>
      <c r="T1828" s="10"/>
      <c r="V1828" s="69"/>
      <c r="W1828" s="28"/>
      <c r="X1828" s="17"/>
      <c r="Y1828" s="14"/>
      <c r="Z1828" s="21"/>
      <c r="AA1828" s="322"/>
      <c r="AB1828" s="50"/>
      <c r="AC1828" s="73"/>
      <c r="AD1828" s="74"/>
      <c r="AE1828" s="32"/>
      <c r="AF1828" s="43"/>
      <c r="AG1828" s="128"/>
      <c r="AI1828" s="8"/>
      <c r="AJ1828" s="50"/>
      <c r="AK1828" s="348"/>
    </row>
    <row r="1829" spans="2:37">
      <c r="B1829" s="93"/>
      <c r="C1829" s="93"/>
      <c r="D1829" s="93"/>
      <c r="E1829" s="93"/>
      <c r="F1829" s="8"/>
      <c r="G1829" s="27"/>
      <c r="H1829" s="55"/>
      <c r="I1829" s="50"/>
      <c r="J1829" s="324"/>
      <c r="K1829" s="324"/>
      <c r="L1829" s="324"/>
      <c r="M1829" s="324"/>
      <c r="N1829" s="324"/>
      <c r="O1829" s="27"/>
      <c r="P1829" s="56"/>
      <c r="Q1829" s="26"/>
      <c r="R1829" s="309"/>
      <c r="S1829" s="335"/>
      <c r="T1829" s="10"/>
      <c r="V1829" s="69"/>
      <c r="W1829" s="28"/>
      <c r="X1829" s="17"/>
      <c r="Y1829" s="14"/>
      <c r="Z1829" s="21"/>
      <c r="AA1829" s="322"/>
      <c r="AB1829" s="50"/>
      <c r="AC1829" s="73"/>
      <c r="AD1829" s="74"/>
      <c r="AE1829" s="32"/>
      <c r="AF1829" s="43"/>
      <c r="AG1829" s="128"/>
      <c r="AI1829" s="8"/>
      <c r="AJ1829" s="50"/>
      <c r="AK1829" s="348"/>
    </row>
    <row r="1830" spans="2:37">
      <c r="B1830" s="93"/>
      <c r="C1830" s="93"/>
      <c r="D1830" s="93"/>
      <c r="E1830" s="93"/>
      <c r="F1830" s="8"/>
      <c r="G1830" s="27"/>
      <c r="H1830" s="55"/>
      <c r="I1830" s="50"/>
      <c r="J1830" s="324"/>
      <c r="K1830" s="324"/>
      <c r="L1830" s="324"/>
      <c r="M1830" s="324"/>
      <c r="N1830" s="324"/>
      <c r="O1830" s="27"/>
      <c r="P1830" s="56"/>
      <c r="Q1830" s="26"/>
      <c r="R1830" s="309"/>
      <c r="S1830" s="335"/>
      <c r="T1830" s="10"/>
      <c r="V1830" s="69"/>
      <c r="W1830" s="28"/>
      <c r="X1830" s="17"/>
      <c r="Y1830" s="14"/>
      <c r="Z1830" s="21"/>
      <c r="AA1830" s="322"/>
      <c r="AB1830" s="50"/>
      <c r="AC1830" s="73"/>
      <c r="AD1830" s="74"/>
      <c r="AE1830" s="32"/>
      <c r="AF1830" s="43"/>
      <c r="AG1830" s="128"/>
      <c r="AI1830" s="8"/>
      <c r="AJ1830" s="50"/>
      <c r="AK1830" s="348"/>
    </row>
    <row r="1831" spans="2:37">
      <c r="B1831" s="93"/>
      <c r="C1831" s="93"/>
      <c r="D1831" s="93"/>
      <c r="E1831" s="93"/>
      <c r="F1831" s="8"/>
      <c r="G1831" s="27"/>
      <c r="H1831" s="55"/>
      <c r="I1831" s="50"/>
      <c r="J1831" s="324"/>
      <c r="K1831" s="324"/>
      <c r="L1831" s="324"/>
      <c r="M1831" s="324"/>
      <c r="N1831" s="324"/>
      <c r="O1831" s="27"/>
      <c r="P1831" s="56"/>
      <c r="Q1831" s="26"/>
      <c r="R1831" s="309"/>
      <c r="S1831" s="335"/>
      <c r="T1831" s="10"/>
      <c r="V1831" s="69"/>
      <c r="W1831" s="28"/>
      <c r="X1831" s="17"/>
      <c r="Y1831" s="14"/>
      <c r="Z1831" s="21"/>
      <c r="AA1831" s="322"/>
      <c r="AB1831" s="50"/>
      <c r="AC1831" s="73"/>
      <c r="AD1831" s="74"/>
      <c r="AE1831" s="33"/>
      <c r="AF1831" s="43"/>
      <c r="AG1831" s="128"/>
      <c r="AI1831" s="8"/>
      <c r="AJ1831" s="50"/>
      <c r="AK1831" s="348"/>
    </row>
    <row r="1832" spans="2:37">
      <c r="B1832" s="93"/>
      <c r="C1832" s="93"/>
      <c r="D1832" s="93"/>
      <c r="E1832" s="93"/>
      <c r="F1832" s="8"/>
      <c r="G1832" s="27"/>
      <c r="H1832" s="55"/>
      <c r="I1832" s="50"/>
      <c r="J1832" s="324"/>
      <c r="K1832" s="324"/>
      <c r="L1832" s="324"/>
      <c r="M1832" s="324"/>
      <c r="N1832" s="324"/>
      <c r="O1832" s="27"/>
      <c r="P1832" s="56"/>
      <c r="Q1832" s="26"/>
      <c r="R1832" s="309"/>
      <c r="S1832" s="335"/>
      <c r="T1832" s="10"/>
      <c r="V1832" s="69"/>
      <c r="W1832" s="28"/>
      <c r="X1832" s="17"/>
      <c r="Y1832" s="14"/>
      <c r="Z1832" s="21"/>
      <c r="AA1832" s="322"/>
      <c r="AB1832" s="50"/>
      <c r="AC1832" s="73"/>
      <c r="AD1832" s="74"/>
      <c r="AE1832" s="32"/>
      <c r="AF1832" s="43"/>
      <c r="AG1832" s="269"/>
      <c r="AI1832" s="8"/>
      <c r="AJ1832" s="50"/>
      <c r="AK1832" s="348"/>
    </row>
    <row r="1833" spans="2:37">
      <c r="B1833" s="93"/>
      <c r="C1833" s="93"/>
      <c r="D1833" s="93"/>
      <c r="E1833" s="93"/>
      <c r="F1833" s="8"/>
      <c r="G1833" s="27"/>
      <c r="H1833" s="55"/>
      <c r="I1833" s="50"/>
      <c r="J1833" s="324"/>
      <c r="K1833" s="324"/>
      <c r="L1833" s="324"/>
      <c r="M1833" s="324"/>
      <c r="N1833" s="324"/>
      <c r="O1833" s="27"/>
      <c r="P1833" s="56"/>
      <c r="Q1833" s="26"/>
      <c r="R1833" s="309"/>
      <c r="S1833" s="335"/>
      <c r="T1833" s="10"/>
      <c r="V1833" s="69"/>
      <c r="W1833" s="28"/>
      <c r="X1833" s="17"/>
      <c r="Y1833" s="14"/>
      <c r="Z1833" s="21"/>
      <c r="AA1833" s="322"/>
      <c r="AB1833" s="50"/>
      <c r="AC1833" s="73"/>
      <c r="AD1833" s="74"/>
      <c r="AE1833" s="32"/>
      <c r="AF1833" s="43"/>
      <c r="AG1833" s="128"/>
      <c r="AI1833" s="8"/>
      <c r="AJ1833" s="50"/>
      <c r="AK1833" s="348"/>
    </row>
    <row r="1834" spans="2:37">
      <c r="B1834" s="93"/>
      <c r="C1834" s="93"/>
      <c r="D1834" s="93"/>
      <c r="E1834" s="93"/>
      <c r="F1834" s="8"/>
      <c r="G1834" s="27"/>
      <c r="H1834" s="55"/>
      <c r="I1834" s="50"/>
      <c r="J1834" s="324"/>
      <c r="K1834" s="324"/>
      <c r="L1834" s="324"/>
      <c r="M1834" s="324"/>
      <c r="N1834" s="324"/>
      <c r="O1834" s="27"/>
      <c r="P1834" s="56"/>
      <c r="Q1834" s="26"/>
      <c r="R1834" s="309"/>
      <c r="S1834" s="335"/>
      <c r="T1834" s="10"/>
      <c r="V1834" s="69"/>
      <c r="W1834" s="28"/>
      <c r="X1834" s="17"/>
      <c r="Y1834" s="14"/>
      <c r="Z1834" s="21"/>
      <c r="AA1834" s="322"/>
      <c r="AB1834" s="50"/>
      <c r="AC1834" s="73"/>
      <c r="AD1834" s="74"/>
      <c r="AE1834" s="32"/>
      <c r="AF1834" s="43"/>
      <c r="AG1834" s="269"/>
      <c r="AI1834" s="8"/>
      <c r="AJ1834" s="50"/>
      <c r="AK1834" s="348"/>
    </row>
    <row r="1835" spans="2:37">
      <c r="B1835" s="93"/>
      <c r="C1835" s="93"/>
      <c r="D1835" s="93"/>
      <c r="E1835" s="93"/>
      <c r="F1835" s="8"/>
      <c r="G1835" s="27"/>
      <c r="H1835" s="55"/>
      <c r="I1835" s="50"/>
      <c r="J1835" s="324"/>
      <c r="K1835" s="324"/>
      <c r="L1835" s="324"/>
      <c r="M1835" s="324"/>
      <c r="N1835" s="324"/>
      <c r="O1835" s="27"/>
      <c r="P1835" s="56"/>
      <c r="Q1835" s="26"/>
      <c r="R1835" s="309"/>
      <c r="S1835" s="335"/>
      <c r="T1835" s="10"/>
      <c r="V1835" s="69"/>
      <c r="W1835" s="28"/>
      <c r="X1835" s="17"/>
      <c r="Y1835" s="14"/>
      <c r="Z1835" s="21"/>
      <c r="AA1835" s="322"/>
      <c r="AB1835" s="50"/>
      <c r="AC1835" s="73"/>
      <c r="AD1835" s="74"/>
      <c r="AE1835" s="32"/>
      <c r="AF1835" s="43"/>
      <c r="AG1835" s="128"/>
      <c r="AI1835" s="8"/>
      <c r="AJ1835" s="50"/>
      <c r="AK1835" s="348"/>
    </row>
    <row r="1836" spans="2:37">
      <c r="B1836" s="93"/>
      <c r="C1836" s="93"/>
      <c r="D1836" s="93"/>
      <c r="E1836" s="93"/>
      <c r="F1836" s="8"/>
      <c r="G1836" s="27"/>
      <c r="H1836" s="55"/>
      <c r="I1836" s="8"/>
      <c r="J1836" s="324"/>
      <c r="K1836" s="324"/>
      <c r="L1836" s="324"/>
      <c r="M1836" s="324"/>
      <c r="N1836" s="324"/>
      <c r="O1836" s="27"/>
      <c r="P1836" s="56"/>
      <c r="Q1836" s="26"/>
      <c r="R1836" s="309"/>
      <c r="S1836" s="335"/>
      <c r="T1836" s="10"/>
      <c r="V1836" s="69"/>
      <c r="W1836" s="28"/>
      <c r="X1836" s="17"/>
      <c r="Y1836" s="14"/>
      <c r="Z1836" s="21"/>
      <c r="AA1836" s="322"/>
      <c r="AB1836" s="8"/>
      <c r="AC1836" s="73"/>
      <c r="AD1836" s="74"/>
      <c r="AE1836" s="32"/>
      <c r="AF1836" s="43"/>
      <c r="AG1836" s="128"/>
      <c r="AI1836" s="8"/>
      <c r="AJ1836" s="50"/>
      <c r="AK1836" s="348"/>
    </row>
    <row r="1837" spans="2:37">
      <c r="B1837" s="93"/>
      <c r="C1837" s="93"/>
      <c r="D1837" s="93"/>
      <c r="E1837" s="93"/>
      <c r="F1837" s="8"/>
      <c r="G1837" s="27"/>
      <c r="H1837" s="55"/>
      <c r="I1837" s="8"/>
      <c r="J1837" s="324"/>
      <c r="K1837" s="324"/>
      <c r="L1837" s="324"/>
      <c r="M1837" s="324"/>
      <c r="N1837" s="324"/>
      <c r="O1837" s="27"/>
      <c r="P1837" s="56"/>
      <c r="Q1837" s="26"/>
      <c r="R1837" s="309"/>
      <c r="S1837" s="335"/>
      <c r="T1837" s="10"/>
      <c r="V1837" s="69"/>
      <c r="W1837" s="28"/>
      <c r="X1837" s="17"/>
      <c r="Y1837" s="14"/>
      <c r="Z1837" s="21"/>
      <c r="AA1837" s="322"/>
      <c r="AB1837" s="8"/>
      <c r="AC1837" s="73"/>
      <c r="AD1837" s="74"/>
      <c r="AE1837" s="32"/>
      <c r="AF1837" s="43"/>
      <c r="AG1837" s="128"/>
      <c r="AI1837" s="8"/>
      <c r="AJ1837" s="50"/>
      <c r="AK1837" s="348"/>
    </row>
    <row r="1838" spans="2:37">
      <c r="B1838" s="93"/>
      <c r="C1838" s="93"/>
      <c r="D1838" s="93"/>
      <c r="E1838" s="93"/>
      <c r="F1838" s="8"/>
      <c r="G1838" s="27"/>
      <c r="H1838" s="55"/>
      <c r="I1838" s="8"/>
      <c r="J1838" s="324"/>
      <c r="K1838" s="324"/>
      <c r="L1838" s="324"/>
      <c r="M1838" s="324"/>
      <c r="N1838" s="324"/>
      <c r="O1838" s="27"/>
      <c r="P1838" s="56"/>
      <c r="Q1838" s="26"/>
      <c r="R1838" s="309"/>
      <c r="S1838" s="335"/>
      <c r="T1838" s="10"/>
      <c r="V1838" s="69"/>
      <c r="W1838" s="28"/>
      <c r="X1838" s="17"/>
      <c r="Y1838" s="14"/>
      <c r="Z1838" s="21"/>
      <c r="AA1838" s="322"/>
      <c r="AB1838" s="8"/>
      <c r="AC1838" s="73"/>
      <c r="AD1838" s="74"/>
      <c r="AE1838" s="32"/>
      <c r="AF1838" s="43"/>
      <c r="AG1838" s="128"/>
      <c r="AI1838" s="8"/>
      <c r="AJ1838" s="50"/>
      <c r="AK1838" s="348"/>
    </row>
    <row r="1839" spans="2:37">
      <c r="B1839" s="93"/>
      <c r="C1839" s="93"/>
      <c r="D1839" s="93"/>
      <c r="E1839" s="93"/>
      <c r="F1839" s="8"/>
      <c r="G1839" s="27"/>
      <c r="H1839" s="55"/>
      <c r="I1839" s="8"/>
      <c r="J1839" s="324"/>
      <c r="K1839" s="324"/>
      <c r="L1839" s="324"/>
      <c r="M1839" s="324"/>
      <c r="N1839" s="324"/>
      <c r="O1839" s="27"/>
      <c r="P1839" s="56"/>
      <c r="Q1839" s="26"/>
      <c r="R1839" s="309"/>
      <c r="S1839" s="335"/>
      <c r="T1839" s="10"/>
      <c r="V1839" s="69"/>
      <c r="W1839" s="28"/>
      <c r="X1839" s="17"/>
      <c r="Y1839" s="14"/>
      <c r="Z1839" s="21"/>
      <c r="AA1839" s="322"/>
      <c r="AB1839" s="8"/>
      <c r="AC1839" s="73"/>
      <c r="AD1839" s="74"/>
      <c r="AE1839" s="32"/>
      <c r="AF1839" s="43"/>
      <c r="AG1839" s="269"/>
      <c r="AI1839" s="8"/>
      <c r="AJ1839" s="50"/>
      <c r="AK1839" s="348"/>
    </row>
    <row r="1840" spans="2:37">
      <c r="B1840" s="93"/>
      <c r="C1840" s="93"/>
      <c r="D1840" s="93"/>
      <c r="E1840" s="93"/>
      <c r="F1840" s="8"/>
      <c r="G1840" s="27"/>
      <c r="H1840" s="55"/>
      <c r="I1840" s="8"/>
      <c r="J1840" s="324"/>
      <c r="K1840" s="324"/>
      <c r="L1840" s="324"/>
      <c r="M1840" s="324"/>
      <c r="N1840" s="324"/>
      <c r="O1840" s="27"/>
      <c r="P1840" s="56"/>
      <c r="Q1840" s="26"/>
      <c r="R1840" s="309"/>
      <c r="S1840" s="335"/>
      <c r="T1840" s="10"/>
      <c r="V1840" s="69"/>
      <c r="W1840" s="28"/>
      <c r="X1840" s="17"/>
      <c r="Y1840" s="14"/>
      <c r="Z1840" s="21"/>
      <c r="AA1840" s="322"/>
      <c r="AB1840" s="8"/>
      <c r="AC1840" s="73"/>
      <c r="AD1840" s="74"/>
      <c r="AE1840" s="32"/>
      <c r="AF1840" s="43"/>
      <c r="AG1840" s="269"/>
      <c r="AI1840" s="8"/>
      <c r="AJ1840" s="50"/>
      <c r="AK1840" s="348"/>
    </row>
    <row r="1841" spans="1:37">
      <c r="B1841" s="93"/>
      <c r="C1841" s="93"/>
      <c r="D1841" s="93"/>
      <c r="E1841" s="93"/>
      <c r="F1841" s="8"/>
      <c r="G1841" s="27"/>
      <c r="H1841" s="55"/>
      <c r="I1841" s="8"/>
      <c r="J1841" s="324"/>
      <c r="K1841" s="324"/>
      <c r="L1841" s="324"/>
      <c r="M1841" s="324"/>
      <c r="N1841" s="324"/>
      <c r="O1841" s="27"/>
      <c r="P1841" s="56"/>
      <c r="Q1841" s="26"/>
      <c r="R1841" s="309"/>
      <c r="S1841" s="335"/>
      <c r="T1841" s="10"/>
      <c r="V1841" s="69"/>
      <c r="W1841" s="28"/>
      <c r="X1841" s="17"/>
      <c r="Y1841" s="14"/>
      <c r="Z1841" s="21"/>
      <c r="AA1841" s="322"/>
      <c r="AB1841" s="8"/>
      <c r="AC1841" s="73"/>
      <c r="AD1841" s="74"/>
      <c r="AE1841" s="32"/>
      <c r="AF1841" s="43"/>
      <c r="AG1841" s="269"/>
      <c r="AI1841" s="8"/>
      <c r="AJ1841" s="50"/>
      <c r="AK1841" s="348"/>
    </row>
    <row r="1842" spans="1:37">
      <c r="B1842" s="93"/>
      <c r="C1842" s="93"/>
      <c r="D1842" s="93"/>
      <c r="E1842" s="93"/>
      <c r="F1842" s="8"/>
      <c r="G1842" s="27"/>
      <c r="H1842" s="55"/>
      <c r="I1842" s="8"/>
      <c r="J1842" s="324"/>
      <c r="K1842" s="324"/>
      <c r="L1842" s="324"/>
      <c r="M1842" s="324"/>
      <c r="N1842" s="324"/>
      <c r="O1842" s="27"/>
      <c r="P1842" s="56"/>
      <c r="Q1842" s="26"/>
      <c r="R1842" s="309"/>
      <c r="S1842" s="335"/>
      <c r="T1842" s="10"/>
      <c r="V1842" s="69"/>
      <c r="W1842" s="28"/>
      <c r="X1842" s="17"/>
      <c r="Y1842" s="14"/>
      <c r="Z1842" s="21"/>
      <c r="AA1842" s="322"/>
      <c r="AB1842" s="8"/>
      <c r="AC1842" s="73"/>
      <c r="AD1842" s="74"/>
      <c r="AE1842" s="32"/>
      <c r="AF1842" s="43"/>
      <c r="AG1842" s="269"/>
      <c r="AI1842" s="8"/>
      <c r="AJ1842" s="50"/>
      <c r="AK1842" s="348"/>
    </row>
    <row r="1843" spans="1:37">
      <c r="A1843" s="148"/>
      <c r="B1843" s="93"/>
      <c r="C1843" s="93"/>
      <c r="D1843" s="93"/>
      <c r="E1843" s="93"/>
      <c r="F1843" s="6"/>
      <c r="H1843" s="8"/>
      <c r="I1843" s="22"/>
      <c r="J1843" s="330"/>
      <c r="K1843" s="330"/>
      <c r="N1843" s="325"/>
      <c r="O1843" s="41"/>
      <c r="P1843" s="132"/>
      <c r="Q1843" s="19"/>
      <c r="T1843" s="34"/>
      <c r="V1843" s="97"/>
      <c r="W1843" s="36"/>
      <c r="X1843" s="67"/>
      <c r="Y1843" s="15"/>
      <c r="Z1843" s="3"/>
      <c r="AB1843" s="22"/>
      <c r="AE1843" s="33"/>
      <c r="AF1843" s="43"/>
    </row>
    <row r="1853" spans="1:37" ht="17.25" customHeight="1"/>
  </sheetData>
  <sortState ref="A3:AH1862">
    <sortCondition ref="N949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1">
    <tabColor rgb="FF7030A0"/>
  </sheetPr>
  <dimension ref="A1:AO5800"/>
  <sheetViews>
    <sheetView tabSelected="1" topLeftCell="G1" workbookViewId="0">
      <selection activeCell="AD17" sqref="AD17"/>
    </sheetView>
  </sheetViews>
  <sheetFormatPr defaultRowHeight="16.5"/>
  <cols>
    <col min="1" max="1" width="5.7109375" style="132" customWidth="1"/>
    <col min="2" max="5" width="5.7109375" style="94" customWidth="1"/>
    <col min="6" max="6" width="8.7109375" style="64" customWidth="1"/>
    <col min="7" max="7" width="7.7109375" style="19" customWidth="1"/>
    <col min="8" max="8" width="5.7109375" style="12" customWidth="1"/>
    <col min="9" max="9" width="8.7109375" style="9" customWidth="1"/>
    <col min="10" max="10" width="6.7109375" style="31" customWidth="1"/>
    <col min="11" max="11" width="6.7109375" style="327" customWidth="1"/>
    <col min="12" max="12" width="6.7109375" style="75" customWidth="1"/>
    <col min="13" max="13" width="6.7109375" style="325" customWidth="1"/>
    <col min="14" max="14" width="7.7109375" style="327" customWidth="1"/>
    <col min="15" max="15" width="4.7109375" style="27" customWidth="1"/>
    <col min="16" max="16" width="4.7109375" style="56" customWidth="1"/>
    <col min="17" max="17" width="4.7109375" style="26" customWidth="1"/>
    <col min="18" max="18" width="2.7109375" style="308" customWidth="1"/>
    <col min="19" max="19" width="6.7109375" style="330" customWidth="1"/>
    <col min="20" max="20" width="7.7109375" style="62" customWidth="1"/>
    <col min="21" max="21" width="6.7109375" style="367" customWidth="1"/>
    <col min="22" max="22" width="7.7109375" style="231" customWidth="1"/>
    <col min="23" max="23" width="9.7109375" style="270" customWidth="1"/>
    <col min="24" max="24" width="9.7109375" style="70" customWidth="1"/>
    <col min="25" max="25" width="9.7109375" style="59" customWidth="1"/>
    <col min="26" max="26" width="8.7109375" style="11" customWidth="1"/>
    <col min="27" max="27" width="6.7109375" style="101" customWidth="1"/>
    <col min="28" max="28" width="7.7109375" style="9" customWidth="1"/>
    <col min="29" max="29" width="11.7109375" style="86" customWidth="1"/>
    <col min="30" max="30" width="11.7109375" style="85" customWidth="1"/>
    <col min="31" max="31" width="3.7109375" style="80" customWidth="1"/>
    <col min="32" max="32" width="3.7109375" style="269" customWidth="1"/>
    <col min="33" max="33" width="13.7109375" style="243" customWidth="1"/>
    <col min="34" max="34" width="7.7109375" style="9" customWidth="1"/>
    <col min="35" max="35" width="7.7109375" style="286" customWidth="1"/>
    <col min="36" max="36" width="7.7109375" style="276" customWidth="1"/>
    <col min="37" max="37" width="7.7109375" style="22" customWidth="1"/>
    <col min="38" max="38" width="5.7109375" style="41" customWidth="1"/>
    <col min="39" max="39" width="2.7109375" style="308" customWidth="1"/>
    <col min="40" max="16384" width="9.140625" style="269"/>
  </cols>
  <sheetData>
    <row r="1" spans="1:41" s="273" customFormat="1">
      <c r="A1" s="163" t="s">
        <v>4408</v>
      </c>
      <c r="B1" s="82"/>
      <c r="C1" s="82"/>
      <c r="D1" s="82"/>
      <c r="E1" s="81"/>
      <c r="F1" s="6"/>
      <c r="G1" s="51" t="s">
        <v>3915</v>
      </c>
      <c r="H1" s="5" t="s">
        <v>3917</v>
      </c>
      <c r="I1" s="160" t="s">
        <v>3916</v>
      </c>
      <c r="J1" s="329" t="s">
        <v>4397</v>
      </c>
      <c r="K1" s="335" t="s">
        <v>4094</v>
      </c>
      <c r="L1" s="335" t="s">
        <v>1217</v>
      </c>
      <c r="M1" s="329" t="s">
        <v>298</v>
      </c>
      <c r="O1" s="389"/>
      <c r="P1" s="355"/>
      <c r="Q1" s="383"/>
      <c r="R1" s="308"/>
      <c r="S1" s="335"/>
      <c r="T1" s="251"/>
      <c r="U1" s="311" t="s">
        <v>6137</v>
      </c>
      <c r="V1" s="257"/>
      <c r="W1" s="163" t="s">
        <v>6145</v>
      </c>
      <c r="AB1" s="160" t="s">
        <v>3916</v>
      </c>
      <c r="AC1" s="120"/>
      <c r="AD1" s="131">
        <v>44550</v>
      </c>
      <c r="AE1" s="121"/>
      <c r="AH1" s="160" t="s">
        <v>3916</v>
      </c>
      <c r="AI1" s="316"/>
      <c r="AK1" s="22"/>
      <c r="AL1" s="41"/>
      <c r="AM1" s="308"/>
      <c r="AN1" s="263"/>
      <c r="AO1" s="274"/>
    </row>
    <row r="2" spans="1:41" s="273" customFormat="1">
      <c r="A2" s="163" t="s">
        <v>4409</v>
      </c>
      <c r="B2" s="82"/>
      <c r="C2" s="82"/>
      <c r="D2" s="82"/>
      <c r="E2" s="81"/>
      <c r="F2" s="6"/>
      <c r="G2" s="51" t="s">
        <v>3918</v>
      </c>
      <c r="H2" s="8" t="s">
        <v>3917</v>
      </c>
      <c r="I2" s="173" t="s">
        <v>3919</v>
      </c>
      <c r="J2" s="335" t="s">
        <v>4397</v>
      </c>
      <c r="K2" s="329" t="s">
        <v>4094</v>
      </c>
      <c r="L2" s="329" t="s">
        <v>1217</v>
      </c>
      <c r="M2" s="335" t="s">
        <v>298</v>
      </c>
      <c r="O2" s="389"/>
      <c r="P2" s="355"/>
      <c r="Q2" s="383"/>
      <c r="R2" s="308"/>
      <c r="S2" s="335"/>
      <c r="T2" s="251"/>
      <c r="U2" s="311" t="s">
        <v>6138</v>
      </c>
      <c r="W2" s="163" t="s">
        <v>6146</v>
      </c>
      <c r="AB2" s="173" t="s">
        <v>3919</v>
      </c>
      <c r="AC2" s="120"/>
      <c r="AD2" s="88">
        <v>44564</v>
      </c>
      <c r="AE2" s="121"/>
      <c r="AH2" s="173" t="s">
        <v>3919</v>
      </c>
      <c r="AI2" s="316"/>
      <c r="AK2" s="263"/>
      <c r="AL2" s="41"/>
      <c r="AM2" s="308"/>
      <c r="AN2" s="263"/>
      <c r="AO2" s="274"/>
    </row>
    <row r="3" spans="1:41" s="273" customFormat="1">
      <c r="A3" s="163" t="s">
        <v>4410</v>
      </c>
      <c r="B3" s="82"/>
      <c r="C3" s="82"/>
      <c r="D3" s="82"/>
      <c r="E3" s="81"/>
      <c r="F3" s="6"/>
      <c r="G3" s="27" t="s">
        <v>3915</v>
      </c>
      <c r="H3" s="8" t="s">
        <v>3917</v>
      </c>
      <c r="I3" s="160" t="s">
        <v>4008</v>
      </c>
      <c r="J3" s="343"/>
      <c r="K3" s="335" t="s">
        <v>4094</v>
      </c>
      <c r="L3" s="335" t="s">
        <v>1217</v>
      </c>
      <c r="M3" s="329" t="s">
        <v>298</v>
      </c>
      <c r="O3" s="389"/>
      <c r="P3" s="355"/>
      <c r="Q3" s="383"/>
      <c r="R3" s="308"/>
      <c r="S3" s="335"/>
      <c r="T3" s="251"/>
      <c r="U3" s="139" t="s">
        <v>4395</v>
      </c>
      <c r="W3" s="163" t="s">
        <v>6147</v>
      </c>
      <c r="AB3" s="160" t="s">
        <v>4008</v>
      </c>
      <c r="AC3" s="120"/>
      <c r="AD3" s="88">
        <v>44564</v>
      </c>
      <c r="AE3" s="121"/>
      <c r="AG3" s="239"/>
      <c r="AH3" s="160" t="s">
        <v>4008</v>
      </c>
      <c r="AI3" s="316"/>
      <c r="AK3" s="263"/>
      <c r="AL3" s="41"/>
      <c r="AM3" s="308"/>
      <c r="AN3" s="263"/>
      <c r="AO3" s="274"/>
    </row>
    <row r="4" spans="1:41" s="273" customFormat="1">
      <c r="A4" s="163" t="s">
        <v>4411</v>
      </c>
      <c r="B4" s="82"/>
      <c r="C4" s="82"/>
      <c r="D4" s="82"/>
      <c r="E4" s="81"/>
      <c r="F4" s="6"/>
      <c r="G4" s="27" t="s">
        <v>3915</v>
      </c>
      <c r="H4" s="5" t="s">
        <v>3917</v>
      </c>
      <c r="I4" s="160" t="s">
        <v>3994</v>
      </c>
      <c r="J4" s="343"/>
      <c r="K4" s="329" t="s">
        <v>4094</v>
      </c>
      <c r="L4" s="335" t="s">
        <v>1217</v>
      </c>
      <c r="M4" s="335" t="s">
        <v>298</v>
      </c>
      <c r="O4" s="389"/>
      <c r="P4" s="355"/>
      <c r="Q4" s="383"/>
      <c r="R4" s="308"/>
      <c r="S4" s="335"/>
      <c r="T4" s="250"/>
      <c r="U4" s="139" t="s">
        <v>6167</v>
      </c>
      <c r="V4" s="360"/>
      <c r="W4" s="163" t="s">
        <v>6148</v>
      </c>
      <c r="AB4" s="160" t="s">
        <v>3994</v>
      </c>
      <c r="AC4" s="120"/>
      <c r="AD4" s="88">
        <v>44565</v>
      </c>
      <c r="AE4" s="121"/>
      <c r="AG4" s="239"/>
      <c r="AH4" s="160" t="s">
        <v>3994</v>
      </c>
      <c r="AI4" s="316"/>
      <c r="AK4" s="263"/>
      <c r="AL4" s="41"/>
      <c r="AM4" s="308"/>
      <c r="AN4" s="263"/>
      <c r="AO4" s="274"/>
    </row>
    <row r="5" spans="1:41" s="273" customFormat="1">
      <c r="A5" s="173" t="s">
        <v>4422</v>
      </c>
      <c r="B5" s="82"/>
      <c r="C5" s="82"/>
      <c r="D5" s="82"/>
      <c r="E5" s="81"/>
      <c r="F5" s="6"/>
      <c r="G5" s="51" t="s">
        <v>3915</v>
      </c>
      <c r="H5" s="5" t="s">
        <v>3917</v>
      </c>
      <c r="I5" s="160" t="s">
        <v>4079</v>
      </c>
      <c r="J5" s="343"/>
      <c r="K5" s="335" t="s">
        <v>4094</v>
      </c>
      <c r="L5" s="335" t="s">
        <v>1217</v>
      </c>
      <c r="M5" s="335" t="s">
        <v>298</v>
      </c>
      <c r="O5" s="389"/>
      <c r="P5" s="355"/>
      <c r="Q5" s="383"/>
      <c r="R5" s="308"/>
      <c r="S5" s="335"/>
      <c r="T5" s="251"/>
      <c r="U5" s="365"/>
      <c r="W5" s="163"/>
      <c r="AB5" s="160" t="s">
        <v>4079</v>
      </c>
      <c r="AC5" s="88"/>
      <c r="AD5" s="86">
        <v>44550</v>
      </c>
      <c r="AE5" s="121"/>
      <c r="AG5" s="239"/>
      <c r="AH5" s="160" t="s">
        <v>4079</v>
      </c>
      <c r="AI5" s="316"/>
      <c r="AK5" s="22"/>
      <c r="AL5" s="41"/>
      <c r="AM5" s="308"/>
      <c r="AN5" s="263"/>
      <c r="AO5" s="274"/>
    </row>
    <row r="6" spans="1:41" s="273" customFormat="1">
      <c r="A6" s="163" t="s">
        <v>4435</v>
      </c>
      <c r="B6" s="82"/>
      <c r="C6" s="82"/>
      <c r="D6" s="82"/>
      <c r="E6" s="81"/>
      <c r="F6" s="6"/>
      <c r="G6" s="27" t="s">
        <v>3915</v>
      </c>
      <c r="H6" s="8" t="s">
        <v>3917</v>
      </c>
      <c r="I6" s="160" t="s">
        <v>3984</v>
      </c>
      <c r="J6" s="343"/>
      <c r="K6" s="335" t="s">
        <v>4094</v>
      </c>
      <c r="L6" s="329" t="s">
        <v>1217</v>
      </c>
      <c r="M6" s="335" t="s">
        <v>298</v>
      </c>
      <c r="O6" s="389"/>
      <c r="P6" s="355"/>
      <c r="Q6" s="383"/>
      <c r="R6" s="308"/>
      <c r="S6" s="335"/>
      <c r="T6" s="251"/>
      <c r="U6" s="365"/>
      <c r="W6" s="163"/>
      <c r="Z6" s="279"/>
      <c r="AA6" s="279"/>
      <c r="AB6" s="160" t="s">
        <v>3984</v>
      </c>
      <c r="AC6" s="88">
        <v>44560</v>
      </c>
      <c r="AD6" s="88"/>
      <c r="AE6" s="121"/>
      <c r="AG6" s="239"/>
      <c r="AH6" s="160" t="s">
        <v>3984</v>
      </c>
      <c r="AI6" s="316"/>
      <c r="AK6" s="22"/>
      <c r="AL6" s="41"/>
      <c r="AM6" s="308"/>
      <c r="AN6" s="263"/>
      <c r="AO6" s="274"/>
    </row>
    <row r="7" spans="1:41">
      <c r="A7" s="344" t="s">
        <v>4448</v>
      </c>
      <c r="G7" s="51" t="s">
        <v>3918</v>
      </c>
      <c r="H7" s="5" t="s">
        <v>3917</v>
      </c>
      <c r="I7" s="173" t="s">
        <v>4079</v>
      </c>
      <c r="J7" s="330"/>
      <c r="K7" s="329" t="s">
        <v>4094</v>
      </c>
      <c r="L7" s="335" t="s">
        <v>1217</v>
      </c>
      <c r="M7" s="335" t="s">
        <v>298</v>
      </c>
      <c r="S7" s="335"/>
      <c r="T7" s="251"/>
      <c r="U7" s="365"/>
      <c r="W7" s="163"/>
      <c r="Z7" s="42"/>
      <c r="AA7" s="46"/>
      <c r="AB7" s="173" t="s">
        <v>4079</v>
      </c>
      <c r="AC7" s="120"/>
      <c r="AD7" s="88">
        <v>44565</v>
      </c>
      <c r="AF7" s="70"/>
      <c r="AH7" s="173" t="s">
        <v>4079</v>
      </c>
      <c r="AI7" s="316"/>
      <c r="AN7" s="263"/>
      <c r="AO7" s="277"/>
    </row>
    <row r="8" spans="1:41">
      <c r="G8" s="27" t="s">
        <v>3918</v>
      </c>
      <c r="H8" s="8" t="s">
        <v>3917</v>
      </c>
      <c r="I8" s="173" t="s">
        <v>3984</v>
      </c>
      <c r="J8" s="330"/>
      <c r="K8" s="335" t="s">
        <v>4094</v>
      </c>
      <c r="L8" s="335" t="s">
        <v>1217</v>
      </c>
      <c r="M8" s="329" t="s">
        <v>298</v>
      </c>
      <c r="S8" s="335"/>
      <c r="T8" s="251"/>
      <c r="U8" s="365"/>
      <c r="V8" s="4" t="s">
        <v>1529</v>
      </c>
      <c r="W8" s="30" t="s">
        <v>1217</v>
      </c>
      <c r="X8" s="17" t="s">
        <v>298</v>
      </c>
      <c r="Z8" s="42"/>
      <c r="AA8" s="46"/>
      <c r="AB8" s="173" t="s">
        <v>3984</v>
      </c>
      <c r="AC8" s="88">
        <v>44559</v>
      </c>
      <c r="AD8" s="86"/>
      <c r="AF8" s="70"/>
      <c r="AG8" s="269"/>
      <c r="AH8" s="173" t="s">
        <v>3984</v>
      </c>
      <c r="AI8" s="316"/>
      <c r="AN8" s="263"/>
      <c r="AO8" s="277"/>
    </row>
    <row r="9" spans="1:41" s="273" customFormat="1">
      <c r="A9" s="132" t="s">
        <v>1854</v>
      </c>
      <c r="B9" s="93" t="s">
        <v>1657</v>
      </c>
      <c r="C9" s="93" t="s">
        <v>1658</v>
      </c>
      <c r="D9" s="93" t="s">
        <v>1659</v>
      </c>
      <c r="E9" s="93" t="s">
        <v>1660</v>
      </c>
      <c r="F9" s="8" t="s">
        <v>1122</v>
      </c>
      <c r="G9" s="91" t="s">
        <v>4231</v>
      </c>
      <c r="H9" s="300" t="s">
        <v>342</v>
      </c>
      <c r="I9" s="8" t="s">
        <v>2750</v>
      </c>
      <c r="J9" s="312" t="s">
        <v>1529</v>
      </c>
      <c r="K9" s="324" t="s">
        <v>1217</v>
      </c>
      <c r="L9" s="324" t="s">
        <v>298</v>
      </c>
      <c r="M9" s="312" t="s">
        <v>1115</v>
      </c>
      <c r="N9" s="324" t="s">
        <v>6091</v>
      </c>
      <c r="O9" s="27" t="s">
        <v>6253</v>
      </c>
      <c r="P9" s="56" t="s">
        <v>6219</v>
      </c>
      <c r="Q9" s="26" t="s">
        <v>6313</v>
      </c>
      <c r="R9" s="309" t="s">
        <v>4371</v>
      </c>
      <c r="S9" s="335" t="s">
        <v>4398</v>
      </c>
      <c r="T9" s="10" t="s">
        <v>75</v>
      </c>
      <c r="U9" s="364" t="s">
        <v>6152</v>
      </c>
      <c r="V9" s="69" t="s">
        <v>4406</v>
      </c>
      <c r="W9" s="28" t="s">
        <v>4424</v>
      </c>
      <c r="X9" s="17" t="s">
        <v>1465</v>
      </c>
      <c r="Y9" s="14" t="s">
        <v>2755</v>
      </c>
      <c r="Z9" s="21" t="s">
        <v>3</v>
      </c>
      <c r="AA9" s="25" t="s">
        <v>117</v>
      </c>
      <c r="AB9" s="8" t="s">
        <v>2750</v>
      </c>
      <c r="AC9" s="73" t="s">
        <v>1466</v>
      </c>
      <c r="AD9" s="74" t="s">
        <v>1223</v>
      </c>
      <c r="AE9" s="32" t="s">
        <v>4035</v>
      </c>
      <c r="AF9" s="8" t="s">
        <v>902</v>
      </c>
      <c r="AG9" s="239">
        <v>685677</v>
      </c>
      <c r="AH9" s="8" t="s">
        <v>2750</v>
      </c>
      <c r="AI9" s="8" t="s">
        <v>4414</v>
      </c>
      <c r="AJ9" s="50" t="s">
        <v>4121</v>
      </c>
      <c r="AK9" s="22" t="s">
        <v>6074</v>
      </c>
      <c r="AL9" s="41" t="s">
        <v>6118</v>
      </c>
      <c r="AM9" s="309"/>
    </row>
    <row r="10" spans="1:41">
      <c r="B10" s="81"/>
      <c r="C10" s="81"/>
      <c r="D10" s="81"/>
      <c r="E10" s="81"/>
      <c r="F10" s="58"/>
      <c r="G10" s="51" t="s">
        <v>4285</v>
      </c>
      <c r="H10" s="5" t="s">
        <v>3917</v>
      </c>
      <c r="I10" s="22" t="s">
        <v>4286</v>
      </c>
      <c r="J10" s="203">
        <v>46</v>
      </c>
      <c r="K10" s="330">
        <v>23.79</v>
      </c>
      <c r="L10" s="75">
        <v>0.55000000000000004</v>
      </c>
      <c r="M10" s="330"/>
      <c r="N10" s="325">
        <f>K10+J10+L10+M10</f>
        <v>70.339999999999989</v>
      </c>
      <c r="T10" s="34">
        <v>3.2</v>
      </c>
      <c r="U10" s="366">
        <f t="shared" ref="U10:U16" si="0">T10/W10</f>
        <v>2.3809523809523808E-2</v>
      </c>
      <c r="V10" s="200">
        <v>0.35</v>
      </c>
      <c r="W10" s="36">
        <f>RTD("money.excel",,"0050","Price")</f>
        <v>134.4</v>
      </c>
      <c r="X10" s="66"/>
      <c r="Y10" s="15">
        <f>W10-X10</f>
        <v>134.4</v>
      </c>
      <c r="Z10" s="3" t="e">
        <f>Y10/X10</f>
        <v>#DIV/0!</v>
      </c>
      <c r="AA10" s="102"/>
      <c r="AB10" s="22" t="s">
        <v>4286</v>
      </c>
      <c r="AC10" s="88"/>
      <c r="AD10" s="131">
        <v>44550</v>
      </c>
      <c r="AF10" s="252" t="s">
        <v>4342</v>
      </c>
      <c r="AG10" s="239">
        <v>427641</v>
      </c>
      <c r="AH10" s="22" t="s">
        <v>4286</v>
      </c>
      <c r="AN10" s="263"/>
      <c r="AO10" s="277"/>
    </row>
    <row r="11" spans="1:41">
      <c r="A11" s="132" t="s">
        <v>2326</v>
      </c>
      <c r="B11" s="81">
        <v>49</v>
      </c>
      <c r="C11" s="81">
        <v>37</v>
      </c>
      <c r="D11" s="82">
        <v>-24</v>
      </c>
      <c r="E11" s="82">
        <v>-1</v>
      </c>
      <c r="F11" s="58">
        <v>10.32</v>
      </c>
      <c r="G11" s="82">
        <v>6284</v>
      </c>
      <c r="H11" s="5" t="s">
        <v>4155</v>
      </c>
      <c r="I11" s="16" t="s">
        <v>305</v>
      </c>
      <c r="J11" s="330">
        <v>47.12</v>
      </c>
      <c r="K11" s="75">
        <v>1.62</v>
      </c>
      <c r="L11" s="330">
        <v>17.73</v>
      </c>
      <c r="M11" s="330">
        <v>36.08</v>
      </c>
      <c r="N11" s="325">
        <f>K11+J11+L11+M11</f>
        <v>102.55</v>
      </c>
      <c r="O11" s="27" t="s">
        <v>6316</v>
      </c>
      <c r="P11" s="56" t="s">
        <v>6338</v>
      </c>
      <c r="Q11" s="26" t="s">
        <v>6339</v>
      </c>
      <c r="R11" s="308" t="s">
        <v>4374</v>
      </c>
      <c r="S11" s="330">
        <v>3.46</v>
      </c>
      <c r="T11" s="34">
        <v>1</v>
      </c>
      <c r="U11" s="366">
        <f t="shared" si="0"/>
        <v>1.7605633802816902E-2</v>
      </c>
      <c r="V11" s="97">
        <v>3.64</v>
      </c>
      <c r="W11" s="36">
        <f>RTD("money.excel",,"6284","Price")</f>
        <v>56.8</v>
      </c>
      <c r="X11" s="233">
        <v>74</v>
      </c>
      <c r="Y11" s="15">
        <f>W11-X11</f>
        <v>-17.200000000000003</v>
      </c>
      <c r="Z11" s="78">
        <f>Y11/X11</f>
        <v>-0.23243243243243247</v>
      </c>
      <c r="AA11" s="141" t="s">
        <v>6498</v>
      </c>
      <c r="AB11" s="16" t="s">
        <v>305</v>
      </c>
      <c r="AC11" s="131"/>
      <c r="AD11" s="88">
        <v>44552</v>
      </c>
      <c r="AE11" s="315">
        <f t="shared" ref="AE11:AE15" si="1">AD11-AC11</f>
        <v>44552</v>
      </c>
      <c r="AF11" s="41"/>
      <c r="AG11" s="240"/>
      <c r="AH11" s="16" t="s">
        <v>305</v>
      </c>
      <c r="AI11" s="155">
        <f t="shared" ref="AI11:AI16" si="2">AJ11/(A11*10000)</f>
        <v>2.3642857142857142E-3</v>
      </c>
      <c r="AJ11" s="313">
        <f>RTD("money.excel",,"6284","PredictVolume")</f>
        <v>331</v>
      </c>
      <c r="AK11" s="22">
        <v>40.35</v>
      </c>
    </row>
    <row r="12" spans="1:41">
      <c r="A12" s="132" t="s">
        <v>2277</v>
      </c>
      <c r="B12" s="82">
        <v>-56</v>
      </c>
      <c r="C12" s="82">
        <v>-46</v>
      </c>
      <c r="D12" s="82">
        <v>-1</v>
      </c>
      <c r="E12" s="81">
        <v>341</v>
      </c>
      <c r="F12" s="58">
        <v>17.64</v>
      </c>
      <c r="G12" s="81">
        <v>6477</v>
      </c>
      <c r="H12" s="8" t="s">
        <v>325</v>
      </c>
      <c r="I12" s="22" t="s">
        <v>483</v>
      </c>
      <c r="J12" s="330">
        <v>40.44</v>
      </c>
      <c r="K12" s="330">
        <v>5.52</v>
      </c>
      <c r="L12" s="330">
        <v>27.61</v>
      </c>
      <c r="M12" s="330">
        <v>19.059999999999999</v>
      </c>
      <c r="N12" s="325">
        <f>K12+J12+L12+M12</f>
        <v>92.63</v>
      </c>
      <c r="O12" s="27" t="s">
        <v>6340</v>
      </c>
      <c r="P12" s="56" t="s">
        <v>6317</v>
      </c>
      <c r="Q12" s="26" t="s">
        <v>6341</v>
      </c>
      <c r="R12" s="308" t="s">
        <v>4372</v>
      </c>
      <c r="S12" s="330">
        <v>5.28</v>
      </c>
      <c r="T12" s="34">
        <v>1.1399999999999999</v>
      </c>
      <c r="U12" s="366">
        <f t="shared" si="0"/>
        <v>1.9031719532554257E-2</v>
      </c>
      <c r="V12" s="97">
        <v>1.23</v>
      </c>
      <c r="W12" s="36">
        <f>RTD("money.excel",,"6477","Price")</f>
        <v>59.9</v>
      </c>
      <c r="X12" s="233">
        <v>55</v>
      </c>
      <c r="Y12" s="15">
        <f>W12-X12</f>
        <v>4.8999999999999986</v>
      </c>
      <c r="Z12" s="64">
        <f>Y12/X12</f>
        <v>8.9090909090909068E-2</v>
      </c>
      <c r="AA12" s="104" t="s">
        <v>6205</v>
      </c>
      <c r="AB12" s="22" t="s">
        <v>483</v>
      </c>
      <c r="AC12" s="131">
        <v>44559</v>
      </c>
      <c r="AD12" s="88"/>
      <c r="AE12" s="315">
        <f t="shared" si="1"/>
        <v>-44559</v>
      </c>
      <c r="AF12" s="41"/>
      <c r="AG12" s="240"/>
      <c r="AH12" s="22" t="s">
        <v>483</v>
      </c>
      <c r="AI12" s="345">
        <f t="shared" si="2"/>
        <v>0.32498245614035087</v>
      </c>
      <c r="AJ12" s="313">
        <f>RTD("money.excel",,"6477","PredictVolume")</f>
        <v>37048</v>
      </c>
      <c r="AK12" s="22">
        <v>96.9</v>
      </c>
      <c r="AL12" s="41" t="s">
        <v>3703</v>
      </c>
    </row>
    <row r="13" spans="1:41">
      <c r="A13" s="148" t="s">
        <v>1928</v>
      </c>
      <c r="B13" s="82">
        <v>-85</v>
      </c>
      <c r="C13" s="82">
        <v>-75</v>
      </c>
      <c r="D13" s="82">
        <v>-25</v>
      </c>
      <c r="E13" s="82">
        <v>-4</v>
      </c>
      <c r="F13" s="6">
        <v>5.15</v>
      </c>
      <c r="G13" s="82">
        <v>9919</v>
      </c>
      <c r="H13" s="5" t="s">
        <v>2303</v>
      </c>
      <c r="I13" s="22" t="s">
        <v>748</v>
      </c>
      <c r="J13" s="75">
        <v>44.57</v>
      </c>
      <c r="K13" s="330">
        <v>4.71</v>
      </c>
      <c r="L13" s="330">
        <v>14.77</v>
      </c>
      <c r="M13" s="330">
        <v>27.12</v>
      </c>
      <c r="N13" s="325">
        <f>K13+J13+L13+M13</f>
        <v>91.17</v>
      </c>
      <c r="O13" s="27" t="s">
        <v>6329</v>
      </c>
      <c r="P13" s="56" t="s">
        <v>6329</v>
      </c>
      <c r="Q13" s="26" t="s">
        <v>6342</v>
      </c>
      <c r="R13" s="308" t="s">
        <v>4372</v>
      </c>
      <c r="S13" s="330">
        <v>4.09</v>
      </c>
      <c r="T13" s="67">
        <v>3</v>
      </c>
      <c r="U13" s="368">
        <f t="shared" si="0"/>
        <v>0.13574660633484162</v>
      </c>
      <c r="V13" s="97">
        <v>1.51</v>
      </c>
      <c r="W13" s="36">
        <f>RTD("money.excel",,"9919","Price")</f>
        <v>22.1</v>
      </c>
      <c r="X13" s="233">
        <v>32.1</v>
      </c>
      <c r="Y13" s="15">
        <f>W13-X13</f>
        <v>-10</v>
      </c>
      <c r="Z13" s="78">
        <f>Y13/X13</f>
        <v>-0.3115264797507788</v>
      </c>
      <c r="AA13" s="103" t="s">
        <v>6499</v>
      </c>
      <c r="AB13" s="22" t="s">
        <v>748</v>
      </c>
      <c r="AC13" s="131">
        <v>44565</v>
      </c>
      <c r="AD13" s="88"/>
      <c r="AE13" s="315">
        <f t="shared" si="1"/>
        <v>-44565</v>
      </c>
      <c r="AF13" s="41"/>
      <c r="AG13" s="240"/>
      <c r="AH13" s="22" t="s">
        <v>748</v>
      </c>
      <c r="AI13" s="155">
        <f t="shared" si="2"/>
        <v>3.8E-3</v>
      </c>
      <c r="AJ13" s="313">
        <f>RTD("money.excel",,"9919","PredictVolume")</f>
        <v>741</v>
      </c>
      <c r="AK13" s="22">
        <v>62.6</v>
      </c>
    </row>
    <row r="14" spans="1:41">
      <c r="A14" s="148" t="s">
        <v>1805</v>
      </c>
      <c r="B14" s="82">
        <v>-35</v>
      </c>
      <c r="C14" s="82">
        <v>-58</v>
      </c>
      <c r="D14" s="82">
        <v>-32</v>
      </c>
      <c r="E14" s="82">
        <v>-3</v>
      </c>
      <c r="F14" s="6">
        <v>3.26</v>
      </c>
      <c r="G14" s="82">
        <v>1732</v>
      </c>
      <c r="H14" s="5" t="s">
        <v>4445</v>
      </c>
      <c r="I14" s="22" t="s">
        <v>818</v>
      </c>
      <c r="J14" s="75">
        <v>44.32</v>
      </c>
      <c r="K14" s="330">
        <v>5.36</v>
      </c>
      <c r="L14" s="75">
        <v>16.489999999999998</v>
      </c>
      <c r="M14" s="330">
        <v>28.63</v>
      </c>
      <c r="N14" s="325">
        <f>J14+K14+L14+M14</f>
        <v>94.8</v>
      </c>
      <c r="O14" s="27" t="s">
        <v>6316</v>
      </c>
      <c r="P14" s="56" t="s">
        <v>6316</v>
      </c>
      <c r="Q14" s="26" t="s">
        <v>6343</v>
      </c>
      <c r="R14" s="308" t="s">
        <v>4372</v>
      </c>
      <c r="S14" s="330">
        <v>6.47</v>
      </c>
      <c r="T14" s="34">
        <v>0.5</v>
      </c>
      <c r="U14" s="366">
        <f t="shared" si="0"/>
        <v>1.5698587127158554E-2</v>
      </c>
      <c r="V14" s="97">
        <v>0.7</v>
      </c>
      <c r="W14" s="36">
        <f>RTD("money.excel",,"1732","Price")</f>
        <v>31.85</v>
      </c>
      <c r="X14" s="67">
        <v>32</v>
      </c>
      <c r="Y14" s="15">
        <f>W14-X14</f>
        <v>-0.14999999999999858</v>
      </c>
      <c r="Z14" s="64">
        <f>Y14/X14</f>
        <v>-4.6874999999999556E-3</v>
      </c>
      <c r="AA14" s="104" t="s">
        <v>6500</v>
      </c>
      <c r="AB14" s="22" t="s">
        <v>818</v>
      </c>
      <c r="AC14" s="131">
        <v>44564</v>
      </c>
      <c r="AD14" s="88"/>
      <c r="AE14" s="315">
        <f t="shared" si="1"/>
        <v>-44564</v>
      </c>
      <c r="AF14" s="43"/>
      <c r="AG14" s="128"/>
      <c r="AH14" s="22" t="s">
        <v>818</v>
      </c>
      <c r="AI14" s="346">
        <f t="shared" si="2"/>
        <v>1.4575471698113207E-2</v>
      </c>
      <c r="AJ14" s="313">
        <f>RTD("money.excel",,"1732","PredictVolume")</f>
        <v>618</v>
      </c>
      <c r="AK14" s="22">
        <v>172.15</v>
      </c>
      <c r="AL14" s="41" t="s">
        <v>1188</v>
      </c>
    </row>
    <row r="15" spans="1:41">
      <c r="A15" s="148" t="s">
        <v>3717</v>
      </c>
      <c r="B15" s="82">
        <v>-72</v>
      </c>
      <c r="C15" s="82">
        <v>-77</v>
      </c>
      <c r="D15" s="82">
        <v>-14</v>
      </c>
      <c r="E15" s="81">
        <v>63</v>
      </c>
      <c r="F15" s="75">
        <v>-676.48</v>
      </c>
      <c r="G15" s="81">
        <v>6446</v>
      </c>
      <c r="H15" s="8" t="s">
        <v>6142</v>
      </c>
      <c r="I15" s="16" t="s">
        <v>661</v>
      </c>
      <c r="J15" s="330">
        <v>45.17</v>
      </c>
      <c r="K15" s="75">
        <v>5.98</v>
      </c>
      <c r="L15" s="330"/>
      <c r="M15" s="330">
        <v>17.739999999999998</v>
      </c>
      <c r="N15" s="325">
        <f t="shared" ref="N15" si="3">J15+K15+L15+M15</f>
        <v>68.89</v>
      </c>
      <c r="O15" s="27" t="s">
        <v>6329</v>
      </c>
      <c r="P15" s="56" t="s">
        <v>6329</v>
      </c>
      <c r="Q15" s="26" t="s">
        <v>6329</v>
      </c>
      <c r="T15" s="34">
        <v>0</v>
      </c>
      <c r="U15" s="366">
        <f t="shared" si="0"/>
        <v>0</v>
      </c>
      <c r="V15" s="97">
        <v>-10.79</v>
      </c>
      <c r="W15" s="36">
        <f>RTD("money.excel",,"6446","Price")</f>
        <v>305</v>
      </c>
      <c r="X15" s="67">
        <v>370</v>
      </c>
      <c r="Y15" s="143">
        <f t="shared" ref="Y15" si="4">W15-X15</f>
        <v>-65</v>
      </c>
      <c r="Z15" s="78">
        <f t="shared" ref="Z15" si="5">Y15/X15</f>
        <v>-0.17567567567567569</v>
      </c>
      <c r="AA15" s="141" t="s">
        <v>6501</v>
      </c>
      <c r="AB15" s="16" t="s">
        <v>661</v>
      </c>
      <c r="AC15" s="88">
        <v>44565</v>
      </c>
      <c r="AD15" s="86"/>
      <c r="AE15" s="315">
        <f t="shared" si="1"/>
        <v>-44565</v>
      </c>
      <c r="AF15" s="43"/>
      <c r="AG15" s="269"/>
      <c r="AH15" s="16" t="s">
        <v>661</v>
      </c>
      <c r="AI15" s="64">
        <f t="shared" si="2"/>
        <v>1.9962962962962964E-3</v>
      </c>
      <c r="AJ15" s="313">
        <f>RTD("money.excel",,"6446","PredictVolume")</f>
        <v>539</v>
      </c>
      <c r="AK15" s="22">
        <v>3.11</v>
      </c>
    </row>
    <row r="16" spans="1:41">
      <c r="A16" s="148" t="s">
        <v>4304</v>
      </c>
      <c r="B16" s="82">
        <v>-270</v>
      </c>
      <c r="C16" s="82">
        <v>-40</v>
      </c>
      <c r="D16" s="82">
        <v>-14</v>
      </c>
      <c r="E16" s="81">
        <v>16</v>
      </c>
      <c r="F16" s="47">
        <v>-1387</v>
      </c>
      <c r="G16" s="82">
        <v>4743</v>
      </c>
      <c r="H16" s="5" t="s">
        <v>6142</v>
      </c>
      <c r="I16" s="16" t="s">
        <v>303</v>
      </c>
      <c r="J16" s="75">
        <v>50.76</v>
      </c>
      <c r="K16" s="330">
        <v>13.25</v>
      </c>
      <c r="L16" s="330"/>
      <c r="M16" s="330">
        <v>20.83</v>
      </c>
      <c r="N16" s="325">
        <f t="shared" ref="N16" si="6">K16+J16+L16+M16</f>
        <v>84.839999999999989</v>
      </c>
      <c r="O16" s="27" t="s">
        <v>6329</v>
      </c>
      <c r="P16" s="56" t="s">
        <v>6329</v>
      </c>
      <c r="Q16" s="26" t="s">
        <v>6316</v>
      </c>
      <c r="S16" s="330">
        <v>1.87</v>
      </c>
      <c r="T16" s="34">
        <v>0</v>
      </c>
      <c r="U16" s="366">
        <f t="shared" si="0"/>
        <v>0</v>
      </c>
      <c r="V16" s="58">
        <v>-2.94</v>
      </c>
      <c r="W16" s="36">
        <f>RTD("money.excel",,"4743","Price")</f>
        <v>211</v>
      </c>
      <c r="X16" s="67">
        <v>233</v>
      </c>
      <c r="Y16" s="15">
        <f>W16-X16</f>
        <v>-22</v>
      </c>
      <c r="Z16" s="78">
        <f>Y16/X16</f>
        <v>-9.4420600858369105E-2</v>
      </c>
      <c r="AA16" s="141" t="s">
        <v>6502</v>
      </c>
      <c r="AB16" s="16" t="s">
        <v>303</v>
      </c>
      <c r="AC16" s="88">
        <v>44559</v>
      </c>
      <c r="AD16" s="86"/>
      <c r="AE16" s="315">
        <f>AD16-AC16</f>
        <v>-44559</v>
      </c>
      <c r="AF16" s="43"/>
      <c r="AG16" s="242"/>
      <c r="AH16" s="16" t="s">
        <v>303</v>
      </c>
      <c r="AI16" s="64">
        <f t="shared" si="2"/>
        <v>5.7853403141361261E-4</v>
      </c>
      <c r="AJ16" s="313">
        <f>RTD("money.excel",,"6523","PredictVolume")</f>
        <v>221</v>
      </c>
      <c r="AK16" s="22">
        <v>7.48</v>
      </c>
      <c r="AN16" s="262"/>
      <c r="AO16" s="277"/>
    </row>
    <row r="17" spans="1:39" s="273" customFormat="1">
      <c r="A17" s="132" t="s">
        <v>3920</v>
      </c>
      <c r="B17" s="93" t="s">
        <v>3921</v>
      </c>
      <c r="C17" s="93" t="s">
        <v>3922</v>
      </c>
      <c r="D17" s="93" t="s">
        <v>3923</v>
      </c>
      <c r="E17" s="93" t="s">
        <v>3924</v>
      </c>
      <c r="F17" s="8" t="s">
        <v>3925</v>
      </c>
      <c r="G17" s="91" t="s">
        <v>4231</v>
      </c>
      <c r="H17" s="300" t="s">
        <v>342</v>
      </c>
      <c r="I17" s="8" t="s">
        <v>3926</v>
      </c>
      <c r="J17" s="312" t="s">
        <v>1529</v>
      </c>
      <c r="K17" s="324" t="s">
        <v>3927</v>
      </c>
      <c r="L17" s="324" t="s">
        <v>3928</v>
      </c>
      <c r="M17" s="312" t="s">
        <v>1115</v>
      </c>
      <c r="N17" s="324" t="s">
        <v>6091</v>
      </c>
      <c r="O17" s="27" t="s">
        <v>6253</v>
      </c>
      <c r="P17" s="56" t="s">
        <v>6219</v>
      </c>
      <c r="Q17" s="26" t="s">
        <v>6313</v>
      </c>
      <c r="R17" s="309" t="s">
        <v>4371</v>
      </c>
      <c r="S17" s="335" t="s">
        <v>4398</v>
      </c>
      <c r="T17" s="10" t="s">
        <v>75</v>
      </c>
      <c r="U17" s="364" t="s">
        <v>6152</v>
      </c>
      <c r="V17" s="69" t="s">
        <v>4406</v>
      </c>
      <c r="W17" s="28" t="s">
        <v>4424</v>
      </c>
      <c r="X17" s="17" t="s">
        <v>1465</v>
      </c>
      <c r="Y17" s="14" t="s">
        <v>3929</v>
      </c>
      <c r="Z17" s="21" t="s">
        <v>3930</v>
      </c>
      <c r="AA17" s="25" t="s">
        <v>3931</v>
      </c>
      <c r="AB17" s="8" t="s">
        <v>3926</v>
      </c>
      <c r="AC17" s="73" t="s">
        <v>3932</v>
      </c>
      <c r="AD17" s="74" t="s">
        <v>3933</v>
      </c>
      <c r="AE17" s="32" t="s">
        <v>4035</v>
      </c>
      <c r="AF17" s="8"/>
      <c r="AG17" s="239">
        <f>SUM(AG9:AG16)</f>
        <v>1113318</v>
      </c>
      <c r="AH17" s="8" t="s">
        <v>2750</v>
      </c>
      <c r="AI17" s="8" t="s">
        <v>4414</v>
      </c>
      <c r="AJ17" s="50" t="s">
        <v>4121</v>
      </c>
      <c r="AK17" s="22" t="s">
        <v>6074</v>
      </c>
      <c r="AL17" s="41" t="s">
        <v>6118</v>
      </c>
      <c r="AM17" s="309"/>
    </row>
    <row r="18" spans="1:39">
      <c r="A18" s="132" t="s">
        <v>2186</v>
      </c>
      <c r="B18" s="82">
        <v>-81</v>
      </c>
      <c r="C18" s="82">
        <v>-79</v>
      </c>
      <c r="D18" s="82">
        <v>-40</v>
      </c>
      <c r="E18" s="82">
        <v>-64</v>
      </c>
      <c r="F18" s="58">
        <v>35.44</v>
      </c>
      <c r="G18" s="82">
        <v>1325</v>
      </c>
      <c r="H18" s="5" t="s">
        <v>311</v>
      </c>
      <c r="I18" s="22" t="s">
        <v>638</v>
      </c>
      <c r="J18" s="330">
        <v>41.04</v>
      </c>
      <c r="K18" s="330">
        <v>9.02</v>
      </c>
      <c r="L18" s="330">
        <v>17.989999999999998</v>
      </c>
      <c r="M18" s="330">
        <v>32.44</v>
      </c>
      <c r="N18" s="325">
        <f>K18+J18+L18+M18</f>
        <v>100.49</v>
      </c>
      <c r="P18" s="56" t="s">
        <v>6339</v>
      </c>
      <c r="Q18" s="26" t="s">
        <v>6325</v>
      </c>
      <c r="R18" s="308" t="s">
        <v>4373</v>
      </c>
      <c r="S18" s="330">
        <v>6.07</v>
      </c>
      <c r="T18" s="67">
        <v>12</v>
      </c>
      <c r="U18" s="368">
        <f t="shared" ref="U18:U42" si="7">T18/W18</f>
        <v>0.31168831168831168</v>
      </c>
      <c r="V18" s="97">
        <v>9.64</v>
      </c>
      <c r="W18" s="36">
        <f>RTD("money.excel",,"1325","Price")</f>
        <v>38.5</v>
      </c>
      <c r="X18" s="233">
        <f>104.5-12</f>
        <v>92.5</v>
      </c>
      <c r="Y18" s="15">
        <f>W18-X18</f>
        <v>-54</v>
      </c>
      <c r="Z18" s="78">
        <f>Y18/X18</f>
        <v>-0.58378378378378382</v>
      </c>
      <c r="AA18" s="103" t="s">
        <v>6503</v>
      </c>
      <c r="AB18" s="22" t="s">
        <v>638</v>
      </c>
      <c r="AC18" s="131">
        <v>44565</v>
      </c>
      <c r="AD18" s="88"/>
      <c r="AE18" s="19" t="s">
        <v>4046</v>
      </c>
      <c r="AF18" s="41" t="s">
        <v>1189</v>
      </c>
      <c r="AG18" s="240">
        <f t="shared" ref="AG18" si="8">W18*AE18*1000</f>
        <v>231000</v>
      </c>
      <c r="AH18" s="22" t="s">
        <v>638</v>
      </c>
      <c r="AI18" s="155">
        <f t="shared" ref="AI18:AI42" si="9">AJ18/(A18*10000)</f>
        <v>5.7327080890973037E-3</v>
      </c>
      <c r="AJ18" s="313">
        <f>RTD("money.excel",,"1325","PredictVolume")</f>
        <v>489</v>
      </c>
      <c r="AK18" s="22">
        <v>54.39</v>
      </c>
    </row>
    <row r="19" spans="1:39">
      <c r="A19" s="132" t="s">
        <v>2593</v>
      </c>
      <c r="B19" s="81">
        <v>60</v>
      </c>
      <c r="C19" s="81">
        <v>61</v>
      </c>
      <c r="D19" s="82">
        <v>-43</v>
      </c>
      <c r="E19" s="82">
        <v>-14</v>
      </c>
      <c r="F19" s="58">
        <v>35.53</v>
      </c>
      <c r="G19" s="82">
        <v>6523</v>
      </c>
      <c r="H19" s="8" t="s">
        <v>6142</v>
      </c>
      <c r="I19" s="16" t="s">
        <v>666</v>
      </c>
      <c r="J19" s="330">
        <v>61.74</v>
      </c>
      <c r="K19" s="75">
        <v>3.94</v>
      </c>
      <c r="L19" s="330">
        <v>7.69</v>
      </c>
      <c r="M19" s="330">
        <v>33.58</v>
      </c>
      <c r="N19" s="325">
        <f>K19+J19+L19+M19</f>
        <v>106.95</v>
      </c>
      <c r="O19" s="27" t="s">
        <v>6329</v>
      </c>
      <c r="P19" s="56" t="s">
        <v>6329</v>
      </c>
      <c r="Q19" s="26" t="s">
        <v>6316</v>
      </c>
      <c r="R19" s="308" t="s">
        <v>4373</v>
      </c>
      <c r="S19" s="330">
        <v>0.37</v>
      </c>
      <c r="T19" s="399">
        <v>2</v>
      </c>
      <c r="U19" s="366">
        <f t="shared" si="7"/>
        <v>2.1621621621621623E-2</v>
      </c>
      <c r="V19" s="58">
        <v>16.45</v>
      </c>
      <c r="W19" s="36">
        <f>RTD("money.excel",,"6523","Price")</f>
        <v>92.5</v>
      </c>
      <c r="X19" s="67">
        <f>76.5-4-4-5.22</f>
        <v>63.28</v>
      </c>
      <c r="Y19" s="15">
        <f t="shared" ref="Y19" si="10">W19-X19</f>
        <v>29.22</v>
      </c>
      <c r="Z19" s="155">
        <f t="shared" ref="Z19" si="11">Y19/X19</f>
        <v>0.46175726927939315</v>
      </c>
      <c r="AA19" s="104" t="s">
        <v>6515</v>
      </c>
      <c r="AB19" s="16" t="s">
        <v>666</v>
      </c>
      <c r="AC19" s="88"/>
      <c r="AD19" s="131">
        <v>44560</v>
      </c>
      <c r="AE19" s="19" t="s">
        <v>1189</v>
      </c>
      <c r="AF19" s="41" t="s">
        <v>1583</v>
      </c>
      <c r="AG19" s="240">
        <f t="shared" ref="AG19" si="12">W19*AE19*1000</f>
        <v>370000</v>
      </c>
      <c r="AH19" s="16" t="s">
        <v>666</v>
      </c>
      <c r="AI19" s="64">
        <f t="shared" si="9"/>
        <v>4.9111111111111109E-3</v>
      </c>
      <c r="AJ19" s="313">
        <f>RTD("money.excel",,"6523","PredictVolume")</f>
        <v>221</v>
      </c>
      <c r="AK19" s="22">
        <v>15.2</v>
      </c>
    </row>
    <row r="20" spans="1:39" s="273" customFormat="1">
      <c r="A20" s="132" t="s">
        <v>1767</v>
      </c>
      <c r="B20" s="81">
        <v>132</v>
      </c>
      <c r="C20" s="81">
        <v>233</v>
      </c>
      <c r="D20" s="81">
        <v>1</v>
      </c>
      <c r="E20" s="81">
        <v>42</v>
      </c>
      <c r="F20" s="58">
        <v>14.66</v>
      </c>
      <c r="G20" s="81">
        <v>3265</v>
      </c>
      <c r="H20" s="151" t="s">
        <v>3761</v>
      </c>
      <c r="I20" s="173" t="s">
        <v>2738</v>
      </c>
      <c r="J20" s="75">
        <v>58.99</v>
      </c>
      <c r="K20" s="75">
        <v>7.18</v>
      </c>
      <c r="L20" s="75">
        <v>3.95</v>
      </c>
      <c r="M20" s="330">
        <v>52.33</v>
      </c>
      <c r="N20" s="325">
        <f>K20+J20+L20+M20</f>
        <v>122.45</v>
      </c>
      <c r="O20" s="27" t="s">
        <v>6329</v>
      </c>
      <c r="P20" s="56" t="s">
        <v>6329</v>
      </c>
      <c r="Q20" s="26" t="s">
        <v>6316</v>
      </c>
      <c r="R20" s="308" t="s">
        <v>4372</v>
      </c>
      <c r="S20" s="330">
        <v>0.44</v>
      </c>
      <c r="T20" s="401">
        <v>2.2999999999999998</v>
      </c>
      <c r="U20" s="366">
        <f>T20/W20</f>
        <v>6.8862275449101798E-2</v>
      </c>
      <c r="V20" s="58">
        <v>2.68</v>
      </c>
      <c r="W20" s="168">
        <f>RTD("money.excel",,"3265","Price")</f>
        <v>33.4</v>
      </c>
      <c r="X20" s="66">
        <f>33.4-1.23</f>
        <v>32.17</v>
      </c>
      <c r="Y20" s="169">
        <f t="shared" ref="Y20" si="13">W20-X20</f>
        <v>1.2299999999999969</v>
      </c>
      <c r="Z20" s="165">
        <f t="shared" ref="Z20" si="14">Y20/X20</f>
        <v>3.8234379857009539E-2</v>
      </c>
      <c r="AA20" s="174" t="s">
        <v>6517</v>
      </c>
      <c r="AB20" s="173" t="s">
        <v>2738</v>
      </c>
      <c r="AC20" s="88">
        <v>44553</v>
      </c>
      <c r="AD20" s="131"/>
      <c r="AE20" s="19" t="s">
        <v>1189</v>
      </c>
      <c r="AF20" s="41"/>
      <c r="AG20" s="240">
        <f>W20*AE20*1000</f>
        <v>133600</v>
      </c>
      <c r="AH20" s="173" t="s">
        <v>2738</v>
      </c>
      <c r="AI20" s="210">
        <f>AJ20/(A20*10000)</f>
        <v>6.0882352941176469E-3</v>
      </c>
      <c r="AJ20" s="313">
        <f>RTD("money.excel",,"3265","PredictVolume")</f>
        <v>828</v>
      </c>
      <c r="AK20" s="22">
        <v>6.21</v>
      </c>
      <c r="AL20" s="41" t="s">
        <v>6537</v>
      </c>
      <c r="AM20" s="308"/>
    </row>
    <row r="21" spans="1:39" s="273" customFormat="1">
      <c r="A21" s="148" t="s">
        <v>1974</v>
      </c>
      <c r="B21" s="82">
        <v>-6</v>
      </c>
      <c r="C21" s="82">
        <v>-26</v>
      </c>
      <c r="D21" s="82">
        <v>-30</v>
      </c>
      <c r="E21" s="81">
        <v>58</v>
      </c>
      <c r="F21" s="6">
        <v>1.1200000000000001</v>
      </c>
      <c r="G21" s="81">
        <v>4938</v>
      </c>
      <c r="H21" s="212" t="s">
        <v>1212</v>
      </c>
      <c r="I21" s="160" t="s">
        <v>3934</v>
      </c>
      <c r="J21" s="75">
        <v>67.14</v>
      </c>
      <c r="K21" s="330">
        <v>35.020000000000003</v>
      </c>
      <c r="L21" s="75">
        <v>1.65</v>
      </c>
      <c r="M21" s="330">
        <v>4.3600000000000003</v>
      </c>
      <c r="N21" s="325">
        <f>K21+J21+L21+M21</f>
        <v>108.17</v>
      </c>
      <c r="O21" s="27"/>
      <c r="P21" s="56" t="s">
        <v>6329</v>
      </c>
      <c r="Q21" s="26" t="s">
        <v>6316</v>
      </c>
      <c r="R21" s="308" t="s">
        <v>4373</v>
      </c>
      <c r="S21" s="330">
        <v>3.76</v>
      </c>
      <c r="T21" s="401">
        <v>5</v>
      </c>
      <c r="U21" s="366">
        <f>T21/W21</f>
        <v>7.1022727272727265E-2</v>
      </c>
      <c r="V21" s="58">
        <v>6.58</v>
      </c>
      <c r="W21" s="168">
        <f>RTD("money.excel",,"4938","Price")</f>
        <v>70.400000000000006</v>
      </c>
      <c r="X21" s="66">
        <f>73.1-4.49</f>
        <v>68.61</v>
      </c>
      <c r="Y21" s="169">
        <f>W21-X21</f>
        <v>1.7900000000000063</v>
      </c>
      <c r="Z21" s="165">
        <f>Y21/X21</f>
        <v>2.6089491327794874E-2</v>
      </c>
      <c r="AA21" s="102" t="s">
        <v>6518</v>
      </c>
      <c r="AB21" s="160" t="s">
        <v>3934</v>
      </c>
      <c r="AC21" s="131"/>
      <c r="AD21" s="88">
        <v>44560</v>
      </c>
      <c r="AE21" s="19" t="s">
        <v>1188</v>
      </c>
      <c r="AF21" s="41"/>
      <c r="AG21" s="240">
        <f>W21*AE21*1000</f>
        <v>70400</v>
      </c>
      <c r="AH21" s="160" t="s">
        <v>3934</v>
      </c>
      <c r="AI21" s="210">
        <f>AJ21/(A21*10000)</f>
        <v>6.0409774436090222E-3</v>
      </c>
      <c r="AJ21" s="313">
        <f>RTD("money.excel",,"4938","PredictVolume")</f>
        <v>16069</v>
      </c>
      <c r="AK21" s="22">
        <v>5.44</v>
      </c>
      <c r="AL21" s="41" t="s">
        <v>6538</v>
      </c>
      <c r="AM21" s="308"/>
    </row>
    <row r="22" spans="1:39">
      <c r="A22" s="132" t="s">
        <v>1809</v>
      </c>
      <c r="B22" s="81">
        <v>285</v>
      </c>
      <c r="C22" s="81">
        <v>110</v>
      </c>
      <c r="D22" s="82">
        <v>-38</v>
      </c>
      <c r="E22" s="81">
        <v>15</v>
      </c>
      <c r="F22" s="58">
        <v>50.43</v>
      </c>
      <c r="G22" s="81">
        <v>4162</v>
      </c>
      <c r="H22" s="8" t="s">
        <v>6142</v>
      </c>
      <c r="I22" s="16" t="s">
        <v>42</v>
      </c>
      <c r="J22" s="75">
        <v>44.53</v>
      </c>
      <c r="K22" s="75">
        <v>5.33</v>
      </c>
      <c r="L22" s="75">
        <v>29.09</v>
      </c>
      <c r="M22" s="330">
        <v>33.22</v>
      </c>
      <c r="N22" s="325">
        <f t="shared" ref="N22" si="15">K22+J22+L22+M22</f>
        <v>112.17</v>
      </c>
      <c r="O22" s="27" t="s">
        <v>6329</v>
      </c>
      <c r="P22" s="56" t="s">
        <v>6329</v>
      </c>
      <c r="Q22" s="26" t="s">
        <v>6329</v>
      </c>
      <c r="R22" s="308" t="s">
        <v>4373</v>
      </c>
      <c r="S22" s="330">
        <v>1.04</v>
      </c>
      <c r="T22" s="399">
        <v>2.7</v>
      </c>
      <c r="U22" s="366">
        <f t="shared" si="7"/>
        <v>3.3251231527093597E-2</v>
      </c>
      <c r="V22" s="97">
        <v>5.77</v>
      </c>
      <c r="W22" s="36">
        <f>RTD("money.excel",,"4162","Price")</f>
        <v>81.2</v>
      </c>
      <c r="X22" s="67">
        <v>79.2</v>
      </c>
      <c r="Y22" s="15">
        <f t="shared" ref="Y22" si="16">W22-X22</f>
        <v>2</v>
      </c>
      <c r="Z22" s="64">
        <f t="shared" ref="Z22" si="17">Y22/X22</f>
        <v>2.5252525252525252E-2</v>
      </c>
      <c r="AA22" s="104" t="s">
        <v>1714</v>
      </c>
      <c r="AB22" s="16" t="s">
        <v>42</v>
      </c>
      <c r="AC22" s="131"/>
      <c r="AD22" s="88">
        <v>44566</v>
      </c>
      <c r="AE22" s="41" t="s">
        <v>1581</v>
      </c>
      <c r="AF22" s="41"/>
      <c r="AG22" s="240">
        <f>W22*AE22*1000</f>
        <v>0</v>
      </c>
      <c r="AH22" s="16" t="s">
        <v>42</v>
      </c>
      <c r="AI22" s="345">
        <f t="shared" si="9"/>
        <v>7.1506849315068496E-2</v>
      </c>
      <c r="AJ22" s="313">
        <f>RTD("money.excel",,"4162","PredictVolume")</f>
        <v>10440</v>
      </c>
      <c r="AK22" s="22">
        <v>13.7</v>
      </c>
      <c r="AL22" s="41" t="s">
        <v>6536</v>
      </c>
    </row>
    <row r="23" spans="1:39">
      <c r="A23" s="148" t="s">
        <v>2157</v>
      </c>
      <c r="B23" s="82">
        <v>-119</v>
      </c>
      <c r="C23" s="82">
        <v>-289</v>
      </c>
      <c r="D23" s="82">
        <v>-31</v>
      </c>
      <c r="E23" s="82">
        <v>-7</v>
      </c>
      <c r="F23" s="6">
        <v>-44.61</v>
      </c>
      <c r="G23" s="82">
        <v>4128</v>
      </c>
      <c r="H23" s="5" t="s">
        <v>6142</v>
      </c>
      <c r="I23" s="16" t="s">
        <v>651</v>
      </c>
      <c r="J23" s="75">
        <v>49.46</v>
      </c>
      <c r="K23" s="330">
        <v>6.15</v>
      </c>
      <c r="L23" s="330">
        <v>13.19</v>
      </c>
      <c r="M23" s="75">
        <v>8.3000000000000007</v>
      </c>
      <c r="N23" s="325">
        <f>K23+J23+L23+M23</f>
        <v>77.099999999999994</v>
      </c>
      <c r="O23" s="27" t="s">
        <v>6329</v>
      </c>
      <c r="P23" s="56" t="s">
        <v>6329</v>
      </c>
      <c r="Q23" s="26" t="s">
        <v>6333</v>
      </c>
      <c r="R23" s="308" t="s">
        <v>4372</v>
      </c>
      <c r="S23" s="330">
        <v>1.79</v>
      </c>
      <c r="T23" s="34">
        <v>0.98</v>
      </c>
      <c r="U23" s="366">
        <f>T23/W23</f>
        <v>1.6955017301038062E-2</v>
      </c>
      <c r="V23" s="97">
        <v>-5.09</v>
      </c>
      <c r="W23" s="36">
        <f>RTD("money.excel",,"4128","Price")</f>
        <v>57.8</v>
      </c>
      <c r="X23" s="233">
        <f>57.1</f>
        <v>57.1</v>
      </c>
      <c r="Y23" s="15">
        <f>W23-X23</f>
        <v>0.69999999999999574</v>
      </c>
      <c r="Z23" s="64">
        <f>Y23/X23</f>
        <v>1.2259194395796773E-2</v>
      </c>
      <c r="AA23" s="104" t="s">
        <v>6516</v>
      </c>
      <c r="AB23" s="16" t="s">
        <v>651</v>
      </c>
      <c r="AC23" s="88"/>
      <c r="AD23" s="86">
        <v>44564</v>
      </c>
      <c r="AE23" s="19" t="s">
        <v>4046</v>
      </c>
      <c r="AF23" s="41" t="s">
        <v>1188</v>
      </c>
      <c r="AG23" s="240">
        <f>W23*AE23*1000</f>
        <v>346799.99999999994</v>
      </c>
      <c r="AH23" s="16" t="s">
        <v>651</v>
      </c>
      <c r="AI23" s="64">
        <f>AJ23/(A23*10000)</f>
        <v>2.5665236051502145E-3</v>
      </c>
      <c r="AJ23" s="313">
        <f>RTD("money.excel",,"4128","PredictVolume")</f>
        <v>1196</v>
      </c>
      <c r="AK23" s="22">
        <v>10.29</v>
      </c>
    </row>
    <row r="24" spans="1:39">
      <c r="A24" s="148" t="s">
        <v>2267</v>
      </c>
      <c r="B24" s="81">
        <v>5</v>
      </c>
      <c r="C24" s="81">
        <v>70</v>
      </c>
      <c r="D24" s="82">
        <v>-33</v>
      </c>
      <c r="E24" s="81">
        <v>5</v>
      </c>
      <c r="F24" s="6">
        <v>4.54</v>
      </c>
      <c r="G24" s="82">
        <v>3015</v>
      </c>
      <c r="H24" s="5" t="s">
        <v>4155</v>
      </c>
      <c r="I24" s="22" t="s">
        <v>418</v>
      </c>
      <c r="J24" s="75">
        <v>54.84</v>
      </c>
      <c r="K24" s="330">
        <v>12.06</v>
      </c>
      <c r="L24" s="330">
        <v>5.69</v>
      </c>
      <c r="M24" s="330">
        <v>24.25</v>
      </c>
      <c r="N24" s="325">
        <f>K24+J24+L24+M24</f>
        <v>96.84</v>
      </c>
      <c r="O24" s="27" t="s">
        <v>6329</v>
      </c>
      <c r="P24" s="56" t="s">
        <v>6329</v>
      </c>
      <c r="Q24" s="26" t="s">
        <v>6345</v>
      </c>
      <c r="R24" s="308" t="s">
        <v>4374</v>
      </c>
      <c r="S24" s="330">
        <v>0.89</v>
      </c>
      <c r="T24" s="67">
        <v>3</v>
      </c>
      <c r="U24" s="366">
        <f>T24/W24</f>
        <v>6.8886337543053969E-2</v>
      </c>
      <c r="V24" s="58">
        <v>3.68</v>
      </c>
      <c r="W24" s="36">
        <f>RTD("money.excel",,"3015","Price")</f>
        <v>43.55</v>
      </c>
      <c r="X24" s="233">
        <v>44.4</v>
      </c>
      <c r="Y24" s="15">
        <f>W24-X24</f>
        <v>-0.85000000000000142</v>
      </c>
      <c r="Z24" s="78">
        <f>Y24/X24</f>
        <v>-1.9144144144144178E-2</v>
      </c>
      <c r="AA24" s="103" t="s">
        <v>6519</v>
      </c>
      <c r="AB24" s="22" t="s">
        <v>418</v>
      </c>
      <c r="AC24" s="131">
        <v>44564</v>
      </c>
      <c r="AD24" s="86"/>
      <c r="AE24" s="19" t="s">
        <v>1188</v>
      </c>
      <c r="AF24" s="61"/>
      <c r="AG24" s="240">
        <f t="shared" ref="AG24" si="18">W24*AE24*1000</f>
        <v>43550</v>
      </c>
      <c r="AH24" s="22" t="s">
        <v>418</v>
      </c>
      <c r="AI24" s="64">
        <f>AJ24/(A24*10000)</f>
        <v>1.6577540106951871E-3</v>
      </c>
      <c r="AJ24" s="313">
        <f>RTD("money.excel",,"3015","PredictVolume")</f>
        <v>310</v>
      </c>
      <c r="AK24" s="22">
        <v>8.9499999999999993</v>
      </c>
    </row>
    <row r="25" spans="1:39">
      <c r="A25" s="132" t="s">
        <v>3566</v>
      </c>
      <c r="B25" s="82">
        <v>-17</v>
      </c>
      <c r="C25" s="82">
        <v>-28</v>
      </c>
      <c r="D25" s="82">
        <v>-39</v>
      </c>
      <c r="E25" s="82">
        <v>-10</v>
      </c>
      <c r="F25" s="58">
        <v>12.81</v>
      </c>
      <c r="G25" s="82">
        <v>5223</v>
      </c>
      <c r="H25" s="197" t="s">
        <v>1212</v>
      </c>
      <c r="I25" s="16" t="s">
        <v>2713</v>
      </c>
      <c r="J25" s="75">
        <v>53.28</v>
      </c>
      <c r="K25" s="330">
        <v>42.98</v>
      </c>
      <c r="L25" s="330">
        <v>17.97</v>
      </c>
      <c r="M25" s="75">
        <v>43.28</v>
      </c>
      <c r="N25" s="75">
        <f t="shared" ref="N25" si="19">K25+J25+L25+M25</f>
        <v>157.51</v>
      </c>
      <c r="O25" s="27" t="s">
        <v>6316</v>
      </c>
      <c r="P25" s="56" t="s">
        <v>6339</v>
      </c>
      <c r="Q25" s="26" t="s">
        <v>6344</v>
      </c>
      <c r="R25" s="308" t="s">
        <v>4373</v>
      </c>
      <c r="S25" s="330">
        <v>0.43</v>
      </c>
      <c r="T25" s="399">
        <v>2.7</v>
      </c>
      <c r="U25" s="366">
        <f t="shared" si="7"/>
        <v>5.252918287937744E-2</v>
      </c>
      <c r="V25" s="58">
        <v>5.67</v>
      </c>
      <c r="W25" s="13">
        <f>RTD("money.excel",,"5223","Price")</f>
        <v>51.4</v>
      </c>
      <c r="X25" s="67">
        <v>53.3</v>
      </c>
      <c r="Y25" s="15">
        <f>W25-X25</f>
        <v>-1.8999999999999986</v>
      </c>
      <c r="Z25" s="78">
        <f>Y25/X25</f>
        <v>-3.5647279549718552E-2</v>
      </c>
      <c r="AA25" s="141" t="s">
        <v>6520</v>
      </c>
      <c r="AB25" s="16" t="s">
        <v>2713</v>
      </c>
      <c r="AC25" s="131">
        <v>44564</v>
      </c>
      <c r="AD25" s="88"/>
      <c r="AE25" s="19" t="s">
        <v>1189</v>
      </c>
      <c r="AF25" s="41"/>
      <c r="AG25" s="240">
        <f>W25*AE25*1000</f>
        <v>205600</v>
      </c>
      <c r="AH25" s="16" t="s">
        <v>2713</v>
      </c>
      <c r="AI25" s="64">
        <f t="shared" si="9"/>
        <v>2.0224719101123595E-4</v>
      </c>
      <c r="AJ25" s="313">
        <f>RTD("money.excel",,"5223","PredictVolume")</f>
        <v>9</v>
      </c>
      <c r="AK25" s="22">
        <v>43.31</v>
      </c>
    </row>
    <row r="26" spans="1:39">
      <c r="A26" s="132" t="s">
        <v>1860</v>
      </c>
      <c r="B26" s="81">
        <v>53</v>
      </c>
      <c r="C26" s="81">
        <v>69</v>
      </c>
      <c r="D26" s="82">
        <v>-9</v>
      </c>
      <c r="E26" s="82">
        <v>-19</v>
      </c>
      <c r="F26" s="58">
        <v>32.22</v>
      </c>
      <c r="G26" s="81">
        <v>5471</v>
      </c>
      <c r="H26" s="8" t="s">
        <v>3761</v>
      </c>
      <c r="I26" s="22" t="s">
        <v>381</v>
      </c>
      <c r="J26" s="75">
        <v>25.2</v>
      </c>
      <c r="K26" s="75">
        <v>14.69</v>
      </c>
      <c r="L26" s="75">
        <v>17.489999999999998</v>
      </c>
      <c r="M26" s="330">
        <v>11.18</v>
      </c>
      <c r="N26" s="325">
        <f t="shared" ref="N26" si="20">K26+J26+L26+M26</f>
        <v>68.56</v>
      </c>
      <c r="P26" s="56" t="s">
        <v>6339</v>
      </c>
      <c r="Q26" s="26" t="s">
        <v>6324</v>
      </c>
      <c r="R26" s="308" t="s">
        <v>4374</v>
      </c>
      <c r="S26" s="330">
        <v>5.82</v>
      </c>
      <c r="T26" s="399">
        <v>7</v>
      </c>
      <c r="U26" s="366">
        <f t="shared" si="7"/>
        <v>8.1018518518518517E-2</v>
      </c>
      <c r="V26" s="97">
        <v>8.57</v>
      </c>
      <c r="W26" s="36">
        <f>RTD("money.excel",,"5471","Price")</f>
        <v>86.4</v>
      </c>
      <c r="X26" s="67">
        <v>91.8</v>
      </c>
      <c r="Y26" s="15">
        <f t="shared" ref="Y26" si="21">W26-X26</f>
        <v>-5.3999999999999915</v>
      </c>
      <c r="Z26" s="78">
        <f t="shared" ref="Z26" si="22">Y26/X26</f>
        <v>-5.8823529411764615E-2</v>
      </c>
      <c r="AA26" s="103" t="s">
        <v>6521</v>
      </c>
      <c r="AB26" s="22" t="s">
        <v>381</v>
      </c>
      <c r="AC26" s="88"/>
      <c r="AD26" s="86">
        <v>44566</v>
      </c>
      <c r="AE26" s="19" t="s">
        <v>1583</v>
      </c>
      <c r="AF26" s="41"/>
      <c r="AG26" s="240">
        <f>W26*AE26*1000</f>
        <v>172800</v>
      </c>
      <c r="AH26" s="22" t="s">
        <v>381</v>
      </c>
      <c r="AI26" s="210">
        <f t="shared" si="9"/>
        <v>6.0419161676646708E-3</v>
      </c>
      <c r="AJ26" s="313">
        <f>RTD("money.excel",,"5471","PredictVolume")</f>
        <v>1009</v>
      </c>
      <c r="AK26" s="22">
        <v>35.799999999999997</v>
      </c>
      <c r="AL26" s="41" t="s">
        <v>6538</v>
      </c>
    </row>
    <row r="27" spans="1:39">
      <c r="A27" s="132" t="s">
        <v>1955</v>
      </c>
      <c r="B27" s="81">
        <v>23</v>
      </c>
      <c r="C27" s="81">
        <v>22</v>
      </c>
      <c r="D27" s="82">
        <v>-4</v>
      </c>
      <c r="E27" s="81">
        <v>14</v>
      </c>
      <c r="F27" s="58">
        <v>11.17</v>
      </c>
      <c r="G27" s="82">
        <v>1309</v>
      </c>
      <c r="H27" s="8" t="s">
        <v>311</v>
      </c>
      <c r="I27" s="22" t="s">
        <v>336</v>
      </c>
      <c r="J27" s="330">
        <v>42.23</v>
      </c>
      <c r="K27" s="330">
        <v>2.96</v>
      </c>
      <c r="L27" s="330">
        <v>7.76</v>
      </c>
      <c r="M27" s="330">
        <v>39.380000000000003</v>
      </c>
      <c r="N27" s="325">
        <f t="shared" ref="N27" si="23">K27+J27+L27+M27</f>
        <v>92.33</v>
      </c>
      <c r="P27" s="56" t="s">
        <v>6341</v>
      </c>
      <c r="Q27" s="26" t="s">
        <v>6324</v>
      </c>
      <c r="R27" s="308" t="s">
        <v>4374</v>
      </c>
      <c r="S27" s="330">
        <v>4.0999999999999996</v>
      </c>
      <c r="T27" s="399">
        <v>2.5</v>
      </c>
      <c r="U27" s="366">
        <f>T27/W27</f>
        <v>7.4738415545590423E-2</v>
      </c>
      <c r="V27" s="97">
        <v>6.21</v>
      </c>
      <c r="W27" s="36">
        <f>RTD("money.excel",,"1309","Price")</f>
        <v>33.450000000000003</v>
      </c>
      <c r="X27" s="67">
        <v>35.549999999999997</v>
      </c>
      <c r="Y27" s="15">
        <f>W27-X27</f>
        <v>-2.0999999999999943</v>
      </c>
      <c r="Z27" s="78">
        <f>Y27/X27</f>
        <v>-5.9071729957805755E-2</v>
      </c>
      <c r="AA27" s="103" t="s">
        <v>6238</v>
      </c>
      <c r="AB27" s="22" t="s">
        <v>336</v>
      </c>
      <c r="AD27" s="88">
        <v>44565</v>
      </c>
      <c r="AE27" s="19" t="s">
        <v>1188</v>
      </c>
      <c r="AF27" s="61"/>
      <c r="AG27" s="240">
        <f t="shared" ref="AG27" si="24">W27*AE27*1000</f>
        <v>33450</v>
      </c>
      <c r="AH27" s="22" t="s">
        <v>336</v>
      </c>
      <c r="AI27" s="64">
        <f>AJ27/(A27*10000)</f>
        <v>3.7539682539682539E-3</v>
      </c>
      <c r="AJ27" s="313">
        <f>RTD("money.excel",,"1309","PredictVolume")</f>
        <v>1419</v>
      </c>
      <c r="AK27" s="22">
        <v>37.53</v>
      </c>
    </row>
    <row r="28" spans="1:39">
      <c r="A28" s="132" t="s">
        <v>3591</v>
      </c>
      <c r="B28" s="82">
        <v>-27</v>
      </c>
      <c r="C28" s="82">
        <v>-36</v>
      </c>
      <c r="D28" s="82">
        <v>-2</v>
      </c>
      <c r="E28" s="81">
        <v>4</v>
      </c>
      <c r="F28" s="58">
        <v>11.44</v>
      </c>
      <c r="G28" s="82">
        <v>4163</v>
      </c>
      <c r="H28" s="5" t="s">
        <v>6142</v>
      </c>
      <c r="I28" s="16" t="s">
        <v>154</v>
      </c>
      <c r="J28" s="330">
        <v>34.32</v>
      </c>
      <c r="K28" s="330">
        <v>2.65</v>
      </c>
      <c r="L28" s="75">
        <v>1.81</v>
      </c>
      <c r="M28" s="75">
        <v>14.58</v>
      </c>
      <c r="N28" s="325">
        <f t="shared" ref="N28" si="25">K28+J28+L28+M28</f>
        <v>53.36</v>
      </c>
      <c r="O28" s="27" t="s">
        <v>6329</v>
      </c>
      <c r="P28" s="56" t="s">
        <v>6329</v>
      </c>
      <c r="Q28" s="26" t="s">
        <v>6329</v>
      </c>
      <c r="R28" s="308" t="s">
        <v>4373</v>
      </c>
      <c r="S28" s="330">
        <v>0.36</v>
      </c>
      <c r="T28" s="67">
        <v>3.5</v>
      </c>
      <c r="U28" s="366">
        <f>T28/W28</f>
        <v>4.2372881355932208E-2</v>
      </c>
      <c r="V28" s="97">
        <v>3.96</v>
      </c>
      <c r="W28" s="36">
        <f>RTD("money.excel",,"4163","Price")</f>
        <v>82.6</v>
      </c>
      <c r="X28" s="233">
        <f>91.7-3.5</f>
        <v>88.2</v>
      </c>
      <c r="Y28" s="15">
        <f>W28-X28</f>
        <v>-5.6000000000000085</v>
      </c>
      <c r="Z28" s="78">
        <f>Y28/X28</f>
        <v>-6.3492063492063586E-2</v>
      </c>
      <c r="AA28" s="141" t="s">
        <v>6522</v>
      </c>
      <c r="AB28" s="16" t="s">
        <v>154</v>
      </c>
      <c r="AC28" s="88">
        <v>44559</v>
      </c>
      <c r="AD28" s="88"/>
      <c r="AE28" s="19" t="s">
        <v>1583</v>
      </c>
      <c r="AF28" s="41" t="s">
        <v>1188</v>
      </c>
      <c r="AG28" s="240">
        <f t="shared" ref="AG28" si="26">W28*AE28*1000</f>
        <v>165200</v>
      </c>
      <c r="AH28" s="16" t="s">
        <v>154</v>
      </c>
      <c r="AI28" s="64">
        <f>AJ28/(A28*10000)</f>
        <v>2.2774327122153208E-4</v>
      </c>
      <c r="AJ28" s="313">
        <f>RTD("money.excel",,"4163","PredictVolume")</f>
        <v>11</v>
      </c>
      <c r="AK28" s="22">
        <v>0.74</v>
      </c>
    </row>
    <row r="29" spans="1:39">
      <c r="A29" s="148" t="s">
        <v>2559</v>
      </c>
      <c r="B29" s="81">
        <v>25</v>
      </c>
      <c r="C29" s="81">
        <v>23</v>
      </c>
      <c r="D29" s="82">
        <v>-4</v>
      </c>
      <c r="E29" s="81">
        <v>31</v>
      </c>
      <c r="F29" s="6">
        <v>7.59</v>
      </c>
      <c r="G29" s="82">
        <v>4958</v>
      </c>
      <c r="H29" s="210" t="s">
        <v>4155</v>
      </c>
      <c r="I29" s="22" t="s">
        <v>27</v>
      </c>
      <c r="J29" s="330">
        <v>69.77</v>
      </c>
      <c r="K29" s="330">
        <v>60.82</v>
      </c>
      <c r="L29" s="75">
        <v>4.21</v>
      </c>
      <c r="M29" s="75">
        <v>32.72</v>
      </c>
      <c r="N29" s="75">
        <f>K29+J29+L29+M29</f>
        <v>167.52</v>
      </c>
      <c r="P29" s="56" t="s">
        <v>6329</v>
      </c>
      <c r="Q29" s="26" t="s">
        <v>6329</v>
      </c>
      <c r="R29" s="308" t="s">
        <v>4374</v>
      </c>
      <c r="S29" s="330">
        <v>2.6</v>
      </c>
      <c r="T29" s="67">
        <v>4.5</v>
      </c>
      <c r="U29" s="366">
        <f t="shared" ref="U29:U32" si="27">T29/W29</f>
        <v>4.7669491525423727E-2</v>
      </c>
      <c r="V29" s="58">
        <v>9.7200000000000006</v>
      </c>
      <c r="W29" s="13">
        <f>RTD("money.excel",,"4958","Price")</f>
        <v>94.4</v>
      </c>
      <c r="X29" s="233">
        <f>106-4.5</f>
        <v>101.5</v>
      </c>
      <c r="Y29" s="15">
        <f>W29-X29</f>
        <v>-7.0999999999999943</v>
      </c>
      <c r="Z29" s="78">
        <f>Y29/X29</f>
        <v>-6.9950738916256097E-2</v>
      </c>
      <c r="AA29" s="103" t="s">
        <v>6523</v>
      </c>
      <c r="AB29" s="22" t="s">
        <v>27</v>
      </c>
      <c r="AC29" s="131"/>
      <c r="AD29" s="86">
        <v>44565</v>
      </c>
      <c r="AE29" s="19" t="s">
        <v>1632</v>
      </c>
      <c r="AF29" s="41"/>
      <c r="AG29" s="240">
        <f t="shared" ref="AG29" si="28">W29*AE29*1000</f>
        <v>283200.00000000006</v>
      </c>
      <c r="AH29" s="22" t="s">
        <v>27</v>
      </c>
      <c r="AI29" s="64">
        <f t="shared" ref="AI29:AI32" si="29">AJ29/(A29*10000)</f>
        <v>1.215417106652587E-3</v>
      </c>
      <c r="AJ29" s="313">
        <f>RTD("money.excel",,"4958","PredictVolume")</f>
        <v>1151</v>
      </c>
      <c r="AK29" s="22">
        <v>1.89</v>
      </c>
    </row>
    <row r="30" spans="1:39">
      <c r="A30" s="148" t="s">
        <v>3662</v>
      </c>
      <c r="B30" s="81">
        <v>24</v>
      </c>
      <c r="C30" s="82">
        <v>-19</v>
      </c>
      <c r="D30" s="82">
        <v>-1</v>
      </c>
      <c r="E30" s="82">
        <v>-14</v>
      </c>
      <c r="F30" s="6">
        <v>5.91</v>
      </c>
      <c r="G30" s="82">
        <v>6179</v>
      </c>
      <c r="H30" s="8" t="s">
        <v>2303</v>
      </c>
      <c r="I30" s="16" t="s">
        <v>692</v>
      </c>
      <c r="J30" s="75">
        <v>43.92</v>
      </c>
      <c r="K30" s="75">
        <v>0.57999999999999996</v>
      </c>
      <c r="L30" s="330">
        <v>16.8</v>
      </c>
      <c r="M30" s="330">
        <v>15.63</v>
      </c>
      <c r="N30" s="325">
        <f>K30+J30+L30+M30</f>
        <v>76.929999999999993</v>
      </c>
      <c r="O30" s="27" t="s">
        <v>6329</v>
      </c>
      <c r="P30" s="56" t="s">
        <v>6329</v>
      </c>
      <c r="Q30" s="26" t="s">
        <v>6316</v>
      </c>
      <c r="R30" s="308" t="s">
        <v>4373</v>
      </c>
      <c r="S30" s="330">
        <v>0.67</v>
      </c>
      <c r="T30" s="34">
        <v>1.88</v>
      </c>
      <c r="U30" s="366">
        <f t="shared" si="27"/>
        <v>6.7625899280575538E-2</v>
      </c>
      <c r="V30" s="97">
        <v>2.72</v>
      </c>
      <c r="W30" s="36">
        <f>RTD("money.excel",,"6179","Price")</f>
        <v>27.8</v>
      </c>
      <c r="X30" s="233">
        <v>30.75</v>
      </c>
      <c r="Y30" s="15">
        <f>W30-X30</f>
        <v>-2.9499999999999993</v>
      </c>
      <c r="Z30" s="78">
        <f>Y30/X30</f>
        <v>-9.5934959349593479E-2</v>
      </c>
      <c r="AA30" s="141" t="s">
        <v>6524</v>
      </c>
      <c r="AB30" s="16" t="s">
        <v>692</v>
      </c>
      <c r="AC30" s="88">
        <v>44566</v>
      </c>
      <c r="AD30" s="88"/>
      <c r="AE30" s="19" t="s">
        <v>1188</v>
      </c>
      <c r="AF30" s="41"/>
      <c r="AG30" s="240">
        <f>W30*AE30*1000</f>
        <v>27800</v>
      </c>
      <c r="AH30" s="16" t="s">
        <v>692</v>
      </c>
      <c r="AI30" s="64">
        <f t="shared" si="29"/>
        <v>7.1509648127128262E-4</v>
      </c>
      <c r="AJ30" s="313">
        <f>RTD("money.excel",,"6179","PredictVolume")</f>
        <v>63</v>
      </c>
      <c r="AK30" s="22">
        <v>4.28</v>
      </c>
    </row>
    <row r="31" spans="1:39" s="273" customFormat="1">
      <c r="A31" s="132" t="s">
        <v>1982</v>
      </c>
      <c r="B31" s="81">
        <v>23</v>
      </c>
      <c r="C31" s="81">
        <v>35</v>
      </c>
      <c r="D31" s="82">
        <v>-10</v>
      </c>
      <c r="E31" s="81">
        <v>22</v>
      </c>
      <c r="F31" s="58">
        <v>24.05</v>
      </c>
      <c r="G31" s="81">
        <v>6592</v>
      </c>
      <c r="H31" s="5" t="s">
        <v>2303</v>
      </c>
      <c r="I31" s="160" t="s">
        <v>1973</v>
      </c>
      <c r="J31" s="330">
        <v>79.069999999999993</v>
      </c>
      <c r="K31" s="330">
        <v>28.45</v>
      </c>
      <c r="L31" s="330">
        <v>1.43</v>
      </c>
      <c r="M31" s="75">
        <v>68.400000000000006</v>
      </c>
      <c r="N31" s="75">
        <f>K31+J31+L31+M31</f>
        <v>177.35000000000002</v>
      </c>
      <c r="O31" s="27" t="s">
        <v>6329</v>
      </c>
      <c r="P31" s="56" t="s">
        <v>6329</v>
      </c>
      <c r="Q31" s="26" t="s">
        <v>6329</v>
      </c>
      <c r="R31" s="308" t="s">
        <v>4373</v>
      </c>
      <c r="S31" s="330">
        <v>0.37</v>
      </c>
      <c r="T31" s="401">
        <v>4.2</v>
      </c>
      <c r="U31" s="366">
        <f>T31/W31</f>
        <v>3.7499999999999999E-2</v>
      </c>
      <c r="V31" s="58">
        <v>5.73</v>
      </c>
      <c r="W31" s="168">
        <f>RTD("money.excel",,"6592","Price")</f>
        <v>112</v>
      </c>
      <c r="X31" s="66">
        <v>125</v>
      </c>
      <c r="Y31" s="169">
        <f t="shared" ref="Y31" si="30">W31-X31</f>
        <v>-13</v>
      </c>
      <c r="Z31" s="171">
        <f t="shared" ref="Z31" si="31">Y31/X31</f>
        <v>-0.104</v>
      </c>
      <c r="AA31" s="103" t="s">
        <v>6525</v>
      </c>
      <c r="AB31" s="160" t="s">
        <v>1973</v>
      </c>
      <c r="AC31" s="88">
        <v>44554</v>
      </c>
      <c r="AD31" s="86"/>
      <c r="AE31" s="19" t="s">
        <v>1581</v>
      </c>
      <c r="AF31" s="41"/>
      <c r="AG31" s="240">
        <f>W31*AE31*1000</f>
        <v>0</v>
      </c>
      <c r="AH31" s="160" t="s">
        <v>1973</v>
      </c>
      <c r="AI31" s="64">
        <f>AJ31/(A31*10000)</f>
        <v>1.9922330097087377E-3</v>
      </c>
      <c r="AJ31" s="313">
        <f>RTD("money.excel",,"6592","PredictVolume")</f>
        <v>1026</v>
      </c>
      <c r="AK31" s="22">
        <v>1.1200000000000001</v>
      </c>
      <c r="AL31" s="41"/>
      <c r="AM31" s="308"/>
    </row>
    <row r="32" spans="1:39">
      <c r="A32" s="148" t="s">
        <v>3545</v>
      </c>
      <c r="B32" s="81">
        <v>256</v>
      </c>
      <c r="C32" s="81">
        <v>355</v>
      </c>
      <c r="D32" s="82">
        <v>-46</v>
      </c>
      <c r="E32" s="81">
        <v>25</v>
      </c>
      <c r="F32" s="6">
        <v>5.64</v>
      </c>
      <c r="G32" s="82">
        <v>3162</v>
      </c>
      <c r="H32" s="5" t="s">
        <v>313</v>
      </c>
      <c r="I32" s="16" t="s">
        <v>566</v>
      </c>
      <c r="J32" s="75">
        <v>53.99</v>
      </c>
      <c r="K32" s="330">
        <v>51.69</v>
      </c>
      <c r="L32" s="75">
        <v>17.350000000000001</v>
      </c>
      <c r="M32" s="330">
        <v>39.03</v>
      </c>
      <c r="N32" s="75">
        <f t="shared" ref="N32" si="32">K32+J32+L32+M32</f>
        <v>162.06</v>
      </c>
      <c r="O32" s="27" t="s">
        <v>6329</v>
      </c>
      <c r="P32" s="56" t="s">
        <v>6329</v>
      </c>
      <c r="Q32" s="26" t="s">
        <v>6329</v>
      </c>
      <c r="R32" s="308" t="s">
        <v>4373</v>
      </c>
      <c r="S32" s="330">
        <v>0.28999999999999998</v>
      </c>
      <c r="T32" s="34">
        <v>0</v>
      </c>
      <c r="U32" s="366">
        <f t="shared" si="27"/>
        <v>0</v>
      </c>
      <c r="V32" s="58">
        <v>0.79</v>
      </c>
      <c r="W32" s="13">
        <f>RTD("money.excel",,"3162","Price")</f>
        <v>41.25</v>
      </c>
      <c r="X32" s="233">
        <v>46.2</v>
      </c>
      <c r="Y32" s="15">
        <f t="shared" ref="Y32" si="33">W32-X32</f>
        <v>-4.9500000000000028</v>
      </c>
      <c r="Z32" s="78">
        <f t="shared" ref="Z32" si="34">Y32/X32</f>
        <v>-0.10714285714285719</v>
      </c>
      <c r="AA32" s="141" t="s">
        <v>6264</v>
      </c>
      <c r="AB32" s="16" t="s">
        <v>566</v>
      </c>
      <c r="AC32" s="88">
        <v>44557</v>
      </c>
      <c r="AD32" s="120"/>
      <c r="AE32" s="19" t="s">
        <v>1188</v>
      </c>
      <c r="AF32" s="43"/>
      <c r="AG32" s="240">
        <f t="shared" ref="AG32" si="35">W32*AE32*1000</f>
        <v>41250</v>
      </c>
      <c r="AH32" s="16" t="s">
        <v>566</v>
      </c>
      <c r="AI32" s="64">
        <f t="shared" si="29"/>
        <v>1.0642201834862386E-3</v>
      </c>
      <c r="AJ32" s="313">
        <f>RTD("money.excel",,"3162","PredictVolume")</f>
        <v>116</v>
      </c>
      <c r="AK32" s="22">
        <v>6.96</v>
      </c>
    </row>
    <row r="33" spans="1:39" s="273" customFormat="1">
      <c r="A33" s="132" t="s">
        <v>1839</v>
      </c>
      <c r="B33" s="81">
        <v>58</v>
      </c>
      <c r="C33" s="81">
        <v>78</v>
      </c>
      <c r="D33" s="82">
        <v>-1</v>
      </c>
      <c r="E33" s="82">
        <v>-23</v>
      </c>
      <c r="F33" s="58">
        <v>28.32</v>
      </c>
      <c r="G33" s="82">
        <v>3374</v>
      </c>
      <c r="H33" s="197" t="s">
        <v>3761</v>
      </c>
      <c r="I33" s="16" t="s">
        <v>180</v>
      </c>
      <c r="J33" s="75">
        <v>47.4</v>
      </c>
      <c r="K33" s="75">
        <v>6.33</v>
      </c>
      <c r="L33" s="330">
        <v>16.7</v>
      </c>
      <c r="M33" s="75">
        <v>41.22</v>
      </c>
      <c r="N33" s="325">
        <f t="shared" ref="N33:N35" si="36">K33+J33+L33+M33</f>
        <v>111.64999999999999</v>
      </c>
      <c r="O33" s="27"/>
      <c r="P33" s="56" t="s">
        <v>6333</v>
      </c>
      <c r="Q33" s="26" t="s">
        <v>6346</v>
      </c>
      <c r="R33" s="308" t="s">
        <v>4374</v>
      </c>
      <c r="S33" s="330">
        <v>3.84</v>
      </c>
      <c r="T33" s="399">
        <v>3</v>
      </c>
      <c r="U33" s="366">
        <f t="shared" si="7"/>
        <v>2.5104602510460251E-2</v>
      </c>
      <c r="V33" s="97">
        <v>8.31</v>
      </c>
      <c r="W33" s="36">
        <f>RTD("money.excel",,"3374","Price")</f>
        <v>119.5</v>
      </c>
      <c r="X33" s="66">
        <v>137</v>
      </c>
      <c r="Y33" s="109">
        <f t="shared" ref="Y33" si="37">W33-X33</f>
        <v>-17.5</v>
      </c>
      <c r="Z33" s="171">
        <f t="shared" ref="Z33" si="38">Y33/X33</f>
        <v>-0.12773722627737227</v>
      </c>
      <c r="AA33" s="175" t="s">
        <v>6526</v>
      </c>
      <c r="AB33" s="173" t="s">
        <v>180</v>
      </c>
      <c r="AC33" s="88"/>
      <c r="AD33" s="88">
        <v>44566</v>
      </c>
      <c r="AE33" s="19" t="s">
        <v>3878</v>
      </c>
      <c r="AF33" s="41"/>
      <c r="AG33" s="240">
        <f>W33*AE33*1000</f>
        <v>597500</v>
      </c>
      <c r="AH33" s="16" t="s">
        <v>180</v>
      </c>
      <c r="AI33" s="64">
        <f t="shared" si="9"/>
        <v>2.2804428044280443E-3</v>
      </c>
      <c r="AJ33" s="313">
        <f>RTD("money.excel",,"3374","PredictVolume")</f>
        <v>618</v>
      </c>
      <c r="AK33" s="22">
        <v>24.49</v>
      </c>
      <c r="AL33" s="41"/>
      <c r="AM33" s="308"/>
    </row>
    <row r="34" spans="1:39">
      <c r="A34" s="132" t="s">
        <v>2163</v>
      </c>
      <c r="B34" s="95">
        <v>2947</v>
      </c>
      <c r="C34" s="95">
        <v>2039</v>
      </c>
      <c r="D34" s="82">
        <v>-18</v>
      </c>
      <c r="E34" s="82">
        <v>-40</v>
      </c>
      <c r="F34" s="58">
        <v>10.210000000000001</v>
      </c>
      <c r="G34" s="82">
        <v>3713</v>
      </c>
      <c r="H34" s="8" t="s">
        <v>325</v>
      </c>
      <c r="I34" s="16" t="s">
        <v>2488</v>
      </c>
      <c r="J34" s="330">
        <v>50.75</v>
      </c>
      <c r="K34" s="75">
        <v>0.33</v>
      </c>
      <c r="L34" s="330"/>
      <c r="M34" s="330">
        <v>35.54</v>
      </c>
      <c r="N34" s="325">
        <f>K34+J34+L34+M34</f>
        <v>86.62</v>
      </c>
      <c r="O34" s="27" t="s">
        <v>6329</v>
      </c>
      <c r="P34" s="56" t="s">
        <v>6329</v>
      </c>
      <c r="Q34" s="26" t="s">
        <v>6329</v>
      </c>
      <c r="S34" s="330">
        <v>0.16</v>
      </c>
      <c r="T34" s="34">
        <v>0</v>
      </c>
      <c r="U34" s="366">
        <f>T34/W34</f>
        <v>0</v>
      </c>
      <c r="V34" s="58">
        <v>0.55000000000000004</v>
      </c>
      <c r="W34" s="36">
        <f>RTD("money.excel",,"3713","Price")</f>
        <v>34.5</v>
      </c>
      <c r="X34" s="233">
        <v>40.75</v>
      </c>
      <c r="Y34" s="15">
        <f t="shared" ref="Y34" si="39">W34-X34</f>
        <v>-6.25</v>
      </c>
      <c r="Z34" s="78">
        <f t="shared" ref="Z34" si="40">Y34/X34</f>
        <v>-0.15337423312883436</v>
      </c>
      <c r="AA34" s="103" t="s">
        <v>6527</v>
      </c>
      <c r="AB34" s="16" t="s">
        <v>2488</v>
      </c>
      <c r="AC34" s="88">
        <v>44559</v>
      </c>
      <c r="AD34" s="86"/>
      <c r="AE34" s="19" t="s">
        <v>1583</v>
      </c>
      <c r="AF34" s="41"/>
      <c r="AG34" s="240">
        <f t="shared" ref="AG34" si="41">W34*AE34*1000</f>
        <v>69000</v>
      </c>
      <c r="AH34" s="16" t="s">
        <v>2488</v>
      </c>
      <c r="AI34" s="64">
        <f>AJ34/(A34*10000)</f>
        <v>1.1907810499359795E-3</v>
      </c>
      <c r="AJ34" s="313">
        <f>RTD("money.excel",,"3713","PredictVolume")</f>
        <v>93</v>
      </c>
      <c r="AK34" s="22">
        <v>2.37</v>
      </c>
    </row>
    <row r="35" spans="1:39">
      <c r="A35" s="148" t="s">
        <v>4416</v>
      </c>
      <c r="B35" s="82">
        <v>-103</v>
      </c>
      <c r="C35" s="82">
        <v>-108</v>
      </c>
      <c r="D35" s="82">
        <v>-29</v>
      </c>
      <c r="E35" s="81">
        <v>16</v>
      </c>
      <c r="F35" s="6">
        <v>-1.24</v>
      </c>
      <c r="G35" s="81">
        <v>4130</v>
      </c>
      <c r="H35" s="5" t="s">
        <v>6142</v>
      </c>
      <c r="I35" s="16" t="s">
        <v>653</v>
      </c>
      <c r="J35" s="330">
        <v>29.78</v>
      </c>
      <c r="K35" s="75">
        <v>0.82</v>
      </c>
      <c r="L35" s="330">
        <v>7.89</v>
      </c>
      <c r="M35" s="75">
        <v>27.03</v>
      </c>
      <c r="N35" s="325">
        <f t="shared" si="36"/>
        <v>65.52000000000001</v>
      </c>
      <c r="O35" s="27" t="s">
        <v>6329</v>
      </c>
      <c r="P35" s="56" t="s">
        <v>6329</v>
      </c>
      <c r="Q35" s="26" t="s">
        <v>6329</v>
      </c>
      <c r="R35" s="308" t="s">
        <v>4373</v>
      </c>
      <c r="S35" s="330">
        <v>0.48</v>
      </c>
      <c r="T35" s="34">
        <v>0.61</v>
      </c>
      <c r="U35" s="366">
        <f>T35/W35</f>
        <v>2.5469728601252611E-2</v>
      </c>
      <c r="V35" s="97">
        <v>-0.1</v>
      </c>
      <c r="W35" s="36">
        <f>RTD("money.excel",,"4130","Price")</f>
        <v>23.95</v>
      </c>
      <c r="X35" s="233">
        <f>28.65</f>
        <v>28.65</v>
      </c>
      <c r="Y35" s="15">
        <f>W35-X35</f>
        <v>-4.6999999999999993</v>
      </c>
      <c r="Z35" s="78">
        <f>Y35/X35</f>
        <v>-0.16404886561954624</v>
      </c>
      <c r="AA35" s="141" t="s">
        <v>6528</v>
      </c>
      <c r="AB35" s="16" t="s">
        <v>653</v>
      </c>
      <c r="AC35" s="131"/>
      <c r="AD35" s="88">
        <v>44557</v>
      </c>
      <c r="AE35" s="19" t="s">
        <v>1632</v>
      </c>
      <c r="AF35" s="41" t="s">
        <v>1188</v>
      </c>
      <c r="AG35" s="240">
        <f>W35*AE35*1000</f>
        <v>71850</v>
      </c>
      <c r="AH35" s="16" t="s">
        <v>653</v>
      </c>
      <c r="AI35" s="64">
        <f>AJ35/(A35*10000)</f>
        <v>3.0636363636363634E-3</v>
      </c>
      <c r="AJ35" s="313">
        <f>RTD("money.excel",,"4130","PredictVolume")</f>
        <v>337</v>
      </c>
      <c r="AK35" s="22">
        <v>4.2</v>
      </c>
    </row>
    <row r="36" spans="1:39">
      <c r="A36" s="132" t="s">
        <v>1796</v>
      </c>
      <c r="B36" s="81">
        <v>649</v>
      </c>
      <c r="C36" s="81">
        <v>151</v>
      </c>
      <c r="D36" s="82">
        <v>-14</v>
      </c>
      <c r="E36" s="81">
        <v>14</v>
      </c>
      <c r="F36" s="58">
        <v>13.48</v>
      </c>
      <c r="G36" s="82">
        <v>8936</v>
      </c>
      <c r="H36" s="5" t="s">
        <v>2303</v>
      </c>
      <c r="I36" s="16" t="s">
        <v>716</v>
      </c>
      <c r="J36" s="75">
        <v>37.14</v>
      </c>
      <c r="K36" s="330">
        <v>5.59</v>
      </c>
      <c r="L36" s="330">
        <v>27.18</v>
      </c>
      <c r="M36" s="330">
        <v>4.91</v>
      </c>
      <c r="N36" s="325">
        <f t="shared" ref="N36" si="42">K36+J36+L36+M36</f>
        <v>74.819999999999993</v>
      </c>
      <c r="O36" s="27" t="s">
        <v>6316</v>
      </c>
      <c r="P36" s="56" t="s">
        <v>6316</v>
      </c>
      <c r="Q36" s="26" t="s">
        <v>6346</v>
      </c>
      <c r="R36" s="308" t="s">
        <v>4373</v>
      </c>
      <c r="S36" s="330">
        <v>2.0099999999999998</v>
      </c>
      <c r="T36" s="34">
        <v>0.25</v>
      </c>
      <c r="U36" s="366">
        <f>T36/W36</f>
        <v>1.2077294685990338E-2</v>
      </c>
      <c r="V36" s="97">
        <v>1.62</v>
      </c>
      <c r="W36" s="36">
        <f>RTD("money.excel",,"8936","Price")</f>
        <v>20.7</v>
      </c>
      <c r="X36" s="233">
        <f>25.1-0.25</f>
        <v>24.85</v>
      </c>
      <c r="Y36" s="15">
        <f t="shared" ref="Y36" si="43">W36-X36</f>
        <v>-4.1500000000000021</v>
      </c>
      <c r="Z36" s="78">
        <f t="shared" ref="Z36" si="44">Y36/X36</f>
        <v>-0.16700201207243467</v>
      </c>
      <c r="AA36" s="141" t="s">
        <v>6529</v>
      </c>
      <c r="AB36" s="16" t="s">
        <v>716</v>
      </c>
      <c r="AC36" s="88">
        <v>44550</v>
      </c>
      <c r="AD36" s="88"/>
      <c r="AE36" s="19" t="s">
        <v>1632</v>
      </c>
      <c r="AF36" s="41"/>
      <c r="AG36" s="240">
        <f>W36*AE36*1000</f>
        <v>62099.999999999993</v>
      </c>
      <c r="AH36" s="16" t="s">
        <v>716</v>
      </c>
      <c r="AI36" s="64">
        <f>AJ36/(A36*10000)</f>
        <v>2.1854838709677417E-3</v>
      </c>
      <c r="AJ36" s="313">
        <f>RTD("money.excel",,"8936","PredictVolume")</f>
        <v>542</v>
      </c>
      <c r="AK36" s="22">
        <v>14.39</v>
      </c>
    </row>
    <row r="37" spans="1:39">
      <c r="A37" s="132" t="s">
        <v>1764</v>
      </c>
      <c r="B37" s="81">
        <v>44</v>
      </c>
      <c r="C37" s="81">
        <v>40</v>
      </c>
      <c r="D37" s="82">
        <v>-24</v>
      </c>
      <c r="E37" s="81">
        <v>19</v>
      </c>
      <c r="F37" s="58">
        <v>18.47</v>
      </c>
      <c r="G37" s="82">
        <v>1476</v>
      </c>
      <c r="H37" s="5" t="s">
        <v>3910</v>
      </c>
      <c r="I37" s="22" t="s">
        <v>4457</v>
      </c>
      <c r="J37" s="330">
        <v>69.010000000000005</v>
      </c>
      <c r="K37" s="330">
        <v>42.79</v>
      </c>
      <c r="L37" s="75">
        <v>0.54</v>
      </c>
      <c r="M37" s="75">
        <v>20.62</v>
      </c>
      <c r="N37" s="75">
        <f t="shared" ref="N37" si="45">J37+K37+L37+M37</f>
        <v>132.96</v>
      </c>
      <c r="P37" s="56" t="s">
        <v>6329</v>
      </c>
      <c r="Q37" s="26" t="s">
        <v>6316</v>
      </c>
      <c r="R37" s="308" t="s">
        <v>6296</v>
      </c>
      <c r="S37" s="330">
        <v>2.71</v>
      </c>
      <c r="T37" s="67">
        <v>11</v>
      </c>
      <c r="U37" s="366">
        <f t="shared" si="7"/>
        <v>2.5142857142857144E-2</v>
      </c>
      <c r="V37" s="58">
        <v>19.829999999999998</v>
      </c>
      <c r="W37" s="13">
        <f>RTD("money.excel",,"1476","Price")</f>
        <v>437.5</v>
      </c>
      <c r="X37" s="67">
        <v>587</v>
      </c>
      <c r="Y37" s="143">
        <f t="shared" ref="Y37" si="46">W37-X37</f>
        <v>-149.5</v>
      </c>
      <c r="Z37" s="78">
        <f t="shared" ref="Z37" si="47">Y37/X37</f>
        <v>-0.25468483816013626</v>
      </c>
      <c r="AA37" s="175" t="s">
        <v>6530</v>
      </c>
      <c r="AB37" s="22" t="s">
        <v>4457</v>
      </c>
      <c r="AE37" s="19" t="s">
        <v>1581</v>
      </c>
      <c r="AF37" s="61"/>
      <c r="AG37" s="240">
        <f t="shared" ref="AG37" si="48">W37*AE37*1000</f>
        <v>0</v>
      </c>
      <c r="AH37" s="22" t="s">
        <v>4457</v>
      </c>
      <c r="AI37" s="210">
        <f t="shared" si="9"/>
        <v>1.1576642335766423E-2</v>
      </c>
      <c r="AJ37" s="313">
        <f>RTD("money.excel",,$G37,"PredictVolume")</f>
        <v>3172</v>
      </c>
      <c r="AK37" s="348">
        <v>2.02</v>
      </c>
      <c r="AL37" s="41" t="s">
        <v>6539</v>
      </c>
      <c r="AM37" s="269"/>
    </row>
    <row r="38" spans="1:39" s="273" customFormat="1" ht="16.5" customHeight="1">
      <c r="A38" s="148">
        <v>5.0599999999999996</v>
      </c>
      <c r="B38" s="82">
        <v>-295</v>
      </c>
      <c r="C38" s="82">
        <v>-782</v>
      </c>
      <c r="D38" s="82">
        <v>-14</v>
      </c>
      <c r="E38" s="81">
        <v>13</v>
      </c>
      <c r="F38" s="6">
        <v>-5.67</v>
      </c>
      <c r="G38" s="81">
        <v>4432</v>
      </c>
      <c r="H38" s="18" t="s">
        <v>3910</v>
      </c>
      <c r="I38" s="173" t="s">
        <v>220</v>
      </c>
      <c r="J38" s="330">
        <v>45.45</v>
      </c>
      <c r="K38" s="330">
        <v>0.89</v>
      </c>
      <c r="L38" s="75">
        <v>4.5</v>
      </c>
      <c r="M38" s="330">
        <v>45.61</v>
      </c>
      <c r="N38" s="325">
        <f t="shared" ref="N38" si="49">K38+J38+L38+M38</f>
        <v>96.45</v>
      </c>
      <c r="O38" s="27"/>
      <c r="P38" s="56" t="s">
        <v>6329</v>
      </c>
      <c r="Q38" s="26" t="s">
        <v>6329</v>
      </c>
      <c r="R38" s="308" t="s">
        <v>4372</v>
      </c>
      <c r="S38" s="330">
        <v>0.22</v>
      </c>
      <c r="T38" s="199">
        <v>0</v>
      </c>
      <c r="U38" s="366">
        <f t="shared" si="7"/>
        <v>0</v>
      </c>
      <c r="V38" s="97">
        <v>-1.96</v>
      </c>
      <c r="W38" s="168">
        <f>RTD("money.excel",,"4432","Price")</f>
        <v>14.75</v>
      </c>
      <c r="X38" s="264">
        <v>17.899999999999999</v>
      </c>
      <c r="Y38" s="169">
        <f t="shared" ref="Y38" si="50">W38-X38</f>
        <v>-3.1499999999999986</v>
      </c>
      <c r="Z38" s="171">
        <f t="shared" ref="Z38" si="51">Y38/X38</f>
        <v>-0.17597765363128484</v>
      </c>
      <c r="AA38" s="141" t="s">
        <v>6531</v>
      </c>
      <c r="AB38" s="173" t="s">
        <v>220</v>
      </c>
      <c r="AC38" s="131">
        <v>44566</v>
      </c>
      <c r="AD38" s="120"/>
      <c r="AE38" s="41" t="s">
        <v>1874</v>
      </c>
      <c r="AF38" s="41" t="s">
        <v>1874</v>
      </c>
      <c r="AG38" s="240">
        <f t="shared" ref="AG38" si="52">W38*AE38*1000</f>
        <v>118000</v>
      </c>
      <c r="AH38" s="173" t="s">
        <v>220</v>
      </c>
      <c r="AI38" s="155">
        <f t="shared" si="9"/>
        <v>1.1264822134387353E-3</v>
      </c>
      <c r="AJ38" s="313">
        <f>RTD("money.excel",,"4432","PredictVolume")</f>
        <v>57</v>
      </c>
      <c r="AK38" s="22">
        <v>5.74</v>
      </c>
      <c r="AL38" s="41"/>
      <c r="AM38" s="308"/>
    </row>
    <row r="39" spans="1:39">
      <c r="A39" s="148" t="s">
        <v>1928</v>
      </c>
      <c r="B39" s="82">
        <v>-3</v>
      </c>
      <c r="C39" s="82">
        <v>-5</v>
      </c>
      <c r="D39" s="82">
        <v>-15</v>
      </c>
      <c r="E39" s="81">
        <v>43</v>
      </c>
      <c r="F39" s="6">
        <v>7.05</v>
      </c>
      <c r="G39" s="82">
        <v>2387</v>
      </c>
      <c r="H39" s="206" t="s">
        <v>1212</v>
      </c>
      <c r="I39" s="22" t="s">
        <v>248</v>
      </c>
      <c r="J39" s="330">
        <v>63.88</v>
      </c>
      <c r="K39" s="330">
        <v>0.62</v>
      </c>
      <c r="L39" s="330">
        <v>15.62</v>
      </c>
      <c r="M39" s="330">
        <v>33.369999999999997</v>
      </c>
      <c r="N39" s="325">
        <f>K39+J39+L39+M39</f>
        <v>113.49000000000001</v>
      </c>
      <c r="O39" s="27" t="s">
        <v>6329</v>
      </c>
      <c r="P39" s="56" t="s">
        <v>6329</v>
      </c>
      <c r="Q39" s="26" t="s">
        <v>6338</v>
      </c>
      <c r="R39" s="308" t="s">
        <v>4373</v>
      </c>
      <c r="S39" s="330">
        <v>2.52</v>
      </c>
      <c r="T39" s="34">
        <v>2</v>
      </c>
      <c r="U39" s="366">
        <f>T39/W39</f>
        <v>4.926108374384236E-2</v>
      </c>
      <c r="V39" s="58">
        <v>6.4</v>
      </c>
      <c r="W39" s="36">
        <f>RTD("money.excel",,"2387","Price")</f>
        <v>40.6</v>
      </c>
      <c r="X39" s="233">
        <f>51.9-2</f>
        <v>49.9</v>
      </c>
      <c r="Y39" s="15">
        <f t="shared" ref="Y39" si="53">W39-X39</f>
        <v>-9.2999999999999972</v>
      </c>
      <c r="Z39" s="78">
        <f t="shared" ref="Z39" si="54">Y39/X39</f>
        <v>-0.1863727454909819</v>
      </c>
      <c r="AA39" s="141" t="s">
        <v>6532</v>
      </c>
      <c r="AB39" s="22" t="s">
        <v>248</v>
      </c>
      <c r="AC39" s="131">
        <v>44564</v>
      </c>
      <c r="AD39" s="88"/>
      <c r="AE39" s="19" t="s">
        <v>1188</v>
      </c>
      <c r="AF39" s="41"/>
      <c r="AG39" s="240">
        <f>W39*AE39*1000</f>
        <v>40600</v>
      </c>
      <c r="AH39" s="22" t="s">
        <v>248</v>
      </c>
      <c r="AI39" s="64">
        <f>AJ39/(A39*10000)</f>
        <v>1.1487179487179487E-3</v>
      </c>
      <c r="AJ39" s="313">
        <f>RTD("money.excel",,"2387","PredictVolume")</f>
        <v>224</v>
      </c>
      <c r="AK39" s="22">
        <v>8.2799999999999994</v>
      </c>
    </row>
    <row r="40" spans="1:39">
      <c r="A40" s="148" t="s">
        <v>3650</v>
      </c>
      <c r="B40" s="82">
        <v>-19</v>
      </c>
      <c r="C40" s="82">
        <v>-5</v>
      </c>
      <c r="D40" s="82">
        <v>-47</v>
      </c>
      <c r="E40" s="82">
        <v>-28</v>
      </c>
      <c r="F40" s="6">
        <v>4.4000000000000004</v>
      </c>
      <c r="G40" s="82">
        <v>6558</v>
      </c>
      <c r="H40" s="8" t="s">
        <v>334</v>
      </c>
      <c r="I40" s="22" t="s">
        <v>1131</v>
      </c>
      <c r="J40" s="330">
        <v>43.22</v>
      </c>
      <c r="K40" s="75">
        <v>1.91</v>
      </c>
      <c r="L40" s="330">
        <v>13.79</v>
      </c>
      <c r="M40" s="75">
        <v>15.73</v>
      </c>
      <c r="N40" s="325">
        <f>K40+J40+L40+M40</f>
        <v>74.649999999999991</v>
      </c>
      <c r="O40" s="27" t="s">
        <v>6329</v>
      </c>
      <c r="P40" s="56" t="s">
        <v>6329</v>
      </c>
      <c r="Q40" s="26" t="s">
        <v>6329</v>
      </c>
      <c r="R40" s="308" t="s">
        <v>4372</v>
      </c>
      <c r="S40" s="330">
        <v>2.1</v>
      </c>
      <c r="T40" s="34">
        <v>0.3</v>
      </c>
      <c r="U40" s="366">
        <f>T40/W40</f>
        <v>1.0221465076660987E-2</v>
      </c>
      <c r="V40" s="97">
        <v>0.67</v>
      </c>
      <c r="W40" s="36">
        <f>RTD("money.excel",,"6558","Price")</f>
        <v>29.35</v>
      </c>
      <c r="X40" s="233">
        <f>39.1-0.3</f>
        <v>38.800000000000004</v>
      </c>
      <c r="Y40" s="15">
        <f t="shared" ref="Y40" si="55">W40-X40</f>
        <v>-9.4500000000000028</v>
      </c>
      <c r="Z40" s="78">
        <f t="shared" ref="Z40" si="56">Y40/X40</f>
        <v>-0.24355670103092789</v>
      </c>
      <c r="AA40" s="141" t="s">
        <v>6534</v>
      </c>
      <c r="AB40" s="22" t="s">
        <v>1131</v>
      </c>
      <c r="AC40" s="131">
        <v>44564</v>
      </c>
      <c r="AD40" s="86"/>
      <c r="AE40" s="19" t="s">
        <v>1583</v>
      </c>
      <c r="AF40" s="41"/>
      <c r="AG40" s="240">
        <f t="shared" ref="AG40" si="57">W40*AE40*1000</f>
        <v>58700</v>
      </c>
      <c r="AH40" s="22" t="s">
        <v>1131</v>
      </c>
      <c r="AI40" s="64">
        <f>AJ40/(A40*10000)</f>
        <v>1.6595744680851063E-3</v>
      </c>
      <c r="AJ40" s="313">
        <f>RTD("money.excel",,"6558","PredictVolume")</f>
        <v>156</v>
      </c>
      <c r="AK40" s="22">
        <v>44.65</v>
      </c>
    </row>
    <row r="41" spans="1:39">
      <c r="A41" s="132" t="s">
        <v>4415</v>
      </c>
      <c r="B41" s="82">
        <v>-13</v>
      </c>
      <c r="C41" s="82">
        <v>-11</v>
      </c>
      <c r="D41" s="82">
        <v>-23</v>
      </c>
      <c r="E41" s="82">
        <v>-63</v>
      </c>
      <c r="F41" s="58">
        <v>18.739999999999998</v>
      </c>
      <c r="G41" s="82">
        <v>4735</v>
      </c>
      <c r="H41" s="5" t="s">
        <v>6142</v>
      </c>
      <c r="I41" s="16" t="s">
        <v>660</v>
      </c>
      <c r="J41" s="75">
        <v>22.22</v>
      </c>
      <c r="K41" s="75">
        <v>1.24</v>
      </c>
      <c r="L41" s="330">
        <v>9.18</v>
      </c>
      <c r="M41" s="75">
        <v>24.49</v>
      </c>
      <c r="N41" s="325">
        <f>K41+J41+L41+M41</f>
        <v>57.129999999999995</v>
      </c>
      <c r="O41" s="27" t="s">
        <v>6329</v>
      </c>
      <c r="P41" s="56" t="s">
        <v>6329</v>
      </c>
      <c r="Q41" s="26" t="s">
        <v>6347</v>
      </c>
      <c r="R41" s="308" t="s">
        <v>4372</v>
      </c>
      <c r="S41" s="330">
        <v>1.37</v>
      </c>
      <c r="T41" s="67">
        <v>1.2</v>
      </c>
      <c r="U41" s="366">
        <f>T41/W41</f>
        <v>2.3622047244094488E-2</v>
      </c>
      <c r="V41" s="97">
        <v>13.17</v>
      </c>
      <c r="W41" s="36">
        <f>RTD("money.excel",,"4735","Price")</f>
        <v>50.8</v>
      </c>
      <c r="X41" s="233">
        <f>71.1-2.5-1.2</f>
        <v>67.399999999999991</v>
      </c>
      <c r="Y41" s="15">
        <f t="shared" ref="Y41" si="58">W41-X41</f>
        <v>-16.599999999999994</v>
      </c>
      <c r="Z41" s="78">
        <f t="shared" ref="Z41" si="59">Y41/X41</f>
        <v>-0.24629080118694358</v>
      </c>
      <c r="AA41" s="141" t="s">
        <v>6533</v>
      </c>
      <c r="AB41" s="16" t="s">
        <v>660</v>
      </c>
      <c r="AC41" s="131"/>
      <c r="AD41" s="88">
        <v>44566</v>
      </c>
      <c r="AE41" s="19" t="s">
        <v>1632</v>
      </c>
      <c r="AF41" s="41" t="s">
        <v>1188</v>
      </c>
      <c r="AG41" s="240">
        <f t="shared" ref="AG41" si="60">W41*AE41*1000</f>
        <v>152399.99999999997</v>
      </c>
      <c r="AH41" s="16" t="s">
        <v>660</v>
      </c>
      <c r="AI41" s="64">
        <f>AJ41/(A41*10000)</f>
        <v>3.9837398373983738E-3</v>
      </c>
      <c r="AJ41" s="313">
        <f>RTD("money.excel",,"4735","PredictVolume")</f>
        <v>147</v>
      </c>
      <c r="AK41" s="182">
        <v>52.6</v>
      </c>
    </row>
    <row r="42" spans="1:39">
      <c r="A42" s="148" t="s">
        <v>1793</v>
      </c>
      <c r="B42" s="82">
        <v>-32</v>
      </c>
      <c r="C42" s="82">
        <v>-27</v>
      </c>
      <c r="D42" s="82">
        <v>-1</v>
      </c>
      <c r="E42" s="82">
        <v>-41</v>
      </c>
      <c r="F42" s="6">
        <v>7.84</v>
      </c>
      <c r="G42" s="82">
        <v>1598</v>
      </c>
      <c r="H42" s="8" t="s">
        <v>6142</v>
      </c>
      <c r="I42" s="22" t="s">
        <v>672</v>
      </c>
      <c r="J42" s="75">
        <v>48.38</v>
      </c>
      <c r="K42" s="330">
        <v>4.17</v>
      </c>
      <c r="L42" s="330">
        <v>14.21</v>
      </c>
      <c r="M42" s="75">
        <v>10.01</v>
      </c>
      <c r="N42" s="325">
        <f>K42+J42+L42+M42</f>
        <v>76.77000000000001</v>
      </c>
      <c r="O42" s="27" t="s">
        <v>6329</v>
      </c>
      <c r="P42" s="56" t="s">
        <v>6329</v>
      </c>
      <c r="Q42" s="26" t="s">
        <v>6348</v>
      </c>
      <c r="R42" s="308" t="s">
        <v>4373</v>
      </c>
      <c r="S42" s="330">
        <v>4.5</v>
      </c>
      <c r="T42" s="67">
        <v>7.47</v>
      </c>
      <c r="U42" s="368">
        <f t="shared" si="7"/>
        <v>0.17251732101616629</v>
      </c>
      <c r="V42" s="97">
        <v>9.18</v>
      </c>
      <c r="W42" s="36">
        <f>RTD("money.excel",,"1598","Price")</f>
        <v>43.3</v>
      </c>
      <c r="X42" s="233">
        <f>89.4-7.47</f>
        <v>81.93</v>
      </c>
      <c r="Y42" s="15">
        <f>W42-X42</f>
        <v>-38.63000000000001</v>
      </c>
      <c r="Z42" s="78">
        <f>Y42/X42</f>
        <v>-0.47150006102770664</v>
      </c>
      <c r="AA42" s="103" t="s">
        <v>6535</v>
      </c>
      <c r="AB42" s="22" t="s">
        <v>672</v>
      </c>
      <c r="AC42" s="88"/>
      <c r="AD42" s="88">
        <v>44566</v>
      </c>
      <c r="AE42" s="19" t="s">
        <v>1189</v>
      </c>
      <c r="AF42" s="41" t="s">
        <v>1583</v>
      </c>
      <c r="AG42" s="240">
        <f>W42*AE42*1000</f>
        <v>173200</v>
      </c>
      <c r="AH42" s="22" t="s">
        <v>672</v>
      </c>
      <c r="AI42" s="64">
        <f t="shared" si="9"/>
        <v>2.1641791044776119E-3</v>
      </c>
      <c r="AJ42" s="313">
        <f>RTD("money.excel",,"1598","PredictVolume")</f>
        <v>290</v>
      </c>
      <c r="AK42" s="22">
        <v>13.66</v>
      </c>
    </row>
    <row r="43" spans="1:39" s="273" customFormat="1">
      <c r="A43" s="132"/>
      <c r="B43" s="93"/>
      <c r="C43" s="93"/>
      <c r="D43" s="82"/>
      <c r="E43" s="82"/>
      <c r="F43" s="8"/>
      <c r="G43" s="27"/>
      <c r="H43" s="8"/>
      <c r="I43" s="160"/>
      <c r="J43" s="330"/>
      <c r="K43" s="335"/>
      <c r="L43" s="335"/>
      <c r="M43" s="335"/>
      <c r="N43" s="325"/>
      <c r="O43" s="27"/>
      <c r="P43" s="56"/>
      <c r="Q43" s="26"/>
      <c r="R43" s="308"/>
      <c r="S43" s="335"/>
      <c r="T43" s="321"/>
      <c r="U43" s="364"/>
      <c r="W43" s="173"/>
      <c r="AB43" s="310" t="s">
        <v>4347</v>
      </c>
      <c r="AC43" s="55" t="s">
        <v>4348</v>
      </c>
      <c r="AD43" s="351" t="s">
        <v>4402</v>
      </c>
      <c r="AE43" s="50"/>
      <c r="AF43" s="260" t="s">
        <v>4118</v>
      </c>
      <c r="AG43" s="241">
        <f>SUM(AG18:AG42)</f>
        <v>3468000</v>
      </c>
      <c r="AH43" s="160"/>
      <c r="AI43" s="64"/>
      <c r="AJ43" s="313"/>
      <c r="AK43" s="22"/>
      <c r="AL43" s="41"/>
      <c r="AM43" s="308"/>
    </row>
    <row r="44" spans="1:39" s="273" customFormat="1">
      <c r="A44" s="46"/>
      <c r="B44" s="93"/>
      <c r="C44" s="93"/>
      <c r="D44" s="82"/>
      <c r="E44" s="82"/>
      <c r="F44" s="8"/>
      <c r="G44" s="27"/>
      <c r="H44" s="8"/>
      <c r="I44" s="160"/>
      <c r="J44" s="330"/>
      <c r="K44" s="335"/>
      <c r="L44" s="329"/>
      <c r="M44" s="324"/>
      <c r="N44" s="325"/>
      <c r="O44" s="27"/>
      <c r="P44" s="56"/>
      <c r="Q44" s="26"/>
      <c r="R44" s="308"/>
      <c r="S44" s="335"/>
      <c r="T44" s="250"/>
      <c r="U44" s="364"/>
      <c r="AE44" s="8"/>
      <c r="AF44" s="261" t="s">
        <v>4085</v>
      </c>
      <c r="AG44" s="242">
        <f>AG43+AG17</f>
        <v>4581318</v>
      </c>
      <c r="AH44" s="160"/>
      <c r="AI44" s="64"/>
      <c r="AJ44" s="313"/>
      <c r="AK44" s="22"/>
      <c r="AL44" s="41"/>
      <c r="AM44" s="308"/>
    </row>
    <row r="45" spans="1:39" s="273" customFormat="1">
      <c r="A45" s="46"/>
      <c r="B45" s="93"/>
      <c r="C45" s="93"/>
      <c r="D45" s="82"/>
      <c r="E45" s="82"/>
      <c r="F45" s="8"/>
      <c r="G45" s="27"/>
      <c r="H45" s="8"/>
      <c r="I45" s="160"/>
      <c r="J45" s="330"/>
      <c r="K45" s="335"/>
      <c r="L45" s="329"/>
      <c r="M45" s="324"/>
      <c r="N45" s="325"/>
      <c r="O45" s="27"/>
      <c r="P45" s="56"/>
      <c r="Q45" s="26"/>
      <c r="R45" s="308"/>
      <c r="S45" s="335"/>
      <c r="T45" s="250"/>
      <c r="U45" s="364"/>
      <c r="V45" s="4" t="s">
        <v>1529</v>
      </c>
      <c r="W45" s="4" t="s">
        <v>1217</v>
      </c>
      <c r="X45" s="10" t="s">
        <v>298</v>
      </c>
      <c r="AE45" s="8"/>
      <c r="AF45" s="261"/>
      <c r="AG45" s="242"/>
      <c r="AH45" s="160"/>
      <c r="AI45" s="64"/>
      <c r="AJ45" s="313"/>
      <c r="AK45" s="22"/>
      <c r="AL45" s="41"/>
      <c r="AM45" s="308"/>
    </row>
    <row r="46" spans="1:39" s="273" customFormat="1">
      <c r="A46" s="132" t="s">
        <v>1854</v>
      </c>
      <c r="B46" s="93" t="s">
        <v>1657</v>
      </c>
      <c r="C46" s="93" t="s">
        <v>1658</v>
      </c>
      <c r="D46" s="93" t="s">
        <v>1659</v>
      </c>
      <c r="E46" s="93" t="s">
        <v>1660</v>
      </c>
      <c r="F46" s="8" t="s">
        <v>1122</v>
      </c>
      <c r="G46" s="91" t="s">
        <v>4231</v>
      </c>
      <c r="H46" s="300" t="s">
        <v>342</v>
      </c>
      <c r="I46" s="50" t="s">
        <v>6084</v>
      </c>
      <c r="J46" s="312" t="s">
        <v>1529</v>
      </c>
      <c r="K46" s="324" t="s">
        <v>1217</v>
      </c>
      <c r="L46" s="324" t="s">
        <v>298</v>
      </c>
      <c r="M46" s="312" t="s">
        <v>1115</v>
      </c>
      <c r="N46" s="324" t="s">
        <v>6091</v>
      </c>
      <c r="O46" s="27" t="s">
        <v>6253</v>
      </c>
      <c r="P46" s="56" t="s">
        <v>6219</v>
      </c>
      <c r="Q46" s="26" t="s">
        <v>6313</v>
      </c>
      <c r="R46" s="309" t="s">
        <v>6121</v>
      </c>
      <c r="S46" s="335" t="s">
        <v>4398</v>
      </c>
      <c r="T46" s="10" t="s">
        <v>75</v>
      </c>
      <c r="U46" s="364" t="s">
        <v>6152</v>
      </c>
      <c r="V46" s="69" t="s">
        <v>4406</v>
      </c>
      <c r="W46" s="28" t="s">
        <v>4424</v>
      </c>
      <c r="X46" s="17" t="s">
        <v>1465</v>
      </c>
      <c r="Y46" s="14" t="s">
        <v>2755</v>
      </c>
      <c r="Z46" s="21" t="s">
        <v>3</v>
      </c>
      <c r="AA46" s="25" t="s">
        <v>117</v>
      </c>
      <c r="AB46" s="50" t="s">
        <v>6084</v>
      </c>
      <c r="AC46" s="73" t="s">
        <v>2759</v>
      </c>
      <c r="AD46" s="74" t="s">
        <v>1223</v>
      </c>
      <c r="AE46" s="32" t="s">
        <v>4035</v>
      </c>
      <c r="AF46" s="24" t="s">
        <v>6084</v>
      </c>
      <c r="AG46" s="239"/>
      <c r="AH46" s="8" t="s">
        <v>79</v>
      </c>
      <c r="AI46" s="8" t="s">
        <v>4414</v>
      </c>
      <c r="AJ46" s="50" t="s">
        <v>4121</v>
      </c>
      <c r="AK46" s="22" t="s">
        <v>6074</v>
      </c>
      <c r="AL46" s="41"/>
      <c r="AM46" s="309"/>
    </row>
    <row r="47" spans="1:39">
      <c r="B47" s="81"/>
      <c r="C47" s="81"/>
      <c r="D47" s="81"/>
      <c r="E47" s="81"/>
      <c r="F47" s="58"/>
      <c r="G47" s="81"/>
      <c r="H47" s="8"/>
      <c r="I47" s="16"/>
      <c r="J47" s="330"/>
      <c r="K47" s="330"/>
      <c r="L47" s="330"/>
      <c r="M47" s="75"/>
      <c r="N47" s="325"/>
      <c r="R47" s="309"/>
      <c r="T47" s="34"/>
      <c r="U47" s="366"/>
      <c r="V47" s="58"/>
      <c r="W47" s="36"/>
      <c r="X47" s="67"/>
      <c r="Y47" s="15"/>
      <c r="Z47" s="3"/>
      <c r="AA47" s="174"/>
      <c r="AB47" s="16"/>
      <c r="AE47" s="33"/>
      <c r="AF47" s="61"/>
      <c r="AG47" s="125"/>
      <c r="AH47" s="254"/>
      <c r="AI47" s="64"/>
      <c r="AJ47" s="313"/>
      <c r="AK47" s="83"/>
      <c r="AL47" s="308"/>
      <c r="AM47" s="269"/>
    </row>
    <row r="48" spans="1:39">
      <c r="A48" s="46" t="s">
        <v>4115</v>
      </c>
      <c r="B48" s="81"/>
      <c r="C48" s="81"/>
      <c r="D48" s="81"/>
      <c r="E48" s="81"/>
      <c r="F48" s="6"/>
      <c r="G48" s="41"/>
      <c r="H48" s="70" t="s">
        <v>4255</v>
      </c>
      <c r="I48" s="22"/>
      <c r="J48" s="339"/>
      <c r="K48" s="338"/>
      <c r="M48" s="340"/>
      <c r="N48" s="139" t="s">
        <v>4404</v>
      </c>
      <c r="T48" s="26" t="s">
        <v>1577</v>
      </c>
      <c r="V48" s="70" t="s">
        <v>3979</v>
      </c>
      <c r="W48" s="214"/>
      <c r="X48" s="67"/>
      <c r="Y48" s="15"/>
      <c r="AA48" s="104"/>
      <c r="AB48" s="22"/>
      <c r="AC48" s="305"/>
      <c r="AE48" s="33"/>
      <c r="AF48" s="43"/>
      <c r="AG48" s="128"/>
      <c r="AH48" s="269"/>
      <c r="AI48" s="201"/>
      <c r="AJ48" s="314"/>
    </row>
    <row r="49" spans="1:39">
      <c r="A49" s="46" t="s">
        <v>4203</v>
      </c>
      <c r="B49" s="95"/>
      <c r="C49" s="95"/>
      <c r="D49" s="81"/>
      <c r="E49" s="82"/>
      <c r="F49" s="70"/>
      <c r="H49" s="70" t="s">
        <v>4256</v>
      </c>
      <c r="I49" s="16"/>
      <c r="J49" s="339"/>
      <c r="K49" s="338"/>
      <c r="N49" s="352" t="s">
        <v>6085</v>
      </c>
      <c r="T49" s="214"/>
      <c r="V49" s="2" t="s">
        <v>3980</v>
      </c>
      <c r="W49" s="214"/>
      <c r="AA49" s="102"/>
      <c r="AB49" s="22"/>
      <c r="AD49" s="240"/>
      <c r="AE49" s="33"/>
      <c r="AF49" s="27" t="s">
        <v>1188</v>
      </c>
      <c r="AG49" s="240">
        <f>AG9+AD52</f>
        <v>685677</v>
      </c>
      <c r="AH49" s="16"/>
    </row>
    <row r="50" spans="1:39">
      <c r="A50" s="46" t="s">
        <v>4204</v>
      </c>
      <c r="B50" s="95"/>
      <c r="C50" s="81"/>
      <c r="D50" s="81"/>
      <c r="E50" s="81"/>
      <c r="F50" s="6"/>
      <c r="H50" s="70" t="s">
        <v>4345</v>
      </c>
      <c r="I50" s="162"/>
      <c r="J50" s="330"/>
      <c r="K50" s="75"/>
      <c r="N50" s="337"/>
      <c r="T50" s="214"/>
      <c r="V50" s="2" t="s">
        <v>3981</v>
      </c>
      <c r="W50" s="214"/>
      <c r="X50" s="67"/>
      <c r="Y50" s="15"/>
      <c r="AA50" s="103"/>
      <c r="AB50" s="16"/>
      <c r="AD50" s="240"/>
      <c r="AE50" s="33"/>
      <c r="AF50" s="27" t="s">
        <v>1583</v>
      </c>
      <c r="AG50" s="240">
        <f>AG9+AD53</f>
        <v>685677</v>
      </c>
      <c r="AH50" s="16"/>
    </row>
    <row r="51" spans="1:39">
      <c r="A51" s="210" t="s">
        <v>4353</v>
      </c>
      <c r="B51" s="95"/>
      <c r="C51" s="81"/>
      <c r="D51" s="81"/>
      <c r="E51" s="81"/>
      <c r="F51" s="8"/>
      <c r="H51" s="42" t="s">
        <v>4401</v>
      </c>
      <c r="I51" s="16"/>
      <c r="J51" s="330"/>
      <c r="K51" s="75"/>
      <c r="T51" s="214"/>
      <c r="V51" s="2" t="s">
        <v>3982</v>
      </c>
      <c r="W51" s="214"/>
      <c r="AA51" s="105"/>
      <c r="AB51" s="16"/>
      <c r="AD51" s="240"/>
      <c r="AE51" s="33"/>
      <c r="AF51" s="27" t="s">
        <v>1632</v>
      </c>
      <c r="AG51" s="240">
        <f>AG9+AD49</f>
        <v>685677</v>
      </c>
      <c r="AH51" s="16"/>
    </row>
    <row r="52" spans="1:39">
      <c r="B52" s="93"/>
      <c r="C52" s="93"/>
      <c r="D52" s="93"/>
      <c r="E52" s="93"/>
      <c r="F52" s="8"/>
      <c r="H52" s="42" t="s">
        <v>4400</v>
      </c>
      <c r="I52" s="84"/>
      <c r="J52" s="330"/>
      <c r="K52" s="75"/>
      <c r="L52" s="139"/>
      <c r="M52" s="340"/>
      <c r="T52" s="214"/>
      <c r="V52" s="2" t="s">
        <v>3983</v>
      </c>
      <c r="W52" s="214"/>
      <c r="AA52" s="104"/>
      <c r="AB52" s="16"/>
      <c r="AD52" s="240"/>
      <c r="AE52" s="33"/>
      <c r="AF52" s="27" t="s">
        <v>1189</v>
      </c>
      <c r="AG52" s="240">
        <f>AG9+AD50</f>
        <v>685677</v>
      </c>
      <c r="AH52" s="84"/>
      <c r="AI52" s="318"/>
    </row>
    <row r="53" spans="1:39">
      <c r="B53" s="93"/>
      <c r="C53" s="93"/>
      <c r="D53" s="93"/>
      <c r="E53" s="93"/>
      <c r="F53" s="8"/>
      <c r="G53" s="46"/>
      <c r="H53" s="42" t="s">
        <v>4399</v>
      </c>
      <c r="I53" s="84"/>
      <c r="J53" s="329"/>
      <c r="K53" s="329"/>
      <c r="N53" s="325"/>
      <c r="S53" s="335"/>
      <c r="T53" s="137"/>
      <c r="V53" s="70"/>
      <c r="W53" s="42"/>
      <c r="X53" s="219"/>
      <c r="Y53" s="70"/>
      <c r="AA53" s="56"/>
      <c r="AD53" s="240"/>
      <c r="AE53" s="33"/>
      <c r="AF53" s="27" t="s">
        <v>3878</v>
      </c>
      <c r="AG53" s="240">
        <f>AG9+AD51</f>
        <v>685677</v>
      </c>
      <c r="AH53" s="84"/>
      <c r="AI53" s="318"/>
    </row>
    <row r="54" spans="1:39">
      <c r="A54" s="70"/>
      <c r="B54" s="137"/>
      <c r="G54" s="83"/>
      <c r="H54" s="163"/>
      <c r="I54" s="84"/>
      <c r="J54" s="329"/>
      <c r="K54" s="329"/>
      <c r="L54" s="329"/>
      <c r="M54" s="324"/>
      <c r="N54" s="326"/>
      <c r="S54" s="311"/>
      <c r="T54" s="218"/>
      <c r="V54" s="4" t="s">
        <v>1529</v>
      </c>
      <c r="W54" s="4" t="s">
        <v>1217</v>
      </c>
      <c r="X54" s="10" t="s">
        <v>298</v>
      </c>
      <c r="Y54" s="70"/>
      <c r="AA54" s="56"/>
      <c r="AB54" s="42"/>
      <c r="AD54" s="306"/>
      <c r="AE54" s="151"/>
      <c r="AF54" s="43"/>
      <c r="AH54" s="84"/>
      <c r="AI54" s="318"/>
    </row>
    <row r="55" spans="1:39">
      <c r="A55" s="132" t="s">
        <v>1854</v>
      </c>
      <c r="B55" s="93" t="s">
        <v>1657</v>
      </c>
      <c r="C55" s="93" t="s">
        <v>1658</v>
      </c>
      <c r="D55" s="93" t="s">
        <v>1659</v>
      </c>
      <c r="E55" s="93" t="s">
        <v>1660</v>
      </c>
      <c r="F55" s="8" t="s">
        <v>1122</v>
      </c>
      <c r="G55" s="26" t="s">
        <v>4231</v>
      </c>
      <c r="H55" s="55" t="s">
        <v>342</v>
      </c>
      <c r="I55" s="8" t="s">
        <v>2796</v>
      </c>
      <c r="J55" s="324" t="s">
        <v>1529</v>
      </c>
      <c r="K55" s="324" t="s">
        <v>1217</v>
      </c>
      <c r="L55" s="324" t="s">
        <v>298</v>
      </c>
      <c r="M55" s="324" t="s">
        <v>1115</v>
      </c>
      <c r="N55" s="324" t="s">
        <v>6091</v>
      </c>
      <c r="O55" s="27" t="s">
        <v>6253</v>
      </c>
      <c r="P55" s="56" t="s">
        <v>6219</v>
      </c>
      <c r="Q55" s="26" t="s">
        <v>6313</v>
      </c>
      <c r="R55" s="309" t="s">
        <v>4371</v>
      </c>
      <c r="S55" s="335" t="s">
        <v>4398</v>
      </c>
      <c r="T55" s="10" t="s">
        <v>75</v>
      </c>
      <c r="U55" s="364" t="s">
        <v>6152</v>
      </c>
      <c r="V55" s="69" t="s">
        <v>4406</v>
      </c>
      <c r="W55" s="28" t="s">
        <v>4424</v>
      </c>
      <c r="X55" s="17" t="s">
        <v>1465</v>
      </c>
      <c r="Y55" s="14" t="s">
        <v>5</v>
      </c>
      <c r="Z55" s="21" t="s">
        <v>3</v>
      </c>
      <c r="AA55" s="25" t="s">
        <v>117</v>
      </c>
      <c r="AB55" s="8" t="s">
        <v>2796</v>
      </c>
      <c r="AC55" s="73" t="s">
        <v>1466</v>
      </c>
      <c r="AD55" s="74" t="s">
        <v>1223</v>
      </c>
      <c r="AE55" s="32" t="s">
        <v>1224</v>
      </c>
      <c r="AF55" s="42" t="s">
        <v>2797</v>
      </c>
      <c r="AH55" s="8"/>
      <c r="AI55" s="289"/>
      <c r="AM55" s="309"/>
    </row>
    <row r="56" spans="1:39">
      <c r="A56" s="148" t="s">
        <v>2380</v>
      </c>
      <c r="B56" s="81">
        <v>450</v>
      </c>
      <c r="C56" s="81">
        <v>-194</v>
      </c>
      <c r="D56" s="82">
        <v>-19</v>
      </c>
      <c r="E56" s="82">
        <v>-33</v>
      </c>
      <c r="F56" s="6">
        <v>-0.31</v>
      </c>
      <c r="G56" s="81">
        <v>2867</v>
      </c>
      <c r="H56" s="17" t="s">
        <v>322</v>
      </c>
      <c r="I56" s="22" t="s">
        <v>128</v>
      </c>
      <c r="J56" s="330">
        <v>72.61</v>
      </c>
      <c r="K56" s="330">
        <v>6.25</v>
      </c>
      <c r="L56" s="75">
        <v>4.7</v>
      </c>
      <c r="M56" s="330">
        <v>40.76</v>
      </c>
      <c r="N56" s="325">
        <f t="shared" ref="N56" si="61">J56+K56+L56+M56</f>
        <v>124.32</v>
      </c>
      <c r="T56" s="34">
        <v>0.14000000000000001</v>
      </c>
      <c r="U56" s="366">
        <f t="shared" ref="U56" si="62">T56/W56</f>
        <v>1.684717208182912E-2</v>
      </c>
      <c r="V56" s="58">
        <v>1.67</v>
      </c>
      <c r="W56" s="36">
        <f>RTD("money.excel",,"2867","Price")</f>
        <v>8.31</v>
      </c>
      <c r="X56" s="67">
        <v>8.1999999999999993</v>
      </c>
      <c r="Y56" s="15">
        <f t="shared" ref="Y56" si="63">W56-X56</f>
        <v>0.11000000000000121</v>
      </c>
      <c r="Z56" s="3">
        <f t="shared" ref="Z56" si="64">Y56/X56</f>
        <v>1.3414634146341612E-2</v>
      </c>
      <c r="AA56" s="400"/>
      <c r="AB56" s="22" t="s">
        <v>128</v>
      </c>
      <c r="AC56" s="86" t="s">
        <v>6506</v>
      </c>
      <c r="AE56" s="33" t="e">
        <f t="shared" ref="AE56" si="65">AD56-AC56</f>
        <v>#VALUE!</v>
      </c>
      <c r="AF56" s="122" t="s">
        <v>2628</v>
      </c>
      <c r="AG56" s="128"/>
      <c r="AH56" s="254"/>
      <c r="AI56" s="64">
        <f t="shared" ref="AI56" si="66">AJ56/(A56*10000)</f>
        <v>2.5190938511326861E-3</v>
      </c>
      <c r="AJ56" s="313">
        <f>RTD("money.excel",,$G56,"PredictVolume")</f>
        <v>7784</v>
      </c>
      <c r="AK56" s="348"/>
      <c r="AL56" s="308"/>
      <c r="AM56" s="269"/>
    </row>
    <row r="57" spans="1:39">
      <c r="A57" s="148" t="s">
        <v>3598</v>
      </c>
      <c r="B57" s="95">
        <v>2613</v>
      </c>
      <c r="C57" s="95">
        <v>1102</v>
      </c>
      <c r="D57" s="81">
        <v>10</v>
      </c>
      <c r="E57" s="82">
        <v>-45</v>
      </c>
      <c r="F57" s="6">
        <v>6.43</v>
      </c>
      <c r="G57" s="81">
        <v>3349</v>
      </c>
      <c r="H57" s="151" t="s">
        <v>1212</v>
      </c>
      <c r="I57" s="16" t="s">
        <v>6504</v>
      </c>
      <c r="J57" s="75">
        <v>42.87</v>
      </c>
      <c r="K57" s="75"/>
      <c r="M57" s="75"/>
      <c r="N57" s="325">
        <f t="shared" ref="N57" si="67">J57+K57+L57+M57</f>
        <v>42.87</v>
      </c>
      <c r="T57" s="34">
        <v>0.57999999999999996</v>
      </c>
      <c r="U57" s="366">
        <f t="shared" ref="U57" si="68">T57/W57</f>
        <v>2.4217118997912318E-2</v>
      </c>
      <c r="V57" s="97" t="s">
        <v>4029</v>
      </c>
      <c r="W57" s="36">
        <f>RTD("money.excel",,"3349","Price")</f>
        <v>23.95</v>
      </c>
      <c r="X57" s="67">
        <v>18.88</v>
      </c>
      <c r="Y57" s="15">
        <f t="shared" ref="Y57" si="69">W57-X57</f>
        <v>5.07</v>
      </c>
      <c r="Z57" s="3">
        <f t="shared" ref="Z57" si="70">Y57/X57</f>
        <v>0.26853813559322037</v>
      </c>
      <c r="AA57" s="400"/>
      <c r="AB57" s="16" t="s">
        <v>6504</v>
      </c>
      <c r="AC57" s="86">
        <v>44643</v>
      </c>
      <c r="AE57" s="33">
        <f t="shared" ref="AE57" si="71">AD57-AC57</f>
        <v>-44643</v>
      </c>
      <c r="AF57" s="43" t="s">
        <v>6505</v>
      </c>
      <c r="AG57" s="128"/>
      <c r="AH57" s="254"/>
      <c r="AI57" s="64">
        <f t="shared" ref="AI57" si="72">AJ57/(A57*10000)</f>
        <v>1.5294117647058824E-3</v>
      </c>
      <c r="AJ57" s="313">
        <f>RTD("money.excel",,$G57,"PredictVolume")</f>
        <v>52</v>
      </c>
      <c r="AK57" s="348"/>
      <c r="AL57" s="308"/>
      <c r="AM57" s="269"/>
    </row>
    <row r="58" spans="1:39">
      <c r="A58" s="148"/>
      <c r="B58" s="81"/>
      <c r="C58" s="81"/>
      <c r="D58" s="81"/>
      <c r="E58" s="82"/>
      <c r="F58" s="6"/>
      <c r="G58" s="81"/>
      <c r="H58" s="17"/>
      <c r="I58" s="22"/>
      <c r="J58" s="330"/>
      <c r="K58" s="330"/>
      <c r="L58" s="330"/>
      <c r="N58" s="325"/>
      <c r="T58" s="34"/>
      <c r="U58" s="366"/>
      <c r="V58" s="58"/>
      <c r="W58" s="36"/>
      <c r="X58" s="67"/>
      <c r="Y58" s="15"/>
      <c r="Z58" s="3"/>
      <c r="AA58" s="400"/>
      <c r="AB58" s="22"/>
      <c r="AE58" s="33"/>
      <c r="AF58" s="122"/>
      <c r="AG58" s="128"/>
      <c r="AH58" s="254"/>
      <c r="AI58" s="64"/>
      <c r="AJ58" s="313"/>
      <c r="AK58" s="348"/>
      <c r="AL58" s="308"/>
      <c r="AM58" s="269"/>
    </row>
    <row r="59" spans="1:39">
      <c r="A59" s="132" t="s">
        <v>3560</v>
      </c>
      <c r="B59" s="81">
        <v>297</v>
      </c>
      <c r="C59" s="81">
        <v>266</v>
      </c>
      <c r="D59" s="93"/>
      <c r="E59" s="93"/>
      <c r="F59" s="58">
        <v>11.54</v>
      </c>
      <c r="G59" s="81">
        <v>4558</v>
      </c>
      <c r="H59" s="8" t="s">
        <v>313</v>
      </c>
      <c r="I59" s="16" t="s">
        <v>6492</v>
      </c>
      <c r="J59" s="330">
        <v>49.81</v>
      </c>
      <c r="K59" s="330">
        <v>0</v>
      </c>
      <c r="N59" s="325">
        <f t="shared" ref="N59" si="73">J59+K59+L59+M59</f>
        <v>49.81</v>
      </c>
      <c r="T59" s="34">
        <v>1</v>
      </c>
      <c r="U59" s="366">
        <f t="shared" ref="U59" si="74">T59/W59</f>
        <v>1.7953321364452424E-2</v>
      </c>
      <c r="V59" s="97" t="s">
        <v>4029</v>
      </c>
      <c r="W59" s="13">
        <f>RTD("money.excel",,"4558","Price")</f>
        <v>55.7</v>
      </c>
      <c r="X59" s="67">
        <v>40</v>
      </c>
      <c r="Y59" s="15">
        <f t="shared" ref="Y59" si="75">W59-X59</f>
        <v>15.700000000000003</v>
      </c>
      <c r="Z59" s="3">
        <f t="shared" ref="Z59" si="76">Y59/X59</f>
        <v>0.39250000000000007</v>
      </c>
      <c r="AA59" s="400"/>
      <c r="AB59" s="16" t="s">
        <v>6492</v>
      </c>
      <c r="AC59" s="86">
        <v>44637</v>
      </c>
      <c r="AE59" s="33">
        <f t="shared" ref="AE59" si="77">AD59-AC59</f>
        <v>-44637</v>
      </c>
      <c r="AF59" s="43" t="s">
        <v>6493</v>
      </c>
      <c r="AG59" s="128"/>
      <c r="AH59" s="254"/>
      <c r="AI59" s="64">
        <f t="shared" ref="AI59" si="78">AJ59/(A59*10000)</f>
        <v>1.3151927437641724E-3</v>
      </c>
      <c r="AJ59" s="313">
        <f>RTD("money.excel",,$G59,"PredictVolume")</f>
        <v>58</v>
      </c>
      <c r="AK59" s="348"/>
      <c r="AL59" s="308"/>
      <c r="AM59" s="269"/>
    </row>
    <row r="60" spans="1:39">
      <c r="A60" s="132" t="s">
        <v>6474</v>
      </c>
      <c r="B60" s="81">
        <v>74</v>
      </c>
      <c r="C60" s="81">
        <v>77</v>
      </c>
      <c r="D60" s="82">
        <v>-10</v>
      </c>
      <c r="E60" s="81">
        <v>16</v>
      </c>
      <c r="F60" s="58">
        <v>28.27</v>
      </c>
      <c r="G60" s="81">
        <v>6763</v>
      </c>
      <c r="H60" s="151" t="s">
        <v>356</v>
      </c>
      <c r="I60" s="16" t="s">
        <v>6473</v>
      </c>
      <c r="J60" s="330">
        <v>45.02</v>
      </c>
      <c r="K60" s="75">
        <v>2.91</v>
      </c>
      <c r="L60" s="330"/>
      <c r="M60" s="330"/>
      <c r="N60" s="325">
        <f t="shared" ref="N60" si="79">J60+K60+L60+M60</f>
        <v>47.930000000000007</v>
      </c>
      <c r="T60" s="67">
        <v>9.1</v>
      </c>
      <c r="U60" s="366">
        <f>T60/W60</f>
        <v>9.8378378378378376E-3</v>
      </c>
      <c r="V60" s="97">
        <v>22.91</v>
      </c>
      <c r="W60" s="36">
        <f>RTD("money.excel",,"6763","Price")</f>
        <v>925</v>
      </c>
      <c r="X60" s="67">
        <v>760</v>
      </c>
      <c r="Y60" s="15">
        <f t="shared" ref="Y60" si="80">W60-X60</f>
        <v>165</v>
      </c>
      <c r="Z60" s="161">
        <f t="shared" ref="Z60" si="81">Y60/X60</f>
        <v>0.21710526315789475</v>
      </c>
      <c r="AA60" s="400"/>
      <c r="AB60" s="16" t="s">
        <v>6473</v>
      </c>
      <c r="AC60" s="86">
        <v>44635</v>
      </c>
      <c r="AE60" s="33">
        <f t="shared" ref="AE60" si="82">AD60-AC60</f>
        <v>-44635</v>
      </c>
      <c r="AF60" s="128" t="s">
        <v>6476</v>
      </c>
      <c r="AH60" s="254"/>
      <c r="AI60" s="64">
        <f>AJ60/(A60*10000)</f>
        <v>1.7567567567567568E-3</v>
      </c>
      <c r="AJ60" s="313">
        <f>RTD("money.excel",,$G60,"PredictVolume")</f>
        <v>26</v>
      </c>
      <c r="AK60" s="348"/>
      <c r="AL60" s="308"/>
      <c r="AM60" s="269"/>
    </row>
    <row r="61" spans="1:39">
      <c r="A61" s="132" t="s">
        <v>2669</v>
      </c>
      <c r="B61" s="95">
        <v>2153</v>
      </c>
      <c r="C61" s="237">
        <v>22553</v>
      </c>
      <c r="D61" s="81">
        <v>51</v>
      </c>
      <c r="E61" s="82">
        <v>-4</v>
      </c>
      <c r="F61" s="58">
        <v>15.29</v>
      </c>
      <c r="G61" s="81">
        <v>4923</v>
      </c>
      <c r="H61" s="151" t="s">
        <v>3761</v>
      </c>
      <c r="I61" s="16" t="s">
        <v>6472</v>
      </c>
      <c r="J61" s="75">
        <v>12.11</v>
      </c>
      <c r="K61" s="330">
        <v>2.83</v>
      </c>
      <c r="L61" s="330"/>
      <c r="M61" s="330"/>
      <c r="N61" s="325">
        <f t="shared" ref="N61" si="83">J61+K61+L61+M61</f>
        <v>14.94</v>
      </c>
      <c r="T61" s="67">
        <v>5</v>
      </c>
      <c r="U61" s="366">
        <f>T61/W61</f>
        <v>6.4516129032258063E-2</v>
      </c>
      <c r="V61" s="97" t="s">
        <v>4029</v>
      </c>
      <c r="W61" s="36">
        <f>RTD("money.excel",,"4923","Price")</f>
        <v>77.5</v>
      </c>
      <c r="X61" s="67">
        <v>61.88</v>
      </c>
      <c r="Y61" s="15">
        <f t="shared" ref="Y61" si="84">W61-X61</f>
        <v>15.619999999999997</v>
      </c>
      <c r="Z61" s="3">
        <f t="shared" ref="Z61" si="85">Y61/X61</f>
        <v>0.25242404654169354</v>
      </c>
      <c r="AA61" s="400"/>
      <c r="AB61" s="16" t="s">
        <v>6472</v>
      </c>
      <c r="AC61" s="86">
        <v>44634</v>
      </c>
      <c r="AE61" s="33">
        <f t="shared" ref="AE61" si="86">AD61-AC61</f>
        <v>-44634</v>
      </c>
      <c r="AF61" s="128" t="s">
        <v>6477</v>
      </c>
      <c r="AH61" s="254"/>
      <c r="AI61" s="64">
        <f>AJ61/(A61*10000)</f>
        <v>1.6879999999999999E-2</v>
      </c>
      <c r="AJ61" s="313">
        <f>RTD("money.excel",,$G61,"PredictVolume")</f>
        <v>422</v>
      </c>
      <c r="AK61" s="348"/>
      <c r="AL61" s="308"/>
      <c r="AM61" s="269"/>
    </row>
    <row r="62" spans="1:39">
      <c r="B62" s="95"/>
      <c r="C62" s="237"/>
      <c r="D62" s="81"/>
      <c r="E62" s="82"/>
      <c r="F62" s="58"/>
      <c r="G62" s="81"/>
      <c r="H62" s="151"/>
      <c r="I62" s="16"/>
      <c r="J62" s="75"/>
      <c r="K62" s="330"/>
      <c r="L62" s="330"/>
      <c r="M62" s="330"/>
      <c r="N62" s="325"/>
      <c r="T62" s="67"/>
      <c r="U62" s="366"/>
      <c r="V62" s="97"/>
      <c r="W62" s="36"/>
      <c r="X62" s="67"/>
      <c r="Y62" s="15"/>
      <c r="Z62" s="3"/>
      <c r="AA62" s="400"/>
      <c r="AB62" s="16"/>
      <c r="AE62" s="33"/>
      <c r="AF62" s="128"/>
      <c r="AH62" s="254"/>
      <c r="AI62" s="64"/>
      <c r="AJ62" s="313"/>
      <c r="AK62" s="348"/>
      <c r="AL62" s="308"/>
      <c r="AM62" s="269"/>
    </row>
    <row r="63" spans="1:39">
      <c r="A63" s="148" t="s">
        <v>5736</v>
      </c>
      <c r="B63" s="81">
        <v>307</v>
      </c>
      <c r="C63" s="81">
        <v>189</v>
      </c>
      <c r="D63" s="81">
        <v>47</v>
      </c>
      <c r="E63" s="82">
        <v>-41</v>
      </c>
      <c r="F63" s="6">
        <v>6.56</v>
      </c>
      <c r="G63" s="81">
        <v>8438</v>
      </c>
      <c r="H63" s="8" t="s">
        <v>2303</v>
      </c>
      <c r="I63" s="22" t="s">
        <v>6471</v>
      </c>
      <c r="J63" s="330">
        <v>94.75</v>
      </c>
      <c r="K63" s="330">
        <v>0</v>
      </c>
      <c r="L63" s="330"/>
      <c r="M63" s="330"/>
      <c r="N63" s="325">
        <f t="shared" ref="N63" si="87">J63+K63+L63+M63</f>
        <v>94.75</v>
      </c>
      <c r="T63" s="34">
        <v>0.9</v>
      </c>
      <c r="U63" s="366">
        <f>T63/W63</f>
        <v>2.2222222222222223E-2</v>
      </c>
      <c r="V63" s="58" t="s">
        <v>4029</v>
      </c>
      <c r="W63" s="13">
        <f>RTD("money.excel",,"8438","Price")</f>
        <v>40.5</v>
      </c>
      <c r="X63" s="67">
        <v>40</v>
      </c>
      <c r="Y63" s="15">
        <f t="shared" ref="Y63" si="88">W63-X63</f>
        <v>0.5</v>
      </c>
      <c r="Z63" s="3">
        <f t="shared" ref="Z63" si="89">Y63/X63</f>
        <v>1.2500000000000001E-2</v>
      </c>
      <c r="AA63" s="400" t="s">
        <v>6511</v>
      </c>
      <c r="AB63" s="22" t="s">
        <v>6471</v>
      </c>
      <c r="AC63" s="86">
        <v>44631</v>
      </c>
      <c r="AD63" s="85">
        <v>44641</v>
      </c>
      <c r="AE63" s="33">
        <f t="shared" ref="AE63" si="90">AD63-AC63</f>
        <v>10</v>
      </c>
      <c r="AF63" s="128" t="s">
        <v>6478</v>
      </c>
      <c r="AH63" s="254"/>
      <c r="AI63" s="64">
        <f>AJ63/(A63*10000)</f>
        <v>3.0476947535771064E-2</v>
      </c>
      <c r="AJ63" s="313">
        <f>RTD("money.excel",,$G63,"PredictVolume")</f>
        <v>1917</v>
      </c>
      <c r="AK63" s="348"/>
      <c r="AL63" s="308"/>
      <c r="AM63" s="269"/>
    </row>
    <row r="64" spans="1:39">
      <c r="A64" s="132" t="s">
        <v>6475</v>
      </c>
      <c r="B64" s="237">
        <v>32360</v>
      </c>
      <c r="C64" s="237">
        <v>40163</v>
      </c>
      <c r="D64" s="81">
        <v>69</v>
      </c>
      <c r="E64" s="82">
        <v>-45</v>
      </c>
      <c r="F64" s="58">
        <v>18.260000000000002</v>
      </c>
      <c r="G64" s="81">
        <v>6829</v>
      </c>
      <c r="H64" s="8" t="s">
        <v>313</v>
      </c>
      <c r="I64" s="16" t="s">
        <v>6470</v>
      </c>
      <c r="J64" s="330">
        <v>77.42</v>
      </c>
      <c r="K64" s="330"/>
      <c r="L64" s="330"/>
      <c r="M64" s="330"/>
      <c r="N64" s="325">
        <f t="shared" ref="N64" si="91">J64+K64+L64+M64</f>
        <v>77.42</v>
      </c>
      <c r="T64" s="34"/>
      <c r="U64" s="366">
        <f>T64/W64</f>
        <v>0</v>
      </c>
      <c r="V64" s="58" t="s">
        <v>4029</v>
      </c>
      <c r="W64" s="36">
        <f>RTD("money.excel",,"6829","Price")</f>
        <v>73.5</v>
      </c>
      <c r="X64" s="67">
        <v>66</v>
      </c>
      <c r="Y64" s="15">
        <f t="shared" ref="Y64" si="92">W64-X64</f>
        <v>7.5</v>
      </c>
      <c r="Z64" s="3">
        <f t="shared" ref="Z64" si="93">Y64/X64</f>
        <v>0.11363636363636363</v>
      </c>
      <c r="AA64" s="400" t="s">
        <v>6512</v>
      </c>
      <c r="AB64" s="16" t="s">
        <v>6470</v>
      </c>
      <c r="AC64" s="86">
        <v>44631</v>
      </c>
      <c r="AD64" s="85">
        <v>44641</v>
      </c>
      <c r="AE64" s="33">
        <f t="shared" ref="AE64" si="94">AD64-AC64</f>
        <v>10</v>
      </c>
      <c r="AF64" s="128" t="s">
        <v>6479</v>
      </c>
      <c r="AH64" s="254"/>
      <c r="AI64" s="64">
        <f>AJ64/(A64*10000)</f>
        <v>2.6728624535315985E-2</v>
      </c>
      <c r="AJ64" s="313">
        <f>RTD("money.excel",,$G64,"PredictVolume")</f>
        <v>1438</v>
      </c>
      <c r="AK64" s="348"/>
      <c r="AL64" s="308"/>
      <c r="AM64" s="269"/>
    </row>
    <row r="65" spans="1:40">
      <c r="A65" s="148" t="s">
        <v>2608</v>
      </c>
      <c r="B65" s="82">
        <v>-12</v>
      </c>
      <c r="C65" s="82">
        <v>-15</v>
      </c>
      <c r="D65" s="82">
        <v>-18</v>
      </c>
      <c r="E65" s="82">
        <v>-3</v>
      </c>
      <c r="F65" s="6">
        <v>2.88</v>
      </c>
      <c r="G65" s="81">
        <v>6751</v>
      </c>
      <c r="H65" s="8" t="s">
        <v>333</v>
      </c>
      <c r="I65" s="16" t="s">
        <v>2604</v>
      </c>
      <c r="J65" s="330">
        <v>52</v>
      </c>
      <c r="K65" s="330">
        <v>0.06</v>
      </c>
      <c r="L65" s="330"/>
      <c r="M65" s="75">
        <v>59.34</v>
      </c>
      <c r="N65" s="325">
        <f t="shared" ref="N65:N66" si="95">J65+K65+L65+M65</f>
        <v>111.4</v>
      </c>
      <c r="O65" s="27" t="s">
        <v>6411</v>
      </c>
      <c r="P65" s="56" t="s">
        <v>6411</v>
      </c>
      <c r="Q65" s="26" t="s">
        <v>6411</v>
      </c>
      <c r="T65" s="34">
        <v>2.1</v>
      </c>
      <c r="U65" s="366">
        <f>T65/W65</f>
        <v>4.6408839779005527E-2</v>
      </c>
      <c r="V65" s="58">
        <v>2.23</v>
      </c>
      <c r="W65" s="36">
        <f>RTD("money.excel",,"6751","Price")</f>
        <v>45.25</v>
      </c>
      <c r="X65" s="67">
        <v>45</v>
      </c>
      <c r="Y65" s="15">
        <f t="shared" ref="Y65:Y66" si="96">W65-X65</f>
        <v>0.25</v>
      </c>
      <c r="Z65" s="3">
        <f t="shared" ref="Z65:Z66" si="97">Y65/X65</f>
        <v>5.5555555555555558E-3</v>
      </c>
      <c r="AA65" s="400" t="s">
        <v>6513</v>
      </c>
      <c r="AB65" s="16" t="s">
        <v>2604</v>
      </c>
      <c r="AC65" s="86">
        <v>44631</v>
      </c>
      <c r="AD65" s="85">
        <v>44641</v>
      </c>
      <c r="AE65" s="33">
        <f t="shared" ref="AE65:AE66" si="98">AD65-AC65</f>
        <v>10</v>
      </c>
      <c r="AF65" s="43" t="s">
        <v>2605</v>
      </c>
      <c r="AG65" s="128"/>
      <c r="AH65" s="254"/>
      <c r="AI65" s="64">
        <f>AJ65/(A65*10000)</f>
        <v>9.1500000000000001E-3</v>
      </c>
      <c r="AJ65" s="313">
        <f>RTD("money.excel",,$G65,"PredictVolume")</f>
        <v>183</v>
      </c>
      <c r="AK65" s="348">
        <v>3.88</v>
      </c>
      <c r="AL65" s="308"/>
      <c r="AM65" s="269"/>
    </row>
    <row r="66" spans="1:40">
      <c r="A66" s="148" t="s">
        <v>6410</v>
      </c>
      <c r="B66" s="82">
        <v>-473</v>
      </c>
      <c r="C66" s="82">
        <v>-281</v>
      </c>
      <c r="D66" s="81">
        <v>5</v>
      </c>
      <c r="E66" s="82">
        <v>-34</v>
      </c>
      <c r="F66" s="6">
        <v>-10.43</v>
      </c>
      <c r="G66" s="81">
        <v>2314</v>
      </c>
      <c r="H66" s="8" t="s">
        <v>331</v>
      </c>
      <c r="I66" s="22" t="s">
        <v>5545</v>
      </c>
      <c r="J66" s="330">
        <v>33.44</v>
      </c>
      <c r="K66" s="330">
        <v>7.22</v>
      </c>
      <c r="L66" s="330">
        <v>0</v>
      </c>
      <c r="M66" s="330">
        <v>24.51</v>
      </c>
      <c r="N66" s="325">
        <f t="shared" si="95"/>
        <v>65.17</v>
      </c>
      <c r="O66" s="27" t="s">
        <v>6412</v>
      </c>
      <c r="P66" s="56" t="s">
        <v>6413</v>
      </c>
      <c r="Q66" s="26" t="s">
        <v>6413</v>
      </c>
      <c r="R66" s="308" t="s">
        <v>6414</v>
      </c>
      <c r="S66" s="330">
        <v>0</v>
      </c>
      <c r="T66" s="34">
        <v>0</v>
      </c>
      <c r="U66" s="366">
        <f>T66/W66</f>
        <v>0</v>
      </c>
      <c r="V66" s="97">
        <v>-1.53</v>
      </c>
      <c r="W66" s="36">
        <f>RTD("money.excel",,"2314","Price")</f>
        <v>56.8</v>
      </c>
      <c r="X66" s="67">
        <v>52</v>
      </c>
      <c r="Y66" s="15">
        <f t="shared" si="96"/>
        <v>4.7999999999999972</v>
      </c>
      <c r="Z66" s="3">
        <f t="shared" si="97"/>
        <v>9.2307692307692257E-2</v>
      </c>
      <c r="AA66" s="400" t="s">
        <v>6514</v>
      </c>
      <c r="AB66" s="22" t="s">
        <v>5545</v>
      </c>
      <c r="AC66" s="86">
        <v>44631</v>
      </c>
      <c r="AD66" s="85">
        <v>44641</v>
      </c>
      <c r="AE66" s="33">
        <f t="shared" si="98"/>
        <v>10</v>
      </c>
      <c r="AF66" s="124" t="s">
        <v>5546</v>
      </c>
      <c r="AG66" s="128"/>
      <c r="AH66" s="254"/>
      <c r="AI66" s="64">
        <f>AJ66/(A66*10000)</f>
        <v>7.7983193277310929E-3</v>
      </c>
      <c r="AJ66" s="313">
        <f>RTD("money.excel",,$G66,"PredictVolume")</f>
        <v>1856</v>
      </c>
      <c r="AK66" s="348">
        <v>28.35</v>
      </c>
      <c r="AL66" s="308"/>
      <c r="AM66" s="269"/>
    </row>
    <row r="67" spans="1:40">
      <c r="A67" s="148"/>
      <c r="B67" s="81"/>
      <c r="C67" s="81"/>
      <c r="D67" s="81"/>
      <c r="E67" s="82"/>
      <c r="F67" s="6"/>
      <c r="G67" s="81"/>
      <c r="H67" s="8"/>
      <c r="I67" s="16"/>
      <c r="J67" s="330"/>
      <c r="K67" s="330"/>
      <c r="N67" s="325"/>
      <c r="T67" s="34"/>
      <c r="U67" s="366"/>
      <c r="V67" s="97"/>
      <c r="W67" s="36"/>
      <c r="X67" s="67"/>
      <c r="Y67" s="15"/>
      <c r="Z67" s="3"/>
      <c r="AA67" s="400"/>
      <c r="AB67" s="16"/>
      <c r="AE67" s="33"/>
      <c r="AF67" s="43"/>
      <c r="AG67" s="128"/>
      <c r="AH67" s="254"/>
      <c r="AI67" s="64"/>
      <c r="AJ67" s="313"/>
      <c r="AK67" s="348"/>
      <c r="AL67" s="308"/>
      <c r="AM67" s="269"/>
    </row>
    <row r="68" spans="1:40">
      <c r="A68" s="132" t="s">
        <v>6302</v>
      </c>
      <c r="B68" s="81">
        <v>296</v>
      </c>
      <c r="C68" s="81">
        <v>82</v>
      </c>
      <c r="D68" s="81">
        <v>10</v>
      </c>
      <c r="E68" s="81">
        <v>25</v>
      </c>
      <c r="F68" s="58">
        <v>22.41</v>
      </c>
      <c r="G68" s="81">
        <v>8367</v>
      </c>
      <c r="H68" s="8" t="s">
        <v>320</v>
      </c>
      <c r="I68" s="22" t="s">
        <v>2018</v>
      </c>
      <c r="J68" s="75">
        <v>61.25</v>
      </c>
      <c r="K68" s="330">
        <v>1.77</v>
      </c>
      <c r="L68" s="330">
        <v>6.56</v>
      </c>
      <c r="M68" s="330">
        <v>49.34</v>
      </c>
      <c r="N68" s="325">
        <f t="shared" ref="N68:N69" si="99">J68+K68+L68+M68</f>
        <v>118.92</v>
      </c>
      <c r="R68" s="308" t="s">
        <v>6305</v>
      </c>
      <c r="S68" s="330">
        <v>0.53</v>
      </c>
      <c r="T68" s="34">
        <v>1.5</v>
      </c>
      <c r="U68" s="366">
        <f>T68/W68</f>
        <v>2.9239766081871347E-2</v>
      </c>
      <c r="V68" s="58">
        <v>7.19</v>
      </c>
      <c r="W68" s="36">
        <f>RTD("money.excel",,"8367","Price")</f>
        <v>51.3</v>
      </c>
      <c r="X68" s="67">
        <v>42.5</v>
      </c>
      <c r="Y68" s="15">
        <f t="shared" ref="Y68:Y69" si="100">W68-X68</f>
        <v>8.7999999999999972</v>
      </c>
      <c r="Z68" s="3">
        <f t="shared" ref="Z68:Z69" si="101">Y68/X68</f>
        <v>0.20705882352941168</v>
      </c>
      <c r="AA68" s="400" t="s">
        <v>6456</v>
      </c>
      <c r="AB68" s="22" t="s">
        <v>2018</v>
      </c>
      <c r="AC68" s="86">
        <v>44623</v>
      </c>
      <c r="AD68" s="85">
        <v>44633</v>
      </c>
      <c r="AE68" s="33">
        <f t="shared" ref="AE68:AE69" si="102">AD68-AC68</f>
        <v>10</v>
      </c>
      <c r="AF68" s="43" t="s">
        <v>2019</v>
      </c>
      <c r="AG68" s="128"/>
      <c r="AH68" s="254"/>
      <c r="AI68" s="64">
        <f>AJ68/(A68*10000)</f>
        <v>4.9828962371721783E-3</v>
      </c>
      <c r="AJ68" s="313">
        <f>RTD("money.excel",,$G68,"PredictVolume")</f>
        <v>437</v>
      </c>
      <c r="AK68" s="348">
        <v>31.32</v>
      </c>
      <c r="AL68" s="308"/>
      <c r="AM68" s="269"/>
    </row>
    <row r="69" spans="1:40">
      <c r="A69" s="148" t="s">
        <v>1654</v>
      </c>
      <c r="B69" s="82">
        <v>-32</v>
      </c>
      <c r="C69" s="82">
        <v>-39</v>
      </c>
      <c r="D69" s="82">
        <v>-9</v>
      </c>
      <c r="E69" s="81">
        <v>7</v>
      </c>
      <c r="F69" s="6">
        <v>9.8699999999999992</v>
      </c>
      <c r="G69" s="81">
        <v>6715</v>
      </c>
      <c r="H69" s="8" t="s">
        <v>327</v>
      </c>
      <c r="I69" s="22" t="s">
        <v>2242</v>
      </c>
      <c r="J69" s="75">
        <v>74.17</v>
      </c>
      <c r="K69" s="330">
        <v>1.67</v>
      </c>
      <c r="L69" s="330">
        <v>17.23</v>
      </c>
      <c r="M69" s="330">
        <v>55.52</v>
      </c>
      <c r="N69" s="75">
        <f t="shared" si="99"/>
        <v>148.59</v>
      </c>
      <c r="R69" s="308" t="s">
        <v>6304</v>
      </c>
      <c r="S69" s="330">
        <v>0.24</v>
      </c>
      <c r="T69" s="34">
        <v>2.5</v>
      </c>
      <c r="U69" s="366">
        <f>T69/W69</f>
        <v>2.4630541871921183E-2</v>
      </c>
      <c r="V69" s="58">
        <v>3.51</v>
      </c>
      <c r="W69" s="36">
        <f>RTD("money.excel",,"6715","Price")</f>
        <v>101.5</v>
      </c>
      <c r="X69" s="67">
        <v>95</v>
      </c>
      <c r="Y69" s="15">
        <f t="shared" si="100"/>
        <v>6.5</v>
      </c>
      <c r="Z69" s="3">
        <f t="shared" si="101"/>
        <v>6.8421052631578952E-2</v>
      </c>
      <c r="AA69" s="400" t="s">
        <v>6455</v>
      </c>
      <c r="AB69" s="22" t="s">
        <v>2242</v>
      </c>
      <c r="AC69" s="86">
        <v>44623</v>
      </c>
      <c r="AD69" s="85">
        <v>44633</v>
      </c>
      <c r="AE69" s="33">
        <f t="shared" si="102"/>
        <v>10</v>
      </c>
      <c r="AF69" s="124" t="s">
        <v>2243</v>
      </c>
      <c r="AG69" s="128"/>
      <c r="AH69" s="254"/>
      <c r="AI69" s="64">
        <f>AJ69/(A69*10000)</f>
        <v>3.6363636363636361E-4</v>
      </c>
      <c r="AJ69" s="313">
        <f>RTD("money.excel",,$G69,"PredictVolume")</f>
        <v>22</v>
      </c>
      <c r="AK69" s="348">
        <v>2.11</v>
      </c>
      <c r="AL69" s="308"/>
      <c r="AM69" s="269"/>
    </row>
    <row r="70" spans="1:40">
      <c r="A70" s="148" t="s">
        <v>2500</v>
      </c>
      <c r="B70" s="81">
        <v>97.9</v>
      </c>
      <c r="C70" s="81">
        <v>155</v>
      </c>
      <c r="D70" s="82">
        <v>-20</v>
      </c>
      <c r="E70" s="82">
        <v>-29</v>
      </c>
      <c r="F70" s="6">
        <v>1.86</v>
      </c>
      <c r="G70" s="81">
        <v>2406</v>
      </c>
      <c r="H70" s="8" t="s">
        <v>325</v>
      </c>
      <c r="I70" s="22" t="s">
        <v>475</v>
      </c>
      <c r="J70" s="330">
        <v>17.48</v>
      </c>
      <c r="K70" s="330">
        <v>11.6</v>
      </c>
      <c r="L70" s="330">
        <v>25.76</v>
      </c>
      <c r="M70" s="330">
        <v>4.66</v>
      </c>
      <c r="N70" s="325">
        <f t="shared" ref="N70" si="103">J70+K70+L70+M70</f>
        <v>59.5</v>
      </c>
      <c r="R70" s="308" t="s">
        <v>4373</v>
      </c>
      <c r="S70" s="330">
        <v>1.32</v>
      </c>
      <c r="T70" s="34">
        <v>0</v>
      </c>
      <c r="U70" s="366">
        <f>T70/W70</f>
        <v>0</v>
      </c>
      <c r="V70" s="97">
        <v>0.41</v>
      </c>
      <c r="W70" s="36">
        <f>RTD("money.excel",,"2406","Price")</f>
        <v>26.15</v>
      </c>
      <c r="X70" s="67">
        <v>25</v>
      </c>
      <c r="Y70" s="15">
        <f t="shared" ref="Y70" si="104">W70-X70</f>
        <v>1.1499999999999986</v>
      </c>
      <c r="Z70" s="3">
        <f t="shared" ref="Z70" si="105">Y70/X70</f>
        <v>4.5999999999999944E-2</v>
      </c>
      <c r="AA70" s="400" t="s">
        <v>6457</v>
      </c>
      <c r="AB70" s="22" t="s">
        <v>475</v>
      </c>
      <c r="AC70" s="86">
        <v>44622</v>
      </c>
      <c r="AD70" s="85">
        <v>44632</v>
      </c>
      <c r="AE70" s="33">
        <f t="shared" ref="AE70" si="106">AD70-AC70</f>
        <v>10</v>
      </c>
      <c r="AF70" s="43" t="s">
        <v>5288</v>
      </c>
      <c r="AG70" s="128"/>
      <c r="AH70" s="254"/>
      <c r="AI70" s="64"/>
      <c r="AJ70" s="313"/>
      <c r="AK70" s="348"/>
      <c r="AL70" s="308"/>
      <c r="AM70" s="269"/>
    </row>
    <row r="71" spans="1:40">
      <c r="A71" s="148"/>
      <c r="B71" s="81"/>
      <c r="C71" s="81"/>
      <c r="D71" s="82"/>
      <c r="E71" s="82"/>
      <c r="F71" s="6"/>
      <c r="G71" s="81"/>
      <c r="H71" s="8"/>
      <c r="I71" s="22"/>
      <c r="J71" s="330"/>
      <c r="K71" s="330"/>
      <c r="L71" s="330"/>
      <c r="M71" s="330"/>
      <c r="N71" s="325"/>
      <c r="T71" s="34"/>
      <c r="U71" s="366"/>
      <c r="V71" s="97"/>
      <c r="W71" s="36"/>
      <c r="X71" s="67"/>
      <c r="Y71" s="15"/>
      <c r="Z71" s="3"/>
      <c r="AA71" s="400"/>
      <c r="AB71" s="22"/>
      <c r="AE71" s="33"/>
      <c r="AF71" s="43"/>
      <c r="AG71" s="128"/>
      <c r="AH71" s="254"/>
      <c r="AI71" s="64"/>
      <c r="AJ71" s="313"/>
      <c r="AK71" s="348"/>
      <c r="AL71" s="308"/>
      <c r="AM71" s="269"/>
    </row>
    <row r="72" spans="1:40">
      <c r="A72" s="132" t="s">
        <v>2144</v>
      </c>
      <c r="B72" s="81">
        <v>320</v>
      </c>
      <c r="C72" s="81">
        <v>264</v>
      </c>
      <c r="D72" s="81"/>
      <c r="E72" s="81"/>
      <c r="F72" s="58">
        <v>11.47</v>
      </c>
      <c r="G72" s="81">
        <v>6693</v>
      </c>
      <c r="H72" s="206" t="s">
        <v>3761</v>
      </c>
      <c r="I72" s="16" t="s">
        <v>6301</v>
      </c>
      <c r="J72" s="330">
        <v>49.47</v>
      </c>
      <c r="K72" s="75">
        <v>0.21</v>
      </c>
      <c r="M72" s="75">
        <v>12.67</v>
      </c>
      <c r="N72" s="325">
        <f>J72+K72+L72+M72</f>
        <v>62.35</v>
      </c>
      <c r="T72" s="67">
        <v>0.2</v>
      </c>
      <c r="U72" s="366">
        <f>T72/W72</f>
        <v>2E-3</v>
      </c>
      <c r="V72" s="97" t="s">
        <v>4029</v>
      </c>
      <c r="W72" s="36">
        <v>100</v>
      </c>
      <c r="X72" s="67">
        <v>116</v>
      </c>
      <c r="Y72" s="15">
        <f>W72-X72</f>
        <v>-16</v>
      </c>
      <c r="Z72" s="3">
        <f>Y72/X72</f>
        <v>-0.13793103448275862</v>
      </c>
      <c r="AA72" s="400" t="s">
        <v>6442</v>
      </c>
      <c r="AB72" s="16" t="s">
        <v>6301</v>
      </c>
      <c r="AC72" s="86">
        <v>44621</v>
      </c>
      <c r="AD72" s="85">
        <v>44631</v>
      </c>
      <c r="AE72" s="33">
        <f>AD72-AC72</f>
        <v>10</v>
      </c>
      <c r="AF72" s="43" t="s">
        <v>6303</v>
      </c>
      <c r="AG72" s="128"/>
      <c r="AH72" s="254"/>
      <c r="AI72" s="64">
        <f>AJ72/(A72*10000)</f>
        <v>6.9211822660098536E-3</v>
      </c>
      <c r="AJ72" s="313">
        <f>RTD("money.excel",,$G72,"PredictVolume")</f>
        <v>281</v>
      </c>
      <c r="AK72" s="348"/>
      <c r="AL72" s="308"/>
      <c r="AM72" s="269"/>
    </row>
    <row r="73" spans="1:40">
      <c r="A73" s="148"/>
      <c r="B73" s="81"/>
      <c r="C73" s="81"/>
      <c r="D73" s="81"/>
      <c r="E73" s="82"/>
      <c r="F73" s="6"/>
      <c r="G73" s="81"/>
      <c r="H73" s="8"/>
      <c r="I73" s="16"/>
      <c r="J73" s="75"/>
      <c r="K73" s="330"/>
      <c r="N73" s="325"/>
      <c r="T73" s="34"/>
      <c r="V73" s="97"/>
      <c r="W73" s="36"/>
      <c r="X73" s="67"/>
      <c r="Y73" s="15"/>
      <c r="Z73" s="3"/>
      <c r="AA73" s="213"/>
      <c r="AB73" s="16"/>
      <c r="AE73" s="33"/>
      <c r="AF73" s="43"/>
      <c r="AG73" s="128"/>
      <c r="AH73" s="254"/>
      <c r="AI73" s="64"/>
      <c r="AJ73" s="313"/>
      <c r="AL73" s="287"/>
      <c r="AM73" s="269"/>
    </row>
    <row r="74" spans="1:40">
      <c r="A74" s="191"/>
      <c r="B74" s="179"/>
      <c r="C74" s="179"/>
      <c r="D74" s="179"/>
      <c r="E74" s="179"/>
      <c r="F74" s="180"/>
      <c r="G74" s="181"/>
      <c r="H74" s="183"/>
      <c r="I74" s="182"/>
      <c r="J74" s="326"/>
      <c r="K74" s="326"/>
      <c r="L74" s="331"/>
      <c r="M74" s="332"/>
      <c r="N74" s="326">
        <v>130</v>
      </c>
      <c r="R74" s="335" t="s">
        <v>4403</v>
      </c>
      <c r="T74" s="180"/>
      <c r="V74" s="4" t="s">
        <v>1529</v>
      </c>
      <c r="W74" s="4" t="s">
        <v>1217</v>
      </c>
      <c r="X74" s="10" t="s">
        <v>298</v>
      </c>
      <c r="Y74" s="184"/>
      <c r="Z74" s="185"/>
      <c r="AA74" s="186"/>
      <c r="AB74" s="182"/>
      <c r="AD74" s="189"/>
      <c r="AE74" s="187">
        <f t="shared" ref="AE74" si="107">AD74-AC74</f>
        <v>0</v>
      </c>
      <c r="AF74" s="188"/>
      <c r="AH74" s="182"/>
      <c r="AI74" s="319"/>
      <c r="AJ74" s="280"/>
      <c r="AN74" s="272"/>
    </row>
    <row r="75" spans="1:40">
      <c r="A75" s="132" t="s">
        <v>1854</v>
      </c>
      <c r="B75" s="93" t="s">
        <v>1657</v>
      </c>
      <c r="C75" s="93" t="s">
        <v>1658</v>
      </c>
      <c r="D75" s="93" t="s">
        <v>1659</v>
      </c>
      <c r="E75" s="93" t="s">
        <v>1660</v>
      </c>
      <c r="F75" s="8" t="s">
        <v>1122</v>
      </c>
      <c r="G75" s="26" t="s">
        <v>4231</v>
      </c>
      <c r="H75" s="55" t="s">
        <v>342</v>
      </c>
      <c r="I75" s="8" t="s">
        <v>2790</v>
      </c>
      <c r="J75" s="324" t="s">
        <v>1529</v>
      </c>
      <c r="K75" s="324" t="s">
        <v>1217</v>
      </c>
      <c r="L75" s="324" t="s">
        <v>298</v>
      </c>
      <c r="M75" s="324" t="s">
        <v>1115</v>
      </c>
      <c r="N75" s="324" t="s">
        <v>6091</v>
      </c>
      <c r="O75" s="27" t="s">
        <v>6253</v>
      </c>
      <c r="P75" s="56" t="s">
        <v>6219</v>
      </c>
      <c r="Q75" s="26" t="s">
        <v>6313</v>
      </c>
      <c r="R75" s="309" t="s">
        <v>4371</v>
      </c>
      <c r="S75" s="335" t="s">
        <v>4398</v>
      </c>
      <c r="T75" s="10" t="s">
        <v>75</v>
      </c>
      <c r="U75" s="364" t="s">
        <v>6152</v>
      </c>
      <c r="V75" s="69" t="s">
        <v>4406</v>
      </c>
      <c r="W75" s="28" t="s">
        <v>4424</v>
      </c>
      <c r="X75" s="17" t="s">
        <v>1465</v>
      </c>
      <c r="Y75" s="14" t="s">
        <v>5</v>
      </c>
      <c r="Z75" s="21" t="s">
        <v>3</v>
      </c>
      <c r="AA75" s="25" t="s">
        <v>117</v>
      </c>
      <c r="AB75" s="8" t="s">
        <v>2790</v>
      </c>
      <c r="AC75" s="73" t="s">
        <v>1466</v>
      </c>
      <c r="AD75" s="74" t="s">
        <v>1223</v>
      </c>
      <c r="AE75" s="32" t="s">
        <v>1224</v>
      </c>
      <c r="AF75" s="42" t="s">
        <v>2791</v>
      </c>
      <c r="AH75" s="8"/>
      <c r="AI75" s="289"/>
      <c r="AM75" s="309"/>
    </row>
    <row r="76" spans="1:40">
      <c r="A76" s="148" t="s">
        <v>2481</v>
      </c>
      <c r="B76" s="81">
        <v>40</v>
      </c>
      <c r="C76" s="81">
        <v>26</v>
      </c>
      <c r="D76" s="81">
        <v>451</v>
      </c>
      <c r="E76" s="95">
        <v>1331</v>
      </c>
      <c r="F76" s="153">
        <v>-118.69</v>
      </c>
      <c r="G76" s="81">
        <v>6649</v>
      </c>
      <c r="H76" s="8" t="s">
        <v>328</v>
      </c>
      <c r="I76" s="16" t="s">
        <v>4878</v>
      </c>
      <c r="J76" s="330">
        <v>45.02</v>
      </c>
      <c r="K76" s="330">
        <v>2.91</v>
      </c>
      <c r="L76" s="330"/>
      <c r="M76" s="330">
        <v>31.43</v>
      </c>
      <c r="N76" s="325">
        <f t="shared" ref="N76" si="108">J76+K76+L76+M76</f>
        <v>79.360000000000014</v>
      </c>
      <c r="O76" s="27" t="s">
        <v>6469</v>
      </c>
      <c r="P76" s="56" t="s">
        <v>6469</v>
      </c>
      <c r="Q76" s="26" t="s">
        <v>6469</v>
      </c>
      <c r="T76" s="34">
        <v>0</v>
      </c>
      <c r="U76" s="366">
        <f t="shared" ref="U76:U87" si="109">T76/W76</f>
        <v>0</v>
      </c>
      <c r="V76" s="97">
        <v>-1.03</v>
      </c>
      <c r="W76" s="36">
        <v>23.45</v>
      </c>
      <c r="X76" s="67">
        <v>21.2</v>
      </c>
      <c r="Y76" s="15">
        <f t="shared" ref="Y76" si="110">W76-X76</f>
        <v>2.25</v>
      </c>
      <c r="Z76" s="64">
        <f t="shared" ref="Z76" si="111">Y76/X76</f>
        <v>0.10613207547169812</v>
      </c>
      <c r="AA76" s="174" t="s">
        <v>6409</v>
      </c>
      <c r="AB76" s="16" t="s">
        <v>4878</v>
      </c>
      <c r="AC76" s="86">
        <v>44613</v>
      </c>
      <c r="AD76" s="88">
        <v>44623</v>
      </c>
      <c r="AE76" s="33">
        <f t="shared" ref="AE76" si="112">AD76-AC76</f>
        <v>10</v>
      </c>
      <c r="AF76" s="43" t="s">
        <v>4879</v>
      </c>
      <c r="AG76" s="128"/>
      <c r="AH76" s="254"/>
      <c r="AI76" s="64"/>
      <c r="AJ76" s="313"/>
      <c r="AK76" s="348"/>
      <c r="AL76" s="308"/>
      <c r="AM76" s="269"/>
    </row>
    <row r="77" spans="1:40">
      <c r="A77" s="148" t="s">
        <v>1889</v>
      </c>
      <c r="B77" s="82">
        <v>-904</v>
      </c>
      <c r="C77" s="82">
        <v>-458</v>
      </c>
      <c r="D77" s="81">
        <v>20</v>
      </c>
      <c r="E77" s="82">
        <v>-26</v>
      </c>
      <c r="F77" s="6">
        <v>-14.3</v>
      </c>
      <c r="G77" s="82">
        <v>6578</v>
      </c>
      <c r="H77" s="5" t="s">
        <v>1094</v>
      </c>
      <c r="I77" s="16" t="s">
        <v>1187</v>
      </c>
      <c r="J77" s="75">
        <v>32.01</v>
      </c>
      <c r="K77" s="330">
        <v>0.2</v>
      </c>
      <c r="L77" s="75">
        <v>4.7</v>
      </c>
      <c r="M77" s="75">
        <v>14.21</v>
      </c>
      <c r="N77" s="325">
        <f>J77+K77+L77+M77</f>
        <v>51.120000000000005</v>
      </c>
      <c r="R77" s="308" t="s">
        <v>4373</v>
      </c>
      <c r="S77" s="330">
        <v>0.16</v>
      </c>
      <c r="T77" s="34">
        <v>1.2</v>
      </c>
      <c r="U77" s="366">
        <f t="shared" si="109"/>
        <v>7.2289156626506021E-2</v>
      </c>
      <c r="V77" s="97">
        <v>-1.61</v>
      </c>
      <c r="W77" s="36">
        <v>16.600000000000001</v>
      </c>
      <c r="X77" s="67">
        <v>16</v>
      </c>
      <c r="Y77" s="15">
        <f>W77-X77</f>
        <v>0.60000000000000142</v>
      </c>
      <c r="Z77" s="64">
        <f>Y77/X77</f>
        <v>3.7500000000000089E-2</v>
      </c>
      <c r="AA77" s="102" t="s">
        <v>1834</v>
      </c>
      <c r="AB77" s="16" t="s">
        <v>1187</v>
      </c>
      <c r="AC77" s="86">
        <v>44586</v>
      </c>
      <c r="AD77" s="88">
        <v>44599</v>
      </c>
      <c r="AE77" s="33">
        <f>AD77-AC77</f>
        <v>13</v>
      </c>
      <c r="AF77" s="43" t="s">
        <v>3139</v>
      </c>
      <c r="AG77" s="128"/>
      <c r="AH77" s="254"/>
      <c r="AI77" s="64"/>
      <c r="AJ77" s="313"/>
      <c r="AK77" s="348"/>
      <c r="AL77" s="358"/>
      <c r="AM77" s="269"/>
    </row>
    <row r="78" spans="1:40">
      <c r="A78" s="132" t="s">
        <v>6128</v>
      </c>
      <c r="B78" s="81">
        <v>69</v>
      </c>
      <c r="C78" s="81">
        <v>74</v>
      </c>
      <c r="D78" s="81">
        <v>13</v>
      </c>
      <c r="E78" s="82">
        <v>-4</v>
      </c>
      <c r="F78" s="58">
        <v>27.49</v>
      </c>
      <c r="G78" s="82">
        <v>5244</v>
      </c>
      <c r="H78" s="5" t="s">
        <v>325</v>
      </c>
      <c r="I78" s="22" t="s">
        <v>6093</v>
      </c>
      <c r="J78" s="75">
        <v>36.9</v>
      </c>
      <c r="K78" s="75">
        <v>1.01</v>
      </c>
      <c r="L78" s="330"/>
      <c r="M78" s="75">
        <v>18.7</v>
      </c>
      <c r="N78" s="325">
        <f t="shared" ref="N78" si="113">J78+K78+L78+M78</f>
        <v>56.61</v>
      </c>
      <c r="T78" s="34">
        <v>2</v>
      </c>
      <c r="U78" s="366">
        <f t="shared" si="109"/>
        <v>4.3103448275862072E-2</v>
      </c>
      <c r="V78" s="97" t="s">
        <v>6094</v>
      </c>
      <c r="W78" s="36">
        <v>46.4</v>
      </c>
      <c r="X78" s="67">
        <v>41</v>
      </c>
      <c r="Y78" s="15">
        <f t="shared" ref="Y78" si="114">W78-X78</f>
        <v>5.3999999999999986</v>
      </c>
      <c r="Z78" s="64">
        <f t="shared" ref="Z78" si="115">Y78/X78</f>
        <v>0.13170731707317071</v>
      </c>
      <c r="AA78" s="102" t="s">
        <v>6176</v>
      </c>
      <c r="AB78" s="22" t="s">
        <v>6093</v>
      </c>
      <c r="AC78" s="86">
        <v>44580</v>
      </c>
      <c r="AD78" s="88">
        <v>44599</v>
      </c>
      <c r="AE78" s="33">
        <f t="shared" ref="AE78" si="116">AD78-AC78</f>
        <v>19</v>
      </c>
      <c r="AF78" s="43" t="s">
        <v>3031</v>
      </c>
      <c r="AG78" s="128"/>
      <c r="AH78" s="254"/>
      <c r="AI78" s="64"/>
      <c r="AJ78" s="313"/>
      <c r="AK78" s="348"/>
      <c r="AL78" s="287"/>
      <c r="AM78" s="269"/>
    </row>
    <row r="79" spans="1:40">
      <c r="A79" s="148" t="s">
        <v>1806</v>
      </c>
      <c r="B79" s="81">
        <v>303</v>
      </c>
      <c r="C79" s="81">
        <v>712</v>
      </c>
      <c r="D79" s="81">
        <v>0</v>
      </c>
      <c r="E79" s="82">
        <v>-2</v>
      </c>
      <c r="F79" s="6">
        <v>4.66</v>
      </c>
      <c r="G79" s="82">
        <v>5014</v>
      </c>
      <c r="H79" s="8" t="s">
        <v>317</v>
      </c>
      <c r="I79" s="16" t="s">
        <v>5069</v>
      </c>
      <c r="J79" s="330">
        <v>28.15</v>
      </c>
      <c r="K79" s="75">
        <v>1.47</v>
      </c>
      <c r="L79" s="75">
        <v>33.21</v>
      </c>
      <c r="M79" s="330">
        <v>16.190000000000001</v>
      </c>
      <c r="N79" s="325">
        <f>J79+K79+L79+M79</f>
        <v>79.02</v>
      </c>
      <c r="R79" s="308" t="s">
        <v>4373</v>
      </c>
      <c r="S79" s="330">
        <v>2.75</v>
      </c>
      <c r="T79" s="34">
        <v>0</v>
      </c>
      <c r="U79" s="366">
        <f t="shared" si="109"/>
        <v>0</v>
      </c>
      <c r="V79" s="97">
        <v>2.84</v>
      </c>
      <c r="W79" s="36">
        <v>19.75</v>
      </c>
      <c r="X79" s="67">
        <v>19</v>
      </c>
      <c r="Y79" s="15">
        <f>W79-X79</f>
        <v>0.75</v>
      </c>
      <c r="Z79" s="64">
        <f>Y79/X79</f>
        <v>3.9473684210526314E-2</v>
      </c>
      <c r="AA79" s="102" t="s">
        <v>5048</v>
      </c>
      <c r="AB79" s="16" t="s">
        <v>5069</v>
      </c>
      <c r="AC79" s="86">
        <v>44578</v>
      </c>
      <c r="AD79" s="88">
        <v>44599</v>
      </c>
      <c r="AE79" s="33">
        <f>AD79-AC79</f>
        <v>21</v>
      </c>
      <c r="AF79" s="43" t="s">
        <v>5070</v>
      </c>
      <c r="AG79" s="128"/>
      <c r="AH79" s="254"/>
      <c r="AI79" s="64"/>
      <c r="AJ79" s="313"/>
      <c r="AL79" s="287"/>
      <c r="AM79" s="269"/>
    </row>
    <row r="80" spans="1:40">
      <c r="A80" s="132" t="s">
        <v>4230</v>
      </c>
      <c r="B80" s="81">
        <v>733</v>
      </c>
      <c r="C80" s="81">
        <v>138</v>
      </c>
      <c r="D80" s="81">
        <v>35</v>
      </c>
      <c r="E80" s="81">
        <v>16</v>
      </c>
      <c r="F80" s="58">
        <v>19.98</v>
      </c>
      <c r="G80" s="82">
        <v>2756</v>
      </c>
      <c r="H80" s="5" t="s">
        <v>321</v>
      </c>
      <c r="I80" s="16" t="s">
        <v>6067</v>
      </c>
      <c r="J80" s="330">
        <v>53.47</v>
      </c>
      <c r="K80" s="75">
        <v>0.05</v>
      </c>
      <c r="M80" s="75">
        <v>22.26</v>
      </c>
      <c r="N80" s="325">
        <f t="shared" ref="N80:N81" si="117">J80+K80+L80+M80</f>
        <v>75.78</v>
      </c>
      <c r="T80" s="34">
        <v>2</v>
      </c>
      <c r="U80" s="366">
        <f t="shared" si="109"/>
        <v>1.7777777777777778E-2</v>
      </c>
      <c r="V80" s="58">
        <v>6.9</v>
      </c>
      <c r="W80" s="36">
        <v>112.5</v>
      </c>
      <c r="X80" s="67">
        <v>78.8</v>
      </c>
      <c r="Y80" s="15">
        <f t="shared" ref="Y80:Y81" si="118">W80-X80</f>
        <v>33.700000000000003</v>
      </c>
      <c r="Z80" s="64">
        <f t="shared" ref="Z80:Z81" si="119">Y80/X80</f>
        <v>0.42766497461928937</v>
      </c>
      <c r="AA80" s="102" t="s">
        <v>6136</v>
      </c>
      <c r="AB80" s="16" t="s">
        <v>6067</v>
      </c>
      <c r="AC80" s="86">
        <v>44575</v>
      </c>
      <c r="AD80" s="88">
        <v>44585</v>
      </c>
      <c r="AE80" s="33">
        <f t="shared" ref="AE80:AE81" si="120">AD80-AC80</f>
        <v>10</v>
      </c>
      <c r="AF80" s="43" t="s">
        <v>6070</v>
      </c>
      <c r="AG80" s="128"/>
      <c r="AH80" s="254"/>
      <c r="AI80" s="64"/>
      <c r="AJ80" s="313"/>
      <c r="AL80" s="287"/>
      <c r="AM80" s="269"/>
    </row>
    <row r="81" spans="1:39">
      <c r="A81" s="132" t="s">
        <v>6072</v>
      </c>
      <c r="B81" s="81">
        <v>147</v>
      </c>
      <c r="C81" s="81">
        <v>153</v>
      </c>
      <c r="D81" s="81">
        <v>1</v>
      </c>
      <c r="E81" s="81">
        <v>62</v>
      </c>
      <c r="F81" s="58">
        <v>22.55</v>
      </c>
      <c r="G81" s="81">
        <v>6719</v>
      </c>
      <c r="H81" s="206" t="s">
        <v>3761</v>
      </c>
      <c r="I81" s="22" t="s">
        <v>6068</v>
      </c>
      <c r="J81" s="330">
        <v>46.14</v>
      </c>
      <c r="K81" s="75">
        <v>3.95</v>
      </c>
      <c r="M81" s="75">
        <v>39.69</v>
      </c>
      <c r="N81" s="325">
        <f t="shared" si="117"/>
        <v>89.78</v>
      </c>
      <c r="T81" s="34">
        <v>1.5</v>
      </c>
      <c r="U81" s="366">
        <f t="shared" si="109"/>
        <v>1.5625000000000001E-3</v>
      </c>
      <c r="V81" s="97" t="s">
        <v>4029</v>
      </c>
      <c r="W81" s="36">
        <v>960</v>
      </c>
      <c r="X81" s="67">
        <v>589</v>
      </c>
      <c r="Y81" s="15">
        <f t="shared" si="118"/>
        <v>371</v>
      </c>
      <c r="Z81" s="64">
        <f t="shared" si="119"/>
        <v>0.62988115449915105</v>
      </c>
      <c r="AA81" s="102" t="s">
        <v>6126</v>
      </c>
      <c r="AB81" s="22" t="s">
        <v>6068</v>
      </c>
      <c r="AC81" s="86">
        <v>44574</v>
      </c>
      <c r="AD81" s="88">
        <v>44585</v>
      </c>
      <c r="AE81" s="33">
        <f t="shared" si="120"/>
        <v>11</v>
      </c>
      <c r="AF81" s="43" t="s">
        <v>6071</v>
      </c>
      <c r="AG81" s="128"/>
      <c r="AH81" s="254"/>
      <c r="AI81" s="64"/>
      <c r="AJ81" s="313"/>
      <c r="AL81" s="287"/>
      <c r="AM81" s="269"/>
    </row>
    <row r="82" spans="1:39">
      <c r="A82" s="132" t="s">
        <v>4212</v>
      </c>
      <c r="B82" s="81">
        <v>592</v>
      </c>
      <c r="C82" s="81">
        <v>551</v>
      </c>
      <c r="D82" s="81">
        <v>8</v>
      </c>
      <c r="E82" s="81">
        <v>52</v>
      </c>
      <c r="F82" s="58">
        <v>20.25</v>
      </c>
      <c r="G82" s="81">
        <v>3592</v>
      </c>
      <c r="H82" s="8" t="s">
        <v>3761</v>
      </c>
      <c r="I82" s="22" t="s">
        <v>4442</v>
      </c>
      <c r="J82" s="330">
        <v>20.100000000000001</v>
      </c>
      <c r="K82" s="75">
        <v>11.32</v>
      </c>
      <c r="L82" s="330"/>
      <c r="M82" s="75">
        <v>17.350000000000001</v>
      </c>
      <c r="N82" s="325">
        <f t="shared" ref="N82" si="121">J82+K82+L82+M82</f>
        <v>48.77</v>
      </c>
      <c r="T82" s="67">
        <v>10.5</v>
      </c>
      <c r="U82" s="366">
        <f t="shared" si="109"/>
        <v>1.6826923076923076E-2</v>
      </c>
      <c r="V82" s="97" t="s">
        <v>4443</v>
      </c>
      <c r="W82" s="36">
        <v>624</v>
      </c>
      <c r="X82" s="67">
        <v>308</v>
      </c>
      <c r="Y82" s="15">
        <f t="shared" ref="Y82" si="122">W82-X82</f>
        <v>316</v>
      </c>
      <c r="Z82" s="155">
        <f t="shared" ref="Z82" si="123">Y82/X82</f>
        <v>1.025974025974026</v>
      </c>
      <c r="AA82" s="102" t="s">
        <v>6096</v>
      </c>
      <c r="AB82" s="22" t="s">
        <v>4442</v>
      </c>
      <c r="AC82" s="86">
        <v>44568</v>
      </c>
      <c r="AD82" s="88">
        <v>44578</v>
      </c>
      <c r="AE82" s="33">
        <f t="shared" ref="AE82" si="124">AD82-AC82</f>
        <v>10</v>
      </c>
      <c r="AF82" s="43" t="s">
        <v>4444</v>
      </c>
      <c r="AG82" s="128"/>
      <c r="AH82" s="254"/>
      <c r="AI82" s="64"/>
      <c r="AJ82" s="313"/>
    </row>
    <row r="83" spans="1:39">
      <c r="A83" s="148" t="s">
        <v>1927</v>
      </c>
      <c r="B83" s="81">
        <v>7</v>
      </c>
      <c r="C83" s="82">
        <v>-2</v>
      </c>
      <c r="D83" s="81">
        <v>15</v>
      </c>
      <c r="E83" s="81">
        <v>13</v>
      </c>
      <c r="F83" s="6">
        <v>3.65</v>
      </c>
      <c r="G83" s="81">
        <v>6414</v>
      </c>
      <c r="H83" s="207" t="s">
        <v>1212</v>
      </c>
      <c r="I83" s="22" t="s">
        <v>227</v>
      </c>
      <c r="J83" s="330">
        <v>40.86</v>
      </c>
      <c r="K83" s="330">
        <v>11.18</v>
      </c>
      <c r="L83" s="330">
        <v>27.73</v>
      </c>
      <c r="M83" s="330">
        <v>33.869999999999997</v>
      </c>
      <c r="N83" s="325">
        <f t="shared" ref="N83:N84" si="125">J83+K83+L83+M83</f>
        <v>113.63999999999999</v>
      </c>
      <c r="R83" s="308" t="s">
        <v>4372</v>
      </c>
      <c r="S83" s="330">
        <v>4.6399999999999997</v>
      </c>
      <c r="T83" s="67">
        <v>5</v>
      </c>
      <c r="U83" s="366">
        <f t="shared" si="109"/>
        <v>2.1276595744680851E-2</v>
      </c>
      <c r="V83" s="97">
        <v>12.77</v>
      </c>
      <c r="W83" s="36">
        <v>235</v>
      </c>
      <c r="X83" s="67">
        <v>195</v>
      </c>
      <c r="Y83" s="15">
        <f>W83-X83</f>
        <v>40</v>
      </c>
      <c r="Z83" s="64">
        <f>Y83/X83</f>
        <v>0.20512820512820512</v>
      </c>
      <c r="AA83" s="102" t="s">
        <v>6081</v>
      </c>
      <c r="AB83" s="22" t="s">
        <v>227</v>
      </c>
      <c r="AC83" s="86">
        <v>44566</v>
      </c>
      <c r="AD83" s="88">
        <v>44578</v>
      </c>
      <c r="AE83" s="33">
        <f>AD83-AC83</f>
        <v>12</v>
      </c>
      <c r="AF83" s="122" t="s">
        <v>1587</v>
      </c>
      <c r="AG83" s="125"/>
      <c r="AH83" s="254"/>
      <c r="AI83" s="33"/>
      <c r="AJ83" s="33"/>
    </row>
    <row r="84" spans="1:39">
      <c r="A84" s="132" t="s">
        <v>2526</v>
      </c>
      <c r="B84" s="81">
        <v>253</v>
      </c>
      <c r="C84" s="81">
        <v>320</v>
      </c>
      <c r="D84" s="82">
        <v>-13</v>
      </c>
      <c r="E84" s="81">
        <v>126</v>
      </c>
      <c r="F84" s="58">
        <v>36.520000000000003</v>
      </c>
      <c r="G84" s="82">
        <v>5608</v>
      </c>
      <c r="H84" s="5" t="s">
        <v>320</v>
      </c>
      <c r="I84" s="22" t="s">
        <v>930</v>
      </c>
      <c r="J84" s="330">
        <v>29.53</v>
      </c>
      <c r="K84" s="75">
        <v>4.92</v>
      </c>
      <c r="L84" s="330">
        <v>21.31</v>
      </c>
      <c r="M84" s="330">
        <v>9.3699999999999992</v>
      </c>
      <c r="N84" s="325">
        <f t="shared" si="125"/>
        <v>65.13000000000001</v>
      </c>
      <c r="R84" s="308" t="s">
        <v>4373</v>
      </c>
      <c r="S84" s="330">
        <v>1.87</v>
      </c>
      <c r="T84" s="34">
        <v>0</v>
      </c>
      <c r="U84" s="366">
        <f t="shared" si="109"/>
        <v>0</v>
      </c>
      <c r="V84" s="97">
        <v>4.43</v>
      </c>
      <c r="W84" s="36">
        <v>39.5</v>
      </c>
      <c r="X84" s="67">
        <v>32.799999999999997</v>
      </c>
      <c r="Y84" s="15">
        <f t="shared" ref="Y84" si="126">W84-X84</f>
        <v>6.7000000000000028</v>
      </c>
      <c r="Z84" s="64">
        <f t="shared" ref="Z84" si="127">Y84/X84</f>
        <v>0.20426829268292693</v>
      </c>
      <c r="AA84" s="102" t="s">
        <v>6082</v>
      </c>
      <c r="AB84" s="22" t="s">
        <v>930</v>
      </c>
      <c r="AC84" s="86">
        <v>44566</v>
      </c>
      <c r="AD84" s="88">
        <v>44578</v>
      </c>
      <c r="AE84" s="33">
        <f t="shared" ref="AE84" si="128">AD84-AC84</f>
        <v>12</v>
      </c>
      <c r="AF84" s="43" t="s">
        <v>1612</v>
      </c>
      <c r="AG84" s="128"/>
      <c r="AH84" s="254"/>
      <c r="AI84" s="269"/>
      <c r="AJ84" s="269"/>
    </row>
    <row r="85" spans="1:39">
      <c r="A85" s="148" t="s">
        <v>4429</v>
      </c>
      <c r="B85" s="82">
        <v>-57</v>
      </c>
      <c r="C85" s="82">
        <v>-74</v>
      </c>
      <c r="D85" s="81">
        <v>24</v>
      </c>
      <c r="E85" s="81">
        <v>126</v>
      </c>
      <c r="F85" s="6">
        <v>1.42</v>
      </c>
      <c r="G85" s="81">
        <v>4542</v>
      </c>
      <c r="H85" s="5" t="s">
        <v>4155</v>
      </c>
      <c r="I85" s="16" t="s">
        <v>440</v>
      </c>
      <c r="J85" s="75">
        <v>49.92</v>
      </c>
      <c r="K85" s="330">
        <v>3.54</v>
      </c>
      <c r="M85" s="330">
        <v>18.75</v>
      </c>
      <c r="N85" s="325">
        <f t="shared" ref="N85" si="129">J85+K85+L85+M85</f>
        <v>72.210000000000008</v>
      </c>
      <c r="T85" s="34">
        <v>1</v>
      </c>
      <c r="U85" s="366">
        <f t="shared" si="109"/>
        <v>3.3388981636060099E-2</v>
      </c>
      <c r="V85" s="97">
        <v>0.24</v>
      </c>
      <c r="W85" s="36">
        <v>29.95</v>
      </c>
      <c r="X85" s="67">
        <v>25.7</v>
      </c>
      <c r="Y85" s="15">
        <f t="shared" ref="Y85" si="130">W85-X85</f>
        <v>4.25</v>
      </c>
      <c r="Z85" s="64">
        <f t="shared" ref="Z85" si="131">Y85/X85</f>
        <v>0.16536964980544747</v>
      </c>
      <c r="AA85" s="102" t="s">
        <v>6072</v>
      </c>
      <c r="AB85" s="16" t="s">
        <v>440</v>
      </c>
      <c r="AC85" s="86">
        <v>44565</v>
      </c>
      <c r="AD85" s="88">
        <v>44575</v>
      </c>
      <c r="AE85" s="33">
        <f t="shared" ref="AE85" si="132">AD85-AC85</f>
        <v>10</v>
      </c>
      <c r="AF85" s="43" t="s">
        <v>2810</v>
      </c>
      <c r="AG85" s="128"/>
      <c r="AH85" s="254"/>
      <c r="AI85" s="269"/>
      <c r="AJ85" s="269"/>
    </row>
    <row r="86" spans="1:39">
      <c r="A86" s="132" t="s">
        <v>6128</v>
      </c>
      <c r="B86" s="81">
        <v>131</v>
      </c>
      <c r="C86" s="81">
        <v>138</v>
      </c>
      <c r="D86" s="81">
        <v>57</v>
      </c>
      <c r="E86" s="81">
        <v>58</v>
      </c>
      <c r="F86" s="58">
        <v>11.18</v>
      </c>
      <c r="G86" s="82">
        <v>6691</v>
      </c>
      <c r="H86" s="5" t="s">
        <v>334</v>
      </c>
      <c r="I86" s="22" t="s">
        <v>4433</v>
      </c>
      <c r="J86" s="330">
        <v>60.57</v>
      </c>
      <c r="K86" s="330">
        <v>0.14000000000000001</v>
      </c>
      <c r="M86" s="75">
        <v>26.73</v>
      </c>
      <c r="N86" s="325">
        <f>J86+K86+L86+M86</f>
        <v>87.44</v>
      </c>
      <c r="T86" s="67">
        <v>11</v>
      </c>
      <c r="U86" s="366">
        <f t="shared" si="109"/>
        <v>5.2132701421800945E-2</v>
      </c>
      <c r="V86" s="97">
        <v>16.7</v>
      </c>
      <c r="W86" s="36">
        <v>211</v>
      </c>
      <c r="X86" s="67">
        <v>180</v>
      </c>
      <c r="Y86" s="15">
        <f>W86-X86</f>
        <v>31</v>
      </c>
      <c r="Z86" s="64">
        <f>Y86/X86</f>
        <v>0.17222222222222222</v>
      </c>
      <c r="AA86" s="102" t="s">
        <v>6057</v>
      </c>
      <c r="AB86" s="22" t="s">
        <v>4433</v>
      </c>
      <c r="AC86" s="86">
        <v>44564</v>
      </c>
      <c r="AD86" s="88">
        <v>44574</v>
      </c>
      <c r="AE86" s="33">
        <f>AD86-AC86</f>
        <v>10</v>
      </c>
      <c r="AF86" s="43" t="s">
        <v>4434</v>
      </c>
      <c r="AG86" s="128"/>
      <c r="AH86" s="254"/>
      <c r="AI86" s="269"/>
      <c r="AJ86" s="269"/>
      <c r="AK86" s="48"/>
    </row>
    <row r="87" spans="1:39">
      <c r="A87" s="148" t="s">
        <v>4417</v>
      </c>
      <c r="B87" s="81">
        <v>0</v>
      </c>
      <c r="C87" s="81">
        <v>6</v>
      </c>
      <c r="D87" s="82">
        <v>-18</v>
      </c>
      <c r="E87" s="82">
        <v>-4</v>
      </c>
      <c r="F87" s="6">
        <v>-11.72</v>
      </c>
      <c r="G87" s="82">
        <v>4562</v>
      </c>
      <c r="H87" s="5" t="s">
        <v>313</v>
      </c>
      <c r="I87" s="22" t="s">
        <v>618</v>
      </c>
      <c r="J87" s="330">
        <v>65.86</v>
      </c>
      <c r="K87" s="330">
        <v>1.2</v>
      </c>
      <c r="L87" s="75">
        <v>3.59</v>
      </c>
      <c r="M87" s="330">
        <v>30.76</v>
      </c>
      <c r="N87" s="325">
        <f t="shared" ref="N87" si="133">J87+K87+L87+M87</f>
        <v>101.41000000000001</v>
      </c>
      <c r="R87" s="308" t="s">
        <v>4418</v>
      </c>
      <c r="S87" s="330">
        <v>0.11</v>
      </c>
      <c r="T87" s="34">
        <v>0</v>
      </c>
      <c r="U87" s="366">
        <f t="shared" si="109"/>
        <v>0</v>
      </c>
      <c r="V87" s="58">
        <v>-2.2400000000000002</v>
      </c>
      <c r="W87" s="36">
        <v>15.9</v>
      </c>
      <c r="X87" s="67">
        <v>15</v>
      </c>
      <c r="Y87" s="15">
        <f t="shared" ref="Y87" si="134">W87-X87</f>
        <v>0.90000000000000036</v>
      </c>
      <c r="Z87" s="64">
        <f t="shared" ref="Z87" si="135">Y87/X87</f>
        <v>6.0000000000000026E-2</v>
      </c>
      <c r="AA87" s="102" t="s">
        <v>4405</v>
      </c>
      <c r="AB87" s="22" t="s">
        <v>618</v>
      </c>
      <c r="AC87" s="86">
        <v>44560</v>
      </c>
      <c r="AD87" s="88">
        <v>44571</v>
      </c>
      <c r="AE87" s="33">
        <f t="shared" ref="AE87" si="136">AD87-AC87</f>
        <v>11</v>
      </c>
      <c r="AF87" s="43" t="s">
        <v>3272</v>
      </c>
      <c r="AG87" s="128"/>
      <c r="AH87" s="254"/>
      <c r="AI87" s="269"/>
      <c r="AJ87" s="269"/>
    </row>
    <row r="88" spans="1:39">
      <c r="A88" s="148" t="s">
        <v>2075</v>
      </c>
      <c r="B88" s="81">
        <v>56</v>
      </c>
      <c r="C88" s="81">
        <v>85</v>
      </c>
      <c r="D88" s="82">
        <v>-12</v>
      </c>
      <c r="E88" s="81">
        <v>88</v>
      </c>
      <c r="F88" s="6">
        <v>-2.2599999999999998</v>
      </c>
      <c r="G88" s="82">
        <v>8476</v>
      </c>
      <c r="H88" s="5" t="s">
        <v>2303</v>
      </c>
      <c r="I88" s="16" t="s">
        <v>705</v>
      </c>
      <c r="J88" s="330">
        <v>62.97</v>
      </c>
      <c r="K88" s="330">
        <v>0.41</v>
      </c>
      <c r="L88" s="330"/>
      <c r="M88" s="330">
        <v>39.08</v>
      </c>
      <c r="N88" s="325">
        <f>K88+J88+L88+M88</f>
        <v>102.46</v>
      </c>
      <c r="T88" s="34">
        <v>0</v>
      </c>
      <c r="V88" s="58">
        <v>-0.35</v>
      </c>
      <c r="W88" s="36">
        <v>56.2</v>
      </c>
      <c r="X88" s="67">
        <v>50</v>
      </c>
      <c r="Y88" s="15">
        <f t="shared" ref="Y88:Y89" si="137">W88-X88</f>
        <v>6.2000000000000028</v>
      </c>
      <c r="Z88" s="64">
        <f t="shared" ref="Z88:Z89" si="138">Y88/X88</f>
        <v>0.12400000000000005</v>
      </c>
      <c r="AA88" s="102" t="s">
        <v>4447</v>
      </c>
      <c r="AB88" s="16" t="s">
        <v>705</v>
      </c>
      <c r="AC88" s="86">
        <v>44557</v>
      </c>
      <c r="AD88" s="88">
        <v>44567</v>
      </c>
      <c r="AE88" s="33">
        <f t="shared" ref="AE88:AE89" si="139">AD88-AC88</f>
        <v>10</v>
      </c>
      <c r="AF88" s="43" t="s">
        <v>3002</v>
      </c>
      <c r="AG88" s="128"/>
      <c r="AH88" s="254"/>
      <c r="AI88" s="317"/>
      <c r="AJ88" s="314"/>
    </row>
    <row r="89" spans="1:39">
      <c r="A89" s="148" t="s">
        <v>4392</v>
      </c>
      <c r="B89" s="81">
        <v>21</v>
      </c>
      <c r="C89" s="81"/>
      <c r="D89" s="81">
        <v>7</v>
      </c>
      <c r="E89" s="81">
        <v>23</v>
      </c>
      <c r="F89" s="6"/>
      <c r="G89" s="81">
        <v>2812</v>
      </c>
      <c r="H89" s="17" t="s">
        <v>322</v>
      </c>
      <c r="I89" s="22" t="s">
        <v>145</v>
      </c>
      <c r="J89" s="330">
        <v>61.25</v>
      </c>
      <c r="K89" s="75">
        <v>11.13</v>
      </c>
      <c r="L89" s="330">
        <v>0.16</v>
      </c>
      <c r="M89" s="75">
        <v>3.46</v>
      </c>
      <c r="N89" s="325">
        <f>K89+J89+L89+M89</f>
        <v>75.999999999999986</v>
      </c>
      <c r="R89" s="308" t="s">
        <v>4396</v>
      </c>
      <c r="S89" s="330">
        <v>0.5</v>
      </c>
      <c r="T89" s="34">
        <v>0.69</v>
      </c>
      <c r="V89" s="58">
        <v>1.1299999999999999</v>
      </c>
      <c r="W89" s="36">
        <v>12.35</v>
      </c>
      <c r="X89" s="67">
        <v>11.15</v>
      </c>
      <c r="Y89" s="15">
        <f t="shared" si="137"/>
        <v>1.1999999999999993</v>
      </c>
      <c r="Z89" s="64">
        <f t="shared" si="138"/>
        <v>0.10762331838565016</v>
      </c>
      <c r="AA89" s="102" t="s">
        <v>1693</v>
      </c>
      <c r="AB89" s="22" t="s">
        <v>145</v>
      </c>
      <c r="AC89" s="86">
        <v>44557</v>
      </c>
      <c r="AD89" s="88">
        <v>44567</v>
      </c>
      <c r="AE89" s="33">
        <f t="shared" si="139"/>
        <v>10</v>
      </c>
      <c r="AF89" s="122" t="s">
        <v>1497</v>
      </c>
      <c r="AG89" s="128"/>
      <c r="AH89" s="254"/>
      <c r="AI89" s="317"/>
      <c r="AJ89" s="314"/>
    </row>
    <row r="90" spans="1:39">
      <c r="A90" s="148" t="s">
        <v>3649</v>
      </c>
      <c r="B90" s="81">
        <v>18</v>
      </c>
      <c r="C90" s="81">
        <v>14</v>
      </c>
      <c r="D90" s="82">
        <v>-17</v>
      </c>
      <c r="E90" s="81">
        <v>39</v>
      </c>
      <c r="F90" s="6">
        <v>4.76</v>
      </c>
      <c r="G90" s="82">
        <v>3029</v>
      </c>
      <c r="H90" s="5" t="s">
        <v>333</v>
      </c>
      <c r="I90" s="22" t="s">
        <v>1075</v>
      </c>
      <c r="J90" s="75">
        <v>28.73</v>
      </c>
      <c r="K90" s="330">
        <v>4.3099999999999996</v>
      </c>
      <c r="L90" s="75">
        <v>5.52</v>
      </c>
      <c r="M90" s="330">
        <v>8.23</v>
      </c>
      <c r="N90" s="325">
        <f t="shared" ref="N90:N95" si="140">K90+J90+L90+M90</f>
        <v>46.790000000000006</v>
      </c>
      <c r="R90" s="308" t="s">
        <v>6066</v>
      </c>
      <c r="S90" s="330">
        <v>1.01</v>
      </c>
      <c r="T90" s="67">
        <v>3</v>
      </c>
      <c r="V90" s="97">
        <v>4.0199999999999996</v>
      </c>
      <c r="W90" s="36">
        <v>43.8</v>
      </c>
      <c r="X90" s="67">
        <v>40</v>
      </c>
      <c r="Y90" s="15">
        <f t="shared" ref="Y90" si="141">W90-X90</f>
        <v>3.7999999999999972</v>
      </c>
      <c r="Z90" s="64">
        <f t="shared" ref="Z90" si="142">Y90/X90</f>
        <v>9.4999999999999932E-2</v>
      </c>
      <c r="AA90" s="102" t="s">
        <v>1754</v>
      </c>
      <c r="AB90" s="22" t="s">
        <v>1075</v>
      </c>
      <c r="AC90" s="86">
        <v>44554</v>
      </c>
      <c r="AD90" s="88">
        <v>44564</v>
      </c>
      <c r="AE90" s="33">
        <f t="shared" ref="AE90" si="143">AD90-AC90</f>
        <v>10</v>
      </c>
      <c r="AF90" s="43" t="s">
        <v>1625</v>
      </c>
      <c r="AG90" s="128"/>
      <c r="AH90" s="254"/>
      <c r="AI90" s="317"/>
      <c r="AJ90" s="314"/>
    </row>
    <row r="91" spans="1:39">
      <c r="A91" s="148" t="s">
        <v>4390</v>
      </c>
      <c r="B91" s="82">
        <v>-869</v>
      </c>
      <c r="C91" s="82">
        <v>-383</v>
      </c>
      <c r="D91" s="82">
        <v>-6</v>
      </c>
      <c r="E91" s="81">
        <v>19</v>
      </c>
      <c r="F91" s="6">
        <v>-26.34</v>
      </c>
      <c r="G91" s="82">
        <v>1432</v>
      </c>
      <c r="H91" s="5" t="s">
        <v>330</v>
      </c>
      <c r="I91" s="22" t="s">
        <v>854</v>
      </c>
      <c r="J91" s="75">
        <v>56.18</v>
      </c>
      <c r="K91" s="330">
        <v>0.23</v>
      </c>
      <c r="L91" s="330">
        <v>0</v>
      </c>
      <c r="M91" s="330">
        <v>25.02</v>
      </c>
      <c r="N91" s="325">
        <f t="shared" si="140"/>
        <v>81.429999999999993</v>
      </c>
      <c r="S91" s="330">
        <v>0</v>
      </c>
      <c r="T91" s="34">
        <v>0</v>
      </c>
      <c r="V91" s="58">
        <v>-1.79</v>
      </c>
      <c r="W91" s="36">
        <v>11.7</v>
      </c>
      <c r="X91" s="67">
        <v>11</v>
      </c>
      <c r="Y91" s="15">
        <f>W91-X91</f>
        <v>0.69999999999999929</v>
      </c>
      <c r="Z91" s="64">
        <f>Y91/X91</f>
        <v>6.3636363636363574E-2</v>
      </c>
      <c r="AA91" s="102" t="s">
        <v>4440</v>
      </c>
      <c r="AB91" s="22" t="s">
        <v>854</v>
      </c>
      <c r="AC91" s="86">
        <v>44554</v>
      </c>
      <c r="AD91" s="88">
        <v>44564</v>
      </c>
      <c r="AE91" s="33">
        <f>AD91-AC91</f>
        <v>10</v>
      </c>
      <c r="AF91" s="43" t="s">
        <v>2448</v>
      </c>
      <c r="AG91" s="128"/>
      <c r="AH91" s="254"/>
      <c r="AI91" s="317"/>
      <c r="AJ91" s="314"/>
    </row>
    <row r="92" spans="1:39">
      <c r="A92" s="148" t="s">
        <v>4389</v>
      </c>
      <c r="B92" s="95">
        <v>7219</v>
      </c>
      <c r="C92" s="81">
        <v>243</v>
      </c>
      <c r="D92" s="82">
        <v>-6</v>
      </c>
      <c r="E92" s="81">
        <v>114</v>
      </c>
      <c r="F92" s="6">
        <v>8.64</v>
      </c>
      <c r="G92" s="81">
        <v>1314</v>
      </c>
      <c r="H92" s="207" t="s">
        <v>311</v>
      </c>
      <c r="I92" s="22" t="s">
        <v>136</v>
      </c>
      <c r="J92" s="75">
        <v>35.479999999999997</v>
      </c>
      <c r="K92" s="330">
        <v>11.17</v>
      </c>
      <c r="L92" s="75">
        <v>16.87</v>
      </c>
      <c r="M92" s="75">
        <v>2.4500000000000002</v>
      </c>
      <c r="N92" s="325">
        <f t="shared" si="140"/>
        <v>65.97</v>
      </c>
      <c r="R92" s="308" t="s">
        <v>6066</v>
      </c>
      <c r="S92" s="330">
        <v>4.4800000000000004</v>
      </c>
      <c r="T92" s="34">
        <v>0</v>
      </c>
      <c r="V92" s="97">
        <v>1.22</v>
      </c>
      <c r="W92" s="36">
        <v>12.95</v>
      </c>
      <c r="X92" s="67">
        <v>11.75</v>
      </c>
      <c r="Y92" s="15">
        <f>W92-X92</f>
        <v>1.1999999999999993</v>
      </c>
      <c r="Z92" s="64">
        <f>Y92/X92</f>
        <v>0.10212765957446802</v>
      </c>
      <c r="AA92" s="102" t="s">
        <v>4441</v>
      </c>
      <c r="AB92" s="22" t="s">
        <v>136</v>
      </c>
      <c r="AC92" s="86">
        <v>44554</v>
      </c>
      <c r="AD92" s="88">
        <v>44564</v>
      </c>
      <c r="AE92" s="33">
        <f>AD92-AC92</f>
        <v>10</v>
      </c>
      <c r="AF92" s="122" t="s">
        <v>3279</v>
      </c>
      <c r="AG92" s="128"/>
      <c r="AH92" s="254"/>
      <c r="AI92" s="317"/>
      <c r="AJ92" s="314"/>
    </row>
    <row r="93" spans="1:39">
      <c r="A93" s="132" t="s">
        <v>3586</v>
      </c>
      <c r="B93" s="81">
        <v>123</v>
      </c>
      <c r="C93" s="81">
        <v>116</v>
      </c>
      <c r="D93" s="81">
        <v>77</v>
      </c>
      <c r="E93" s="81">
        <v>107</v>
      </c>
      <c r="F93" s="58">
        <v>32.08</v>
      </c>
      <c r="G93" s="81">
        <v>4770</v>
      </c>
      <c r="H93" s="8" t="s">
        <v>4445</v>
      </c>
      <c r="I93" s="22" t="s">
        <v>4388</v>
      </c>
      <c r="J93" s="330">
        <v>63.69</v>
      </c>
      <c r="K93" s="75">
        <v>3.2</v>
      </c>
      <c r="L93" s="330"/>
      <c r="M93" s="330"/>
      <c r="N93" s="325">
        <f t="shared" si="140"/>
        <v>66.89</v>
      </c>
      <c r="T93" s="67">
        <v>4.3</v>
      </c>
      <c r="V93" s="58">
        <v>13.09</v>
      </c>
      <c r="W93" s="36">
        <v>289</v>
      </c>
      <c r="X93" s="67">
        <v>166</v>
      </c>
      <c r="Y93" s="15">
        <f>W93-X93</f>
        <v>123</v>
      </c>
      <c r="Z93" s="64">
        <f>Y93/X93</f>
        <v>0.74096385542168675</v>
      </c>
      <c r="AA93" s="102" t="s">
        <v>4436</v>
      </c>
      <c r="AB93" s="22" t="s">
        <v>4388</v>
      </c>
      <c r="AC93" s="86">
        <v>44552</v>
      </c>
      <c r="AD93" s="88">
        <v>44564</v>
      </c>
      <c r="AE93" s="33">
        <f>AD93-AC93</f>
        <v>12</v>
      </c>
      <c r="AF93" s="43" t="s">
        <v>3162</v>
      </c>
      <c r="AG93" s="128"/>
      <c r="AH93" s="254"/>
      <c r="AI93" s="317"/>
      <c r="AJ93" s="314"/>
    </row>
    <row r="94" spans="1:39">
      <c r="A94" s="148" t="s">
        <v>2179</v>
      </c>
      <c r="B94" s="81">
        <v>278</v>
      </c>
      <c r="C94" s="82">
        <v>-4</v>
      </c>
      <c r="D94" s="82">
        <v>-20</v>
      </c>
      <c r="E94" s="95">
        <v>3800</v>
      </c>
      <c r="F94" s="47">
        <v>-3843</v>
      </c>
      <c r="G94" s="81">
        <v>6535</v>
      </c>
      <c r="H94" s="8" t="s">
        <v>328</v>
      </c>
      <c r="I94" s="16" t="s">
        <v>667</v>
      </c>
      <c r="J94" s="330">
        <v>52.41</v>
      </c>
      <c r="K94" s="330">
        <v>0.97</v>
      </c>
      <c r="L94" s="330"/>
      <c r="M94" s="330">
        <v>36.14</v>
      </c>
      <c r="N94" s="325">
        <f t="shared" si="140"/>
        <v>89.52</v>
      </c>
      <c r="S94" s="330">
        <v>0</v>
      </c>
      <c r="T94" s="34">
        <v>0</v>
      </c>
      <c r="V94" s="58">
        <v>2.38</v>
      </c>
      <c r="W94" s="36">
        <v>38.950000000000003</v>
      </c>
      <c r="X94" s="67">
        <v>30</v>
      </c>
      <c r="Y94" s="15">
        <f t="shared" ref="Y94:Y95" si="144">W94-X94</f>
        <v>8.9500000000000028</v>
      </c>
      <c r="Z94" s="64">
        <f t="shared" ref="Z94:Z95" si="145">Y94/X94</f>
        <v>0.29833333333333345</v>
      </c>
      <c r="AA94" s="102" t="s">
        <v>4006</v>
      </c>
      <c r="AB94" s="16" t="s">
        <v>667</v>
      </c>
      <c r="AC94" s="86">
        <v>44552</v>
      </c>
      <c r="AD94" s="88">
        <v>44564</v>
      </c>
      <c r="AE94" s="33">
        <f t="shared" ref="AE94:AE95" si="146">AD94-AC94</f>
        <v>12</v>
      </c>
      <c r="AF94" s="43" t="s">
        <v>2620</v>
      </c>
      <c r="AG94" s="128"/>
      <c r="AH94" s="254"/>
      <c r="AI94" s="317"/>
      <c r="AJ94" s="314"/>
    </row>
    <row r="95" spans="1:39">
      <c r="A95" s="148" t="s">
        <v>1793</v>
      </c>
      <c r="B95" s="81">
        <v>112</v>
      </c>
      <c r="C95" s="81">
        <v>90</v>
      </c>
      <c r="D95" s="81">
        <v>13</v>
      </c>
      <c r="E95" s="81">
        <v>32</v>
      </c>
      <c r="F95" s="6">
        <v>6.03</v>
      </c>
      <c r="G95" s="81">
        <v>3605</v>
      </c>
      <c r="H95" s="8" t="s">
        <v>327</v>
      </c>
      <c r="I95" s="22" t="s">
        <v>421</v>
      </c>
      <c r="J95" s="75">
        <v>37.479999999999997</v>
      </c>
      <c r="K95" s="75">
        <v>9.0399999999999991</v>
      </c>
      <c r="L95" s="330">
        <v>29.43</v>
      </c>
      <c r="M95" s="330">
        <v>15.77</v>
      </c>
      <c r="N95" s="325">
        <f t="shared" si="140"/>
        <v>91.719999999999985</v>
      </c>
      <c r="R95" s="308" t="s">
        <v>4379</v>
      </c>
      <c r="S95" s="330">
        <v>2.57</v>
      </c>
      <c r="T95" s="34">
        <v>0.7</v>
      </c>
      <c r="V95" s="97">
        <v>4.17</v>
      </c>
      <c r="W95" s="36">
        <v>51</v>
      </c>
      <c r="X95" s="67">
        <v>40</v>
      </c>
      <c r="Y95" s="15">
        <f t="shared" si="144"/>
        <v>11</v>
      </c>
      <c r="Z95" s="64">
        <f t="shared" si="145"/>
        <v>0.27500000000000002</v>
      </c>
      <c r="AA95" s="102" t="s">
        <v>4432</v>
      </c>
      <c r="AB95" s="22" t="s">
        <v>421</v>
      </c>
      <c r="AC95" s="86">
        <v>44551</v>
      </c>
      <c r="AD95" s="88">
        <v>44564</v>
      </c>
      <c r="AE95" s="33">
        <f t="shared" si="146"/>
        <v>13</v>
      </c>
      <c r="AF95" s="43" t="s">
        <v>2214</v>
      </c>
      <c r="AG95" s="128"/>
      <c r="AH95" s="254"/>
      <c r="AI95" s="317"/>
      <c r="AJ95" s="314"/>
    </row>
    <row r="96" spans="1:39">
      <c r="A96" s="148" t="s">
        <v>3663</v>
      </c>
      <c r="B96" s="81">
        <v>88</v>
      </c>
      <c r="C96" s="82">
        <v>-41</v>
      </c>
      <c r="D96" s="81">
        <v>0</v>
      </c>
      <c r="E96" s="81">
        <v>47</v>
      </c>
      <c r="F96" s="6">
        <v>1.29</v>
      </c>
      <c r="G96" s="82">
        <v>8927</v>
      </c>
      <c r="H96" s="5" t="s">
        <v>332</v>
      </c>
      <c r="I96" s="16" t="s">
        <v>1038</v>
      </c>
      <c r="J96" s="330">
        <v>72.430000000000007</v>
      </c>
      <c r="K96" s="330">
        <v>0.17</v>
      </c>
      <c r="L96" s="75">
        <v>5.68</v>
      </c>
      <c r="M96" s="330">
        <v>32.82</v>
      </c>
      <c r="N96" s="325">
        <f t="shared" ref="N96:N98" si="147">K96+J96+L96+M96</f>
        <v>111.1</v>
      </c>
      <c r="R96" s="308" t="s">
        <v>4373</v>
      </c>
      <c r="S96" s="330">
        <v>0.37</v>
      </c>
      <c r="T96" s="34">
        <v>0.47</v>
      </c>
      <c r="V96" s="58">
        <v>0.95</v>
      </c>
      <c r="W96" s="36">
        <v>30.6</v>
      </c>
      <c r="X96" s="67">
        <v>25</v>
      </c>
      <c r="Y96" s="15">
        <f>W96-X96</f>
        <v>5.6000000000000014</v>
      </c>
      <c r="Z96" s="64">
        <f>Y96/X96</f>
        <v>0.22400000000000006</v>
      </c>
      <c r="AA96" s="102" t="s">
        <v>1035</v>
      </c>
      <c r="AB96" s="16" t="s">
        <v>1038</v>
      </c>
      <c r="AC96" s="86">
        <v>44546</v>
      </c>
      <c r="AD96" s="88">
        <v>44557</v>
      </c>
      <c r="AE96" s="33">
        <f>AD96-AC96</f>
        <v>11</v>
      </c>
      <c r="AF96" s="43" t="s">
        <v>3207</v>
      </c>
      <c r="AG96" s="128"/>
      <c r="AH96" s="254"/>
      <c r="AI96" s="317"/>
      <c r="AJ96" s="314"/>
    </row>
    <row r="97" spans="1:36">
      <c r="A97" s="148" t="s">
        <v>4376</v>
      </c>
      <c r="B97" s="82">
        <v>-101</v>
      </c>
      <c r="C97" s="82">
        <v>-76</v>
      </c>
      <c r="D97" s="81">
        <v>28</v>
      </c>
      <c r="E97" s="82">
        <v>-1</v>
      </c>
      <c r="F97" s="6">
        <v>0.55000000000000004</v>
      </c>
      <c r="G97" s="81">
        <v>3520</v>
      </c>
      <c r="H97" s="8" t="s">
        <v>327</v>
      </c>
      <c r="I97" s="16" t="s">
        <v>3517</v>
      </c>
      <c r="J97" s="330">
        <v>35.700000000000003</v>
      </c>
      <c r="K97" s="330">
        <v>0.05</v>
      </c>
      <c r="L97" s="330"/>
      <c r="M97" s="75">
        <v>34.26</v>
      </c>
      <c r="N97" s="325">
        <f t="shared" si="147"/>
        <v>70.009999999999991</v>
      </c>
      <c r="T97" s="34">
        <v>0</v>
      </c>
      <c r="V97" s="97">
        <v>-0.08</v>
      </c>
      <c r="W97" s="36">
        <v>15.8</v>
      </c>
      <c r="X97" s="67">
        <v>12.8</v>
      </c>
      <c r="Y97" s="15">
        <f t="shared" ref="Y97" si="148">W97-X97</f>
        <v>3</v>
      </c>
      <c r="Z97" s="64">
        <f t="shared" ref="Z97" si="149">Y97/X97</f>
        <v>0.234375</v>
      </c>
      <c r="AA97" s="102" t="s">
        <v>4425</v>
      </c>
      <c r="AB97" s="16" t="s">
        <v>3517</v>
      </c>
      <c r="AC97" s="86">
        <v>44546</v>
      </c>
      <c r="AD97" s="88">
        <v>44557</v>
      </c>
      <c r="AE97" s="33">
        <f t="shared" ref="AE97" si="150">AD97-AC97</f>
        <v>11</v>
      </c>
      <c r="AF97" s="43" t="s">
        <v>2924</v>
      </c>
      <c r="AG97" s="128"/>
      <c r="AH97" s="254"/>
      <c r="AI97" s="317"/>
      <c r="AJ97" s="314"/>
    </row>
    <row r="98" spans="1:36">
      <c r="A98" s="148" t="s">
        <v>4369</v>
      </c>
      <c r="B98" s="82">
        <v>-385</v>
      </c>
      <c r="C98" s="96">
        <v>-1255</v>
      </c>
      <c r="D98" s="81">
        <v>17</v>
      </c>
      <c r="E98" s="82">
        <v>-18</v>
      </c>
      <c r="F98" s="6">
        <v>-14.89</v>
      </c>
      <c r="G98" s="82">
        <v>2748</v>
      </c>
      <c r="H98" s="5" t="s">
        <v>321</v>
      </c>
      <c r="I98" s="22" t="s">
        <v>1034</v>
      </c>
      <c r="J98" s="330">
        <v>68.44</v>
      </c>
      <c r="K98" s="330">
        <v>0.31</v>
      </c>
      <c r="L98" s="75">
        <v>1.23</v>
      </c>
      <c r="M98" s="330">
        <v>69.540000000000006</v>
      </c>
      <c r="N98" s="75">
        <f t="shared" si="147"/>
        <v>139.52000000000001</v>
      </c>
      <c r="R98" s="308" t="s">
        <v>4446</v>
      </c>
      <c r="S98" s="330">
        <v>0.11</v>
      </c>
      <c r="T98" s="34">
        <v>1</v>
      </c>
      <c r="V98" s="58">
        <v>-0.36</v>
      </c>
      <c r="W98" s="36">
        <v>39</v>
      </c>
      <c r="X98" s="67">
        <v>34</v>
      </c>
      <c r="Y98" s="15">
        <f t="shared" ref="Y98" si="151">W98-X98</f>
        <v>5</v>
      </c>
      <c r="Z98" s="64">
        <f t="shared" ref="Z98" si="152">Y98/X98</f>
        <v>0.14705882352941177</v>
      </c>
      <c r="AA98" s="102" t="s">
        <v>4426</v>
      </c>
      <c r="AB98" s="22" t="s">
        <v>1034</v>
      </c>
      <c r="AC98" s="86">
        <v>44546</v>
      </c>
      <c r="AD98" s="88">
        <v>44557</v>
      </c>
      <c r="AE98" s="33">
        <f t="shared" ref="AE98" si="153">AD98-AC98</f>
        <v>11</v>
      </c>
      <c r="AF98" s="43" t="s">
        <v>3205</v>
      </c>
      <c r="AG98" s="128"/>
      <c r="AH98" s="254"/>
      <c r="AI98" s="317"/>
      <c r="AJ98" s="314"/>
    </row>
    <row r="99" spans="1:36">
      <c r="A99" s="132" t="s">
        <v>4364</v>
      </c>
      <c r="B99" s="82">
        <v>-32</v>
      </c>
      <c r="C99" s="82">
        <v>-32</v>
      </c>
      <c r="D99" s="81">
        <v>63</v>
      </c>
      <c r="E99" s="82">
        <v>-40</v>
      </c>
      <c r="F99" s="58">
        <v>22.79</v>
      </c>
      <c r="G99" s="82">
        <v>1777</v>
      </c>
      <c r="H99" s="197" t="s">
        <v>328</v>
      </c>
      <c r="I99" s="16" t="s">
        <v>150</v>
      </c>
      <c r="J99" s="330">
        <v>48.69</v>
      </c>
      <c r="K99" s="330">
        <v>0.15</v>
      </c>
      <c r="L99" s="75">
        <v>2.31</v>
      </c>
      <c r="M99" s="75">
        <v>29.77</v>
      </c>
      <c r="N99" s="325">
        <f t="shared" ref="N99:N104" si="154">K99+J99+L99+M99</f>
        <v>80.92</v>
      </c>
      <c r="S99" s="330">
        <v>6.2E-2</v>
      </c>
      <c r="T99" s="67">
        <v>4</v>
      </c>
      <c r="V99" s="97">
        <v>4.57</v>
      </c>
      <c r="W99" s="36">
        <v>64.5</v>
      </c>
      <c r="X99" s="67">
        <v>60</v>
      </c>
      <c r="Y99" s="15">
        <f t="shared" ref="Y99" si="155">W99-X99</f>
        <v>4.5</v>
      </c>
      <c r="Z99" s="64">
        <f t="shared" ref="Z99" si="156">Y99/X99</f>
        <v>7.4999999999999997E-2</v>
      </c>
      <c r="AA99" s="102" t="s">
        <v>4405</v>
      </c>
      <c r="AB99" s="16" t="s">
        <v>150</v>
      </c>
      <c r="AC99" s="86">
        <v>44543</v>
      </c>
      <c r="AD99" s="88">
        <v>44553</v>
      </c>
      <c r="AE99" s="33">
        <f t="shared" ref="AE99" si="157">AD99-AC99</f>
        <v>10</v>
      </c>
      <c r="AF99" s="122" t="s">
        <v>2971</v>
      </c>
      <c r="AG99" s="128"/>
      <c r="AH99" s="254"/>
      <c r="AI99" s="317"/>
      <c r="AJ99" s="314"/>
    </row>
    <row r="100" spans="1:36" ht="16.5" customHeight="1">
      <c r="A100" s="148" t="s">
        <v>4355</v>
      </c>
      <c r="B100" s="82">
        <v>-132</v>
      </c>
      <c r="C100" s="82">
        <v>-396</v>
      </c>
      <c r="D100" s="81">
        <v>9</v>
      </c>
      <c r="E100" s="81">
        <v>0</v>
      </c>
      <c r="F100" s="6">
        <v>-11.67</v>
      </c>
      <c r="G100" s="82">
        <v>1268</v>
      </c>
      <c r="H100" s="5" t="s">
        <v>321</v>
      </c>
      <c r="I100" s="16" t="s">
        <v>1016</v>
      </c>
      <c r="J100" s="330">
        <v>70.489999999999995</v>
      </c>
      <c r="K100" s="330">
        <v>0.08</v>
      </c>
      <c r="L100" s="75">
        <v>0.32</v>
      </c>
      <c r="M100" s="330">
        <v>19.29</v>
      </c>
      <c r="N100" s="325">
        <f t="shared" si="154"/>
        <v>90.179999999999978</v>
      </c>
      <c r="S100" s="330">
        <v>0.02</v>
      </c>
      <c r="T100" s="67">
        <v>7</v>
      </c>
      <c r="V100" s="58">
        <v>0.05</v>
      </c>
      <c r="W100" s="36">
        <v>111</v>
      </c>
      <c r="X100" s="67">
        <v>100</v>
      </c>
      <c r="Y100" s="15">
        <f t="shared" ref="Y100:Y101" si="158">W100-X100</f>
        <v>11</v>
      </c>
      <c r="Z100" s="64">
        <f t="shared" ref="Z100:Z101" si="159">Y100/X100</f>
        <v>0.11</v>
      </c>
      <c r="AA100" s="102" t="s">
        <v>820</v>
      </c>
      <c r="AB100" s="16" t="s">
        <v>1016</v>
      </c>
      <c r="AC100" s="86">
        <v>44540</v>
      </c>
      <c r="AD100" s="88">
        <v>44550</v>
      </c>
      <c r="AE100" s="33">
        <f t="shared" ref="AE100:AE101" si="160">AD100-AC100</f>
        <v>10</v>
      </c>
      <c r="AF100" s="43" t="s">
        <v>3196</v>
      </c>
      <c r="AG100" s="128"/>
      <c r="AH100" s="254"/>
      <c r="AI100" s="317"/>
      <c r="AJ100" s="314"/>
    </row>
    <row r="101" spans="1:36">
      <c r="A101" s="132" t="s">
        <v>1556</v>
      </c>
      <c r="B101" s="81">
        <v>81</v>
      </c>
      <c r="C101" s="81">
        <v>134</v>
      </c>
      <c r="D101" s="82">
        <v>-2</v>
      </c>
      <c r="E101" s="81">
        <v>14</v>
      </c>
      <c r="F101" s="58">
        <v>20.65</v>
      </c>
      <c r="G101" s="81">
        <v>6792</v>
      </c>
      <c r="H101" s="8" t="s">
        <v>331</v>
      </c>
      <c r="I101" s="22" t="s">
        <v>4354</v>
      </c>
      <c r="J101" s="330">
        <v>45.77</v>
      </c>
      <c r="K101" s="330">
        <v>0.64</v>
      </c>
      <c r="L101" s="330"/>
      <c r="M101" s="330">
        <v>42.12</v>
      </c>
      <c r="N101" s="325">
        <f t="shared" si="154"/>
        <v>88.53</v>
      </c>
      <c r="T101" s="67">
        <v>3.5</v>
      </c>
      <c r="V101" s="97">
        <v>6.28</v>
      </c>
      <c r="W101" s="36">
        <v>213.5</v>
      </c>
      <c r="X101" s="67">
        <v>98</v>
      </c>
      <c r="Y101" s="15">
        <f t="shared" si="158"/>
        <v>115.5</v>
      </c>
      <c r="Z101" s="155">
        <f t="shared" si="159"/>
        <v>1.1785714285714286</v>
      </c>
      <c r="AA101" s="102" t="s">
        <v>4385</v>
      </c>
      <c r="AB101" s="22" t="s">
        <v>4354</v>
      </c>
      <c r="AC101" s="86">
        <v>44538</v>
      </c>
      <c r="AD101" s="88">
        <v>44550</v>
      </c>
      <c r="AE101" s="33">
        <f t="shared" si="160"/>
        <v>12</v>
      </c>
      <c r="AF101" s="43" t="s">
        <v>4356</v>
      </c>
      <c r="AG101" s="128"/>
      <c r="AH101" s="254"/>
      <c r="AI101" s="317"/>
      <c r="AJ101" s="314"/>
    </row>
    <row r="102" spans="1:36">
      <c r="A102" s="148" t="s">
        <v>4350</v>
      </c>
      <c r="B102" s="82">
        <v>-178</v>
      </c>
      <c r="C102" s="82">
        <v>-102</v>
      </c>
      <c r="D102" s="82">
        <v>-3</v>
      </c>
      <c r="E102" s="82">
        <v>-31</v>
      </c>
      <c r="F102" s="6">
        <v>-0.28000000000000003</v>
      </c>
      <c r="G102" s="82">
        <v>6616</v>
      </c>
      <c r="H102" s="5" t="s">
        <v>249</v>
      </c>
      <c r="I102" s="16" t="s">
        <v>695</v>
      </c>
      <c r="J102" s="330">
        <v>71.069999999999993</v>
      </c>
      <c r="K102" s="330">
        <v>77.08</v>
      </c>
      <c r="L102" s="330"/>
      <c r="M102" s="330">
        <v>58.62</v>
      </c>
      <c r="N102" s="325">
        <f t="shared" si="154"/>
        <v>206.76999999999998</v>
      </c>
      <c r="S102" s="330">
        <v>0.08</v>
      </c>
      <c r="T102" s="34">
        <v>2</v>
      </c>
      <c r="V102" s="58">
        <v>0.25</v>
      </c>
      <c r="W102" s="13">
        <v>18.5</v>
      </c>
      <c r="X102" s="67">
        <v>16.25</v>
      </c>
      <c r="Y102" s="15">
        <f t="shared" ref="Y102" si="161">W102-X102</f>
        <v>2.25</v>
      </c>
      <c r="Z102" s="64">
        <f t="shared" ref="Z102" si="162">Y102/X102</f>
        <v>0.13846153846153847</v>
      </c>
      <c r="AA102" s="102" t="s">
        <v>4386</v>
      </c>
      <c r="AB102" s="16" t="s">
        <v>695</v>
      </c>
      <c r="AC102" s="86">
        <v>44538</v>
      </c>
      <c r="AD102" s="88">
        <v>44550</v>
      </c>
      <c r="AE102" s="33">
        <f t="shared" ref="AE102" si="163">AD102-AC102</f>
        <v>12</v>
      </c>
      <c r="AF102" s="43" t="s">
        <v>2991</v>
      </c>
      <c r="AG102" s="128"/>
      <c r="AH102" s="254"/>
      <c r="AI102" s="317"/>
      <c r="AJ102" s="314"/>
    </row>
    <row r="103" spans="1:36">
      <c r="A103" s="148" t="s">
        <v>1920</v>
      </c>
      <c r="B103" s="82">
        <v>-19</v>
      </c>
      <c r="C103" s="82">
        <v>-21</v>
      </c>
      <c r="D103" s="81">
        <v>1</v>
      </c>
      <c r="E103" s="81">
        <v>282</v>
      </c>
      <c r="F103" s="75">
        <v>-854.73</v>
      </c>
      <c r="G103" s="82">
        <v>6461</v>
      </c>
      <c r="H103" s="5" t="s">
        <v>328</v>
      </c>
      <c r="I103" s="16" t="s">
        <v>662</v>
      </c>
      <c r="J103" s="330">
        <v>50.63</v>
      </c>
      <c r="K103" s="330">
        <v>0.75</v>
      </c>
      <c r="L103" s="75">
        <v>4.22</v>
      </c>
      <c r="M103" s="330">
        <v>48.82</v>
      </c>
      <c r="N103" s="325">
        <f t="shared" si="154"/>
        <v>104.42</v>
      </c>
      <c r="S103" s="330">
        <v>7.0000000000000007E-2</v>
      </c>
      <c r="T103" s="34">
        <v>0</v>
      </c>
      <c r="V103" s="58">
        <v>-2.86</v>
      </c>
      <c r="W103" s="36">
        <v>20.05</v>
      </c>
      <c r="X103" s="67">
        <v>20</v>
      </c>
      <c r="Y103" s="15">
        <f t="shared" ref="Y103" si="164">W103-X103</f>
        <v>5.0000000000000711E-2</v>
      </c>
      <c r="Z103" s="64">
        <f t="shared" ref="Z103" si="165">Y103/X103</f>
        <v>2.5000000000000356E-3</v>
      </c>
      <c r="AA103" s="102" t="s">
        <v>4387</v>
      </c>
      <c r="AB103" s="16" t="s">
        <v>662</v>
      </c>
      <c r="AC103" s="86">
        <v>44538</v>
      </c>
      <c r="AD103" s="88">
        <v>44550</v>
      </c>
      <c r="AE103" s="33">
        <f t="shared" ref="AE103" si="166">AD103-AC103</f>
        <v>12</v>
      </c>
      <c r="AF103" s="43" t="s">
        <v>2973</v>
      </c>
      <c r="AG103" s="128"/>
      <c r="AH103" s="254"/>
      <c r="AI103" s="317"/>
      <c r="AJ103" s="314"/>
    </row>
    <row r="104" spans="1:36">
      <c r="A104" s="132" t="s">
        <v>4427</v>
      </c>
      <c r="B104" s="81">
        <v>263</v>
      </c>
      <c r="C104" s="81">
        <v>210</v>
      </c>
      <c r="D104" s="81">
        <v>9</v>
      </c>
      <c r="E104" s="81">
        <v>70</v>
      </c>
      <c r="F104" s="58">
        <v>27.37</v>
      </c>
      <c r="G104" s="81">
        <v>6770</v>
      </c>
      <c r="H104" s="8" t="s">
        <v>326</v>
      </c>
      <c r="I104" s="22" t="s">
        <v>4349</v>
      </c>
      <c r="J104" s="330">
        <v>44.91</v>
      </c>
      <c r="K104" s="75">
        <v>6.21</v>
      </c>
      <c r="L104" s="330"/>
      <c r="M104" s="330">
        <v>28.78</v>
      </c>
      <c r="N104" s="325">
        <f t="shared" si="154"/>
        <v>79.900000000000006</v>
      </c>
      <c r="R104" s="308" t="s">
        <v>4428</v>
      </c>
      <c r="T104" s="34">
        <v>0.65</v>
      </c>
      <c r="V104" s="97">
        <v>3.44</v>
      </c>
      <c r="W104" s="36">
        <v>70.599999999999994</v>
      </c>
      <c r="X104" s="67">
        <v>49.88</v>
      </c>
      <c r="Y104" s="15">
        <f t="shared" ref="Y104" si="167">W104-X104</f>
        <v>20.719999999999992</v>
      </c>
      <c r="Z104" s="64">
        <f t="shared" ref="Z104" si="168">Y104/X104</f>
        <v>0.41539695268644727</v>
      </c>
      <c r="AA104" s="102" t="s">
        <v>4377</v>
      </c>
      <c r="AB104" s="22" t="s">
        <v>4349</v>
      </c>
      <c r="AC104" s="86">
        <v>44536</v>
      </c>
      <c r="AD104" s="88">
        <v>44546</v>
      </c>
      <c r="AE104" s="33">
        <f t="shared" ref="AE104" si="169">AD104-AC104</f>
        <v>10</v>
      </c>
      <c r="AF104" s="43" t="s">
        <v>2064</v>
      </c>
      <c r="AG104" s="128"/>
      <c r="AH104" s="254"/>
      <c r="AI104" s="317"/>
      <c r="AJ104" s="314"/>
    </row>
    <row r="105" spans="1:36">
      <c r="A105" s="148" t="s">
        <v>2030</v>
      </c>
      <c r="B105" s="81">
        <v>6</v>
      </c>
      <c r="C105" s="81">
        <v>8</v>
      </c>
      <c r="D105" s="82">
        <v>-10</v>
      </c>
      <c r="E105" s="82">
        <v>-3</v>
      </c>
      <c r="F105" s="6">
        <v>1.84</v>
      </c>
      <c r="G105" s="82">
        <v>2945</v>
      </c>
      <c r="H105" s="5" t="s">
        <v>330</v>
      </c>
      <c r="I105" s="22" t="s">
        <v>4334</v>
      </c>
      <c r="J105" s="330">
        <v>82.79</v>
      </c>
      <c r="K105" s="330">
        <v>19.57</v>
      </c>
      <c r="L105" s="330"/>
      <c r="N105" s="325">
        <f t="shared" ref="N105" si="170">K105+J105+L105</f>
        <v>102.36000000000001</v>
      </c>
      <c r="T105" s="34">
        <v>2.73</v>
      </c>
      <c r="V105" s="58">
        <v>3.18</v>
      </c>
      <c r="W105" s="36">
        <v>73.7</v>
      </c>
      <c r="X105" s="67">
        <v>69</v>
      </c>
      <c r="Y105" s="15">
        <f t="shared" ref="Y105" si="171">W105-X105</f>
        <v>4.7000000000000028</v>
      </c>
      <c r="Z105" s="64">
        <f t="shared" ref="Z105" si="172">Y105/X105</f>
        <v>6.8115942028985549E-2</v>
      </c>
      <c r="AA105" s="102" t="s">
        <v>4368</v>
      </c>
      <c r="AB105" s="22" t="s">
        <v>4334</v>
      </c>
      <c r="AC105" s="86">
        <v>44530</v>
      </c>
      <c r="AD105" s="88">
        <v>44540</v>
      </c>
      <c r="AE105" s="33">
        <f t="shared" ref="AE105" si="173">AD105-AC105</f>
        <v>10</v>
      </c>
      <c r="AF105" s="43" t="s">
        <v>4335</v>
      </c>
      <c r="AG105" s="128"/>
      <c r="AH105" s="254"/>
      <c r="AI105" s="317"/>
      <c r="AJ105" s="314"/>
    </row>
    <row r="106" spans="1:36">
      <c r="A106" s="132" t="s">
        <v>3548</v>
      </c>
      <c r="B106" s="82">
        <v>-81</v>
      </c>
      <c r="C106" s="82">
        <v>-121</v>
      </c>
      <c r="D106" s="237">
        <v>61868</v>
      </c>
      <c r="E106" s="95"/>
      <c r="F106" s="303">
        <v>-2147</v>
      </c>
      <c r="G106" s="82">
        <v>1438</v>
      </c>
      <c r="H106" s="8" t="s">
        <v>931</v>
      </c>
      <c r="I106" s="22" t="s">
        <v>3714</v>
      </c>
      <c r="J106" s="75">
        <v>64.11</v>
      </c>
      <c r="K106" s="330">
        <v>0.57999999999999996</v>
      </c>
      <c r="L106" s="75">
        <v>4.3899999999999997</v>
      </c>
      <c r="N106" s="325">
        <f t="shared" ref="N106" si="174">K106+J106+L106</f>
        <v>69.08</v>
      </c>
      <c r="R106" s="308" t="s">
        <v>4393</v>
      </c>
      <c r="S106" s="330">
        <v>0.26</v>
      </c>
      <c r="T106" s="34">
        <v>0</v>
      </c>
      <c r="V106" s="58">
        <v>0.08</v>
      </c>
      <c r="W106" s="36">
        <v>30.3</v>
      </c>
      <c r="X106" s="67">
        <v>26</v>
      </c>
      <c r="Y106" s="15">
        <f t="shared" ref="Y106" si="175">W106-X106</f>
        <v>4.3000000000000007</v>
      </c>
      <c r="Z106" s="64">
        <f t="shared" ref="Z106" si="176">Y106/X106</f>
        <v>0.16538461538461541</v>
      </c>
      <c r="AA106" s="102" t="s">
        <v>4367</v>
      </c>
      <c r="AB106" s="22" t="s">
        <v>3714</v>
      </c>
      <c r="AC106" s="86">
        <v>44530</v>
      </c>
      <c r="AD106" s="88">
        <v>44540</v>
      </c>
      <c r="AE106" s="33">
        <f t="shared" ref="AE106" si="177">AD106-AC106</f>
        <v>10</v>
      </c>
      <c r="AF106" s="43" t="s">
        <v>5109</v>
      </c>
      <c r="AG106" s="128"/>
      <c r="AH106" s="254"/>
      <c r="AI106" s="317"/>
      <c r="AJ106" s="314"/>
    </row>
    <row r="107" spans="1:36">
      <c r="A107" s="132" t="s">
        <v>4332</v>
      </c>
      <c r="B107" s="81">
        <v>76</v>
      </c>
      <c r="C107" s="81">
        <v>70</v>
      </c>
      <c r="D107" s="81">
        <v>7</v>
      </c>
      <c r="E107" s="82">
        <v>-14</v>
      </c>
      <c r="F107" s="58">
        <v>17.43</v>
      </c>
      <c r="G107" s="81">
        <v>4571</v>
      </c>
      <c r="H107" s="8" t="s">
        <v>313</v>
      </c>
      <c r="I107" s="22" t="s">
        <v>1896</v>
      </c>
      <c r="J107" s="330">
        <v>55.59</v>
      </c>
      <c r="K107" s="75">
        <v>66.77</v>
      </c>
      <c r="L107" s="330">
        <v>5.78</v>
      </c>
      <c r="N107" s="325">
        <f>K107+J107+L107</f>
        <v>128.13999999999999</v>
      </c>
      <c r="S107" s="330">
        <v>0.39</v>
      </c>
      <c r="T107" s="67">
        <v>3.6</v>
      </c>
      <c r="V107" s="58">
        <v>9.1199999999999992</v>
      </c>
      <c r="W107" s="13">
        <v>103.5</v>
      </c>
      <c r="X107" s="67">
        <v>77</v>
      </c>
      <c r="Y107" s="15">
        <f>W107-X107</f>
        <v>26.5</v>
      </c>
      <c r="Z107" s="64">
        <f>Y107/X107</f>
        <v>0.34415584415584416</v>
      </c>
      <c r="AA107" s="102" t="s">
        <v>4366</v>
      </c>
      <c r="AB107" s="22" t="s">
        <v>1896</v>
      </c>
      <c r="AC107" s="86">
        <v>44529</v>
      </c>
      <c r="AD107" s="88">
        <v>44539</v>
      </c>
      <c r="AE107" s="33">
        <f>AD107-AC107</f>
        <v>10</v>
      </c>
      <c r="AF107" s="43" t="s">
        <v>2348</v>
      </c>
      <c r="AG107" s="128"/>
      <c r="AH107" s="254"/>
      <c r="AI107" s="317"/>
      <c r="AJ107" s="314"/>
    </row>
    <row r="108" spans="1:36">
      <c r="A108" s="148" t="s">
        <v>3677</v>
      </c>
      <c r="B108" s="95">
        <v>1551</v>
      </c>
      <c r="C108" s="95">
        <v>1272</v>
      </c>
      <c r="D108" s="82">
        <v>-11</v>
      </c>
      <c r="E108" s="81">
        <v>14</v>
      </c>
      <c r="F108" s="6">
        <v>4.9800000000000004</v>
      </c>
      <c r="G108" s="82">
        <v>3652</v>
      </c>
      <c r="H108" s="197" t="s">
        <v>1212</v>
      </c>
      <c r="I108" s="16" t="s">
        <v>2705</v>
      </c>
      <c r="J108" s="330">
        <v>64.62</v>
      </c>
      <c r="K108" s="330">
        <v>1.32</v>
      </c>
      <c r="L108" s="330">
        <v>3.68</v>
      </c>
      <c r="N108" s="325">
        <f>K108+J108+L108</f>
        <v>69.62</v>
      </c>
      <c r="S108" s="330">
        <v>0</v>
      </c>
      <c r="T108" s="34">
        <v>0.15</v>
      </c>
      <c r="V108" s="58">
        <v>1.6</v>
      </c>
      <c r="W108" s="36">
        <v>22.7</v>
      </c>
      <c r="X108" s="67">
        <v>21</v>
      </c>
      <c r="Y108" s="15">
        <f>W108-X108</f>
        <v>1.6999999999999993</v>
      </c>
      <c r="Z108" s="64">
        <f>Y108/X108</f>
        <v>8.0952380952380915E-2</v>
      </c>
      <c r="AA108" s="102" t="s">
        <v>2783</v>
      </c>
      <c r="AB108" s="16" t="s">
        <v>2705</v>
      </c>
      <c r="AC108" s="86">
        <v>44529</v>
      </c>
      <c r="AD108" s="88">
        <v>44539</v>
      </c>
      <c r="AE108" s="33">
        <f>AD108-AC108</f>
        <v>10</v>
      </c>
      <c r="AF108" s="43" t="s">
        <v>2961</v>
      </c>
      <c r="AG108" s="128"/>
      <c r="AH108" s="254"/>
      <c r="AI108" s="317"/>
      <c r="AJ108" s="314"/>
    </row>
    <row r="109" spans="1:36">
      <c r="A109" s="148" t="s">
        <v>2021</v>
      </c>
      <c r="B109" s="81">
        <v>118</v>
      </c>
      <c r="C109" s="81">
        <v>103</v>
      </c>
      <c r="D109" s="82">
        <v>-3</v>
      </c>
      <c r="E109" s="82">
        <v>-5</v>
      </c>
      <c r="F109" s="6">
        <v>0.69</v>
      </c>
      <c r="G109" s="82">
        <v>3259</v>
      </c>
      <c r="H109" s="197" t="s">
        <v>326</v>
      </c>
      <c r="I109" s="16" t="s">
        <v>389</v>
      </c>
      <c r="J109" s="330">
        <v>44.07</v>
      </c>
      <c r="K109" s="75">
        <v>15.97</v>
      </c>
      <c r="L109" s="330"/>
      <c r="N109" s="325">
        <f>K109+J109+L109</f>
        <v>60.04</v>
      </c>
      <c r="T109" s="34">
        <v>0</v>
      </c>
      <c r="V109" s="97">
        <v>-0.55000000000000004</v>
      </c>
      <c r="W109" s="36">
        <v>27.35</v>
      </c>
      <c r="X109" s="67">
        <v>27.2</v>
      </c>
      <c r="Y109" s="15">
        <f>W109-X109</f>
        <v>0.15000000000000213</v>
      </c>
      <c r="Z109" s="64">
        <f>Y109/X109</f>
        <v>5.5147058823530196E-3</v>
      </c>
      <c r="AA109" s="102" t="s">
        <v>4363</v>
      </c>
      <c r="AB109" s="16" t="s">
        <v>389</v>
      </c>
      <c r="AC109" s="86">
        <v>44526</v>
      </c>
      <c r="AD109" s="88">
        <v>44536</v>
      </c>
      <c r="AE109" s="33">
        <f>AD109-AC109</f>
        <v>10</v>
      </c>
      <c r="AF109" s="43" t="s">
        <v>2873</v>
      </c>
      <c r="AG109" s="128"/>
      <c r="AH109" s="254"/>
      <c r="AI109" s="317"/>
      <c r="AJ109" s="314"/>
    </row>
    <row r="110" spans="1:36">
      <c r="A110" s="148" t="s">
        <v>4330</v>
      </c>
      <c r="B110" s="81">
        <v>32</v>
      </c>
      <c r="C110" s="81">
        <v>363</v>
      </c>
      <c r="D110" s="82">
        <v>-4</v>
      </c>
      <c r="E110" s="81">
        <v>46</v>
      </c>
      <c r="F110" s="6">
        <v>5.61</v>
      </c>
      <c r="G110" s="82">
        <v>1609</v>
      </c>
      <c r="H110" s="5" t="s">
        <v>4306</v>
      </c>
      <c r="I110" s="22" t="s">
        <v>1004</v>
      </c>
      <c r="J110" s="75">
        <v>29.1</v>
      </c>
      <c r="K110" s="330">
        <v>7.62</v>
      </c>
      <c r="L110" s="330">
        <v>12.72</v>
      </c>
      <c r="N110" s="325">
        <f t="shared" ref="N110" si="178">K110+J110+L110</f>
        <v>49.44</v>
      </c>
      <c r="R110" s="308" t="s">
        <v>4372</v>
      </c>
      <c r="S110" s="330">
        <v>0.72</v>
      </c>
      <c r="T110" s="34">
        <v>0.7</v>
      </c>
      <c r="V110" s="97">
        <v>1.74</v>
      </c>
      <c r="W110" s="36">
        <v>24.1</v>
      </c>
      <c r="X110" s="67">
        <v>21</v>
      </c>
      <c r="Y110" s="15">
        <f t="shared" ref="Y110" si="179">W110-X110</f>
        <v>3.1000000000000014</v>
      </c>
      <c r="Z110" s="64">
        <f t="shared" ref="Z110" si="180">Y110/X110</f>
        <v>0.14761904761904768</v>
      </c>
      <c r="AA110" s="102" t="s">
        <v>1817</v>
      </c>
      <c r="AB110" s="22" t="s">
        <v>1004</v>
      </c>
      <c r="AC110" s="86">
        <v>44523</v>
      </c>
      <c r="AD110" s="88">
        <v>44533</v>
      </c>
      <c r="AE110" s="33">
        <f t="shared" ref="AE110" si="181">AD110-AC110</f>
        <v>10</v>
      </c>
      <c r="AF110" s="43" t="s">
        <v>3323</v>
      </c>
      <c r="AG110" s="128"/>
      <c r="AH110" s="254"/>
      <c r="AI110" s="317"/>
      <c r="AJ110" s="314"/>
    </row>
    <row r="111" spans="1:36">
      <c r="A111" s="148" t="s">
        <v>4327</v>
      </c>
      <c r="B111" s="81">
        <v>323</v>
      </c>
      <c r="C111" s="81">
        <v>201</v>
      </c>
      <c r="D111" s="81">
        <v>74</v>
      </c>
      <c r="E111" s="82">
        <v>-27</v>
      </c>
      <c r="F111" s="6">
        <v>9.64</v>
      </c>
      <c r="G111" s="81">
        <v>6130</v>
      </c>
      <c r="H111" s="8" t="s">
        <v>328</v>
      </c>
      <c r="I111" s="16" t="s">
        <v>1153</v>
      </c>
      <c r="J111" s="330">
        <v>45.63</v>
      </c>
      <c r="K111" s="330">
        <v>0.26</v>
      </c>
      <c r="N111" s="325">
        <f t="shared" ref="N111" si="182">K111+J111+L111</f>
        <v>45.89</v>
      </c>
      <c r="T111" s="34">
        <v>0</v>
      </c>
      <c r="V111" s="97">
        <v>0.35</v>
      </c>
      <c r="W111" s="36">
        <v>32.5</v>
      </c>
      <c r="X111" s="67">
        <v>19</v>
      </c>
      <c r="Y111" s="15">
        <f t="shared" ref="Y111" si="183">W111-X111</f>
        <v>13.5</v>
      </c>
      <c r="Z111" s="64">
        <f t="shared" ref="Z111" si="184">Y111/X111</f>
        <v>0.71052631578947367</v>
      </c>
      <c r="AA111" s="102" t="s">
        <v>4339</v>
      </c>
      <c r="AB111" s="16" t="s">
        <v>1153</v>
      </c>
      <c r="AC111" s="86">
        <v>44519</v>
      </c>
      <c r="AD111" s="88">
        <v>44529</v>
      </c>
      <c r="AE111" s="33">
        <f t="shared" ref="AE111" si="185">AD111-AC111</f>
        <v>10</v>
      </c>
      <c r="AF111" s="43" t="s">
        <v>4328</v>
      </c>
      <c r="AG111" s="128"/>
      <c r="AH111" s="254"/>
      <c r="AI111" s="317"/>
      <c r="AJ111" s="314"/>
    </row>
    <row r="112" spans="1:36">
      <c r="A112" s="148" t="s">
        <v>1960</v>
      </c>
      <c r="B112" s="81">
        <v>237</v>
      </c>
      <c r="C112" s="81">
        <v>183</v>
      </c>
      <c r="D112" s="82">
        <v>-7</v>
      </c>
      <c r="E112" s="81">
        <v>64</v>
      </c>
      <c r="F112" s="6">
        <v>7.95</v>
      </c>
      <c r="G112" s="81">
        <v>4739</v>
      </c>
      <c r="H112" s="8" t="s">
        <v>806</v>
      </c>
      <c r="I112" s="22" t="s">
        <v>184</v>
      </c>
      <c r="J112" s="330">
        <v>31.79</v>
      </c>
      <c r="K112" s="75">
        <v>8.33</v>
      </c>
      <c r="L112" s="75">
        <v>33.74</v>
      </c>
      <c r="N112" s="325">
        <f t="shared" ref="N112" si="186">K112+J112+L112</f>
        <v>73.86</v>
      </c>
      <c r="S112" s="330">
        <v>9.5299999999999994</v>
      </c>
      <c r="T112" s="34">
        <v>1.2</v>
      </c>
      <c r="V112" s="97">
        <v>4.3499999999999996</v>
      </c>
      <c r="W112" s="36">
        <v>145.5</v>
      </c>
      <c r="X112" s="45">
        <v>90</v>
      </c>
      <c r="Y112" s="15">
        <f t="shared" ref="Y112" si="187">W112-X112</f>
        <v>55.5</v>
      </c>
      <c r="Z112" s="64">
        <f t="shared" ref="Z112" si="188">Y112/X112</f>
        <v>0.6166666666666667</v>
      </c>
      <c r="AA112" s="102" t="s">
        <v>4338</v>
      </c>
      <c r="AB112" s="22" t="s">
        <v>184</v>
      </c>
      <c r="AC112" s="86">
        <v>44518</v>
      </c>
      <c r="AD112" s="88">
        <v>44529</v>
      </c>
      <c r="AE112" s="33">
        <f t="shared" ref="AE112" si="189">AD112-AC112</f>
        <v>11</v>
      </c>
      <c r="AF112" s="122" t="s">
        <v>2808</v>
      </c>
      <c r="AG112" s="125"/>
      <c r="AH112" s="254"/>
      <c r="AI112" s="317"/>
      <c r="AJ112" s="281"/>
    </row>
    <row r="113" spans="1:36">
      <c r="A113" s="132" t="s">
        <v>1809</v>
      </c>
      <c r="B113" s="95">
        <v>3079</v>
      </c>
      <c r="C113" s="95">
        <v>1960</v>
      </c>
      <c r="D113" s="81">
        <v>73</v>
      </c>
      <c r="E113" s="81">
        <v>146</v>
      </c>
      <c r="F113" s="58">
        <v>23.5</v>
      </c>
      <c r="G113" s="82">
        <v>6806</v>
      </c>
      <c r="H113" s="5" t="s">
        <v>249</v>
      </c>
      <c r="I113" s="22" t="s">
        <v>4325</v>
      </c>
      <c r="J113" s="330">
        <v>65.760000000000005</v>
      </c>
      <c r="K113" s="330">
        <v>0.46</v>
      </c>
      <c r="L113" s="330"/>
      <c r="N113" s="325">
        <f>K113+J113+L113</f>
        <v>66.22</v>
      </c>
      <c r="T113" s="34">
        <v>1</v>
      </c>
      <c r="V113" s="58">
        <v>5.07</v>
      </c>
      <c r="W113" s="36">
        <v>98.6</v>
      </c>
      <c r="X113" s="67">
        <v>104.4</v>
      </c>
      <c r="Y113" s="15">
        <f>W113-X113</f>
        <v>-5.8000000000000114</v>
      </c>
      <c r="Z113" s="78">
        <f>Y113/X113</f>
        <v>-5.5555555555555663E-2</v>
      </c>
      <c r="AA113" s="102" t="s">
        <v>4333</v>
      </c>
      <c r="AB113" s="22" t="s">
        <v>4325</v>
      </c>
      <c r="AC113" s="86">
        <v>44515</v>
      </c>
      <c r="AD113" s="88">
        <v>44525</v>
      </c>
      <c r="AE113" s="33">
        <f>AD113-AC113</f>
        <v>10</v>
      </c>
      <c r="AF113" s="43" t="s">
        <v>4326</v>
      </c>
      <c r="AG113" s="128"/>
      <c r="AH113" s="254"/>
      <c r="AI113" s="317"/>
      <c r="AJ113" s="314"/>
    </row>
    <row r="114" spans="1:36">
      <c r="A114" s="132" t="s">
        <v>4337</v>
      </c>
      <c r="B114" s="81">
        <v>116</v>
      </c>
      <c r="C114" s="81">
        <v>100</v>
      </c>
      <c r="D114" s="81">
        <v>7</v>
      </c>
      <c r="E114" s="95">
        <v>44</v>
      </c>
      <c r="F114" s="58">
        <v>13.23</v>
      </c>
      <c r="G114" s="81">
        <v>6761</v>
      </c>
      <c r="H114" s="8" t="s">
        <v>327</v>
      </c>
      <c r="I114" s="16" t="s">
        <v>4320</v>
      </c>
      <c r="J114" s="330">
        <v>45.93</v>
      </c>
      <c r="K114" s="75">
        <v>2.08</v>
      </c>
      <c r="N114" s="325">
        <f t="shared" ref="N114" si="190">K114+J114+L114</f>
        <v>48.01</v>
      </c>
      <c r="T114" s="67">
        <v>3.2</v>
      </c>
      <c r="V114" s="97">
        <v>7.98</v>
      </c>
      <c r="W114" s="36">
        <v>200.5</v>
      </c>
      <c r="X114" s="67">
        <v>68</v>
      </c>
      <c r="Y114" s="15">
        <f t="shared" ref="Y114" si="191">W114-X114</f>
        <v>132.5</v>
      </c>
      <c r="Z114" s="155">
        <f t="shared" ref="Z114" si="192">Y114/X114</f>
        <v>1.9485294117647058</v>
      </c>
      <c r="AA114" s="102" t="s">
        <v>4329</v>
      </c>
      <c r="AB114" s="16" t="s">
        <v>4320</v>
      </c>
      <c r="AC114" s="86">
        <v>44508</v>
      </c>
      <c r="AD114" s="88">
        <v>44518</v>
      </c>
      <c r="AE114" s="33">
        <f t="shared" ref="AE114" si="193">AD114-AC114</f>
        <v>10</v>
      </c>
      <c r="AF114" s="43" t="s">
        <v>4321</v>
      </c>
      <c r="AG114" s="128"/>
      <c r="AH114" s="254"/>
      <c r="AI114" s="317"/>
      <c r="AJ114" s="314"/>
    </row>
    <row r="115" spans="1:36">
      <c r="A115" s="148" t="s">
        <v>2044</v>
      </c>
      <c r="B115" s="81">
        <v>42</v>
      </c>
      <c r="C115" s="81">
        <v>55</v>
      </c>
      <c r="D115" s="82">
        <v>-1</v>
      </c>
      <c r="E115" s="81">
        <v>18</v>
      </c>
      <c r="F115" s="6">
        <v>-8.7799999999999994</v>
      </c>
      <c r="G115" s="81">
        <v>3576</v>
      </c>
      <c r="H115" s="8" t="s">
        <v>325</v>
      </c>
      <c r="I115" s="22" t="s">
        <v>1135</v>
      </c>
      <c r="J115" s="330">
        <v>37.49</v>
      </c>
      <c r="K115" s="330">
        <v>13.93</v>
      </c>
      <c r="N115" s="325">
        <f t="shared" ref="N115" si="194">K115+J115+L115</f>
        <v>51.42</v>
      </c>
      <c r="T115" s="34">
        <v>0</v>
      </c>
      <c r="V115" s="97">
        <v>-2.34</v>
      </c>
      <c r="W115" s="36">
        <v>22.55</v>
      </c>
      <c r="X115" s="67">
        <v>16.600000000000001</v>
      </c>
      <c r="Y115" s="15">
        <f t="shared" ref="Y115" si="195">W115-X115</f>
        <v>5.9499999999999993</v>
      </c>
      <c r="Z115" s="64">
        <f t="shared" ref="Z115" si="196">Y115/X115</f>
        <v>0.35843373493975894</v>
      </c>
      <c r="AA115" s="102" t="s">
        <v>4324</v>
      </c>
      <c r="AB115" s="22" t="s">
        <v>1135</v>
      </c>
      <c r="AC115" s="86">
        <v>44504</v>
      </c>
      <c r="AD115" s="88">
        <v>44515</v>
      </c>
      <c r="AE115" s="33">
        <f t="shared" ref="AE115" si="197">AD115-AC115</f>
        <v>11</v>
      </c>
      <c r="AF115" s="122" t="s">
        <v>2294</v>
      </c>
      <c r="AG115" s="128"/>
      <c r="AH115" s="254"/>
      <c r="AI115" s="317"/>
      <c r="AJ115" s="314"/>
    </row>
    <row r="116" spans="1:36">
      <c r="A116" s="132" t="s">
        <v>1914</v>
      </c>
      <c r="B116" s="81">
        <v>115</v>
      </c>
      <c r="C116" s="81">
        <v>112</v>
      </c>
      <c r="D116" s="81">
        <v>2</v>
      </c>
      <c r="E116" s="81">
        <v>15</v>
      </c>
      <c r="F116" s="58">
        <v>32.74</v>
      </c>
      <c r="G116" s="81">
        <v>6457</v>
      </c>
      <c r="H116" s="151" t="s">
        <v>326</v>
      </c>
      <c r="I116" s="16" t="s">
        <v>408</v>
      </c>
      <c r="J116" s="330">
        <v>17.43</v>
      </c>
      <c r="K116" s="75">
        <v>8.2200000000000006</v>
      </c>
      <c r="L116" s="330"/>
      <c r="N116" s="325">
        <f t="shared" ref="N116" si="198">K116+J116+L116</f>
        <v>25.65</v>
      </c>
      <c r="T116" s="67">
        <v>6.32</v>
      </c>
      <c r="V116" s="97">
        <v>10.24</v>
      </c>
      <c r="W116" s="36">
        <v>178.5</v>
      </c>
      <c r="X116" s="67">
        <v>125</v>
      </c>
      <c r="Y116" s="15">
        <f t="shared" ref="Y116" si="199">W116-X116</f>
        <v>53.5</v>
      </c>
      <c r="Z116" s="64">
        <f t="shared" ref="Z116" si="200">Y116/X116</f>
        <v>0.42799999999999999</v>
      </c>
      <c r="AA116" s="102" t="s">
        <v>4030</v>
      </c>
      <c r="AB116" s="16" t="s">
        <v>408</v>
      </c>
      <c r="AC116" s="86">
        <v>44501</v>
      </c>
      <c r="AD116" s="88">
        <v>44511</v>
      </c>
      <c r="AE116" s="33">
        <f t="shared" ref="AE116" si="201">AD116-AC116</f>
        <v>10</v>
      </c>
      <c r="AF116" s="43" t="s">
        <v>2884</v>
      </c>
      <c r="AG116" s="128"/>
      <c r="AH116" s="254"/>
      <c r="AI116" s="317"/>
      <c r="AJ116" s="314"/>
    </row>
    <row r="117" spans="1:36">
      <c r="A117" s="148" t="s">
        <v>2029</v>
      </c>
      <c r="B117" s="95">
        <v>1022</v>
      </c>
      <c r="C117" s="95">
        <v>2604</v>
      </c>
      <c r="D117" s="82">
        <v>-9</v>
      </c>
      <c r="E117" s="81">
        <v>105</v>
      </c>
      <c r="F117" s="6">
        <v>6.48</v>
      </c>
      <c r="G117" s="81">
        <v>2069</v>
      </c>
      <c r="H117" s="5" t="s">
        <v>317</v>
      </c>
      <c r="I117" s="22" t="s">
        <v>906</v>
      </c>
      <c r="J117" s="330">
        <v>51.73</v>
      </c>
      <c r="K117" s="330">
        <v>1.03</v>
      </c>
      <c r="L117" s="75">
        <v>24.93</v>
      </c>
      <c r="N117" s="325">
        <f>K117+J117+L117</f>
        <v>77.69</v>
      </c>
      <c r="S117" s="330">
        <v>1.4</v>
      </c>
      <c r="T117" s="34">
        <v>0.55000000000000004</v>
      </c>
      <c r="V117" s="58">
        <v>3.86</v>
      </c>
      <c r="W117" s="36">
        <v>35</v>
      </c>
      <c r="X117" s="45">
        <v>28</v>
      </c>
      <c r="Y117" s="15">
        <f>W117-X117</f>
        <v>7</v>
      </c>
      <c r="Z117" s="64">
        <f>Y117/X117</f>
        <v>0.25</v>
      </c>
      <c r="AA117" s="102" t="s">
        <v>4322</v>
      </c>
      <c r="AB117" s="22" t="s">
        <v>906</v>
      </c>
      <c r="AC117" s="86">
        <v>44501</v>
      </c>
      <c r="AD117" s="88">
        <v>44511</v>
      </c>
      <c r="AE117" s="33">
        <f>AD117-AC117</f>
        <v>10</v>
      </c>
      <c r="AF117" s="43" t="s">
        <v>2373</v>
      </c>
      <c r="AG117" s="128"/>
      <c r="AH117" s="254"/>
      <c r="AI117" s="317"/>
      <c r="AJ117" s="314"/>
    </row>
    <row r="118" spans="1:36">
      <c r="A118" s="148" t="s">
        <v>4288</v>
      </c>
      <c r="B118" s="81">
        <v>138</v>
      </c>
      <c r="C118" s="81"/>
      <c r="D118" s="82">
        <v>-25</v>
      </c>
      <c r="E118" s="81">
        <v>33</v>
      </c>
      <c r="F118" s="6"/>
      <c r="G118" s="82">
        <v>2881</v>
      </c>
      <c r="H118" s="18" t="s">
        <v>322</v>
      </c>
      <c r="I118" s="22" t="s">
        <v>77</v>
      </c>
      <c r="J118" s="333">
        <v>82.46</v>
      </c>
      <c r="K118" s="75">
        <v>23.84</v>
      </c>
      <c r="L118" s="75">
        <v>0.71</v>
      </c>
      <c r="N118" s="325">
        <f>K118+J118+L118</f>
        <v>107.00999999999999</v>
      </c>
      <c r="S118" s="330">
        <v>11.1</v>
      </c>
      <c r="T118" s="6">
        <v>4</v>
      </c>
      <c r="V118" s="58">
        <v>13.75</v>
      </c>
      <c r="W118" s="36">
        <v>73.599999999999994</v>
      </c>
      <c r="X118" s="66">
        <v>58.9</v>
      </c>
      <c r="Y118" s="15">
        <f>W118-X118</f>
        <v>14.699999999999996</v>
      </c>
      <c r="Z118" s="64">
        <f>Y118/X118</f>
        <v>0.24957555178268245</v>
      </c>
      <c r="AA118" s="102" t="s">
        <v>4313</v>
      </c>
      <c r="AB118" s="22" t="s">
        <v>77</v>
      </c>
      <c r="AC118" s="86">
        <v>44498</v>
      </c>
      <c r="AD118" s="88">
        <v>44508</v>
      </c>
      <c r="AE118" s="33">
        <f>AD118-AC118</f>
        <v>10</v>
      </c>
      <c r="AF118" s="43" t="s">
        <v>3123</v>
      </c>
      <c r="AG118" s="269"/>
      <c r="AH118" s="254"/>
      <c r="AI118" s="317"/>
      <c r="AJ118" s="314"/>
    </row>
    <row r="119" spans="1:36">
      <c r="A119" s="148" t="s">
        <v>4296</v>
      </c>
      <c r="B119" s="81">
        <v>123</v>
      </c>
      <c r="C119" s="81">
        <v>84</v>
      </c>
      <c r="D119" s="81">
        <v>7</v>
      </c>
      <c r="E119" s="81">
        <v>46</v>
      </c>
      <c r="F119" s="6">
        <v>5.13</v>
      </c>
      <c r="G119" s="81">
        <v>6190</v>
      </c>
      <c r="H119" s="5" t="s">
        <v>331</v>
      </c>
      <c r="I119" s="16" t="s">
        <v>551</v>
      </c>
      <c r="J119" s="330">
        <v>44.07</v>
      </c>
      <c r="K119" s="330">
        <v>0.97</v>
      </c>
      <c r="L119" s="330">
        <v>13.62</v>
      </c>
      <c r="N119" s="325">
        <f t="shared" ref="N119:N121" si="202">K119+J119+L119</f>
        <v>58.66</v>
      </c>
      <c r="S119" s="330">
        <v>18.52</v>
      </c>
      <c r="T119" s="71">
        <v>1.01</v>
      </c>
      <c r="V119" s="97">
        <v>1.57</v>
      </c>
      <c r="W119" s="36">
        <v>27.4</v>
      </c>
      <c r="X119" s="67">
        <v>20.8</v>
      </c>
      <c r="Y119" s="15">
        <f t="shared" ref="Y119:Y121" si="203">W119-X119</f>
        <v>6.5999999999999979</v>
      </c>
      <c r="Z119" s="64">
        <f t="shared" ref="Z119:Z121" si="204">Y119/X119</f>
        <v>0.31730769230769218</v>
      </c>
      <c r="AA119" s="102" t="s">
        <v>4315</v>
      </c>
      <c r="AB119" s="16" t="s">
        <v>551</v>
      </c>
      <c r="AC119" s="86">
        <v>44496</v>
      </c>
      <c r="AD119" s="88">
        <v>44508</v>
      </c>
      <c r="AE119" s="33">
        <f t="shared" ref="AE119:AE121" si="205">AD119-AC119</f>
        <v>12</v>
      </c>
      <c r="AF119" s="43" t="s">
        <v>3476</v>
      </c>
      <c r="AG119" s="128"/>
      <c r="AH119" s="254"/>
      <c r="AI119" s="317"/>
      <c r="AJ119" s="314"/>
    </row>
    <row r="120" spans="1:36">
      <c r="A120" s="148" t="s">
        <v>1823</v>
      </c>
      <c r="B120" s="82">
        <v>-4</v>
      </c>
      <c r="C120" s="82">
        <v>-41</v>
      </c>
      <c r="D120" s="81">
        <v>6</v>
      </c>
      <c r="E120" s="82">
        <v>-12</v>
      </c>
      <c r="F120" s="6">
        <v>1.5</v>
      </c>
      <c r="G120" s="81">
        <v>2439</v>
      </c>
      <c r="H120" s="210" t="s">
        <v>331</v>
      </c>
      <c r="I120" s="22" t="s">
        <v>225</v>
      </c>
      <c r="J120" s="75">
        <v>26.6</v>
      </c>
      <c r="K120" s="330">
        <v>17.98</v>
      </c>
      <c r="L120" s="330">
        <v>12.73</v>
      </c>
      <c r="N120" s="325">
        <f t="shared" si="202"/>
        <v>57.31</v>
      </c>
      <c r="S120" s="330">
        <v>9.51</v>
      </c>
      <c r="T120" s="67">
        <v>5.07</v>
      </c>
      <c r="V120" s="97">
        <v>5.63</v>
      </c>
      <c r="W120" s="36">
        <v>92.5</v>
      </c>
      <c r="X120" s="67">
        <v>72</v>
      </c>
      <c r="Y120" s="15">
        <f t="shared" si="203"/>
        <v>20.5</v>
      </c>
      <c r="Z120" s="64">
        <f t="shared" si="204"/>
        <v>0.28472222222222221</v>
      </c>
      <c r="AA120" s="102" t="s">
        <v>4316</v>
      </c>
      <c r="AB120" s="22" t="s">
        <v>225</v>
      </c>
      <c r="AC120" s="86">
        <v>44496</v>
      </c>
      <c r="AD120" s="88">
        <v>44508</v>
      </c>
      <c r="AE120" s="33">
        <f t="shared" si="205"/>
        <v>12</v>
      </c>
      <c r="AF120" s="122" t="s">
        <v>2895</v>
      </c>
      <c r="AG120" s="128"/>
      <c r="AH120" s="254"/>
      <c r="AI120" s="317"/>
      <c r="AJ120" s="314"/>
    </row>
    <row r="121" spans="1:36">
      <c r="A121" s="132" t="s">
        <v>4297</v>
      </c>
      <c r="B121" s="81">
        <v>757</v>
      </c>
      <c r="C121" s="95">
        <v>4247</v>
      </c>
      <c r="D121" s="81">
        <v>1</v>
      </c>
      <c r="E121" s="81">
        <v>67</v>
      </c>
      <c r="F121" s="58">
        <v>16.760000000000002</v>
      </c>
      <c r="G121" s="81">
        <v>2027</v>
      </c>
      <c r="H121" s="5" t="s">
        <v>317</v>
      </c>
      <c r="I121" s="22" t="s">
        <v>296</v>
      </c>
      <c r="J121" s="330">
        <v>55.95</v>
      </c>
      <c r="K121" s="75">
        <v>16.989999999999998</v>
      </c>
      <c r="L121" s="75">
        <v>13.63</v>
      </c>
      <c r="N121" s="325">
        <f t="shared" si="202"/>
        <v>86.57</v>
      </c>
      <c r="S121" s="330">
        <v>7.51</v>
      </c>
      <c r="T121" s="34">
        <v>0.8</v>
      </c>
      <c r="V121" s="58">
        <v>2.85</v>
      </c>
      <c r="W121" s="36">
        <v>46.35</v>
      </c>
      <c r="X121" s="67">
        <v>43</v>
      </c>
      <c r="Y121" s="15">
        <f t="shared" si="203"/>
        <v>3.3500000000000014</v>
      </c>
      <c r="Z121" s="64">
        <f t="shared" si="204"/>
        <v>7.7906976744186077E-2</v>
      </c>
      <c r="AA121" s="102" t="s">
        <v>3516</v>
      </c>
      <c r="AB121" s="22" t="s">
        <v>296</v>
      </c>
      <c r="AC121" s="86">
        <v>44496</v>
      </c>
      <c r="AD121" s="88">
        <v>44508</v>
      </c>
      <c r="AE121" s="33">
        <f t="shared" si="205"/>
        <v>12</v>
      </c>
      <c r="AF121" s="122" t="s">
        <v>4010</v>
      </c>
      <c r="AG121" s="128"/>
      <c r="AH121" s="254"/>
      <c r="AI121" s="317"/>
      <c r="AJ121" s="314"/>
    </row>
    <row r="122" spans="1:36">
      <c r="A122" s="132" t="s">
        <v>2015</v>
      </c>
      <c r="B122" s="81">
        <v>164</v>
      </c>
      <c r="C122" s="81">
        <v>183</v>
      </c>
      <c r="D122" s="81">
        <v>77</v>
      </c>
      <c r="E122" s="81">
        <v>12</v>
      </c>
      <c r="F122" s="58">
        <v>35.46</v>
      </c>
      <c r="G122" s="81">
        <v>5222</v>
      </c>
      <c r="H122" s="8" t="s">
        <v>326</v>
      </c>
      <c r="I122" s="22" t="s">
        <v>4294</v>
      </c>
      <c r="J122" s="330">
        <v>20.87</v>
      </c>
      <c r="K122" s="75">
        <v>4.0599999999999996</v>
      </c>
      <c r="L122" s="330"/>
      <c r="N122" s="325">
        <f>K122+J122+L122</f>
        <v>24.93</v>
      </c>
      <c r="T122" s="67">
        <v>6.2</v>
      </c>
      <c r="V122" s="97" t="s">
        <v>4300</v>
      </c>
      <c r="W122" s="36">
        <v>201</v>
      </c>
      <c r="X122" s="67">
        <v>104.49</v>
      </c>
      <c r="Y122" s="15">
        <f>W122-X122</f>
        <v>96.51</v>
      </c>
      <c r="Z122" s="64">
        <f>Y122/X122</f>
        <v>0.92362905541200124</v>
      </c>
      <c r="AA122" s="102" t="s">
        <v>4317</v>
      </c>
      <c r="AB122" s="22" t="s">
        <v>4294</v>
      </c>
      <c r="AC122" s="86">
        <v>44494</v>
      </c>
      <c r="AD122" s="88">
        <v>44504</v>
      </c>
      <c r="AE122" s="33">
        <f>AD122-AC122</f>
        <v>10</v>
      </c>
      <c r="AF122" s="43" t="s">
        <v>4298</v>
      </c>
      <c r="AG122" s="128"/>
      <c r="AH122" s="254"/>
      <c r="AI122" s="317"/>
      <c r="AJ122" s="314"/>
    </row>
    <row r="123" spans="1:36">
      <c r="A123" s="132" t="s">
        <v>2012</v>
      </c>
      <c r="B123" s="81">
        <v>360</v>
      </c>
      <c r="C123" s="81">
        <v>233</v>
      </c>
      <c r="D123" s="82">
        <v>-3</v>
      </c>
      <c r="E123" s="81">
        <v>45</v>
      </c>
      <c r="F123" s="58">
        <v>20.99</v>
      </c>
      <c r="G123" s="82">
        <v>4440</v>
      </c>
      <c r="H123" s="5" t="s">
        <v>312</v>
      </c>
      <c r="I123" s="22" t="s">
        <v>4295</v>
      </c>
      <c r="J123" s="330">
        <v>34.32</v>
      </c>
      <c r="K123" s="75">
        <v>0.09</v>
      </c>
      <c r="L123" s="330"/>
      <c r="N123" s="325">
        <f>K123+J123+L123</f>
        <v>34.410000000000004</v>
      </c>
      <c r="T123" s="67">
        <v>4.4000000000000004</v>
      </c>
      <c r="V123" s="97" t="s">
        <v>4300</v>
      </c>
      <c r="W123" s="36">
        <v>45</v>
      </c>
      <c r="X123" s="67">
        <v>38</v>
      </c>
      <c r="Y123" s="15">
        <f>W123-X123</f>
        <v>7</v>
      </c>
      <c r="Z123" s="64">
        <f>Y123/X123</f>
        <v>0.18421052631578946</v>
      </c>
      <c r="AA123" s="102" t="s">
        <v>4318</v>
      </c>
      <c r="AB123" s="22" t="s">
        <v>4295</v>
      </c>
      <c r="AC123" s="86">
        <v>44494</v>
      </c>
      <c r="AD123" s="88">
        <v>44504</v>
      </c>
      <c r="AE123" s="33">
        <f>AD123-AC123</f>
        <v>10</v>
      </c>
      <c r="AF123" s="43" t="s">
        <v>4299</v>
      </c>
      <c r="AG123" s="128"/>
      <c r="AH123" s="254"/>
      <c r="AI123" s="317"/>
      <c r="AJ123" s="314"/>
    </row>
    <row r="124" spans="1:36">
      <c r="A124" s="148" t="s">
        <v>2344</v>
      </c>
      <c r="B124" s="81">
        <v>59</v>
      </c>
      <c r="C124" s="81">
        <v>31</v>
      </c>
      <c r="D124" s="81">
        <v>2</v>
      </c>
      <c r="E124" s="82">
        <v>-82</v>
      </c>
      <c r="F124" s="6">
        <v>-31.91</v>
      </c>
      <c r="G124" s="81">
        <v>2734</v>
      </c>
      <c r="H124" s="5" t="s">
        <v>321</v>
      </c>
      <c r="I124" s="16" t="s">
        <v>1021</v>
      </c>
      <c r="J124" s="330">
        <v>41.05</v>
      </c>
      <c r="K124" s="330">
        <v>9.2799999999999994</v>
      </c>
      <c r="L124" s="330"/>
      <c r="N124" s="325">
        <f t="shared" ref="N124" si="206">K124+J124+L124</f>
        <v>50.33</v>
      </c>
      <c r="T124" s="34">
        <v>0</v>
      </c>
      <c r="V124" s="58">
        <v>-1.44</v>
      </c>
      <c r="W124" s="36">
        <v>22.1</v>
      </c>
      <c r="X124" s="67">
        <v>15</v>
      </c>
      <c r="Y124" s="15">
        <f t="shared" ref="Y124" si="207">W124-X124</f>
        <v>7.1000000000000014</v>
      </c>
      <c r="Z124" s="64">
        <f t="shared" ref="Z124" si="208">Y124/X124</f>
        <v>0.47333333333333344</v>
      </c>
      <c r="AA124" s="102" t="s">
        <v>4314</v>
      </c>
      <c r="AB124" s="16" t="s">
        <v>1021</v>
      </c>
      <c r="AC124" s="86">
        <v>44494</v>
      </c>
      <c r="AD124" s="88">
        <v>44504</v>
      </c>
      <c r="AE124" s="33">
        <f t="shared" ref="AE124" si="209">AD124-AC124</f>
        <v>10</v>
      </c>
      <c r="AF124" s="43" t="s">
        <v>3200</v>
      </c>
      <c r="AG124" s="128"/>
      <c r="AH124" s="254"/>
      <c r="AI124" s="317"/>
      <c r="AJ124" s="314"/>
    </row>
    <row r="125" spans="1:36">
      <c r="A125" s="148" t="s">
        <v>4277</v>
      </c>
      <c r="B125" s="81">
        <v>1</v>
      </c>
      <c r="C125" s="81">
        <v>2</v>
      </c>
      <c r="D125" s="82">
        <v>-9</v>
      </c>
      <c r="E125" s="82">
        <v>-1</v>
      </c>
      <c r="F125" s="6">
        <v>3.96</v>
      </c>
      <c r="G125" s="82">
        <v>3206</v>
      </c>
      <c r="H125" s="5" t="s">
        <v>327</v>
      </c>
      <c r="I125" s="16" t="s">
        <v>152</v>
      </c>
      <c r="J125" s="330">
        <v>34.19</v>
      </c>
      <c r="K125" s="75">
        <v>0.54</v>
      </c>
      <c r="L125" s="75">
        <v>7.4</v>
      </c>
      <c r="N125" s="325">
        <f t="shared" ref="N125" si="210">K125+J125+L125</f>
        <v>42.129999999999995</v>
      </c>
      <c r="S125" s="330">
        <v>0</v>
      </c>
      <c r="T125" s="34">
        <v>2</v>
      </c>
      <c r="V125" s="97">
        <v>2.92</v>
      </c>
      <c r="W125" s="36">
        <v>28.9</v>
      </c>
      <c r="X125" s="67">
        <v>21.5</v>
      </c>
      <c r="Y125" s="15">
        <f t="shared" ref="Y125" si="211">W125-X125</f>
        <v>7.3999999999999986</v>
      </c>
      <c r="Z125" s="64">
        <f t="shared" ref="Z125" si="212">Y125/X125</f>
        <v>0.34418604651162782</v>
      </c>
      <c r="AA125" s="102" t="s">
        <v>4310</v>
      </c>
      <c r="AB125" s="16" t="s">
        <v>152</v>
      </c>
      <c r="AC125" s="86">
        <v>44490</v>
      </c>
      <c r="AD125" s="88">
        <v>44501</v>
      </c>
      <c r="AE125" s="33">
        <f t="shared" ref="AE125" si="213">AD125-AC125</f>
        <v>11</v>
      </c>
      <c r="AF125" s="122" t="s">
        <v>2895</v>
      </c>
      <c r="AG125" s="128"/>
      <c r="AH125" s="254"/>
      <c r="AI125" s="317"/>
      <c r="AJ125" s="314"/>
    </row>
    <row r="126" spans="1:36">
      <c r="A126" s="148" t="s">
        <v>4268</v>
      </c>
      <c r="B126" s="81">
        <v>300</v>
      </c>
      <c r="C126" s="81">
        <v>229</v>
      </c>
      <c r="D126" s="81">
        <v>35</v>
      </c>
      <c r="E126" s="81">
        <v>10</v>
      </c>
      <c r="F126" s="6">
        <v>4.12</v>
      </c>
      <c r="G126" s="81">
        <v>8444</v>
      </c>
      <c r="H126" s="8" t="s">
        <v>249</v>
      </c>
      <c r="I126" s="16" t="s">
        <v>237</v>
      </c>
      <c r="J126" s="330">
        <v>76.13</v>
      </c>
      <c r="K126" s="330">
        <v>65.7</v>
      </c>
      <c r="L126" s="330">
        <v>9.34</v>
      </c>
      <c r="N126" s="325">
        <f t="shared" ref="N126" si="214">K126+J126+L126</f>
        <v>151.16999999999999</v>
      </c>
      <c r="S126" s="330">
        <v>0.05</v>
      </c>
      <c r="T126" s="34">
        <v>0</v>
      </c>
      <c r="V126" s="58">
        <v>1.71</v>
      </c>
      <c r="W126" s="13">
        <v>105</v>
      </c>
      <c r="X126" s="67">
        <v>78</v>
      </c>
      <c r="Y126" s="15">
        <f t="shared" ref="Y126" si="215">W126-X126</f>
        <v>27</v>
      </c>
      <c r="Z126" s="64">
        <f t="shared" ref="Z126" si="216">Y126/X126</f>
        <v>0.34615384615384615</v>
      </c>
      <c r="AA126" s="102" t="s">
        <v>4308</v>
      </c>
      <c r="AB126" s="16" t="s">
        <v>237</v>
      </c>
      <c r="AC126" s="86">
        <v>44489</v>
      </c>
      <c r="AD126" s="88">
        <v>44501</v>
      </c>
      <c r="AE126" s="33">
        <f t="shared" ref="AE126" si="217">AD126-AC126</f>
        <v>12</v>
      </c>
      <c r="AF126" s="122" t="s">
        <v>3001</v>
      </c>
      <c r="AG126" s="128"/>
      <c r="AH126" s="254"/>
      <c r="AI126" s="317"/>
      <c r="AJ126" s="314"/>
    </row>
    <row r="127" spans="1:36">
      <c r="A127" s="132" t="s">
        <v>2350</v>
      </c>
      <c r="B127" s="81">
        <v>87</v>
      </c>
      <c r="C127" s="81">
        <v>73</v>
      </c>
      <c r="D127" s="82">
        <v>-3</v>
      </c>
      <c r="E127" s="81">
        <v>20</v>
      </c>
      <c r="F127" s="58">
        <v>33.82</v>
      </c>
      <c r="G127" s="82">
        <v>1590</v>
      </c>
      <c r="H127" s="207" t="s">
        <v>313</v>
      </c>
      <c r="I127" s="22" t="s">
        <v>139</v>
      </c>
      <c r="J127" s="75">
        <v>58.04</v>
      </c>
      <c r="K127" s="75">
        <v>81.849999999999994</v>
      </c>
      <c r="L127" s="330">
        <v>1.06</v>
      </c>
      <c r="N127" s="325">
        <f>K127+J127+L127</f>
        <v>140.94999999999999</v>
      </c>
      <c r="S127" s="330">
        <v>5.46</v>
      </c>
      <c r="T127" s="67">
        <v>9.06</v>
      </c>
      <c r="V127" s="58">
        <v>33.64</v>
      </c>
      <c r="W127" s="157">
        <v>855</v>
      </c>
      <c r="X127" s="67">
        <v>718</v>
      </c>
      <c r="Y127" s="143">
        <f>W127-X127</f>
        <v>137</v>
      </c>
      <c r="Z127" s="64">
        <f>Y127/X127</f>
        <v>0.19080779944289694</v>
      </c>
      <c r="AA127" s="102" t="s">
        <v>4309</v>
      </c>
      <c r="AB127" s="22" t="s">
        <v>139</v>
      </c>
      <c r="AC127" s="86">
        <v>44489</v>
      </c>
      <c r="AD127" s="88">
        <v>44501</v>
      </c>
      <c r="AE127" s="33">
        <f>AD127-AC127</f>
        <v>12</v>
      </c>
      <c r="AF127" s="122" t="s">
        <v>3058</v>
      </c>
      <c r="AG127" s="269"/>
      <c r="AH127" s="254"/>
      <c r="AI127" s="317"/>
      <c r="AJ127" s="314"/>
    </row>
    <row r="128" spans="1:36">
      <c r="A128" s="148" t="s">
        <v>4319</v>
      </c>
      <c r="B128" s="82">
        <v>-12</v>
      </c>
      <c r="C128" s="82">
        <v>-24</v>
      </c>
      <c r="D128" s="81">
        <v>27</v>
      </c>
      <c r="E128" s="81">
        <v>28</v>
      </c>
      <c r="F128" s="6">
        <v>4.7</v>
      </c>
      <c r="G128" s="82">
        <v>3483</v>
      </c>
      <c r="H128" s="197" t="s">
        <v>1212</v>
      </c>
      <c r="I128" s="16" t="s">
        <v>504</v>
      </c>
      <c r="J128" s="330">
        <v>12.06</v>
      </c>
      <c r="K128" s="330">
        <v>1.9</v>
      </c>
      <c r="L128" s="330">
        <v>62.32</v>
      </c>
      <c r="N128" s="325">
        <f>K128+J128+L128</f>
        <v>76.28</v>
      </c>
      <c r="S128" s="330">
        <v>1.1499999999999999</v>
      </c>
      <c r="T128" s="34">
        <v>2.5</v>
      </c>
      <c r="V128" s="97">
        <v>3.96</v>
      </c>
      <c r="W128" s="36">
        <v>71.7</v>
      </c>
      <c r="X128" s="45">
        <v>54</v>
      </c>
      <c r="Y128" s="15">
        <f>W128-X128</f>
        <v>17.700000000000003</v>
      </c>
      <c r="Z128" s="64">
        <f>Y128/X128</f>
        <v>0.32777777777777783</v>
      </c>
      <c r="AA128" s="102" t="s">
        <v>4305</v>
      </c>
      <c r="AB128" s="16" t="s">
        <v>504</v>
      </c>
      <c r="AC128" s="86">
        <v>44488</v>
      </c>
      <c r="AD128" s="88">
        <v>44498</v>
      </c>
      <c r="AE128" s="33">
        <f>AD128-AC128</f>
        <v>10</v>
      </c>
      <c r="AF128" s="43" t="s">
        <v>3460</v>
      </c>
      <c r="AG128" s="128"/>
      <c r="AH128" s="254"/>
      <c r="AI128" s="317"/>
      <c r="AJ128" s="314"/>
    </row>
    <row r="129" spans="1:36">
      <c r="A129" s="132" t="s">
        <v>4269</v>
      </c>
      <c r="B129" s="81">
        <v>111</v>
      </c>
      <c r="C129" s="81">
        <v>79</v>
      </c>
      <c r="D129" s="81">
        <v>2</v>
      </c>
      <c r="E129" s="81">
        <v>46</v>
      </c>
      <c r="F129" s="58">
        <v>16.37</v>
      </c>
      <c r="G129" s="82">
        <v>6182</v>
      </c>
      <c r="H129" s="258" t="s">
        <v>326</v>
      </c>
      <c r="I129" s="16" t="s">
        <v>178</v>
      </c>
      <c r="J129" s="330">
        <v>33.21</v>
      </c>
      <c r="K129" s="75">
        <v>24.53</v>
      </c>
      <c r="L129" s="330">
        <v>25.44</v>
      </c>
      <c r="N129" s="325">
        <f>K129+J129+L129</f>
        <v>83.18</v>
      </c>
      <c r="S129" s="330">
        <v>6.2</v>
      </c>
      <c r="T129" s="34">
        <v>1.1000000000000001</v>
      </c>
      <c r="V129" s="97">
        <v>1.26</v>
      </c>
      <c r="W129" s="36">
        <v>61.6</v>
      </c>
      <c r="X129" s="45">
        <v>52</v>
      </c>
      <c r="Y129" s="15">
        <f>W129-X129</f>
        <v>9.6000000000000014</v>
      </c>
      <c r="Z129" s="64">
        <f>Y129/X129</f>
        <v>0.18461538461538465</v>
      </c>
      <c r="AA129" s="102" t="s">
        <v>4303</v>
      </c>
      <c r="AB129" s="16" t="s">
        <v>178</v>
      </c>
      <c r="AC129" s="86">
        <v>44487</v>
      </c>
      <c r="AD129" s="88">
        <v>44497</v>
      </c>
      <c r="AE129" s="33">
        <f>AD129-AC129</f>
        <v>10</v>
      </c>
      <c r="AF129" s="122" t="s">
        <v>2645</v>
      </c>
      <c r="AG129" s="269"/>
      <c r="AH129" s="254"/>
      <c r="AI129" s="317"/>
      <c r="AJ129" s="314"/>
    </row>
    <row r="130" spans="1:36">
      <c r="A130" s="148" t="s">
        <v>2792</v>
      </c>
      <c r="B130" s="82">
        <v>-675</v>
      </c>
      <c r="C130" s="82">
        <v>-449</v>
      </c>
      <c r="D130" s="82">
        <v>-37</v>
      </c>
      <c r="E130" s="82">
        <v>-59</v>
      </c>
      <c r="F130" s="6">
        <v>-29.73</v>
      </c>
      <c r="G130" s="81">
        <v>4934</v>
      </c>
      <c r="H130" s="8" t="s">
        <v>325</v>
      </c>
      <c r="I130" s="22" t="s">
        <v>477</v>
      </c>
      <c r="J130" s="330">
        <v>28.95</v>
      </c>
      <c r="K130" s="75">
        <v>1.2</v>
      </c>
      <c r="N130" s="325">
        <f t="shared" ref="N130" si="218">K130+J130+L130</f>
        <v>30.15</v>
      </c>
      <c r="T130" s="34">
        <v>0</v>
      </c>
      <c r="V130" s="97">
        <v>-1.59</v>
      </c>
      <c r="W130" s="36">
        <v>35.25</v>
      </c>
      <c r="X130" s="67">
        <v>29.1</v>
      </c>
      <c r="Y130" s="15">
        <f t="shared" ref="Y130" si="219">W130-X130</f>
        <v>6.1499999999999986</v>
      </c>
      <c r="Z130" s="64">
        <f t="shared" ref="Z130" si="220">Y130/X130</f>
        <v>0.21134020618556695</v>
      </c>
      <c r="AA130" s="102" t="s">
        <v>4293</v>
      </c>
      <c r="AB130" s="22" t="s">
        <v>477</v>
      </c>
      <c r="AC130" s="86">
        <v>44481</v>
      </c>
      <c r="AD130" s="88">
        <v>44491</v>
      </c>
      <c r="AE130" s="33">
        <f t="shared" ref="AE130" si="221">AD130-AC130</f>
        <v>10</v>
      </c>
      <c r="AF130" s="43" t="s">
        <v>2417</v>
      </c>
      <c r="AG130" s="128"/>
      <c r="AH130" s="254"/>
      <c r="AI130" s="317"/>
      <c r="AJ130" s="314"/>
    </row>
    <row r="131" spans="1:36">
      <c r="A131" s="132" t="s">
        <v>3542</v>
      </c>
      <c r="B131" s="82">
        <v>-2</v>
      </c>
      <c r="C131" s="82">
        <v>-1</v>
      </c>
      <c r="D131" s="81">
        <v>58</v>
      </c>
      <c r="E131" s="81">
        <v>8</v>
      </c>
      <c r="F131" s="58">
        <v>10.69</v>
      </c>
      <c r="G131" s="82">
        <v>6641</v>
      </c>
      <c r="H131" s="5" t="s">
        <v>249</v>
      </c>
      <c r="I131" s="22" t="s">
        <v>1155</v>
      </c>
      <c r="J131" s="330">
        <v>62.05</v>
      </c>
      <c r="K131" s="75">
        <v>30.81</v>
      </c>
      <c r="L131" s="330">
        <v>2.13</v>
      </c>
      <c r="N131" s="325">
        <f t="shared" ref="N131:N133" si="222">K131+J131+L131</f>
        <v>94.99</v>
      </c>
      <c r="S131" s="330">
        <v>0</v>
      </c>
      <c r="T131" s="67">
        <v>4.5</v>
      </c>
      <c r="V131" s="97">
        <v>6.49</v>
      </c>
      <c r="W131" s="36">
        <v>56</v>
      </c>
      <c r="X131" s="67">
        <v>50</v>
      </c>
      <c r="Y131" s="15">
        <f t="shared" ref="Y131:Y133" si="223">W131-X131</f>
        <v>6</v>
      </c>
      <c r="Z131" s="64">
        <f t="shared" ref="Z131:Z133" si="224">Y131/X131</f>
        <v>0.12</v>
      </c>
      <c r="AA131" s="102" t="s">
        <v>1920</v>
      </c>
      <c r="AB131" s="22" t="s">
        <v>1155</v>
      </c>
      <c r="AC131" s="86">
        <v>44477</v>
      </c>
      <c r="AD131" s="88">
        <v>44487</v>
      </c>
      <c r="AE131" s="33">
        <f t="shared" ref="AE131:AE133" si="225">AD131-AC131</f>
        <v>10</v>
      </c>
      <c r="AF131" s="43" t="s">
        <v>3349</v>
      </c>
      <c r="AG131" s="128"/>
      <c r="AH131" s="254"/>
      <c r="AI131" s="317"/>
      <c r="AJ131" s="314"/>
    </row>
    <row r="132" spans="1:36">
      <c r="A132" s="148" t="s">
        <v>1733</v>
      </c>
      <c r="B132" s="81">
        <v>31</v>
      </c>
      <c r="C132" s="81">
        <v>362</v>
      </c>
      <c r="D132" s="82">
        <v>-10</v>
      </c>
      <c r="E132" s="81">
        <v>5</v>
      </c>
      <c r="F132" s="6">
        <v>4.3099999999999996</v>
      </c>
      <c r="G132" s="82">
        <v>5498</v>
      </c>
      <c r="H132" s="5" t="s">
        <v>327</v>
      </c>
      <c r="I132" s="16" t="s">
        <v>453</v>
      </c>
      <c r="J132" s="330">
        <v>42.57</v>
      </c>
      <c r="K132" s="330">
        <v>0.95</v>
      </c>
      <c r="L132" s="75">
        <v>12.91</v>
      </c>
      <c r="N132" s="325">
        <f t="shared" si="222"/>
        <v>56.430000000000007</v>
      </c>
      <c r="S132" s="330">
        <v>0.37</v>
      </c>
      <c r="T132" s="34">
        <v>0.6</v>
      </c>
      <c r="V132" s="97">
        <v>0.53</v>
      </c>
      <c r="W132" s="36">
        <v>14</v>
      </c>
      <c r="X132" s="67">
        <v>14.6</v>
      </c>
      <c r="Y132" s="15">
        <f t="shared" si="223"/>
        <v>-0.59999999999999964</v>
      </c>
      <c r="Z132" s="78">
        <f t="shared" si="224"/>
        <v>-4.1095890410958881E-2</v>
      </c>
      <c r="AA132" s="102" t="s">
        <v>1979</v>
      </c>
      <c r="AB132" s="16" t="s">
        <v>453</v>
      </c>
      <c r="AC132" s="86">
        <v>44477</v>
      </c>
      <c r="AD132" s="88">
        <v>44487</v>
      </c>
      <c r="AE132" s="33">
        <f t="shared" si="225"/>
        <v>10</v>
      </c>
      <c r="AF132" s="43" t="s">
        <v>454</v>
      </c>
      <c r="AG132" s="128"/>
      <c r="AH132" s="254"/>
      <c r="AI132" s="317"/>
      <c r="AJ132" s="314"/>
    </row>
    <row r="133" spans="1:36">
      <c r="A133" s="148" t="s">
        <v>3563</v>
      </c>
      <c r="B133" s="81">
        <v>7</v>
      </c>
      <c r="C133" s="81">
        <v>2</v>
      </c>
      <c r="D133" s="82">
        <v>-3</v>
      </c>
      <c r="E133" s="81">
        <v>12</v>
      </c>
      <c r="F133" s="6">
        <v>9.5</v>
      </c>
      <c r="G133" s="82">
        <v>2947</v>
      </c>
      <c r="H133" s="8" t="s">
        <v>330</v>
      </c>
      <c r="I133" s="16" t="s">
        <v>4246</v>
      </c>
      <c r="J133" s="330">
        <v>56.57</v>
      </c>
      <c r="K133" s="330">
        <v>0.3</v>
      </c>
      <c r="L133" s="330"/>
      <c r="N133" s="325">
        <f t="shared" si="222"/>
        <v>56.87</v>
      </c>
      <c r="T133" s="67">
        <v>3.6</v>
      </c>
      <c r="V133" s="58" t="s">
        <v>4029</v>
      </c>
      <c r="W133" s="36">
        <v>105</v>
      </c>
      <c r="X133" s="67">
        <v>80</v>
      </c>
      <c r="Y133" s="15">
        <f t="shared" si="223"/>
        <v>25</v>
      </c>
      <c r="Z133" s="64">
        <f t="shared" si="224"/>
        <v>0.3125</v>
      </c>
      <c r="AA133" s="102" t="s">
        <v>4287</v>
      </c>
      <c r="AB133" s="16" t="s">
        <v>4246</v>
      </c>
      <c r="AC133" s="86">
        <v>44475</v>
      </c>
      <c r="AD133" s="88">
        <v>44487</v>
      </c>
      <c r="AE133" s="33">
        <f t="shared" si="225"/>
        <v>12</v>
      </c>
      <c r="AF133" s="43" t="s">
        <v>4247</v>
      </c>
      <c r="AG133" s="128"/>
      <c r="AH133" s="254"/>
      <c r="AI133" s="317"/>
      <c r="AJ133" s="314"/>
    </row>
    <row r="134" spans="1:36">
      <c r="A134" s="132" t="s">
        <v>2297</v>
      </c>
      <c r="B134" s="82">
        <v>-9</v>
      </c>
      <c r="C134" s="82">
        <v>-1</v>
      </c>
      <c r="D134" s="81">
        <v>10</v>
      </c>
      <c r="E134" s="81">
        <v>25</v>
      </c>
      <c r="F134" s="58">
        <v>12.27</v>
      </c>
      <c r="G134" s="82">
        <v>6417</v>
      </c>
      <c r="H134" s="5" t="s">
        <v>331</v>
      </c>
      <c r="I134" s="16" t="s">
        <v>553</v>
      </c>
      <c r="J134" s="330">
        <v>60.58</v>
      </c>
      <c r="K134" s="330">
        <v>11.57</v>
      </c>
      <c r="L134" s="75">
        <v>30.12</v>
      </c>
      <c r="N134" s="325">
        <f t="shared" ref="N134" si="226">K134+J134+L134</f>
        <v>102.27000000000001</v>
      </c>
      <c r="S134" s="330">
        <v>0</v>
      </c>
      <c r="T134" s="34">
        <v>1.3</v>
      </c>
      <c r="V134" s="58">
        <v>2.5499999999999998</v>
      </c>
      <c r="W134" s="36">
        <v>60</v>
      </c>
      <c r="X134" s="45">
        <v>60</v>
      </c>
      <c r="Y134" s="15">
        <f t="shared" ref="Y134" si="227">W134-X134</f>
        <v>0</v>
      </c>
      <c r="Z134" s="64">
        <f t="shared" ref="Z134" si="228">Y134/X134</f>
        <v>0</v>
      </c>
      <c r="AA134" s="102" t="s">
        <v>4278</v>
      </c>
      <c r="AB134" s="16" t="s">
        <v>553</v>
      </c>
      <c r="AC134" s="86">
        <v>44474</v>
      </c>
      <c r="AD134" s="88">
        <v>44484</v>
      </c>
      <c r="AE134" s="33">
        <f t="shared" ref="AE134" si="229">AD134-AC134</f>
        <v>10</v>
      </c>
      <c r="AF134" s="43" t="s">
        <v>3148</v>
      </c>
      <c r="AG134" s="128"/>
      <c r="AH134" s="269"/>
      <c r="AI134" s="201"/>
      <c r="AJ134" s="314"/>
    </row>
    <row r="135" spans="1:36">
      <c r="A135" s="148" t="s">
        <v>1835</v>
      </c>
      <c r="B135" s="82">
        <v>-20</v>
      </c>
      <c r="C135" s="82">
        <v>-24</v>
      </c>
      <c r="D135" s="81">
        <v>10</v>
      </c>
      <c r="E135" s="81">
        <v>3</v>
      </c>
      <c r="F135" s="6">
        <v>-9.25</v>
      </c>
      <c r="G135" s="82">
        <v>6209</v>
      </c>
      <c r="H135" s="258" t="s">
        <v>325</v>
      </c>
      <c r="I135" s="22" t="s">
        <v>186</v>
      </c>
      <c r="J135" s="75">
        <v>30.67</v>
      </c>
      <c r="K135" s="75">
        <v>1.1399999999999999</v>
      </c>
      <c r="L135" s="330">
        <v>15.5</v>
      </c>
      <c r="N135" s="325">
        <f t="shared" ref="N135" si="230">K135+J135+L135</f>
        <v>47.31</v>
      </c>
      <c r="S135" s="330">
        <v>2.16</v>
      </c>
      <c r="T135" s="34">
        <v>0</v>
      </c>
      <c r="V135" s="97">
        <v>-1.44</v>
      </c>
      <c r="W135" s="36">
        <v>27.75</v>
      </c>
      <c r="X135" s="67">
        <v>24</v>
      </c>
      <c r="Y135" s="15">
        <f t="shared" ref="Y135" si="231">W135-X135</f>
        <v>3.75</v>
      </c>
      <c r="Z135" s="64">
        <f t="shared" ref="Z135" si="232">Y135/X135</f>
        <v>0.15625</v>
      </c>
      <c r="AA135" s="102" t="s">
        <v>4279</v>
      </c>
      <c r="AB135" s="22" t="s">
        <v>186</v>
      </c>
      <c r="AC135" s="86">
        <v>44474</v>
      </c>
      <c r="AD135" s="88">
        <v>44484</v>
      </c>
      <c r="AE135" s="33">
        <f t="shared" ref="AE135" si="233">AD135-AC135</f>
        <v>10</v>
      </c>
      <c r="AF135" s="124" t="s">
        <v>2443</v>
      </c>
      <c r="AG135" s="297"/>
      <c r="AH135" s="11"/>
      <c r="AI135" s="320"/>
      <c r="AJ135" s="24"/>
    </row>
    <row r="136" spans="1:36">
      <c r="A136" s="148" t="s">
        <v>3725</v>
      </c>
      <c r="B136" s="81">
        <v>32</v>
      </c>
      <c r="C136" s="81">
        <v>26</v>
      </c>
      <c r="D136" s="82">
        <v>-100</v>
      </c>
      <c r="E136" s="81"/>
      <c r="F136" s="236"/>
      <c r="G136" s="82">
        <v>6541</v>
      </c>
      <c r="H136" s="5" t="s">
        <v>328</v>
      </c>
      <c r="I136" s="22" t="s">
        <v>683</v>
      </c>
      <c r="J136" s="330">
        <v>67.81</v>
      </c>
      <c r="K136" s="330">
        <v>32.590000000000003</v>
      </c>
      <c r="L136" s="330">
        <v>0</v>
      </c>
      <c r="N136" s="325">
        <f>K136+J136+L136</f>
        <v>100.4</v>
      </c>
      <c r="S136" s="330">
        <v>0</v>
      </c>
      <c r="T136" s="34">
        <v>0</v>
      </c>
      <c r="V136" s="58">
        <v>-5.95</v>
      </c>
      <c r="W136" s="36">
        <v>42.15</v>
      </c>
      <c r="X136" s="67">
        <v>42</v>
      </c>
      <c r="Y136" s="15">
        <f>W136-X136</f>
        <v>0.14999999999999858</v>
      </c>
      <c r="Z136" s="64">
        <f>Y136/X136</f>
        <v>3.5714285714285375E-3</v>
      </c>
      <c r="AA136" s="102" t="s">
        <v>4273</v>
      </c>
      <c r="AB136" s="22" t="s">
        <v>683</v>
      </c>
      <c r="AC136" s="86">
        <v>44473</v>
      </c>
      <c r="AD136" s="88">
        <v>44483</v>
      </c>
      <c r="AE136" s="33">
        <f>AD136-AC136</f>
        <v>10</v>
      </c>
      <c r="AF136" s="43" t="s">
        <v>2587</v>
      </c>
      <c r="AG136" s="128"/>
      <c r="AH136" s="269"/>
      <c r="AI136" s="201"/>
      <c r="AJ136" s="314"/>
    </row>
    <row r="137" spans="1:36">
      <c r="A137" s="148" t="s">
        <v>3545</v>
      </c>
      <c r="B137" s="81">
        <v>294</v>
      </c>
      <c r="C137" s="81">
        <v>351</v>
      </c>
      <c r="D137" s="82">
        <v>-28</v>
      </c>
      <c r="E137" s="81">
        <v>23</v>
      </c>
      <c r="F137" s="6">
        <v>7.57</v>
      </c>
      <c r="G137" s="82">
        <v>3162</v>
      </c>
      <c r="H137" s="8" t="s">
        <v>313</v>
      </c>
      <c r="I137" s="16" t="s">
        <v>566</v>
      </c>
      <c r="J137" s="330">
        <v>54.21</v>
      </c>
      <c r="K137" s="330">
        <v>51.94</v>
      </c>
      <c r="L137" s="330"/>
      <c r="N137" s="325">
        <f>K137+J137+L137</f>
        <v>106.15</v>
      </c>
      <c r="T137" s="34">
        <v>0</v>
      </c>
      <c r="V137" s="58">
        <v>0.7</v>
      </c>
      <c r="W137" s="13">
        <v>45.5</v>
      </c>
      <c r="X137" s="67">
        <v>40</v>
      </c>
      <c r="Y137" s="15">
        <f>W137-X137</f>
        <v>5.5</v>
      </c>
      <c r="Z137" s="64">
        <f>Y137/X137</f>
        <v>0.13750000000000001</v>
      </c>
      <c r="AA137" s="102" t="s">
        <v>4271</v>
      </c>
      <c r="AB137" s="16" t="s">
        <v>566</v>
      </c>
      <c r="AC137" s="86">
        <v>44470</v>
      </c>
      <c r="AD137" s="88">
        <v>44481</v>
      </c>
      <c r="AE137" s="33">
        <f>AD137-AC137</f>
        <v>11</v>
      </c>
      <c r="AF137" s="43" t="s">
        <v>4244</v>
      </c>
      <c r="AG137" s="128"/>
      <c r="AH137" s="269"/>
      <c r="AI137" s="201"/>
      <c r="AJ137" s="314"/>
    </row>
    <row r="138" spans="1:36">
      <c r="A138" s="132" t="s">
        <v>4219</v>
      </c>
      <c r="B138" s="81">
        <v>108</v>
      </c>
      <c r="C138" s="81">
        <v>119</v>
      </c>
      <c r="D138" s="82">
        <v>-11</v>
      </c>
      <c r="E138" s="81">
        <v>27</v>
      </c>
      <c r="F138" s="58">
        <v>32.6</v>
      </c>
      <c r="G138" s="82">
        <v>6642</v>
      </c>
      <c r="H138" s="5" t="s">
        <v>327</v>
      </c>
      <c r="I138" s="16" t="s">
        <v>1875</v>
      </c>
      <c r="J138" s="75">
        <v>49.93</v>
      </c>
      <c r="K138" s="330">
        <v>3.18</v>
      </c>
      <c r="L138" s="75">
        <v>25.36</v>
      </c>
      <c r="N138" s="325">
        <f t="shared" ref="N138" si="234">K138+J138+L138</f>
        <v>78.47</v>
      </c>
      <c r="S138" s="330">
        <v>0</v>
      </c>
      <c r="T138" s="34">
        <v>1.8</v>
      </c>
      <c r="V138" s="97">
        <v>3.78</v>
      </c>
      <c r="W138" s="36">
        <v>67.5</v>
      </c>
      <c r="X138" s="45">
        <v>62</v>
      </c>
      <c r="Y138" s="15">
        <f t="shared" ref="Y138" si="235">W138-X138</f>
        <v>5.5</v>
      </c>
      <c r="Z138" s="64">
        <f t="shared" ref="Z138" si="236">Y138/X138</f>
        <v>8.8709677419354843E-2</v>
      </c>
      <c r="AA138" s="102" t="s">
        <v>4263</v>
      </c>
      <c r="AB138" s="16" t="s">
        <v>1875</v>
      </c>
      <c r="AC138" s="86">
        <v>44469</v>
      </c>
      <c r="AD138" s="88">
        <v>44481</v>
      </c>
      <c r="AE138" s="33">
        <f t="shared" ref="AE138" si="237">AD138-AC138</f>
        <v>12</v>
      </c>
      <c r="AF138" s="43" t="s">
        <v>3798</v>
      </c>
      <c r="AG138" s="128"/>
      <c r="AH138" s="269"/>
      <c r="AI138" s="201"/>
      <c r="AJ138" s="314"/>
    </row>
    <row r="139" spans="1:36">
      <c r="A139" s="148" t="s">
        <v>4220</v>
      </c>
      <c r="B139" s="81">
        <v>14</v>
      </c>
      <c r="C139" s="81">
        <v>22</v>
      </c>
      <c r="D139" s="81">
        <v>63</v>
      </c>
      <c r="E139" s="81">
        <v>120</v>
      </c>
      <c r="F139" s="6">
        <v>-3.53</v>
      </c>
      <c r="G139" s="82">
        <v>3224</v>
      </c>
      <c r="H139" s="5" t="s">
        <v>351</v>
      </c>
      <c r="I139" s="16" t="s">
        <v>869</v>
      </c>
      <c r="J139" s="330">
        <v>39.29</v>
      </c>
      <c r="K139" s="75">
        <v>0.91</v>
      </c>
      <c r="L139" s="75">
        <v>19.5</v>
      </c>
      <c r="N139" s="325">
        <f>K139+J139+L139</f>
        <v>59.699999999999996</v>
      </c>
      <c r="S139" s="330">
        <v>0.18</v>
      </c>
      <c r="T139" s="34">
        <v>0</v>
      </c>
      <c r="V139" s="97">
        <v>-1.3</v>
      </c>
      <c r="W139" s="36">
        <v>40.049999999999997</v>
      </c>
      <c r="X139" s="67">
        <v>39.5</v>
      </c>
      <c r="Y139" s="15">
        <f>W139-X139</f>
        <v>0.54999999999999716</v>
      </c>
      <c r="Z139" s="64">
        <f>Y139/X139</f>
        <v>1.3924050632911321E-2</v>
      </c>
      <c r="AA139" s="102" t="s">
        <v>1855</v>
      </c>
      <c r="AB139" s="16" t="s">
        <v>869</v>
      </c>
      <c r="AC139" s="86">
        <v>44469</v>
      </c>
      <c r="AD139" s="88">
        <v>44481</v>
      </c>
      <c r="AE139" s="33">
        <f>AD139-AC139</f>
        <v>12</v>
      </c>
      <c r="AF139" s="43" t="s">
        <v>3175</v>
      </c>
      <c r="AG139" s="128"/>
      <c r="AH139" s="269"/>
      <c r="AI139" s="201"/>
      <c r="AJ139" s="314"/>
    </row>
    <row r="140" spans="1:36">
      <c r="A140" s="132" t="s">
        <v>2504</v>
      </c>
      <c r="B140" s="81">
        <v>4</v>
      </c>
      <c r="C140" s="82">
        <v>-4</v>
      </c>
      <c r="D140" s="81">
        <v>11</v>
      </c>
      <c r="E140" s="82">
        <v>-12</v>
      </c>
      <c r="F140" s="58">
        <v>15.6</v>
      </c>
      <c r="G140" s="82">
        <v>6790</v>
      </c>
      <c r="H140" s="5" t="s">
        <v>249</v>
      </c>
      <c r="I140" s="22" t="s">
        <v>4224</v>
      </c>
      <c r="J140" s="75">
        <v>81.87</v>
      </c>
      <c r="K140" s="330">
        <v>2.91</v>
      </c>
      <c r="L140" s="330"/>
      <c r="N140" s="325">
        <f t="shared" ref="N140:N141" si="238">K140+J140+L140</f>
        <v>84.78</v>
      </c>
      <c r="T140" s="67">
        <v>4</v>
      </c>
      <c r="V140" s="58" t="s">
        <v>4225</v>
      </c>
      <c r="W140" s="36">
        <v>48.75</v>
      </c>
      <c r="X140" s="67">
        <v>52</v>
      </c>
      <c r="Y140" s="15">
        <f t="shared" ref="Y140:Y141" si="239">W140-X140</f>
        <v>-3.25</v>
      </c>
      <c r="Z140" s="78">
        <f t="shared" ref="Z140:Z141" si="240">Y140/X140</f>
        <v>-6.25E-2</v>
      </c>
      <c r="AA140" s="102" t="s">
        <v>4267</v>
      </c>
      <c r="AB140" s="22" t="s">
        <v>4224</v>
      </c>
      <c r="AC140" s="86">
        <v>44468</v>
      </c>
      <c r="AD140" s="88">
        <v>44481</v>
      </c>
      <c r="AE140" s="33">
        <f t="shared" ref="AE140:AE141" si="241">AD140-AC140</f>
        <v>13</v>
      </c>
      <c r="AF140" s="43" t="s">
        <v>4226</v>
      </c>
      <c r="AG140" s="128"/>
      <c r="AH140" s="269"/>
      <c r="AI140" s="201"/>
      <c r="AJ140" s="314"/>
    </row>
    <row r="141" spans="1:36">
      <c r="A141" s="132" t="s">
        <v>4292</v>
      </c>
      <c r="B141" s="81">
        <v>21</v>
      </c>
      <c r="C141" s="81">
        <v>26</v>
      </c>
      <c r="D141" s="82">
        <v>-10</v>
      </c>
      <c r="E141" s="81">
        <v>19</v>
      </c>
      <c r="F141" s="58">
        <v>28.15</v>
      </c>
      <c r="G141" s="82">
        <v>6788</v>
      </c>
      <c r="H141" s="207" t="s">
        <v>326</v>
      </c>
      <c r="I141" s="16" t="s">
        <v>4227</v>
      </c>
      <c r="J141" s="330">
        <v>18.350000000000001</v>
      </c>
      <c r="K141" s="75">
        <v>1.7</v>
      </c>
      <c r="L141" s="330"/>
      <c r="N141" s="325">
        <f t="shared" si="238"/>
        <v>20.05</v>
      </c>
      <c r="T141" s="67">
        <v>4</v>
      </c>
      <c r="V141" s="97" t="s">
        <v>4029</v>
      </c>
      <c r="W141" s="36">
        <v>198</v>
      </c>
      <c r="X141" s="67">
        <v>125</v>
      </c>
      <c r="Y141" s="15">
        <f t="shared" si="239"/>
        <v>73</v>
      </c>
      <c r="Z141" s="64">
        <f t="shared" si="240"/>
        <v>0.58399999999999996</v>
      </c>
      <c r="AA141" s="102" t="s">
        <v>4266</v>
      </c>
      <c r="AB141" s="16" t="s">
        <v>4227</v>
      </c>
      <c r="AC141" s="86">
        <v>44468</v>
      </c>
      <c r="AD141" s="88">
        <v>44481</v>
      </c>
      <c r="AE141" s="33">
        <f t="shared" si="241"/>
        <v>13</v>
      </c>
      <c r="AF141" s="43" t="s">
        <v>4228</v>
      </c>
      <c r="AG141" s="128"/>
      <c r="AH141" s="269"/>
      <c r="AI141" s="201"/>
      <c r="AJ141" s="314"/>
    </row>
    <row r="142" spans="1:36">
      <c r="A142" s="148" t="s">
        <v>4221</v>
      </c>
      <c r="B142" s="82">
        <v>-634</v>
      </c>
      <c r="C142" s="82">
        <v>-5</v>
      </c>
      <c r="D142" s="81">
        <v>1</v>
      </c>
      <c r="E142" s="81">
        <v>23</v>
      </c>
      <c r="F142" s="6">
        <v>-78.25</v>
      </c>
      <c r="G142" s="82">
        <v>5324</v>
      </c>
      <c r="H142" s="5" t="s">
        <v>931</v>
      </c>
      <c r="I142" s="16" t="s">
        <v>941</v>
      </c>
      <c r="J142" s="75">
        <v>69.38</v>
      </c>
      <c r="K142" s="75">
        <v>5.54</v>
      </c>
      <c r="L142" s="330"/>
      <c r="N142" s="325">
        <f>K142+J142+L142</f>
        <v>74.92</v>
      </c>
      <c r="T142" s="34">
        <v>0</v>
      </c>
      <c r="V142" s="58">
        <v>-0.97</v>
      </c>
      <c r="W142" s="36">
        <v>9.3000000000000007</v>
      </c>
      <c r="X142" s="67">
        <v>9.5</v>
      </c>
      <c r="Y142" s="15">
        <f>W142-X142</f>
        <v>-0.19999999999999929</v>
      </c>
      <c r="Z142" s="78">
        <f>Y142/X142</f>
        <v>-2.1052631578947295E-2</v>
      </c>
      <c r="AA142" s="103" t="s">
        <v>4265</v>
      </c>
      <c r="AB142" s="16" t="s">
        <v>941</v>
      </c>
      <c r="AC142" s="86">
        <v>44468</v>
      </c>
      <c r="AD142" s="88">
        <v>44481</v>
      </c>
      <c r="AE142" s="33">
        <f>AD142-AC142</f>
        <v>13</v>
      </c>
      <c r="AF142" s="43" t="s">
        <v>3192</v>
      </c>
      <c r="AG142" s="128"/>
      <c r="AH142" s="269"/>
      <c r="AI142" s="201"/>
      <c r="AJ142" s="314"/>
    </row>
    <row r="143" spans="1:36">
      <c r="A143" s="148" t="s">
        <v>4222</v>
      </c>
      <c r="B143" s="81">
        <v>820</v>
      </c>
      <c r="C143" s="81">
        <v>202</v>
      </c>
      <c r="D143" s="82">
        <v>-35</v>
      </c>
      <c r="E143" s="81">
        <v>9</v>
      </c>
      <c r="F143" s="6">
        <v>8.9600000000000009</v>
      </c>
      <c r="G143" s="82">
        <v>1760</v>
      </c>
      <c r="H143" s="207" t="s">
        <v>328</v>
      </c>
      <c r="I143" s="22" t="s">
        <v>673</v>
      </c>
      <c r="J143" s="330">
        <v>23.73</v>
      </c>
      <c r="K143" s="330">
        <v>2.76</v>
      </c>
      <c r="L143" s="330">
        <v>19.010000000000002</v>
      </c>
      <c r="N143" s="325">
        <f>K143+J143+L143</f>
        <v>45.5</v>
      </c>
      <c r="S143" s="330">
        <v>1.37</v>
      </c>
      <c r="T143" s="34">
        <v>0.7</v>
      </c>
      <c r="V143" s="97">
        <v>1.1000000000000001</v>
      </c>
      <c r="W143" s="36">
        <v>65.599999999999994</v>
      </c>
      <c r="X143" s="67">
        <v>70</v>
      </c>
      <c r="Y143" s="15">
        <f>W143-X143</f>
        <v>-4.4000000000000057</v>
      </c>
      <c r="Z143" s="78">
        <f>Y143/X143</f>
        <v>-6.2857142857142945E-2</v>
      </c>
      <c r="AA143" s="102" t="s">
        <v>4264</v>
      </c>
      <c r="AB143" s="22" t="s">
        <v>673</v>
      </c>
      <c r="AC143" s="86">
        <v>44468</v>
      </c>
      <c r="AD143" s="88">
        <v>44481</v>
      </c>
      <c r="AE143" s="33">
        <f>AD143-AC143</f>
        <v>13</v>
      </c>
      <c r="AF143" s="43" t="s">
        <v>3333</v>
      </c>
      <c r="AG143" s="128"/>
      <c r="AH143" s="269"/>
      <c r="AI143" s="201"/>
      <c r="AJ143" s="314"/>
    </row>
    <row r="144" spans="1:36">
      <c r="A144" s="148" t="s">
        <v>1865</v>
      </c>
      <c r="B144" s="81">
        <v>158</v>
      </c>
      <c r="C144" s="81">
        <v>148</v>
      </c>
      <c r="D144" s="81">
        <v>4</v>
      </c>
      <c r="E144" s="82">
        <v>-2</v>
      </c>
      <c r="F144" s="6">
        <v>5.78</v>
      </c>
      <c r="G144" s="82">
        <v>3339</v>
      </c>
      <c r="H144" s="5" t="s">
        <v>325</v>
      </c>
      <c r="I144" s="16" t="s">
        <v>485</v>
      </c>
      <c r="J144" s="330">
        <v>38.299999999999997</v>
      </c>
      <c r="K144" s="330">
        <v>2.57</v>
      </c>
      <c r="L144" s="330"/>
      <c r="N144" s="325">
        <f t="shared" ref="N144" si="242">K144+J144+L144</f>
        <v>40.869999999999997</v>
      </c>
      <c r="T144" s="34">
        <v>0</v>
      </c>
      <c r="V144" s="97">
        <v>0.85</v>
      </c>
      <c r="W144" s="36">
        <v>18</v>
      </c>
      <c r="X144" s="67">
        <v>15</v>
      </c>
      <c r="Y144" s="15">
        <f t="shared" ref="Y144" si="243">W144-X144</f>
        <v>3</v>
      </c>
      <c r="Z144" s="64">
        <f t="shared" ref="Z144" si="244">Y144/X144</f>
        <v>0.2</v>
      </c>
      <c r="AA144" s="102" t="s">
        <v>3758</v>
      </c>
      <c r="AB144" s="16" t="s">
        <v>485</v>
      </c>
      <c r="AC144" s="86">
        <v>44466</v>
      </c>
      <c r="AD144" s="88">
        <v>44476</v>
      </c>
      <c r="AE144" s="33">
        <f t="shared" ref="AE144" si="245">AD144-AC144</f>
        <v>10</v>
      </c>
      <c r="AF144" s="43" t="s">
        <v>2954</v>
      </c>
      <c r="AG144" s="128"/>
      <c r="AH144" s="269"/>
      <c r="AI144" s="201"/>
      <c r="AJ144" s="314"/>
    </row>
    <row r="145" spans="1:36">
      <c r="A145" s="148" t="s">
        <v>3662</v>
      </c>
      <c r="B145" s="81">
        <v>43</v>
      </c>
      <c r="C145" s="81">
        <v>28</v>
      </c>
      <c r="D145" s="82">
        <v>-26</v>
      </c>
      <c r="E145" s="82">
        <v>-55</v>
      </c>
      <c r="F145" s="6">
        <v>5.89</v>
      </c>
      <c r="G145" s="81">
        <v>6179</v>
      </c>
      <c r="H145" s="8" t="s">
        <v>249</v>
      </c>
      <c r="I145" s="16" t="s">
        <v>692</v>
      </c>
      <c r="J145" s="75">
        <v>46.51</v>
      </c>
      <c r="K145" s="330">
        <v>0.97</v>
      </c>
      <c r="L145" s="75">
        <v>19.79</v>
      </c>
      <c r="N145" s="325">
        <f t="shared" ref="N145" si="246">K145+J145+L145</f>
        <v>67.27</v>
      </c>
      <c r="S145" s="330">
        <v>0.46</v>
      </c>
      <c r="T145" s="34">
        <v>1.88</v>
      </c>
      <c r="V145" s="97">
        <v>2.6</v>
      </c>
      <c r="W145" s="36">
        <v>32</v>
      </c>
      <c r="X145" s="67">
        <v>28.5</v>
      </c>
      <c r="Y145" s="15">
        <f t="shared" ref="Y145" si="247">W145-X145</f>
        <v>3.5</v>
      </c>
      <c r="Z145" s="64">
        <f t="shared" ref="Z145" si="248">Y145/X145</f>
        <v>0.12280701754385964</v>
      </c>
      <c r="AA145" s="102" t="s">
        <v>4257</v>
      </c>
      <c r="AB145" s="16" t="s">
        <v>692</v>
      </c>
      <c r="AC145" s="86">
        <v>44466</v>
      </c>
      <c r="AD145" s="88">
        <v>44476</v>
      </c>
      <c r="AE145" s="33">
        <f t="shared" ref="AE145" si="249">AD145-AC145</f>
        <v>10</v>
      </c>
      <c r="AF145" s="43" t="s">
        <v>2989</v>
      </c>
      <c r="AG145" s="128"/>
      <c r="AH145" s="269"/>
      <c r="AI145" s="201"/>
      <c r="AJ145" s="314"/>
    </row>
    <row r="146" spans="1:36">
      <c r="A146" s="132" t="s">
        <v>1927</v>
      </c>
      <c r="B146" s="81">
        <v>11</v>
      </c>
      <c r="C146" s="81">
        <v>17</v>
      </c>
      <c r="D146" s="81">
        <v>10</v>
      </c>
      <c r="E146" s="81">
        <v>20</v>
      </c>
      <c r="F146" s="58">
        <v>20.74</v>
      </c>
      <c r="G146" s="82">
        <v>3533</v>
      </c>
      <c r="H146" s="8" t="s">
        <v>327</v>
      </c>
      <c r="I146" s="22" t="s">
        <v>293</v>
      </c>
      <c r="J146" s="330">
        <v>57.29</v>
      </c>
      <c r="K146" s="330">
        <v>40.090000000000003</v>
      </c>
      <c r="L146" s="75">
        <v>2.67</v>
      </c>
      <c r="N146" s="325">
        <f t="shared" ref="N146" si="250">K146+J146+L146</f>
        <v>100.05</v>
      </c>
      <c r="S146" s="330">
        <v>10.039999999999999</v>
      </c>
      <c r="T146" s="45">
        <v>13.3</v>
      </c>
      <c r="V146" s="58">
        <v>28.63</v>
      </c>
      <c r="W146" s="36">
        <v>522</v>
      </c>
      <c r="X146" s="67">
        <v>432</v>
      </c>
      <c r="Y146" s="15">
        <f t="shared" ref="Y146" si="251">W146-X146</f>
        <v>90</v>
      </c>
      <c r="Z146" s="64">
        <f t="shared" ref="Z146" si="252">Y146/X146</f>
        <v>0.20833333333333334</v>
      </c>
      <c r="AA146" s="102" t="s">
        <v>4245</v>
      </c>
      <c r="AB146" s="22" t="s">
        <v>293</v>
      </c>
      <c r="AC146" s="86">
        <v>44463</v>
      </c>
      <c r="AD146" s="88">
        <v>44473</v>
      </c>
      <c r="AE146" s="33">
        <f t="shared" ref="AE146" si="253">AD146-AC146</f>
        <v>10</v>
      </c>
      <c r="AF146" s="122" t="s">
        <v>3109</v>
      </c>
      <c r="AG146" s="128"/>
      <c r="AH146" s="269"/>
      <c r="AI146" s="201"/>
      <c r="AJ146" s="314"/>
    </row>
    <row r="147" spans="1:36">
      <c r="A147" s="148" t="s">
        <v>3649</v>
      </c>
      <c r="B147" s="81">
        <v>979</v>
      </c>
      <c r="C147" s="81">
        <v>413</v>
      </c>
      <c r="D147" s="81">
        <v>9</v>
      </c>
      <c r="E147" s="81">
        <v>191</v>
      </c>
      <c r="F147" s="6">
        <v>9.67</v>
      </c>
      <c r="G147" s="82">
        <v>2636</v>
      </c>
      <c r="H147" s="5" t="s">
        <v>320</v>
      </c>
      <c r="I147" s="22" t="s">
        <v>2240</v>
      </c>
      <c r="J147" s="75">
        <v>37.729999999999997</v>
      </c>
      <c r="K147" s="75">
        <v>18.420000000000002</v>
      </c>
      <c r="L147" s="330">
        <v>30.36</v>
      </c>
      <c r="N147" s="325">
        <f t="shared" ref="N147" si="254">K147+J147+L147</f>
        <v>86.509999999999991</v>
      </c>
      <c r="S147" s="330">
        <v>34.590000000000003</v>
      </c>
      <c r="T147" s="45">
        <v>3.02</v>
      </c>
      <c r="V147" s="97">
        <v>20.28</v>
      </c>
      <c r="W147" s="36">
        <v>126</v>
      </c>
      <c r="X147" s="45">
        <v>140</v>
      </c>
      <c r="Y147" s="15">
        <f t="shared" ref="Y147" si="255">W147-X147</f>
        <v>-14</v>
      </c>
      <c r="Z147" s="78">
        <f t="shared" ref="Z147" si="256">Y147/X147</f>
        <v>-0.1</v>
      </c>
      <c r="AA147" s="102" t="s">
        <v>2589</v>
      </c>
      <c r="AB147" s="22" t="s">
        <v>2240</v>
      </c>
      <c r="AC147" s="86">
        <v>44462</v>
      </c>
      <c r="AD147" s="88">
        <v>44473</v>
      </c>
      <c r="AE147" s="33">
        <f t="shared" ref="AE147" si="257">AD147-AC147</f>
        <v>11</v>
      </c>
      <c r="AF147" s="43" t="s">
        <v>2410</v>
      </c>
      <c r="AG147" s="128"/>
      <c r="AH147" s="269"/>
      <c r="AI147" s="201"/>
      <c r="AJ147" s="314"/>
    </row>
    <row r="148" spans="1:36">
      <c r="A148" s="148" t="s">
        <v>4209</v>
      </c>
      <c r="B148" s="81">
        <v>116</v>
      </c>
      <c r="C148" s="81">
        <v>140</v>
      </c>
      <c r="D148" s="81">
        <v>32</v>
      </c>
      <c r="E148" s="81">
        <v>53</v>
      </c>
      <c r="F148" s="6">
        <v>3.68</v>
      </c>
      <c r="G148" s="82">
        <v>1460</v>
      </c>
      <c r="H148" s="5" t="s">
        <v>312</v>
      </c>
      <c r="I148" s="22" t="s">
        <v>793</v>
      </c>
      <c r="J148" s="330">
        <v>56.13</v>
      </c>
      <c r="K148" s="330">
        <v>3.3</v>
      </c>
      <c r="L148" s="330"/>
      <c r="N148" s="325">
        <f t="shared" ref="N148" si="258">K148+J148+L148</f>
        <v>59.43</v>
      </c>
      <c r="T148" s="34">
        <v>0</v>
      </c>
      <c r="V148" s="58">
        <v>-1.1100000000000001</v>
      </c>
      <c r="W148" s="36">
        <v>9.69</v>
      </c>
      <c r="X148" s="67">
        <v>10</v>
      </c>
      <c r="Y148" s="15">
        <f t="shared" ref="Y148" si="259">W148-X148</f>
        <v>-0.3100000000000005</v>
      </c>
      <c r="Z148" s="78">
        <f t="shared" ref="Z148" si="260">Y148/X148</f>
        <v>-3.1000000000000048E-2</v>
      </c>
      <c r="AA148" s="104" t="s">
        <v>4242</v>
      </c>
      <c r="AB148" s="22" t="s">
        <v>793</v>
      </c>
      <c r="AC148" s="86">
        <v>44461</v>
      </c>
      <c r="AD148" s="88">
        <v>44473</v>
      </c>
      <c r="AE148" s="33">
        <f t="shared" ref="AE148" si="261">AD148-AC148</f>
        <v>12</v>
      </c>
      <c r="AF148" s="43" t="s">
        <v>4086</v>
      </c>
      <c r="AG148" s="128"/>
      <c r="AH148" s="269"/>
      <c r="AI148" s="201"/>
      <c r="AJ148" s="314"/>
    </row>
    <row r="149" spans="1:36">
      <c r="A149" s="148" t="s">
        <v>2385</v>
      </c>
      <c r="B149" s="81">
        <v>211</v>
      </c>
      <c r="C149" s="81">
        <v>134</v>
      </c>
      <c r="D149" s="81">
        <v>12</v>
      </c>
      <c r="E149" s="82">
        <v>-5</v>
      </c>
      <c r="F149" s="6">
        <v>3.13</v>
      </c>
      <c r="G149" s="82">
        <v>3709</v>
      </c>
      <c r="H149" s="197" t="s">
        <v>1212</v>
      </c>
      <c r="I149" s="16" t="s">
        <v>2708</v>
      </c>
      <c r="J149" s="330">
        <v>77.53</v>
      </c>
      <c r="K149" s="330">
        <v>1.56</v>
      </c>
      <c r="L149" s="330">
        <v>0.78</v>
      </c>
      <c r="N149" s="325">
        <f t="shared" ref="N149:N154" si="262">K149+J149+L149</f>
        <v>79.87</v>
      </c>
      <c r="S149" s="330">
        <v>0</v>
      </c>
      <c r="T149" s="34">
        <v>1.4</v>
      </c>
      <c r="V149" s="58">
        <v>4.5999999999999996</v>
      </c>
      <c r="W149" s="36">
        <v>25.8</v>
      </c>
      <c r="X149" s="67">
        <v>21</v>
      </c>
      <c r="Y149" s="15">
        <f t="shared" ref="Y149:Y154" si="263">W149-X149</f>
        <v>4.8000000000000007</v>
      </c>
      <c r="Z149" s="64">
        <f t="shared" ref="Z149:Z154" si="264">Y149/X149</f>
        <v>0.22857142857142859</v>
      </c>
      <c r="AA149" s="102" t="s">
        <v>1817</v>
      </c>
      <c r="AB149" s="16" t="s">
        <v>2708</v>
      </c>
      <c r="AC149" s="86">
        <v>44453</v>
      </c>
      <c r="AD149" s="88">
        <v>44463</v>
      </c>
      <c r="AE149" s="33">
        <f t="shared" ref="AE149:AE154" si="265">AD149-AC149</f>
        <v>10</v>
      </c>
      <c r="AF149" s="43" t="s">
        <v>2962</v>
      </c>
      <c r="AG149" s="128"/>
      <c r="AH149" s="269"/>
      <c r="AI149" s="201"/>
      <c r="AJ149" s="314"/>
    </row>
    <row r="150" spans="1:36">
      <c r="A150" s="132" t="s">
        <v>2368</v>
      </c>
      <c r="B150" s="82">
        <v>-7</v>
      </c>
      <c r="C150" s="82">
        <v>-10</v>
      </c>
      <c r="D150" s="81">
        <v>4</v>
      </c>
      <c r="E150" s="81">
        <v>15</v>
      </c>
      <c r="F150" s="58">
        <v>11.67</v>
      </c>
      <c r="G150" s="82">
        <v>2753</v>
      </c>
      <c r="H150" s="5" t="s">
        <v>321</v>
      </c>
      <c r="I150" s="22" t="s">
        <v>4199</v>
      </c>
      <c r="J150" s="75">
        <v>58.9</v>
      </c>
      <c r="K150" s="330">
        <v>6.26</v>
      </c>
      <c r="N150" s="325">
        <f t="shared" si="262"/>
        <v>65.16</v>
      </c>
      <c r="T150" s="34">
        <v>2.5</v>
      </c>
      <c r="V150" s="58" t="s">
        <v>4200</v>
      </c>
      <c r="W150" s="36">
        <v>147.5</v>
      </c>
      <c r="X150" s="67">
        <v>155</v>
      </c>
      <c r="Y150" s="15">
        <f t="shared" si="263"/>
        <v>-7.5</v>
      </c>
      <c r="Z150" s="78">
        <f t="shared" si="264"/>
        <v>-4.8387096774193547E-2</v>
      </c>
      <c r="AA150" s="102" t="s">
        <v>3597</v>
      </c>
      <c r="AB150" s="22" t="s">
        <v>4199</v>
      </c>
      <c r="AC150" s="86">
        <v>44448</v>
      </c>
      <c r="AD150" s="88">
        <v>44461</v>
      </c>
      <c r="AE150" s="33">
        <f t="shared" si="265"/>
        <v>13</v>
      </c>
      <c r="AF150" s="43" t="s">
        <v>3635</v>
      </c>
      <c r="AG150" s="128"/>
      <c r="AH150" s="269"/>
      <c r="AI150" s="201"/>
      <c r="AJ150" s="314"/>
    </row>
    <row r="151" spans="1:36">
      <c r="A151" s="148" t="s">
        <v>3551</v>
      </c>
      <c r="B151" s="81">
        <v>530</v>
      </c>
      <c r="C151" s="81">
        <v>596</v>
      </c>
      <c r="D151" s="82">
        <v>-7</v>
      </c>
      <c r="E151" s="81">
        <v>85</v>
      </c>
      <c r="F151" s="6">
        <v>8.36</v>
      </c>
      <c r="G151" s="81">
        <v>5543</v>
      </c>
      <c r="H151" s="8" t="s">
        <v>931</v>
      </c>
      <c r="I151" s="16" t="s">
        <v>3628</v>
      </c>
      <c r="J151" s="330">
        <v>40.729999999999997</v>
      </c>
      <c r="K151" s="75">
        <v>0.45</v>
      </c>
      <c r="N151" s="325">
        <f t="shared" si="262"/>
        <v>41.18</v>
      </c>
      <c r="T151" s="34">
        <v>1</v>
      </c>
      <c r="V151" s="97">
        <v>2.95</v>
      </c>
      <c r="W151" s="36">
        <v>62.2</v>
      </c>
      <c r="X151" s="67">
        <v>58</v>
      </c>
      <c r="Y151" s="15">
        <f t="shared" si="263"/>
        <v>4.2000000000000028</v>
      </c>
      <c r="Z151" s="64">
        <f t="shared" si="264"/>
        <v>7.2413793103448323E-2</v>
      </c>
      <c r="AA151" s="102" t="s">
        <v>4212</v>
      </c>
      <c r="AB151" s="16" t="s">
        <v>3628</v>
      </c>
      <c r="AC151" s="86">
        <v>44448</v>
      </c>
      <c r="AD151" s="88">
        <v>44461</v>
      </c>
      <c r="AE151" s="33">
        <f t="shared" si="265"/>
        <v>13</v>
      </c>
      <c r="AF151" s="43" t="s">
        <v>3629</v>
      </c>
      <c r="AG151" s="128"/>
      <c r="AH151" s="269"/>
      <c r="AI151" s="201"/>
      <c r="AJ151" s="314"/>
    </row>
    <row r="152" spans="1:36">
      <c r="A152" s="132" t="s">
        <v>4196</v>
      </c>
      <c r="B152" s="81">
        <v>20</v>
      </c>
      <c r="C152" s="81">
        <v>20</v>
      </c>
      <c r="D152" s="81">
        <v>7</v>
      </c>
      <c r="E152" s="81">
        <v>60</v>
      </c>
      <c r="F152" s="58">
        <v>12.91</v>
      </c>
      <c r="G152" s="81">
        <v>6213</v>
      </c>
      <c r="H152" s="206" t="s">
        <v>4155</v>
      </c>
      <c r="I152" s="22" t="s">
        <v>64</v>
      </c>
      <c r="J152" s="75">
        <v>72.2</v>
      </c>
      <c r="K152" s="75">
        <v>13.98</v>
      </c>
      <c r="L152" s="330">
        <v>5.23</v>
      </c>
      <c r="N152" s="325">
        <f t="shared" si="262"/>
        <v>91.410000000000011</v>
      </c>
      <c r="S152" s="330">
        <v>9.64</v>
      </c>
      <c r="T152" s="67">
        <v>5</v>
      </c>
      <c r="V152" s="58">
        <v>8.83</v>
      </c>
      <c r="W152" s="36">
        <v>160</v>
      </c>
      <c r="X152" s="67">
        <v>130</v>
      </c>
      <c r="Y152" s="15">
        <f t="shared" si="263"/>
        <v>30</v>
      </c>
      <c r="Z152" s="64">
        <f t="shared" si="264"/>
        <v>0.23076923076923078</v>
      </c>
      <c r="AA152" s="102" t="s">
        <v>2264</v>
      </c>
      <c r="AB152" s="22" t="s">
        <v>64</v>
      </c>
      <c r="AC152" s="86">
        <v>44446</v>
      </c>
      <c r="AD152" s="88">
        <v>44456</v>
      </c>
      <c r="AE152" s="33">
        <f t="shared" si="265"/>
        <v>10</v>
      </c>
      <c r="AF152" s="122" t="s">
        <v>4027</v>
      </c>
      <c r="AG152" s="125"/>
      <c r="AH152" s="33"/>
      <c r="AI152" s="315"/>
      <c r="AJ152" s="314"/>
    </row>
    <row r="153" spans="1:36">
      <c r="A153" s="132" t="s">
        <v>3652</v>
      </c>
      <c r="B153" s="81">
        <v>37</v>
      </c>
      <c r="C153" s="81">
        <v>39</v>
      </c>
      <c r="D153" s="81">
        <v>5</v>
      </c>
      <c r="E153" s="81">
        <v>73</v>
      </c>
      <c r="F153" s="58">
        <v>16.350000000000001</v>
      </c>
      <c r="G153" s="81">
        <v>5439</v>
      </c>
      <c r="H153" s="5" t="s">
        <v>4155</v>
      </c>
      <c r="I153" s="173" t="s">
        <v>91</v>
      </c>
      <c r="J153" s="330">
        <v>28.95</v>
      </c>
      <c r="K153" s="330">
        <v>8.1</v>
      </c>
      <c r="L153" s="330">
        <v>22.97</v>
      </c>
      <c r="N153" s="325">
        <f t="shared" si="262"/>
        <v>60.019999999999996</v>
      </c>
      <c r="S153" s="330">
        <v>1.42</v>
      </c>
      <c r="T153" s="199">
        <v>2.5</v>
      </c>
      <c r="V153" s="97">
        <v>4.1100000000000003</v>
      </c>
      <c r="W153" s="36">
        <v>63.3</v>
      </c>
      <c r="X153" s="45">
        <v>55</v>
      </c>
      <c r="Y153" s="15">
        <f t="shared" si="263"/>
        <v>8.2999999999999972</v>
      </c>
      <c r="Z153" s="64">
        <f t="shared" si="264"/>
        <v>0.15090909090909085</v>
      </c>
      <c r="AA153" s="102" t="s">
        <v>4211</v>
      </c>
      <c r="AB153" s="16" t="s">
        <v>91</v>
      </c>
      <c r="AC153" s="86">
        <v>44446</v>
      </c>
      <c r="AD153" s="88">
        <v>44456</v>
      </c>
      <c r="AE153" s="33">
        <f t="shared" si="265"/>
        <v>10</v>
      </c>
      <c r="AF153" s="122" t="s">
        <v>1101</v>
      </c>
      <c r="AG153" s="128"/>
      <c r="AH153" s="269"/>
      <c r="AI153" s="201"/>
      <c r="AJ153" s="314"/>
    </row>
    <row r="154" spans="1:36">
      <c r="A154" s="132" t="s">
        <v>1765</v>
      </c>
      <c r="B154" s="81">
        <v>93</v>
      </c>
      <c r="C154" s="81">
        <v>90</v>
      </c>
      <c r="D154" s="82">
        <v>-28</v>
      </c>
      <c r="E154" s="82">
        <v>-33</v>
      </c>
      <c r="F154" s="58">
        <v>16.149999999999999</v>
      </c>
      <c r="G154" s="82">
        <v>1341</v>
      </c>
      <c r="H154" s="5" t="s">
        <v>311</v>
      </c>
      <c r="I154" s="22" t="s">
        <v>2011</v>
      </c>
      <c r="J154" s="330">
        <v>79.67</v>
      </c>
      <c r="K154" s="330">
        <v>83.57</v>
      </c>
      <c r="L154" s="330"/>
      <c r="N154" s="325">
        <f t="shared" si="262"/>
        <v>163.24</v>
      </c>
      <c r="T154" s="67">
        <v>6</v>
      </c>
      <c r="V154" s="58">
        <v>8.19</v>
      </c>
      <c r="W154" s="13">
        <v>63.8</v>
      </c>
      <c r="X154" s="67">
        <v>60</v>
      </c>
      <c r="Y154" s="15">
        <f t="shared" si="263"/>
        <v>3.7999999999999972</v>
      </c>
      <c r="Z154" s="64">
        <f t="shared" si="264"/>
        <v>6.3333333333333283E-2</v>
      </c>
      <c r="AA154" s="102" t="s">
        <v>844</v>
      </c>
      <c r="AB154" s="22" t="s">
        <v>2011</v>
      </c>
      <c r="AC154" s="86">
        <v>44446</v>
      </c>
      <c r="AD154" s="88">
        <v>44456</v>
      </c>
      <c r="AE154" s="33">
        <f t="shared" si="265"/>
        <v>10</v>
      </c>
      <c r="AF154" s="43" t="s">
        <v>3285</v>
      </c>
      <c r="AG154" s="128"/>
      <c r="AH154" s="269"/>
      <c r="AI154" s="201"/>
      <c r="AJ154" s="314"/>
    </row>
    <row r="155" spans="1:36">
      <c r="A155" s="148" t="s">
        <v>1906</v>
      </c>
      <c r="B155" s="81">
        <v>2</v>
      </c>
      <c r="C155" s="82">
        <v>-1</v>
      </c>
      <c r="D155" s="82">
        <v>-4</v>
      </c>
      <c r="E155" s="82">
        <v>-29</v>
      </c>
      <c r="F155" s="6">
        <v>6.24</v>
      </c>
      <c r="G155" s="82">
        <v>6594</v>
      </c>
      <c r="H155" s="207" t="s">
        <v>326</v>
      </c>
      <c r="I155" s="16" t="s">
        <v>411</v>
      </c>
      <c r="J155" s="330">
        <v>49.94</v>
      </c>
      <c r="K155" s="330">
        <v>1.1399999999999999</v>
      </c>
      <c r="N155" s="325">
        <f t="shared" ref="N155:N156" si="266">K155+J155+L155</f>
        <v>51.08</v>
      </c>
      <c r="T155" s="34">
        <v>1.6</v>
      </c>
      <c r="V155" s="97">
        <v>1.69</v>
      </c>
      <c r="W155" s="36">
        <v>35.1</v>
      </c>
      <c r="X155" s="67">
        <v>32.799999999999997</v>
      </c>
      <c r="Y155" s="15">
        <f t="shared" ref="Y155:Y156" si="267">W155-X155</f>
        <v>2.3000000000000043</v>
      </c>
      <c r="Z155" s="64">
        <f t="shared" ref="Z155:Z156" si="268">Y155/X155</f>
        <v>7.0121951219512327E-2</v>
      </c>
      <c r="AA155" s="102" t="s">
        <v>4207</v>
      </c>
      <c r="AB155" s="16" t="s">
        <v>411</v>
      </c>
      <c r="AC155" s="86">
        <v>44445</v>
      </c>
      <c r="AD155" s="88">
        <v>44455</v>
      </c>
      <c r="AE155" s="33">
        <f t="shared" ref="AE155:AE156" si="269">AD155-AC155</f>
        <v>10</v>
      </c>
      <c r="AF155" s="43" t="s">
        <v>2888</v>
      </c>
      <c r="AG155" s="128"/>
      <c r="AH155" s="269"/>
      <c r="AI155" s="201"/>
      <c r="AJ155" s="314"/>
    </row>
    <row r="156" spans="1:36">
      <c r="A156" s="132" t="s">
        <v>1767</v>
      </c>
      <c r="B156" s="81">
        <v>392</v>
      </c>
      <c r="C156" s="81">
        <v>180</v>
      </c>
      <c r="D156" s="81">
        <v>138</v>
      </c>
      <c r="E156" s="82">
        <v>-72</v>
      </c>
      <c r="F156" s="58">
        <v>28.52</v>
      </c>
      <c r="G156" s="82">
        <v>1529</v>
      </c>
      <c r="H156" s="5" t="s">
        <v>313</v>
      </c>
      <c r="I156" s="22" t="s">
        <v>598</v>
      </c>
      <c r="J156" s="330">
        <v>66.41</v>
      </c>
      <c r="K156" s="330">
        <v>4.1500000000000004</v>
      </c>
      <c r="L156" s="330">
        <v>25.94</v>
      </c>
      <c r="N156" s="325">
        <f t="shared" si="266"/>
        <v>96.5</v>
      </c>
      <c r="S156" s="330">
        <v>4.53</v>
      </c>
      <c r="T156" s="34">
        <v>0.5</v>
      </c>
      <c r="V156" s="58">
        <v>1.06</v>
      </c>
      <c r="W156" s="36">
        <v>16.2</v>
      </c>
      <c r="X156" s="45">
        <v>12.6</v>
      </c>
      <c r="Y156" s="15">
        <f t="shared" si="267"/>
        <v>3.5999999999999996</v>
      </c>
      <c r="Z156" s="64">
        <f t="shared" si="268"/>
        <v>0.2857142857142857</v>
      </c>
      <c r="AA156" s="102" t="s">
        <v>3663</v>
      </c>
      <c r="AB156" s="22" t="s">
        <v>598</v>
      </c>
      <c r="AC156" s="86">
        <v>44445</v>
      </c>
      <c r="AD156" s="88">
        <v>44455</v>
      </c>
      <c r="AE156" s="33">
        <f t="shared" si="269"/>
        <v>10</v>
      </c>
      <c r="AF156" s="43" t="s">
        <v>3259</v>
      </c>
      <c r="AG156" s="128"/>
      <c r="AH156" s="269"/>
      <c r="AI156" s="201"/>
      <c r="AJ156" s="314"/>
    </row>
    <row r="157" spans="1:36">
      <c r="A157" s="148" t="s">
        <v>4178</v>
      </c>
      <c r="B157" s="81">
        <v>149</v>
      </c>
      <c r="C157" s="81">
        <v>225</v>
      </c>
      <c r="D157" s="81">
        <v>0</v>
      </c>
      <c r="E157" s="81">
        <v>146</v>
      </c>
      <c r="F157" s="6">
        <v>7.05</v>
      </c>
      <c r="G157" s="81">
        <v>3147</v>
      </c>
      <c r="H157" s="5" t="s">
        <v>4218</v>
      </c>
      <c r="I157" s="16" t="s">
        <v>1050</v>
      </c>
      <c r="J157" s="75">
        <v>30.11</v>
      </c>
      <c r="K157" s="330">
        <v>2.66</v>
      </c>
      <c r="L157" s="75">
        <v>10.19</v>
      </c>
      <c r="N157" s="325">
        <f>K157+J157+L157</f>
        <v>42.959999999999994</v>
      </c>
      <c r="S157" s="330">
        <v>0.5</v>
      </c>
      <c r="T157" s="34">
        <v>2.1</v>
      </c>
      <c r="V157" s="97">
        <v>5.07</v>
      </c>
      <c r="W157" s="36">
        <v>51</v>
      </c>
      <c r="X157" s="67">
        <v>47</v>
      </c>
      <c r="Y157" s="15">
        <f>W157-X157</f>
        <v>4</v>
      </c>
      <c r="Z157" s="64">
        <f>Y157/X157</f>
        <v>8.5106382978723402E-2</v>
      </c>
      <c r="AA157" s="102" t="s">
        <v>4206</v>
      </c>
      <c r="AB157" s="16" t="s">
        <v>1050</v>
      </c>
      <c r="AC157" s="86">
        <v>44441</v>
      </c>
      <c r="AD157" s="88">
        <v>44452</v>
      </c>
      <c r="AE157" s="33">
        <f>AD157-AC157</f>
        <v>11</v>
      </c>
      <c r="AF157" s="43" t="s">
        <v>3208</v>
      </c>
      <c r="AG157" s="128"/>
      <c r="AH157" s="269"/>
      <c r="AI157" s="201"/>
      <c r="AJ157" s="314"/>
    </row>
    <row r="158" spans="1:36">
      <c r="A158" s="148" t="s">
        <v>4179</v>
      </c>
      <c r="B158" s="81">
        <v>128</v>
      </c>
      <c r="C158" s="81">
        <v>120</v>
      </c>
      <c r="D158" s="82">
        <v>-15</v>
      </c>
      <c r="E158" s="81">
        <v>5</v>
      </c>
      <c r="F158" s="6">
        <v>9.5500000000000007</v>
      </c>
      <c r="G158" s="81">
        <v>3597</v>
      </c>
      <c r="H158" s="5" t="s">
        <v>4155</v>
      </c>
      <c r="I158" s="16" t="s">
        <v>2078</v>
      </c>
      <c r="J158" s="330">
        <v>62.42</v>
      </c>
      <c r="K158" s="330">
        <v>0.3</v>
      </c>
      <c r="L158" s="330">
        <v>21.64</v>
      </c>
      <c r="N158" s="325">
        <f>K158+J158+L158</f>
        <v>84.36</v>
      </c>
      <c r="S158" s="330">
        <v>2.74</v>
      </c>
      <c r="T158" s="34">
        <v>1.2</v>
      </c>
      <c r="V158" s="58">
        <v>1.79</v>
      </c>
      <c r="W158" s="36">
        <v>26</v>
      </c>
      <c r="X158" s="45">
        <v>22</v>
      </c>
      <c r="Y158" s="15">
        <f>W158-X158</f>
        <v>4</v>
      </c>
      <c r="Z158" s="64">
        <f>Y158/X158</f>
        <v>0.18181818181818182</v>
      </c>
      <c r="AA158" s="102" t="s">
        <v>996</v>
      </c>
      <c r="AB158" s="16" t="s">
        <v>2078</v>
      </c>
      <c r="AC158" s="86">
        <v>44440</v>
      </c>
      <c r="AD158" s="88">
        <v>44452</v>
      </c>
      <c r="AE158" s="33">
        <f>AD158-AC158</f>
        <v>12</v>
      </c>
      <c r="AF158" s="43" t="s">
        <v>2175</v>
      </c>
      <c r="AG158" s="269"/>
      <c r="AH158" s="269"/>
      <c r="AI158" s="201"/>
      <c r="AJ158" s="314"/>
    </row>
    <row r="159" spans="1:36">
      <c r="A159" s="148" t="s">
        <v>4176</v>
      </c>
      <c r="B159" s="81">
        <v>1</v>
      </c>
      <c r="C159" s="82">
        <v>-33</v>
      </c>
      <c r="D159" s="82">
        <v>-8</v>
      </c>
      <c r="E159" s="81">
        <v>25</v>
      </c>
      <c r="F159" s="6">
        <v>1.43</v>
      </c>
      <c r="G159" s="82">
        <v>6248</v>
      </c>
      <c r="H159" s="5" t="s">
        <v>3816</v>
      </c>
      <c r="I159" s="16" t="s">
        <v>896</v>
      </c>
      <c r="J159" s="75">
        <v>44.85</v>
      </c>
      <c r="K159" s="75">
        <v>1.05</v>
      </c>
      <c r="L159" s="330">
        <v>8.3800000000000008</v>
      </c>
      <c r="N159" s="325">
        <f>K159+J159+L159</f>
        <v>54.28</v>
      </c>
      <c r="S159" s="330">
        <v>0</v>
      </c>
      <c r="T159" s="34">
        <v>1.2</v>
      </c>
      <c r="V159" s="97">
        <v>1.76</v>
      </c>
      <c r="W159" s="36">
        <v>20.7</v>
      </c>
      <c r="X159" s="67">
        <v>19</v>
      </c>
      <c r="Y159" s="15">
        <f>W159-X159</f>
        <v>1.6999999999999993</v>
      </c>
      <c r="Z159" s="64">
        <f>Y159/X159</f>
        <v>8.9473684210526275E-2</v>
      </c>
      <c r="AA159" s="102" t="s">
        <v>3523</v>
      </c>
      <c r="AB159" s="16" t="s">
        <v>896</v>
      </c>
      <c r="AC159" s="86">
        <v>44439</v>
      </c>
      <c r="AD159" s="88">
        <v>44449</v>
      </c>
      <c r="AE159" s="33">
        <f>AD159-AC159</f>
        <v>10</v>
      </c>
      <c r="AF159" s="43" t="s">
        <v>3184</v>
      </c>
      <c r="AG159" s="128"/>
      <c r="AH159" s="269"/>
      <c r="AI159" s="201"/>
      <c r="AJ159" s="314"/>
    </row>
    <row r="160" spans="1:36">
      <c r="A160" s="148" t="s">
        <v>1904</v>
      </c>
      <c r="B160" s="82">
        <v>-680</v>
      </c>
      <c r="C160" s="96">
        <v>-1103</v>
      </c>
      <c r="D160" s="81">
        <v>91</v>
      </c>
      <c r="E160" s="81">
        <v>91</v>
      </c>
      <c r="F160" s="6">
        <v>-76.709999999999994</v>
      </c>
      <c r="G160" s="82">
        <v>6241</v>
      </c>
      <c r="H160" s="8" t="s">
        <v>331</v>
      </c>
      <c r="I160" s="16" t="s">
        <v>552</v>
      </c>
      <c r="J160" s="330">
        <v>42.31</v>
      </c>
      <c r="K160" s="330">
        <v>0.03</v>
      </c>
      <c r="N160" s="325">
        <f>K160+J160+L160</f>
        <v>42.34</v>
      </c>
      <c r="T160" s="34">
        <v>0</v>
      </c>
      <c r="V160" s="97">
        <v>-1.35</v>
      </c>
      <c r="W160" s="36">
        <v>19.05</v>
      </c>
      <c r="X160" s="67">
        <v>16</v>
      </c>
      <c r="Y160" s="15">
        <f>W160-X160</f>
        <v>3.0500000000000007</v>
      </c>
      <c r="Z160" s="64">
        <f>Y160/X160</f>
        <v>0.19062500000000004</v>
      </c>
      <c r="AA160" s="102" t="s">
        <v>2163</v>
      </c>
      <c r="AB160" s="16" t="s">
        <v>552</v>
      </c>
      <c r="AC160" s="86">
        <v>44439</v>
      </c>
      <c r="AD160" s="88">
        <v>44449</v>
      </c>
      <c r="AE160" s="33">
        <f>AD160-AC160</f>
        <v>10</v>
      </c>
      <c r="AF160" s="43" t="s">
        <v>3147</v>
      </c>
      <c r="AG160" s="128"/>
      <c r="AH160" s="269"/>
      <c r="AI160" s="201"/>
      <c r="AJ160" s="314"/>
    </row>
    <row r="161" spans="1:36">
      <c r="A161" s="148" t="s">
        <v>3623</v>
      </c>
      <c r="B161" s="82">
        <v>-253</v>
      </c>
      <c r="C161" s="82">
        <v>-141</v>
      </c>
      <c r="D161" s="81">
        <v>8</v>
      </c>
      <c r="E161" s="82">
        <v>-15</v>
      </c>
      <c r="F161" s="6">
        <v>-3.42</v>
      </c>
      <c r="G161" s="82">
        <v>6668</v>
      </c>
      <c r="H161" s="207" t="s">
        <v>325</v>
      </c>
      <c r="I161" s="22" t="s">
        <v>1148</v>
      </c>
      <c r="J161" s="330">
        <v>55.9</v>
      </c>
      <c r="K161" s="75">
        <v>23.32</v>
      </c>
      <c r="L161" s="330">
        <v>14.11</v>
      </c>
      <c r="N161" s="325">
        <f>K161+J161+L161</f>
        <v>93.33</v>
      </c>
      <c r="S161" s="330">
        <v>2.61</v>
      </c>
      <c r="T161" s="34">
        <v>1.1499999999999999</v>
      </c>
      <c r="V161" s="58">
        <v>0.59</v>
      </c>
      <c r="W161" s="36">
        <v>52.6</v>
      </c>
      <c r="X161" s="67">
        <v>50</v>
      </c>
      <c r="Y161" s="15">
        <f>W161-X161</f>
        <v>2.6000000000000014</v>
      </c>
      <c r="Z161" s="64">
        <f>Y161/X161</f>
        <v>5.2000000000000025E-2</v>
      </c>
      <c r="AA161" s="102" t="s">
        <v>4202</v>
      </c>
      <c r="AB161" s="22" t="s">
        <v>1148</v>
      </c>
      <c r="AC161" s="86">
        <v>44438</v>
      </c>
      <c r="AD161" s="88">
        <v>44448</v>
      </c>
      <c r="AE161" s="33">
        <f>AD161-AC161</f>
        <v>10</v>
      </c>
      <c r="AF161" s="122" t="s">
        <v>3231</v>
      </c>
      <c r="AG161" s="125"/>
      <c r="AH161" s="33"/>
      <c r="AI161" s="315"/>
      <c r="AJ161" s="281"/>
    </row>
    <row r="162" spans="1:36">
      <c r="A162" s="148" t="s">
        <v>2350</v>
      </c>
      <c r="B162" s="81">
        <v>181</v>
      </c>
      <c r="C162" s="81">
        <v>200</v>
      </c>
      <c r="D162" s="81">
        <v>17</v>
      </c>
      <c r="E162" s="81">
        <v>47</v>
      </c>
      <c r="F162" s="6">
        <v>4.3</v>
      </c>
      <c r="G162" s="82">
        <v>2062</v>
      </c>
      <c r="H162" s="5" t="s">
        <v>249</v>
      </c>
      <c r="I162" s="22" t="s">
        <v>721</v>
      </c>
      <c r="J162" s="330">
        <v>59.11</v>
      </c>
      <c r="K162" s="330">
        <v>10.35</v>
      </c>
      <c r="L162" s="75">
        <v>7.13</v>
      </c>
      <c r="N162" s="325">
        <f t="shared" ref="N162:N164" si="270">K162+J162+L162</f>
        <v>76.589999999999989</v>
      </c>
      <c r="S162" s="330">
        <v>9.09</v>
      </c>
      <c r="T162" s="34">
        <v>0.1</v>
      </c>
      <c r="V162" s="58">
        <v>1.73</v>
      </c>
      <c r="W162" s="36">
        <v>25.95</v>
      </c>
      <c r="X162" s="67">
        <v>25.5</v>
      </c>
      <c r="Y162" s="15">
        <f t="shared" ref="Y162:Y167" si="271">W162-X162</f>
        <v>0.44999999999999929</v>
      </c>
      <c r="Z162" s="64">
        <f t="shared" ref="Z162:Z164" si="272">Y162/X162</f>
        <v>1.7647058823529384E-2</v>
      </c>
      <c r="AA162" s="102" t="s">
        <v>4197</v>
      </c>
      <c r="AB162" s="22" t="s">
        <v>721</v>
      </c>
      <c r="AC162" s="86">
        <v>44435</v>
      </c>
      <c r="AD162" s="88">
        <v>44445</v>
      </c>
      <c r="AE162" s="33">
        <f t="shared" ref="AE162:AE167" si="273">AD162-AC162</f>
        <v>10</v>
      </c>
      <c r="AF162" s="43" t="s">
        <v>3338</v>
      </c>
      <c r="AG162" s="128"/>
      <c r="AH162" s="269"/>
      <c r="AI162" s="201"/>
      <c r="AJ162" s="314"/>
    </row>
    <row r="163" spans="1:36">
      <c r="A163" s="132" t="s">
        <v>4208</v>
      </c>
      <c r="B163" s="81">
        <v>248</v>
      </c>
      <c r="C163" s="81">
        <v>301</v>
      </c>
      <c r="D163" s="81">
        <v>8</v>
      </c>
      <c r="E163" s="81">
        <v>43</v>
      </c>
      <c r="F163" s="58">
        <v>12</v>
      </c>
      <c r="G163" s="81">
        <v>5538</v>
      </c>
      <c r="H163" s="8" t="s">
        <v>3816</v>
      </c>
      <c r="I163" s="22" t="s">
        <v>907</v>
      </c>
      <c r="J163" s="330">
        <v>91.76</v>
      </c>
      <c r="K163" s="75">
        <v>64.13</v>
      </c>
      <c r="L163" s="330">
        <v>0.86</v>
      </c>
      <c r="N163" s="325">
        <f t="shared" si="270"/>
        <v>156.75</v>
      </c>
      <c r="S163" s="330">
        <v>0.23</v>
      </c>
      <c r="T163" s="34">
        <v>1.78</v>
      </c>
      <c r="V163" s="58">
        <v>5.01</v>
      </c>
      <c r="W163" s="13">
        <v>40.950000000000003</v>
      </c>
      <c r="X163" s="67">
        <v>36</v>
      </c>
      <c r="Y163" s="15">
        <f t="shared" si="271"/>
        <v>4.9500000000000028</v>
      </c>
      <c r="Z163" s="64">
        <f t="shared" si="272"/>
        <v>0.13750000000000007</v>
      </c>
      <c r="AA163" s="102" t="s">
        <v>4197</v>
      </c>
      <c r="AB163" s="22" t="s">
        <v>907</v>
      </c>
      <c r="AC163" s="86">
        <v>44433</v>
      </c>
      <c r="AD163" s="88">
        <v>44445</v>
      </c>
      <c r="AE163" s="33">
        <f t="shared" si="273"/>
        <v>12</v>
      </c>
      <c r="AF163" s="43" t="s">
        <v>4011</v>
      </c>
      <c r="AG163" s="128"/>
      <c r="AH163" s="269"/>
      <c r="AI163" s="201"/>
      <c r="AJ163" s="314"/>
    </row>
    <row r="164" spans="1:36">
      <c r="A164" s="148" t="s">
        <v>1668</v>
      </c>
      <c r="B164" s="81">
        <v>73</v>
      </c>
      <c r="C164" s="81"/>
      <c r="D164" s="82">
        <v>-16</v>
      </c>
      <c r="E164" s="82">
        <v>-31</v>
      </c>
      <c r="F164" s="6"/>
      <c r="G164" s="81">
        <v>2888</v>
      </c>
      <c r="H164" s="17" t="s">
        <v>4193</v>
      </c>
      <c r="I164" s="22" t="s">
        <v>18</v>
      </c>
      <c r="J164" s="75">
        <v>60.07</v>
      </c>
      <c r="K164" s="75">
        <v>19.64</v>
      </c>
      <c r="L164" s="330">
        <v>3.84</v>
      </c>
      <c r="N164" s="325">
        <f t="shared" si="270"/>
        <v>83.550000000000011</v>
      </c>
      <c r="S164" s="330">
        <v>5.05</v>
      </c>
      <c r="T164" s="34">
        <v>0.4</v>
      </c>
      <c r="V164" s="58">
        <v>1.56</v>
      </c>
      <c r="W164" s="36">
        <v>9.35</v>
      </c>
      <c r="X164" s="67">
        <v>8.1999999999999993</v>
      </c>
      <c r="Y164" s="15">
        <f t="shared" si="271"/>
        <v>1.1500000000000004</v>
      </c>
      <c r="Z164" s="64">
        <f t="shared" si="272"/>
        <v>0.14024390243902446</v>
      </c>
      <c r="AA164" s="102" t="s">
        <v>4198</v>
      </c>
      <c r="AB164" s="22" t="s">
        <v>18</v>
      </c>
      <c r="AC164" s="86">
        <v>44433</v>
      </c>
      <c r="AD164" s="88">
        <v>44445</v>
      </c>
      <c r="AE164" s="33">
        <f t="shared" si="273"/>
        <v>12</v>
      </c>
      <c r="AF164" s="122" t="s">
        <v>3126</v>
      </c>
      <c r="AG164" s="269"/>
      <c r="AH164" s="269"/>
      <c r="AI164" s="201"/>
      <c r="AJ164" s="314"/>
    </row>
    <row r="165" spans="1:36">
      <c r="A165" s="132" t="s">
        <v>2694</v>
      </c>
      <c r="B165" s="81">
        <v>1</v>
      </c>
      <c r="C165" s="81">
        <v>6</v>
      </c>
      <c r="D165" s="81">
        <v>35</v>
      </c>
      <c r="E165" s="81">
        <v>23</v>
      </c>
      <c r="F165" s="58">
        <v>16.739999999999998</v>
      </c>
      <c r="G165" s="82">
        <v>3557</v>
      </c>
      <c r="H165" s="5" t="s">
        <v>249</v>
      </c>
      <c r="I165" s="22" t="s">
        <v>476</v>
      </c>
      <c r="J165" s="75">
        <v>52.16</v>
      </c>
      <c r="K165" s="330">
        <v>18.190000000000001</v>
      </c>
      <c r="L165" s="75">
        <v>34.97</v>
      </c>
      <c r="N165" s="325">
        <f>K165+J165+L165</f>
        <v>105.32</v>
      </c>
      <c r="S165" s="330">
        <v>0.27</v>
      </c>
      <c r="T165" s="67">
        <v>3.65</v>
      </c>
      <c r="V165" s="58">
        <v>10.08</v>
      </c>
      <c r="W165" s="36">
        <v>80.8</v>
      </c>
      <c r="X165" s="45">
        <v>76</v>
      </c>
      <c r="Y165" s="15">
        <f t="shared" si="271"/>
        <v>4.7999999999999972</v>
      </c>
      <c r="Z165" s="64">
        <f>Y165/X165</f>
        <v>6.3157894736842066E-2</v>
      </c>
      <c r="AA165" s="102" t="s">
        <v>1686</v>
      </c>
      <c r="AB165" s="22" t="s">
        <v>476</v>
      </c>
      <c r="AC165" s="86">
        <v>44432</v>
      </c>
      <c r="AD165" s="88">
        <v>44442</v>
      </c>
      <c r="AE165" s="33">
        <f t="shared" si="273"/>
        <v>10</v>
      </c>
      <c r="AF165" s="43" t="s">
        <v>4172</v>
      </c>
      <c r="AG165" s="128"/>
      <c r="AH165" s="269"/>
      <c r="AI165" s="201"/>
      <c r="AJ165" s="314"/>
    </row>
    <row r="166" spans="1:36">
      <c r="A166" s="148" t="s">
        <v>3654</v>
      </c>
      <c r="B166" s="81">
        <v>400</v>
      </c>
      <c r="C166" s="81">
        <v>905</v>
      </c>
      <c r="D166" s="81">
        <v>1</v>
      </c>
      <c r="E166" s="81">
        <v>46</v>
      </c>
      <c r="F166" s="6">
        <v>9.85</v>
      </c>
      <c r="G166" s="81">
        <v>2486</v>
      </c>
      <c r="H166" s="8" t="s">
        <v>325</v>
      </c>
      <c r="I166" s="22" t="s">
        <v>357</v>
      </c>
      <c r="J166" s="330">
        <v>33.33</v>
      </c>
      <c r="K166" s="330">
        <v>2.9</v>
      </c>
      <c r="L166" s="330">
        <v>41.72</v>
      </c>
      <c r="N166" s="325">
        <f>K166+J166+L166</f>
        <v>77.949999999999989</v>
      </c>
      <c r="S166" s="330">
        <v>7.82</v>
      </c>
      <c r="T166" s="34">
        <v>0</v>
      </c>
      <c r="V166" s="97">
        <v>0.67</v>
      </c>
      <c r="W166" s="36">
        <v>54.5</v>
      </c>
      <c r="X166" s="45">
        <v>43</v>
      </c>
      <c r="Y166" s="15">
        <f t="shared" si="271"/>
        <v>11.5</v>
      </c>
      <c r="Z166" s="64">
        <f>Y166/X166</f>
        <v>0.26744186046511625</v>
      </c>
      <c r="AA166" s="102" t="s">
        <v>4195</v>
      </c>
      <c r="AB166" s="22" t="s">
        <v>357</v>
      </c>
      <c r="AC166" s="86">
        <v>44432</v>
      </c>
      <c r="AD166" s="88">
        <v>44442</v>
      </c>
      <c r="AE166" s="33">
        <f t="shared" si="273"/>
        <v>10</v>
      </c>
      <c r="AF166" s="43" t="s">
        <v>3107</v>
      </c>
      <c r="AG166" s="128"/>
      <c r="AH166" s="269"/>
      <c r="AI166" s="201"/>
      <c r="AJ166" s="314"/>
    </row>
    <row r="167" spans="1:36">
      <c r="A167" s="148" t="s">
        <v>4171</v>
      </c>
      <c r="B167" s="81">
        <v>86</v>
      </c>
      <c r="C167" s="81">
        <v>40</v>
      </c>
      <c r="D167" s="81">
        <v>17</v>
      </c>
      <c r="E167" s="81">
        <v>8</v>
      </c>
      <c r="F167" s="6">
        <v>3.85</v>
      </c>
      <c r="G167" s="81">
        <v>3230</v>
      </c>
      <c r="H167" s="8" t="s">
        <v>325</v>
      </c>
      <c r="I167" s="16" t="s">
        <v>484</v>
      </c>
      <c r="J167" s="330">
        <v>42.01</v>
      </c>
      <c r="K167" s="330">
        <v>0.2</v>
      </c>
      <c r="L167" s="75">
        <v>13.49</v>
      </c>
      <c r="N167" s="325">
        <f>K167+J167+L167</f>
        <v>55.7</v>
      </c>
      <c r="S167" s="330">
        <v>2.5099999999999998</v>
      </c>
      <c r="T167" s="34">
        <v>0</v>
      </c>
      <c r="V167" s="97">
        <v>0.25</v>
      </c>
      <c r="W167" s="36">
        <v>21.25</v>
      </c>
      <c r="X167" s="67">
        <v>15</v>
      </c>
      <c r="Y167" s="15">
        <f t="shared" si="271"/>
        <v>6.25</v>
      </c>
      <c r="Z167" s="64">
        <f>Y167/X167</f>
        <v>0.41666666666666669</v>
      </c>
      <c r="AA167" s="102" t="s">
        <v>3758</v>
      </c>
      <c r="AB167" s="16" t="s">
        <v>484</v>
      </c>
      <c r="AC167" s="86">
        <v>44431</v>
      </c>
      <c r="AD167" s="88">
        <v>44441</v>
      </c>
      <c r="AE167" s="33">
        <f t="shared" si="273"/>
        <v>10</v>
      </c>
      <c r="AF167" s="43" t="s">
        <v>2953</v>
      </c>
      <c r="AG167" s="128"/>
      <c r="AH167" s="269"/>
      <c r="AI167" s="201"/>
      <c r="AJ167" s="314"/>
    </row>
    <row r="168" spans="1:36">
      <c r="A168" s="148" t="s">
        <v>2359</v>
      </c>
      <c r="B168" s="81">
        <v>134</v>
      </c>
      <c r="C168" s="81">
        <v>155</v>
      </c>
      <c r="D168" s="81">
        <v>4</v>
      </c>
      <c r="E168" s="81">
        <v>41</v>
      </c>
      <c r="F168" s="6">
        <v>3.66</v>
      </c>
      <c r="G168" s="81">
        <v>3707</v>
      </c>
      <c r="H168" s="210" t="s">
        <v>3761</v>
      </c>
      <c r="I168" s="24" t="s">
        <v>261</v>
      </c>
      <c r="J168" s="330">
        <v>49.2</v>
      </c>
      <c r="K168" s="330">
        <v>19.309999999999999</v>
      </c>
      <c r="L168" s="75">
        <v>32.979999999999997</v>
      </c>
      <c r="N168" s="325">
        <f t="shared" ref="N168:N199" si="274">K168+J168+L168</f>
        <v>101.49000000000001</v>
      </c>
      <c r="S168" s="330">
        <v>29.37</v>
      </c>
      <c r="T168" s="71">
        <v>0</v>
      </c>
      <c r="V168" s="97">
        <v>-0.74</v>
      </c>
      <c r="W168" s="36">
        <v>106</v>
      </c>
      <c r="X168" s="45">
        <v>63.9</v>
      </c>
      <c r="Y168" s="15">
        <f t="shared" ref="Y168:Y199" si="275">W168-X168</f>
        <v>42.1</v>
      </c>
      <c r="Z168" s="64">
        <f t="shared" ref="Z168:Z199" si="276">Y168/X168</f>
        <v>0.65884194053208145</v>
      </c>
      <c r="AA168" s="102" t="s">
        <v>4186</v>
      </c>
      <c r="AB168" s="24" t="s">
        <v>261</v>
      </c>
      <c r="AC168" s="86">
        <v>44428</v>
      </c>
      <c r="AD168" s="88">
        <v>44438</v>
      </c>
      <c r="AE168" s="33">
        <f t="shared" ref="AE168:AE199" si="277">AD168-AC168</f>
        <v>10</v>
      </c>
      <c r="AF168" s="124" t="s">
        <v>3079</v>
      </c>
      <c r="AG168" s="297"/>
      <c r="AH168" s="11"/>
      <c r="AI168" s="320"/>
      <c r="AJ168" s="24"/>
    </row>
    <row r="169" spans="1:36">
      <c r="A169" s="132" t="s">
        <v>4173</v>
      </c>
      <c r="B169" s="95">
        <v>1416</v>
      </c>
      <c r="C169" s="237">
        <v>25521</v>
      </c>
      <c r="D169" s="81">
        <v>4</v>
      </c>
      <c r="E169" s="81">
        <v>52</v>
      </c>
      <c r="F169" s="58">
        <v>28.59</v>
      </c>
      <c r="G169" s="81">
        <v>6684</v>
      </c>
      <c r="H169" s="207" t="s">
        <v>3761</v>
      </c>
      <c r="I169" s="16" t="s">
        <v>4160</v>
      </c>
      <c r="J169" s="330">
        <v>23.81</v>
      </c>
      <c r="K169" s="75">
        <v>7.02</v>
      </c>
      <c r="N169" s="325">
        <f t="shared" si="274"/>
        <v>30.83</v>
      </c>
      <c r="T169" s="34">
        <v>2.0099999999999998</v>
      </c>
      <c r="V169" s="296" t="s">
        <v>4029</v>
      </c>
      <c r="W169" s="36">
        <v>144</v>
      </c>
      <c r="X169" s="67">
        <v>88</v>
      </c>
      <c r="Y169" s="15">
        <f t="shared" si="275"/>
        <v>56</v>
      </c>
      <c r="Z169" s="155">
        <f t="shared" si="276"/>
        <v>0.63636363636363635</v>
      </c>
      <c r="AA169" s="102" t="s">
        <v>2534</v>
      </c>
      <c r="AB169" s="16" t="s">
        <v>4160</v>
      </c>
      <c r="AC169" s="86">
        <v>44419</v>
      </c>
      <c r="AD169" s="88">
        <v>44431</v>
      </c>
      <c r="AE169" s="33">
        <f t="shared" si="277"/>
        <v>12</v>
      </c>
      <c r="AF169" s="43" t="s">
        <v>4161</v>
      </c>
      <c r="AG169" s="128"/>
      <c r="AH169" s="269"/>
      <c r="AI169" s="201"/>
      <c r="AJ169" s="314"/>
    </row>
    <row r="170" spans="1:36">
      <c r="A170" s="132" t="s">
        <v>2144</v>
      </c>
      <c r="B170" s="81">
        <v>78</v>
      </c>
      <c r="C170" s="81">
        <v>72</v>
      </c>
      <c r="D170" s="82">
        <v>-12</v>
      </c>
      <c r="E170" s="81">
        <v>84</v>
      </c>
      <c r="F170" s="58">
        <v>50.65</v>
      </c>
      <c r="G170" s="82">
        <v>4171</v>
      </c>
      <c r="H170" s="5" t="s">
        <v>1094</v>
      </c>
      <c r="I170" s="16" t="s">
        <v>1096</v>
      </c>
      <c r="J170" s="330">
        <v>28.56</v>
      </c>
      <c r="K170" s="330">
        <v>18.690000000000001</v>
      </c>
      <c r="L170" s="75">
        <v>20.010000000000002</v>
      </c>
      <c r="N170" s="325">
        <f t="shared" si="274"/>
        <v>67.260000000000005</v>
      </c>
      <c r="S170" s="330">
        <v>1.28</v>
      </c>
      <c r="T170" s="45">
        <v>3.83</v>
      </c>
      <c r="V170" s="97">
        <v>8.92</v>
      </c>
      <c r="W170" s="36">
        <v>112</v>
      </c>
      <c r="X170" s="45">
        <v>120</v>
      </c>
      <c r="Y170" s="15">
        <f t="shared" si="275"/>
        <v>-8</v>
      </c>
      <c r="Z170" s="78">
        <f t="shared" si="276"/>
        <v>-6.6666666666666666E-2</v>
      </c>
      <c r="AA170" s="103" t="s">
        <v>4174</v>
      </c>
      <c r="AB170" s="16" t="s">
        <v>1096</v>
      </c>
      <c r="AC170" s="86">
        <v>44419</v>
      </c>
      <c r="AD170" s="88">
        <v>44431</v>
      </c>
      <c r="AE170" s="33">
        <f t="shared" si="277"/>
        <v>12</v>
      </c>
      <c r="AF170" s="43" t="s">
        <v>3227</v>
      </c>
      <c r="AG170" s="128"/>
      <c r="AH170" s="269"/>
      <c r="AI170" s="201"/>
      <c r="AJ170" s="314"/>
    </row>
    <row r="171" spans="1:36">
      <c r="A171" s="132" t="s">
        <v>1825</v>
      </c>
      <c r="B171" s="95">
        <v>2372</v>
      </c>
      <c r="C171" s="95">
        <v>3235</v>
      </c>
      <c r="D171" s="81">
        <v>4</v>
      </c>
      <c r="E171" s="81">
        <v>142</v>
      </c>
      <c r="F171" s="58">
        <v>33.07</v>
      </c>
      <c r="G171" s="81">
        <v>4961</v>
      </c>
      <c r="H171" s="5" t="s">
        <v>3761</v>
      </c>
      <c r="I171" s="22" t="s">
        <v>1126</v>
      </c>
      <c r="J171" s="330">
        <v>38.619999999999997</v>
      </c>
      <c r="K171" s="330">
        <v>11.45</v>
      </c>
      <c r="L171" s="330">
        <v>29.84</v>
      </c>
      <c r="N171" s="325">
        <f t="shared" si="274"/>
        <v>79.91</v>
      </c>
      <c r="S171" s="330">
        <v>20.39</v>
      </c>
      <c r="T171" s="34">
        <v>2.5</v>
      </c>
      <c r="V171" s="97">
        <v>18.850000000000001</v>
      </c>
      <c r="W171" s="36">
        <v>228</v>
      </c>
      <c r="X171" s="45">
        <v>255</v>
      </c>
      <c r="Y171" s="15">
        <f t="shared" si="275"/>
        <v>-27</v>
      </c>
      <c r="Z171" s="78">
        <f t="shared" si="276"/>
        <v>-0.10588235294117647</v>
      </c>
      <c r="AA171" s="102" t="s">
        <v>4168</v>
      </c>
      <c r="AB171" s="22" t="s">
        <v>1126</v>
      </c>
      <c r="AC171" s="86">
        <v>44418</v>
      </c>
      <c r="AD171" s="88">
        <v>44428</v>
      </c>
      <c r="AE171" s="33">
        <f t="shared" si="277"/>
        <v>10</v>
      </c>
      <c r="AF171" s="43" t="s">
        <v>4187</v>
      </c>
      <c r="AG171" s="128"/>
      <c r="AH171" s="269"/>
      <c r="AI171" s="201"/>
      <c r="AJ171" s="314"/>
    </row>
    <row r="172" spans="1:36">
      <c r="A172" s="132" t="s">
        <v>2177</v>
      </c>
      <c r="B172" s="81">
        <v>31</v>
      </c>
      <c r="C172" s="81">
        <v>38</v>
      </c>
      <c r="D172" s="81">
        <v>2</v>
      </c>
      <c r="E172" s="81">
        <v>16</v>
      </c>
      <c r="F172" s="58">
        <v>36.28</v>
      </c>
      <c r="G172" s="81">
        <v>8109</v>
      </c>
      <c r="H172" s="5" t="s">
        <v>327</v>
      </c>
      <c r="I172" s="16" t="s">
        <v>472</v>
      </c>
      <c r="J172" s="75">
        <v>36.71</v>
      </c>
      <c r="K172" s="330">
        <v>1.93</v>
      </c>
      <c r="L172" s="330">
        <v>0.83</v>
      </c>
      <c r="N172" s="325">
        <f t="shared" si="274"/>
        <v>39.47</v>
      </c>
      <c r="S172" s="330">
        <v>0</v>
      </c>
      <c r="T172" s="67">
        <v>3.5</v>
      </c>
      <c r="V172" s="97">
        <v>5.03</v>
      </c>
      <c r="W172" s="36">
        <v>74</v>
      </c>
      <c r="X172" s="67">
        <v>58</v>
      </c>
      <c r="Y172" s="15">
        <f t="shared" si="275"/>
        <v>16</v>
      </c>
      <c r="Z172" s="64">
        <f t="shared" si="276"/>
        <v>0.27586206896551724</v>
      </c>
      <c r="AA172" s="102" t="s">
        <v>4169</v>
      </c>
      <c r="AB172" s="16" t="s">
        <v>472</v>
      </c>
      <c r="AC172" s="86">
        <v>44418</v>
      </c>
      <c r="AD172" s="88">
        <v>44428</v>
      </c>
      <c r="AE172" s="33">
        <f t="shared" si="277"/>
        <v>10</v>
      </c>
      <c r="AF172" s="43" t="s">
        <v>2950</v>
      </c>
      <c r="AG172" s="128"/>
      <c r="AH172" s="269"/>
      <c r="AI172" s="201"/>
      <c r="AJ172" s="314"/>
    </row>
    <row r="173" spans="1:36">
      <c r="A173" s="132" t="s">
        <v>2414</v>
      </c>
      <c r="B173" s="81">
        <v>115</v>
      </c>
      <c r="C173" s="81">
        <v>21</v>
      </c>
      <c r="D173" s="81">
        <v>7</v>
      </c>
      <c r="E173" s="81">
        <v>56</v>
      </c>
      <c r="F173" s="58">
        <v>20.99</v>
      </c>
      <c r="G173" s="81">
        <v>2641</v>
      </c>
      <c r="H173" s="5" t="s">
        <v>320</v>
      </c>
      <c r="I173" s="16" t="s">
        <v>915</v>
      </c>
      <c r="J173" s="330">
        <v>29</v>
      </c>
      <c r="K173" s="75">
        <v>1.07</v>
      </c>
      <c r="L173" s="75">
        <v>18.170000000000002</v>
      </c>
      <c r="N173" s="325">
        <f t="shared" si="274"/>
        <v>48.24</v>
      </c>
      <c r="S173" s="330">
        <v>7.7</v>
      </c>
      <c r="T173" s="34">
        <v>0</v>
      </c>
      <c r="V173" s="97">
        <v>0.63</v>
      </c>
      <c r="W173" s="36">
        <v>25.3</v>
      </c>
      <c r="X173" s="67">
        <v>28</v>
      </c>
      <c r="Y173" s="15">
        <f t="shared" si="275"/>
        <v>-2.6999999999999993</v>
      </c>
      <c r="Z173" s="78">
        <f t="shared" si="276"/>
        <v>-9.6428571428571405E-2</v>
      </c>
      <c r="AA173" s="102" t="s">
        <v>1555</v>
      </c>
      <c r="AB173" s="16" t="s">
        <v>915</v>
      </c>
      <c r="AC173" s="86">
        <v>44413</v>
      </c>
      <c r="AD173" s="88">
        <v>44424</v>
      </c>
      <c r="AE173" s="33">
        <f t="shared" si="277"/>
        <v>11</v>
      </c>
      <c r="AF173" s="43" t="s">
        <v>2562</v>
      </c>
      <c r="AG173" s="128"/>
      <c r="AH173" s="269"/>
      <c r="AI173" s="201"/>
      <c r="AJ173" s="314"/>
    </row>
    <row r="174" spans="1:36">
      <c r="A174" s="148" t="s">
        <v>4143</v>
      </c>
      <c r="B174" s="81">
        <v>153</v>
      </c>
      <c r="C174" s="81">
        <v>208</v>
      </c>
      <c r="D174" s="81">
        <v>50</v>
      </c>
      <c r="E174" s="82">
        <v>-3</v>
      </c>
      <c r="F174" s="6">
        <v>4.9800000000000004</v>
      </c>
      <c r="G174" s="81">
        <v>2867</v>
      </c>
      <c r="H174" s="18" t="s">
        <v>322</v>
      </c>
      <c r="I174" s="22" t="s">
        <v>128</v>
      </c>
      <c r="J174" s="330">
        <v>73.39</v>
      </c>
      <c r="K174" s="330">
        <v>7.02</v>
      </c>
      <c r="L174" s="330">
        <v>3.48</v>
      </c>
      <c r="N174" s="325">
        <f t="shared" si="274"/>
        <v>83.89</v>
      </c>
      <c r="S174" s="330">
        <v>0.39</v>
      </c>
      <c r="T174" s="34">
        <v>0.15</v>
      </c>
      <c r="V174" s="58">
        <v>1.01</v>
      </c>
      <c r="W174" s="36">
        <v>9.14</v>
      </c>
      <c r="X174" s="67">
        <v>8.3000000000000007</v>
      </c>
      <c r="Y174" s="15">
        <f t="shared" si="275"/>
        <v>0.83999999999999986</v>
      </c>
      <c r="Z174" s="64">
        <f t="shared" si="276"/>
        <v>0.10120481927710841</v>
      </c>
      <c r="AA174" s="102" t="s">
        <v>4159</v>
      </c>
      <c r="AB174" s="22" t="s">
        <v>128</v>
      </c>
      <c r="AC174" s="86">
        <v>44407</v>
      </c>
      <c r="AD174" s="88">
        <v>44417</v>
      </c>
      <c r="AE174" s="33">
        <f t="shared" si="277"/>
        <v>10</v>
      </c>
      <c r="AF174" s="122" t="s">
        <v>2628</v>
      </c>
      <c r="AG174" s="128"/>
      <c r="AH174" s="269"/>
      <c r="AI174" s="201"/>
      <c r="AJ174" s="314"/>
    </row>
    <row r="175" spans="1:36">
      <c r="A175" s="132" t="s">
        <v>4170</v>
      </c>
      <c r="B175" s="81">
        <v>397</v>
      </c>
      <c r="C175" s="81">
        <v>422</v>
      </c>
      <c r="D175" s="81">
        <v>12</v>
      </c>
      <c r="E175" s="81">
        <v>0</v>
      </c>
      <c r="F175" s="58">
        <v>31.68</v>
      </c>
      <c r="G175" s="81">
        <v>5236</v>
      </c>
      <c r="H175" s="197" t="s">
        <v>326</v>
      </c>
      <c r="I175" s="16" t="s">
        <v>4148</v>
      </c>
      <c r="J175" s="330">
        <v>62.15</v>
      </c>
      <c r="K175" s="75">
        <v>3.42</v>
      </c>
      <c r="L175" s="330"/>
      <c r="N175" s="325">
        <f t="shared" si="274"/>
        <v>65.569999999999993</v>
      </c>
      <c r="T175" s="34">
        <v>8</v>
      </c>
      <c r="V175" s="69" t="s">
        <v>4150</v>
      </c>
      <c r="W175" s="36">
        <v>191</v>
      </c>
      <c r="X175" s="67">
        <v>160</v>
      </c>
      <c r="Y175" s="15">
        <f t="shared" si="275"/>
        <v>31</v>
      </c>
      <c r="Z175" s="64">
        <f t="shared" si="276"/>
        <v>0.19375000000000001</v>
      </c>
      <c r="AA175" s="102" t="s">
        <v>4157</v>
      </c>
      <c r="AB175" s="16" t="s">
        <v>4148</v>
      </c>
      <c r="AC175" s="86">
        <v>44406</v>
      </c>
      <c r="AD175" s="88">
        <v>44417</v>
      </c>
      <c r="AE175" s="33">
        <f t="shared" si="277"/>
        <v>11</v>
      </c>
      <c r="AF175" s="43" t="s">
        <v>4149</v>
      </c>
      <c r="AG175" s="128"/>
      <c r="AH175" s="269"/>
      <c r="AI175" s="201"/>
      <c r="AJ175" s="314"/>
    </row>
    <row r="176" spans="1:36">
      <c r="A176" s="148" t="s">
        <v>4144</v>
      </c>
      <c r="B176" s="81">
        <v>185</v>
      </c>
      <c r="C176" s="81">
        <v>163</v>
      </c>
      <c r="D176" s="81">
        <v>252</v>
      </c>
      <c r="E176" s="81">
        <v>349</v>
      </c>
      <c r="F176" s="6">
        <v>4.4000000000000004</v>
      </c>
      <c r="G176" s="81">
        <v>8097</v>
      </c>
      <c r="H176" s="8" t="s">
        <v>331</v>
      </c>
      <c r="I176" s="16" t="s">
        <v>554</v>
      </c>
      <c r="J176" s="330">
        <v>45.02</v>
      </c>
      <c r="K176" s="330">
        <v>1.1100000000000001</v>
      </c>
      <c r="L176" s="75">
        <v>28.86</v>
      </c>
      <c r="N176" s="325">
        <f t="shared" si="274"/>
        <v>74.990000000000009</v>
      </c>
      <c r="S176" s="330">
        <v>0.76</v>
      </c>
      <c r="T176" s="34">
        <v>0</v>
      </c>
      <c r="V176" s="97">
        <v>-0.14000000000000001</v>
      </c>
      <c r="W176" s="36">
        <v>26.45</v>
      </c>
      <c r="X176" s="45">
        <v>17</v>
      </c>
      <c r="Y176" s="15">
        <f t="shared" si="275"/>
        <v>9.4499999999999993</v>
      </c>
      <c r="Z176" s="64">
        <f t="shared" si="276"/>
        <v>0.55588235294117638</v>
      </c>
      <c r="AA176" s="102" t="s">
        <v>4158</v>
      </c>
      <c r="AB176" s="16" t="s">
        <v>554</v>
      </c>
      <c r="AC176" s="86">
        <v>44406</v>
      </c>
      <c r="AD176" s="88">
        <v>44417</v>
      </c>
      <c r="AE176" s="33">
        <f t="shared" si="277"/>
        <v>11</v>
      </c>
      <c r="AF176" s="43" t="s">
        <v>3149</v>
      </c>
      <c r="AG176" s="128"/>
      <c r="AH176" s="269"/>
      <c r="AI176" s="201"/>
      <c r="AJ176" s="314"/>
    </row>
    <row r="177" spans="1:37">
      <c r="A177" s="148" t="s">
        <v>3633</v>
      </c>
      <c r="B177" s="82">
        <v>-30</v>
      </c>
      <c r="C177" s="82">
        <v>-95</v>
      </c>
      <c r="D177" s="81">
        <v>52</v>
      </c>
      <c r="E177" s="81">
        <v>12</v>
      </c>
      <c r="F177" s="6">
        <v>-97.31</v>
      </c>
      <c r="G177" s="82">
        <v>8409</v>
      </c>
      <c r="H177" s="5" t="s">
        <v>328</v>
      </c>
      <c r="I177" s="16" t="s">
        <v>670</v>
      </c>
      <c r="J177" s="330">
        <v>28.98</v>
      </c>
      <c r="K177" s="330">
        <v>0.12</v>
      </c>
      <c r="L177" s="330"/>
      <c r="N177" s="325">
        <f t="shared" si="274"/>
        <v>29.1</v>
      </c>
      <c r="T177" s="34">
        <v>0</v>
      </c>
      <c r="V177" s="97">
        <v>-1.21</v>
      </c>
      <c r="W177" s="36">
        <v>18.149999999999999</v>
      </c>
      <c r="X177" s="67">
        <v>14.5</v>
      </c>
      <c r="Y177" s="15">
        <f t="shared" si="275"/>
        <v>3.6499999999999986</v>
      </c>
      <c r="Z177" s="64">
        <f t="shared" si="276"/>
        <v>0.25172413793103438</v>
      </c>
      <c r="AA177" s="102" t="s">
        <v>4156</v>
      </c>
      <c r="AB177" s="16" t="s">
        <v>670</v>
      </c>
      <c r="AC177" s="86">
        <v>44405</v>
      </c>
      <c r="AD177" s="88">
        <v>44417</v>
      </c>
      <c r="AE177" s="33">
        <f t="shared" si="277"/>
        <v>12</v>
      </c>
      <c r="AF177" s="43" t="s">
        <v>2976</v>
      </c>
      <c r="AG177" s="128"/>
      <c r="AH177" s="269"/>
      <c r="AI177" s="201"/>
      <c r="AJ177" s="314"/>
    </row>
    <row r="178" spans="1:37">
      <c r="A178" s="148" t="s">
        <v>1853</v>
      </c>
      <c r="B178" s="81">
        <v>169</v>
      </c>
      <c r="C178" s="81">
        <v>165</v>
      </c>
      <c r="D178" s="81">
        <v>0</v>
      </c>
      <c r="E178" s="81">
        <v>54</v>
      </c>
      <c r="F178" s="6">
        <v>6.14</v>
      </c>
      <c r="G178" s="81">
        <v>4976</v>
      </c>
      <c r="H178" s="5" t="s">
        <v>325</v>
      </c>
      <c r="I178" s="22" t="s">
        <v>347</v>
      </c>
      <c r="J178" s="330">
        <v>30.53</v>
      </c>
      <c r="K178" s="330">
        <v>6.07</v>
      </c>
      <c r="L178" s="75">
        <v>31.94</v>
      </c>
      <c r="N178" s="325">
        <f t="shared" si="274"/>
        <v>68.540000000000006</v>
      </c>
      <c r="S178" s="330">
        <v>17.329999999999998</v>
      </c>
      <c r="T178" s="34">
        <v>0</v>
      </c>
      <c r="V178" s="97">
        <v>0.1</v>
      </c>
      <c r="W178" s="36">
        <v>78.8</v>
      </c>
      <c r="X178" s="45">
        <v>61</v>
      </c>
      <c r="Y178" s="15">
        <f t="shared" si="275"/>
        <v>17.799999999999997</v>
      </c>
      <c r="Z178" s="64">
        <f t="shared" si="276"/>
        <v>0.29180327868852457</v>
      </c>
      <c r="AA178" s="102" t="s">
        <v>4154</v>
      </c>
      <c r="AB178" s="22" t="s">
        <v>347</v>
      </c>
      <c r="AC178" s="86">
        <v>44399</v>
      </c>
      <c r="AD178" s="88">
        <v>44410</v>
      </c>
      <c r="AE178" s="33">
        <f t="shared" si="277"/>
        <v>11</v>
      </c>
      <c r="AF178" s="43" t="s">
        <v>2584</v>
      </c>
      <c r="AG178" s="297"/>
      <c r="AH178" s="11"/>
      <c r="AI178" s="320"/>
      <c r="AJ178" s="24"/>
    </row>
    <row r="179" spans="1:37">
      <c r="A179" s="132" t="s">
        <v>2385</v>
      </c>
      <c r="B179" s="81">
        <v>557</v>
      </c>
      <c r="C179" s="81">
        <v>574</v>
      </c>
      <c r="D179" s="81">
        <v>21</v>
      </c>
      <c r="E179" s="81">
        <v>18</v>
      </c>
      <c r="F179" s="58">
        <v>15.44</v>
      </c>
      <c r="G179" s="82">
        <v>8027</v>
      </c>
      <c r="H179" s="5" t="s">
        <v>4114</v>
      </c>
      <c r="I179" s="16" t="s">
        <v>586</v>
      </c>
      <c r="J179" s="330">
        <v>25.69</v>
      </c>
      <c r="K179" s="330">
        <v>6.13</v>
      </c>
      <c r="L179" s="330">
        <v>51.39</v>
      </c>
      <c r="N179" s="325">
        <f t="shared" si="274"/>
        <v>83.210000000000008</v>
      </c>
      <c r="S179" s="330">
        <v>0.63</v>
      </c>
      <c r="T179" s="34">
        <v>1.19</v>
      </c>
      <c r="V179" s="97">
        <v>3.24</v>
      </c>
      <c r="W179" s="36">
        <v>72.5</v>
      </c>
      <c r="X179" s="45">
        <v>66</v>
      </c>
      <c r="Y179" s="15">
        <f t="shared" si="275"/>
        <v>6.5</v>
      </c>
      <c r="Z179" s="64">
        <f t="shared" si="276"/>
        <v>9.8484848484848481E-2</v>
      </c>
      <c r="AA179" s="102" t="s">
        <v>4151</v>
      </c>
      <c r="AB179" s="16" t="s">
        <v>586</v>
      </c>
      <c r="AC179" s="86">
        <v>44393</v>
      </c>
      <c r="AD179" s="88">
        <v>44404</v>
      </c>
      <c r="AE179" s="33">
        <f t="shared" si="277"/>
        <v>11</v>
      </c>
      <c r="AF179" s="43" t="s">
        <v>3417</v>
      </c>
      <c r="AG179" s="128"/>
      <c r="AH179" s="269"/>
      <c r="AI179" s="201"/>
      <c r="AJ179" s="314"/>
    </row>
    <row r="180" spans="1:37">
      <c r="A180" s="148" t="s">
        <v>1852</v>
      </c>
      <c r="B180" s="82">
        <v>-99</v>
      </c>
      <c r="C180" s="95">
        <v>1351</v>
      </c>
      <c r="D180" s="82">
        <v>-5</v>
      </c>
      <c r="E180" s="81">
        <v>4</v>
      </c>
      <c r="F180" s="6">
        <v>3.95</v>
      </c>
      <c r="G180" s="81">
        <v>8033</v>
      </c>
      <c r="H180" s="5" t="s">
        <v>2303</v>
      </c>
      <c r="I180" s="22" t="s">
        <v>734</v>
      </c>
      <c r="J180" s="75">
        <v>19.600000000000001</v>
      </c>
      <c r="K180" s="330">
        <v>0.66</v>
      </c>
      <c r="N180" s="325">
        <f t="shared" si="274"/>
        <v>20.260000000000002</v>
      </c>
      <c r="T180" s="34">
        <v>0</v>
      </c>
      <c r="V180" s="97">
        <v>-0.11</v>
      </c>
      <c r="W180" s="36">
        <v>14.4</v>
      </c>
      <c r="X180" s="67">
        <v>12.2</v>
      </c>
      <c r="Y180" s="15">
        <f t="shared" si="275"/>
        <v>2.2000000000000011</v>
      </c>
      <c r="Z180" s="64">
        <f t="shared" si="276"/>
        <v>0.18032786885245911</v>
      </c>
      <c r="AA180" s="102" t="s">
        <v>4142</v>
      </c>
      <c r="AB180" s="22" t="s">
        <v>734</v>
      </c>
      <c r="AC180" s="86">
        <v>44385</v>
      </c>
      <c r="AD180" s="88">
        <v>44396</v>
      </c>
      <c r="AE180" s="33">
        <f t="shared" si="277"/>
        <v>11</v>
      </c>
      <c r="AF180" s="43" t="s">
        <v>2678</v>
      </c>
      <c r="AG180" s="128"/>
      <c r="AH180" s="22"/>
    </row>
    <row r="181" spans="1:37">
      <c r="A181" s="132" t="s">
        <v>4128</v>
      </c>
      <c r="B181" s="81">
        <v>290</v>
      </c>
      <c r="C181" s="81">
        <v>299</v>
      </c>
      <c r="D181" s="82">
        <v>-20</v>
      </c>
      <c r="E181" s="82">
        <v>-13</v>
      </c>
      <c r="F181" s="58">
        <v>70.2</v>
      </c>
      <c r="G181" s="81">
        <v>6026</v>
      </c>
      <c r="H181" s="17" t="s">
        <v>322</v>
      </c>
      <c r="I181" s="16" t="s">
        <v>369</v>
      </c>
      <c r="J181" s="330">
        <v>48.08</v>
      </c>
      <c r="K181" s="75">
        <v>5.66</v>
      </c>
      <c r="L181" s="75">
        <v>23.18</v>
      </c>
      <c r="N181" s="325">
        <f t="shared" si="274"/>
        <v>76.919999999999987</v>
      </c>
      <c r="S181" s="330">
        <v>1</v>
      </c>
      <c r="T181" s="34">
        <v>0.8</v>
      </c>
      <c r="V181" s="97">
        <v>2.96</v>
      </c>
      <c r="W181" s="36">
        <v>17.8</v>
      </c>
      <c r="X181" s="45">
        <v>13.5</v>
      </c>
      <c r="Y181" s="15">
        <f t="shared" si="275"/>
        <v>4.3000000000000007</v>
      </c>
      <c r="Z181" s="64">
        <f t="shared" si="276"/>
        <v>0.31851851851851859</v>
      </c>
      <c r="AA181" s="102" t="s">
        <v>4120</v>
      </c>
      <c r="AB181" s="16" t="s">
        <v>369</v>
      </c>
      <c r="AC181" s="86">
        <v>44371</v>
      </c>
      <c r="AD181" s="88">
        <v>44382</v>
      </c>
      <c r="AE181" s="33">
        <f t="shared" si="277"/>
        <v>11</v>
      </c>
      <c r="AF181" s="43" t="s">
        <v>2681</v>
      </c>
      <c r="AG181" s="128"/>
      <c r="AH181" s="16"/>
    </row>
    <row r="182" spans="1:37">
      <c r="A182" s="148" t="s">
        <v>1673</v>
      </c>
      <c r="B182" s="81">
        <v>63</v>
      </c>
      <c r="C182" s="81">
        <v>84</v>
      </c>
      <c r="D182" s="82">
        <v>-5</v>
      </c>
      <c r="E182" s="81">
        <v>18</v>
      </c>
      <c r="F182" s="6">
        <v>-1.84</v>
      </c>
      <c r="G182" s="81">
        <v>8932</v>
      </c>
      <c r="H182" s="8" t="s">
        <v>2303</v>
      </c>
      <c r="I182" s="16" t="s">
        <v>712</v>
      </c>
      <c r="J182" s="75">
        <v>51.26</v>
      </c>
      <c r="K182" s="75">
        <v>17.71</v>
      </c>
      <c r="N182" s="325">
        <f t="shared" si="274"/>
        <v>68.97</v>
      </c>
      <c r="T182" s="34">
        <v>0</v>
      </c>
      <c r="V182" s="58">
        <v>-0.67</v>
      </c>
      <c r="W182" s="36">
        <v>19.05</v>
      </c>
      <c r="X182" s="67">
        <v>18</v>
      </c>
      <c r="Y182" s="15">
        <f t="shared" si="275"/>
        <v>1.0500000000000007</v>
      </c>
      <c r="Z182" s="64">
        <f t="shared" si="276"/>
        <v>5.8333333333333376E-2</v>
      </c>
      <c r="AA182" s="102" t="s">
        <v>4105</v>
      </c>
      <c r="AB182" s="16" t="s">
        <v>712</v>
      </c>
      <c r="AC182" s="86">
        <v>44356</v>
      </c>
      <c r="AD182" s="88">
        <v>44368</v>
      </c>
      <c r="AE182" s="33">
        <f t="shared" si="277"/>
        <v>12</v>
      </c>
      <c r="AF182" s="43" t="s">
        <v>3007</v>
      </c>
      <c r="AG182" s="128"/>
      <c r="AH182" s="16"/>
    </row>
    <row r="183" spans="1:37">
      <c r="A183" s="148" t="s">
        <v>4102</v>
      </c>
      <c r="B183" s="81">
        <v>275</v>
      </c>
      <c r="C183" s="81">
        <v>79</v>
      </c>
      <c r="D183" s="82">
        <v>-4</v>
      </c>
      <c r="E183" s="81">
        <v>26</v>
      </c>
      <c r="F183" s="6">
        <v>6.43</v>
      </c>
      <c r="G183" s="81">
        <v>2250</v>
      </c>
      <c r="H183" s="8" t="s">
        <v>319</v>
      </c>
      <c r="I183" s="22" t="s">
        <v>4106</v>
      </c>
      <c r="J183" s="75">
        <v>60.04</v>
      </c>
      <c r="K183" s="330">
        <v>5.78</v>
      </c>
      <c r="N183" s="325">
        <f t="shared" si="274"/>
        <v>65.819999999999993</v>
      </c>
      <c r="T183" s="34">
        <v>3.68</v>
      </c>
      <c r="V183" s="97"/>
      <c r="W183" s="36">
        <v>190</v>
      </c>
      <c r="X183" s="67">
        <v>76</v>
      </c>
      <c r="Y183" s="15">
        <f t="shared" si="275"/>
        <v>114</v>
      </c>
      <c r="Z183" s="155">
        <f t="shared" si="276"/>
        <v>1.5</v>
      </c>
      <c r="AA183" s="102" t="s">
        <v>4101</v>
      </c>
      <c r="AB183" s="22" t="s">
        <v>4106</v>
      </c>
      <c r="AC183" s="86">
        <v>44347</v>
      </c>
      <c r="AD183" s="88">
        <v>44357</v>
      </c>
      <c r="AE183" s="33">
        <f t="shared" si="277"/>
        <v>10</v>
      </c>
      <c r="AF183" s="43" t="s">
        <v>4103</v>
      </c>
      <c r="AG183" s="128"/>
      <c r="AH183" s="22"/>
    </row>
    <row r="184" spans="1:37">
      <c r="A184" s="132" t="s">
        <v>1899</v>
      </c>
      <c r="B184" s="81">
        <v>29</v>
      </c>
      <c r="C184" s="81">
        <v>56</v>
      </c>
      <c r="D184" s="82">
        <v>-10</v>
      </c>
      <c r="E184" s="81">
        <v>16</v>
      </c>
      <c r="F184" s="58">
        <v>27.97</v>
      </c>
      <c r="G184" s="81">
        <v>6741</v>
      </c>
      <c r="H184" s="151" t="s">
        <v>356</v>
      </c>
      <c r="I184" s="16" t="s">
        <v>4084</v>
      </c>
      <c r="J184" s="330">
        <v>75.8</v>
      </c>
      <c r="K184" s="330">
        <v>62.32</v>
      </c>
      <c r="N184" s="325">
        <f t="shared" si="274"/>
        <v>138.12</v>
      </c>
      <c r="T184" s="71"/>
      <c r="V184" s="97"/>
      <c r="W184" s="36">
        <v>167.5</v>
      </c>
      <c r="X184" s="67">
        <v>66</v>
      </c>
      <c r="Y184" s="15">
        <f t="shared" si="275"/>
        <v>101.5</v>
      </c>
      <c r="Z184" s="155">
        <f t="shared" si="276"/>
        <v>1.5378787878787878</v>
      </c>
      <c r="AA184" s="102" t="s">
        <v>3716</v>
      </c>
      <c r="AB184" s="16" t="s">
        <v>4084</v>
      </c>
      <c r="AC184" s="86">
        <v>44341</v>
      </c>
      <c r="AD184" s="88">
        <v>44351</v>
      </c>
      <c r="AE184" s="33">
        <f t="shared" si="277"/>
        <v>10</v>
      </c>
      <c r="AF184" s="43" t="s">
        <v>4091</v>
      </c>
      <c r="AG184" s="244"/>
      <c r="AH184" s="16"/>
    </row>
    <row r="185" spans="1:37">
      <c r="A185" s="148" t="s">
        <v>1827</v>
      </c>
      <c r="B185" s="82">
        <v>-194</v>
      </c>
      <c r="C185" s="82">
        <v>-48</v>
      </c>
      <c r="D185" s="82">
        <v>-1</v>
      </c>
      <c r="E185" s="82">
        <v>-3</v>
      </c>
      <c r="F185" s="6">
        <v>1.82</v>
      </c>
      <c r="G185" s="82">
        <v>2358</v>
      </c>
      <c r="H185" s="8" t="s">
        <v>2303</v>
      </c>
      <c r="I185" s="22" t="s">
        <v>723</v>
      </c>
      <c r="J185" s="75">
        <v>35.56</v>
      </c>
      <c r="K185" s="330">
        <v>0.79</v>
      </c>
      <c r="L185" s="75">
        <v>24.74</v>
      </c>
      <c r="N185" s="325">
        <f t="shared" si="274"/>
        <v>61.09</v>
      </c>
      <c r="S185" s="330">
        <v>0.38</v>
      </c>
      <c r="T185" s="34">
        <v>0.1</v>
      </c>
      <c r="V185" s="97">
        <v>0.04</v>
      </c>
      <c r="W185" s="36">
        <v>14.2</v>
      </c>
      <c r="X185" s="45">
        <v>13.5</v>
      </c>
      <c r="Y185" s="15">
        <f t="shared" si="275"/>
        <v>0.69999999999999929</v>
      </c>
      <c r="Z185" s="64">
        <f t="shared" si="276"/>
        <v>5.1851851851851802E-2</v>
      </c>
      <c r="AA185" s="102" t="s">
        <v>2122</v>
      </c>
      <c r="AB185" s="22" t="s">
        <v>723</v>
      </c>
      <c r="AC185" s="86">
        <v>44341</v>
      </c>
      <c r="AD185" s="88">
        <v>44351</v>
      </c>
      <c r="AE185" s="33">
        <f t="shared" si="277"/>
        <v>10</v>
      </c>
      <c r="AF185" s="43" t="s">
        <v>3339</v>
      </c>
      <c r="AG185" s="128"/>
      <c r="AH185" s="22"/>
    </row>
    <row r="186" spans="1:37">
      <c r="A186" s="148" t="s">
        <v>2213</v>
      </c>
      <c r="B186" s="82">
        <v>-22</v>
      </c>
      <c r="C186" s="81">
        <v>41</v>
      </c>
      <c r="D186" s="81">
        <v>379</v>
      </c>
      <c r="E186" s="81">
        <v>155</v>
      </c>
      <c r="F186" s="6">
        <v>-15.62</v>
      </c>
      <c r="G186" s="81">
        <v>8171</v>
      </c>
      <c r="H186" s="8" t="s">
        <v>331</v>
      </c>
      <c r="I186" s="16" t="s">
        <v>555</v>
      </c>
      <c r="J186" s="75">
        <v>27.51</v>
      </c>
      <c r="K186" s="75">
        <v>1.63</v>
      </c>
      <c r="L186" s="75">
        <v>72.73</v>
      </c>
      <c r="N186" s="325">
        <f t="shared" si="274"/>
        <v>101.87</v>
      </c>
      <c r="S186" s="330">
        <v>4.09</v>
      </c>
      <c r="T186" s="34">
        <v>0</v>
      </c>
      <c r="V186" s="97">
        <v>-1.42</v>
      </c>
      <c r="W186" s="36">
        <v>53.6</v>
      </c>
      <c r="X186" s="45">
        <v>45</v>
      </c>
      <c r="Y186" s="15">
        <f t="shared" si="275"/>
        <v>8.6000000000000014</v>
      </c>
      <c r="Z186" s="64">
        <f t="shared" si="276"/>
        <v>0.19111111111111115</v>
      </c>
      <c r="AA186" s="102" t="s">
        <v>2804</v>
      </c>
      <c r="AB186" s="16" t="s">
        <v>555</v>
      </c>
      <c r="AC186" s="86">
        <v>44336</v>
      </c>
      <c r="AD186" s="88">
        <v>44347</v>
      </c>
      <c r="AE186" s="33">
        <f t="shared" si="277"/>
        <v>11</v>
      </c>
      <c r="AF186" s="43" t="s">
        <v>3076</v>
      </c>
      <c r="AG186" s="244"/>
      <c r="AH186" s="16"/>
    </row>
    <row r="187" spans="1:37">
      <c r="A187" s="148" t="s">
        <v>1749</v>
      </c>
      <c r="B187" s="81">
        <v>53</v>
      </c>
      <c r="C187" s="81">
        <v>24</v>
      </c>
      <c r="D187" s="81">
        <v>24</v>
      </c>
      <c r="E187" s="82">
        <v>-41</v>
      </c>
      <c r="F187" s="6">
        <v>-34.18</v>
      </c>
      <c r="G187" s="81">
        <v>3631</v>
      </c>
      <c r="H187" s="8" t="s">
        <v>327</v>
      </c>
      <c r="I187" s="16" t="s">
        <v>439</v>
      </c>
      <c r="J187" s="75">
        <v>80.17</v>
      </c>
      <c r="K187" s="330">
        <v>14.88</v>
      </c>
      <c r="L187" s="75">
        <v>35.33</v>
      </c>
      <c r="N187" s="325">
        <f t="shared" si="274"/>
        <v>130.38</v>
      </c>
      <c r="S187" s="330">
        <v>0.44</v>
      </c>
      <c r="T187" s="34">
        <v>0</v>
      </c>
      <c r="V187" s="58">
        <v>-0.04</v>
      </c>
      <c r="W187" s="36">
        <v>49.55</v>
      </c>
      <c r="X187" s="45">
        <v>50</v>
      </c>
      <c r="Y187" s="15">
        <f t="shared" si="275"/>
        <v>-0.45000000000000284</v>
      </c>
      <c r="Z187" s="78">
        <f t="shared" si="276"/>
        <v>-9.0000000000000566E-3</v>
      </c>
      <c r="AA187" s="103" t="s">
        <v>4075</v>
      </c>
      <c r="AB187" s="16" t="s">
        <v>439</v>
      </c>
      <c r="AC187" s="86">
        <v>44335</v>
      </c>
      <c r="AD187" s="88">
        <v>44347</v>
      </c>
      <c r="AE187" s="33">
        <f t="shared" si="277"/>
        <v>12</v>
      </c>
      <c r="AF187" s="43" t="s">
        <v>2929</v>
      </c>
      <c r="AG187" s="244"/>
      <c r="AH187" s="16"/>
    </row>
    <row r="188" spans="1:37">
      <c r="A188" s="148" t="s">
        <v>4031</v>
      </c>
      <c r="B188" s="81">
        <v>115</v>
      </c>
      <c r="C188" s="81">
        <v>90</v>
      </c>
      <c r="D188" s="82">
        <v>-19</v>
      </c>
      <c r="E188" s="81">
        <v>79</v>
      </c>
      <c r="F188" s="6">
        <v>1.79</v>
      </c>
      <c r="G188" s="81">
        <v>8112</v>
      </c>
      <c r="H188" s="8" t="s">
        <v>3967</v>
      </c>
      <c r="I188" s="22" t="s">
        <v>132</v>
      </c>
      <c r="J188" s="75">
        <v>32.79</v>
      </c>
      <c r="K188" s="330">
        <v>22.37</v>
      </c>
      <c r="L188" s="75">
        <v>7.65</v>
      </c>
      <c r="N188" s="325">
        <f t="shared" si="274"/>
        <v>62.809999999999995</v>
      </c>
      <c r="S188" s="330">
        <v>0.05</v>
      </c>
      <c r="T188" s="67">
        <v>3</v>
      </c>
      <c r="V188" s="97">
        <v>5.07</v>
      </c>
      <c r="W188" s="36">
        <v>39.75</v>
      </c>
      <c r="X188" s="67">
        <v>32</v>
      </c>
      <c r="Y188" s="15">
        <f t="shared" si="275"/>
        <v>7.75</v>
      </c>
      <c r="Z188" s="64">
        <f t="shared" si="276"/>
        <v>0.2421875</v>
      </c>
      <c r="AA188" s="102" t="s">
        <v>4067</v>
      </c>
      <c r="AB188" s="22" t="s">
        <v>132</v>
      </c>
      <c r="AC188" s="86">
        <v>44334</v>
      </c>
      <c r="AD188" s="88">
        <v>44344</v>
      </c>
      <c r="AE188" s="33">
        <f t="shared" si="277"/>
        <v>10</v>
      </c>
      <c r="AF188" s="122" t="s">
        <v>2311</v>
      </c>
      <c r="AG188" s="244"/>
      <c r="AH188" s="22"/>
    </row>
    <row r="189" spans="1:37">
      <c r="A189" s="148" t="s">
        <v>4089</v>
      </c>
      <c r="B189" s="81">
        <v>33</v>
      </c>
      <c r="C189" s="81">
        <v>33</v>
      </c>
      <c r="D189" s="81">
        <v>39</v>
      </c>
      <c r="E189" s="81">
        <v>29</v>
      </c>
      <c r="F189" s="6">
        <v>-92.62</v>
      </c>
      <c r="G189" s="81">
        <v>6589</v>
      </c>
      <c r="H189" s="8" t="s">
        <v>328</v>
      </c>
      <c r="I189" s="16" t="s">
        <v>2055</v>
      </c>
      <c r="J189" s="330">
        <v>41.3</v>
      </c>
      <c r="K189" s="330">
        <v>3.26</v>
      </c>
      <c r="L189" s="330"/>
      <c r="N189" s="325">
        <f t="shared" si="274"/>
        <v>44.559999999999995</v>
      </c>
      <c r="T189" s="34">
        <v>0</v>
      </c>
      <c r="V189" s="97">
        <v>-4.66</v>
      </c>
      <c r="W189" s="36">
        <v>170</v>
      </c>
      <c r="X189" s="67">
        <v>91.5</v>
      </c>
      <c r="Y189" s="15">
        <f t="shared" si="275"/>
        <v>78.5</v>
      </c>
      <c r="Z189" s="64">
        <f t="shared" si="276"/>
        <v>0.85792349726775952</v>
      </c>
      <c r="AA189" s="102" t="s">
        <v>4054</v>
      </c>
      <c r="AB189" s="16" t="s">
        <v>2055</v>
      </c>
      <c r="AC189" s="86">
        <v>44330</v>
      </c>
      <c r="AD189" s="88">
        <v>44340</v>
      </c>
      <c r="AE189" s="33">
        <f t="shared" si="277"/>
        <v>10</v>
      </c>
      <c r="AF189" s="43" t="s">
        <v>2975</v>
      </c>
      <c r="AG189" s="244"/>
      <c r="AH189" s="16"/>
    </row>
    <row r="190" spans="1:37">
      <c r="A190" s="148" t="s">
        <v>3569</v>
      </c>
      <c r="B190" s="81">
        <v>396</v>
      </c>
      <c r="C190" s="81">
        <v>202</v>
      </c>
      <c r="D190" s="82">
        <v>-41</v>
      </c>
      <c r="E190" s="81">
        <v>546</v>
      </c>
      <c r="F190" s="6">
        <v>6.75</v>
      </c>
      <c r="G190" s="81">
        <v>1475</v>
      </c>
      <c r="H190" s="5" t="s">
        <v>312</v>
      </c>
      <c r="I190" s="22" t="s">
        <v>3697</v>
      </c>
      <c r="J190" s="75">
        <v>65.8</v>
      </c>
      <c r="K190" s="75">
        <v>0.25</v>
      </c>
      <c r="N190" s="325">
        <f t="shared" si="274"/>
        <v>66.05</v>
      </c>
      <c r="T190" s="34">
        <v>0</v>
      </c>
      <c r="V190" s="58">
        <v>0.86</v>
      </c>
      <c r="W190" s="36">
        <v>34</v>
      </c>
      <c r="X190" s="67">
        <v>26.8</v>
      </c>
      <c r="Y190" s="15">
        <f t="shared" si="275"/>
        <v>7.1999999999999993</v>
      </c>
      <c r="Z190" s="155">
        <f t="shared" si="276"/>
        <v>0.26865671641791039</v>
      </c>
      <c r="AA190" s="102" t="s">
        <v>2331</v>
      </c>
      <c r="AB190" s="22" t="s">
        <v>3697</v>
      </c>
      <c r="AC190" s="86">
        <v>44329</v>
      </c>
      <c r="AD190" s="88">
        <v>44340</v>
      </c>
      <c r="AE190" s="33">
        <f t="shared" si="277"/>
        <v>11</v>
      </c>
      <c r="AF190" s="43" t="s">
        <v>2907</v>
      </c>
      <c r="AG190" s="244"/>
      <c r="AH190" s="22"/>
    </row>
    <row r="191" spans="1:37">
      <c r="A191" s="148" t="s">
        <v>1844</v>
      </c>
      <c r="B191" s="81">
        <v>104</v>
      </c>
      <c r="C191" s="81">
        <v>96</v>
      </c>
      <c r="D191" s="82">
        <v>-8</v>
      </c>
      <c r="E191" s="81">
        <v>12</v>
      </c>
      <c r="F191" s="6">
        <v>-0.21</v>
      </c>
      <c r="G191" s="81">
        <v>8933</v>
      </c>
      <c r="H191" s="5" t="s">
        <v>2303</v>
      </c>
      <c r="I191" s="16" t="s">
        <v>713</v>
      </c>
      <c r="J191" s="330">
        <v>46.92</v>
      </c>
      <c r="K191" s="330">
        <v>1.4</v>
      </c>
      <c r="L191" s="330"/>
      <c r="N191" s="325">
        <f t="shared" si="274"/>
        <v>48.32</v>
      </c>
      <c r="T191" s="34">
        <v>0</v>
      </c>
      <c r="V191" s="97">
        <v>0.05</v>
      </c>
      <c r="W191" s="36">
        <v>14.4</v>
      </c>
      <c r="X191" s="67">
        <v>10.199999999999999</v>
      </c>
      <c r="Y191" s="15">
        <f t="shared" si="275"/>
        <v>4.2000000000000011</v>
      </c>
      <c r="Z191" s="64">
        <f t="shared" si="276"/>
        <v>0.41176470588235309</v>
      </c>
      <c r="AA191" s="102" t="s">
        <v>4025</v>
      </c>
      <c r="AB191" s="16" t="s">
        <v>713</v>
      </c>
      <c r="AC191" s="86">
        <v>44315</v>
      </c>
      <c r="AD191" s="88">
        <v>44326</v>
      </c>
      <c r="AE191" s="33">
        <f t="shared" si="277"/>
        <v>11</v>
      </c>
      <c r="AF191" s="43" t="s">
        <v>2892</v>
      </c>
      <c r="AG191" s="244"/>
      <c r="AH191" s="16"/>
    </row>
    <row r="192" spans="1:37">
      <c r="A192" s="132" t="s">
        <v>1856</v>
      </c>
      <c r="B192" s="81">
        <v>61</v>
      </c>
      <c r="C192" s="81">
        <v>61</v>
      </c>
      <c r="D192" s="82">
        <v>-2</v>
      </c>
      <c r="E192" s="81">
        <v>25</v>
      </c>
      <c r="F192" s="58">
        <v>18.36</v>
      </c>
      <c r="G192" s="82">
        <v>3357</v>
      </c>
      <c r="H192" s="5" t="s">
        <v>327</v>
      </c>
      <c r="I192" s="16" t="s">
        <v>3985</v>
      </c>
      <c r="J192" s="75">
        <v>45.5</v>
      </c>
      <c r="K192" s="75">
        <v>10.62</v>
      </c>
      <c r="N192" s="325">
        <f t="shared" si="274"/>
        <v>56.12</v>
      </c>
      <c r="T192" s="67">
        <v>4.0999999999999996</v>
      </c>
      <c r="V192" s="97">
        <v>9.0399999999999991</v>
      </c>
      <c r="W192" s="36">
        <v>146</v>
      </c>
      <c r="X192" s="67">
        <v>118.78</v>
      </c>
      <c r="Y192" s="15">
        <f t="shared" si="275"/>
        <v>27.22</v>
      </c>
      <c r="Z192" s="64">
        <f t="shared" si="276"/>
        <v>0.22916315878093954</v>
      </c>
      <c r="AA192" s="102" t="s">
        <v>4023</v>
      </c>
      <c r="AB192" s="16" t="s">
        <v>3985</v>
      </c>
      <c r="AC192" s="86">
        <v>44313</v>
      </c>
      <c r="AD192" s="88">
        <v>44323</v>
      </c>
      <c r="AE192" s="33">
        <f t="shared" si="277"/>
        <v>10</v>
      </c>
      <c r="AF192" s="43" t="s">
        <v>3986</v>
      </c>
      <c r="AG192" s="244"/>
      <c r="AH192" s="16"/>
      <c r="AK192" s="48"/>
    </row>
    <row r="193" spans="1:37">
      <c r="A193" s="148" t="s">
        <v>2316</v>
      </c>
      <c r="B193" s="82">
        <v>-60</v>
      </c>
      <c r="C193" s="82">
        <v>-50</v>
      </c>
      <c r="D193" s="81">
        <v>28</v>
      </c>
      <c r="E193" s="81">
        <v>2</v>
      </c>
      <c r="F193" s="6">
        <v>5.84</v>
      </c>
      <c r="G193" s="81">
        <v>6768</v>
      </c>
      <c r="H193" s="5" t="s">
        <v>2303</v>
      </c>
      <c r="I193" s="22" t="s">
        <v>3960</v>
      </c>
      <c r="J193" s="330">
        <v>87.31</v>
      </c>
      <c r="K193" s="75">
        <v>75.989999999999995</v>
      </c>
      <c r="N193" s="325">
        <f t="shared" si="274"/>
        <v>163.30000000000001</v>
      </c>
      <c r="T193" s="67">
        <v>3.38</v>
      </c>
      <c r="V193" s="58" t="s">
        <v>4029</v>
      </c>
      <c r="W193" s="36">
        <v>70</v>
      </c>
      <c r="X193" s="67">
        <v>49</v>
      </c>
      <c r="Y193" s="15">
        <f t="shared" si="275"/>
        <v>21</v>
      </c>
      <c r="Z193" s="64">
        <f t="shared" si="276"/>
        <v>0.42857142857142855</v>
      </c>
      <c r="AA193" s="102" t="s">
        <v>4005</v>
      </c>
      <c r="AB193" s="22" t="s">
        <v>3960</v>
      </c>
      <c r="AC193" s="86">
        <v>44308</v>
      </c>
      <c r="AD193" s="88">
        <v>44319</v>
      </c>
      <c r="AE193" s="33">
        <f t="shared" si="277"/>
        <v>11</v>
      </c>
      <c r="AF193" s="43" t="s">
        <v>3961</v>
      </c>
      <c r="AG193" s="373"/>
      <c r="AH193" s="22"/>
      <c r="AK193" s="48"/>
    </row>
    <row r="194" spans="1:37">
      <c r="A194" s="132" t="s">
        <v>2401</v>
      </c>
      <c r="B194" s="81">
        <v>5</v>
      </c>
      <c r="C194" s="81">
        <v>14</v>
      </c>
      <c r="D194" s="81">
        <v>29</v>
      </c>
      <c r="E194" s="81">
        <v>102</v>
      </c>
      <c r="F194" s="58">
        <v>16.41</v>
      </c>
      <c r="G194" s="81">
        <v>2211</v>
      </c>
      <c r="H194" s="5" t="s">
        <v>3816</v>
      </c>
      <c r="I194" s="22" t="s">
        <v>3832</v>
      </c>
      <c r="J194" s="330">
        <v>83.71</v>
      </c>
      <c r="K194" s="330">
        <v>0.53</v>
      </c>
      <c r="N194" s="325">
        <f t="shared" si="274"/>
        <v>84.24</v>
      </c>
      <c r="T194" s="34">
        <v>2.2000000000000002</v>
      </c>
      <c r="V194" s="58">
        <f t="shared" ref="V194:V225" si="278">T194/W194</f>
        <v>3.3333333333333333E-2</v>
      </c>
      <c r="W194" s="36">
        <v>66</v>
      </c>
      <c r="X194" s="67">
        <v>41</v>
      </c>
      <c r="Y194" s="15">
        <f t="shared" si="275"/>
        <v>25</v>
      </c>
      <c r="Z194" s="64">
        <f t="shared" si="276"/>
        <v>0.6097560975609756</v>
      </c>
      <c r="AA194" s="102" t="s">
        <v>3968</v>
      </c>
      <c r="AB194" s="22" t="s">
        <v>3832</v>
      </c>
      <c r="AC194" s="86">
        <v>44298</v>
      </c>
      <c r="AD194" s="88">
        <v>44308</v>
      </c>
      <c r="AE194" s="33">
        <f t="shared" si="277"/>
        <v>10</v>
      </c>
      <c r="AF194" s="43" t="s">
        <v>3833</v>
      </c>
      <c r="AG194" s="373"/>
      <c r="AH194" s="22"/>
    </row>
    <row r="195" spans="1:37">
      <c r="A195" s="148" t="s">
        <v>2638</v>
      </c>
      <c r="B195" s="81">
        <v>54</v>
      </c>
      <c r="C195" s="81">
        <v>41</v>
      </c>
      <c r="D195" s="82">
        <v>-7</v>
      </c>
      <c r="E195" s="82">
        <v>-7</v>
      </c>
      <c r="F195" s="6">
        <v>1.02</v>
      </c>
      <c r="G195" s="81">
        <v>6776</v>
      </c>
      <c r="H195" s="5" t="s">
        <v>3967</v>
      </c>
      <c r="I195" s="22" t="s">
        <v>3817</v>
      </c>
      <c r="J195" s="330">
        <v>73.010000000000005</v>
      </c>
      <c r="K195" s="330">
        <v>7.0000000000000007E-2</v>
      </c>
      <c r="N195" s="325">
        <f t="shared" si="274"/>
        <v>73.08</v>
      </c>
      <c r="T195" s="34">
        <v>2</v>
      </c>
      <c r="V195" s="58">
        <f t="shared" si="278"/>
        <v>3.937007874015748E-2</v>
      </c>
      <c r="W195" s="36">
        <v>50.8</v>
      </c>
      <c r="X195" s="67">
        <v>25</v>
      </c>
      <c r="Y195" s="15">
        <f t="shared" si="275"/>
        <v>25.799999999999997</v>
      </c>
      <c r="Z195" s="155">
        <f t="shared" si="276"/>
        <v>1.0319999999999998</v>
      </c>
      <c r="AA195" s="102" t="s">
        <v>3892</v>
      </c>
      <c r="AB195" s="22" t="s">
        <v>3817</v>
      </c>
      <c r="AC195" s="86">
        <v>44286</v>
      </c>
      <c r="AD195" s="88">
        <v>44298</v>
      </c>
      <c r="AE195" s="33">
        <f t="shared" si="277"/>
        <v>12</v>
      </c>
      <c r="AF195" s="43" t="s">
        <v>1100</v>
      </c>
      <c r="AG195" s="373"/>
      <c r="AH195" s="22"/>
    </row>
    <row r="196" spans="1:37">
      <c r="A196" s="148" t="s">
        <v>3796</v>
      </c>
      <c r="B196" s="81">
        <v>11</v>
      </c>
      <c r="C196" s="82">
        <v>-11</v>
      </c>
      <c r="D196" s="82">
        <v>-15</v>
      </c>
      <c r="E196" s="82">
        <v>-28</v>
      </c>
      <c r="F196" s="6">
        <v>-7.54</v>
      </c>
      <c r="G196" s="82">
        <v>2208</v>
      </c>
      <c r="H196" s="5" t="s">
        <v>320</v>
      </c>
      <c r="I196" s="22" t="s">
        <v>99</v>
      </c>
      <c r="J196" s="330">
        <v>53.32</v>
      </c>
      <c r="K196" s="330">
        <v>4.3499999999999996</v>
      </c>
      <c r="L196" s="75">
        <v>6.34</v>
      </c>
      <c r="N196" s="325">
        <f t="shared" si="274"/>
        <v>64.010000000000005</v>
      </c>
      <c r="S196" s="330">
        <v>0.02</v>
      </c>
      <c r="T196" s="71">
        <v>0</v>
      </c>
      <c r="V196" s="58">
        <f t="shared" si="278"/>
        <v>0</v>
      </c>
      <c r="W196" s="36">
        <v>22.3</v>
      </c>
      <c r="X196" s="67">
        <v>17.5</v>
      </c>
      <c r="Y196" s="15">
        <f t="shared" si="275"/>
        <v>4.8000000000000007</v>
      </c>
      <c r="Z196" s="64">
        <f t="shared" si="276"/>
        <v>0.2742857142857143</v>
      </c>
      <c r="AA196" s="102" t="s">
        <v>2792</v>
      </c>
      <c r="AB196" s="22" t="s">
        <v>99</v>
      </c>
      <c r="AC196" s="86">
        <v>44286</v>
      </c>
      <c r="AD196" s="88">
        <v>44298</v>
      </c>
      <c r="AE196" s="33">
        <f t="shared" si="277"/>
        <v>12</v>
      </c>
      <c r="AF196" s="122" t="s">
        <v>3966</v>
      </c>
      <c r="AG196" s="373"/>
      <c r="AH196" s="22"/>
    </row>
    <row r="197" spans="1:37">
      <c r="A197" s="132" t="s">
        <v>3570</v>
      </c>
      <c r="B197" s="81">
        <v>218</v>
      </c>
      <c r="C197" s="81">
        <v>210</v>
      </c>
      <c r="D197" s="81">
        <v>62</v>
      </c>
      <c r="E197" s="81">
        <v>54</v>
      </c>
      <c r="F197" s="58">
        <v>28.79</v>
      </c>
      <c r="G197" s="81">
        <v>5215</v>
      </c>
      <c r="H197" s="206" t="s">
        <v>1212</v>
      </c>
      <c r="I197" s="22" t="s">
        <v>500</v>
      </c>
      <c r="J197" s="330">
        <v>46.62</v>
      </c>
      <c r="K197" s="330">
        <v>25.65</v>
      </c>
      <c r="L197" s="75">
        <v>27.48</v>
      </c>
      <c r="N197" s="325">
        <f t="shared" si="274"/>
        <v>99.75</v>
      </c>
      <c r="S197" s="330">
        <v>0.12</v>
      </c>
      <c r="T197" s="34">
        <v>8.67</v>
      </c>
      <c r="V197" s="97">
        <f t="shared" si="278"/>
        <v>5.9587628865979382E-2</v>
      </c>
      <c r="W197" s="36">
        <v>145.5</v>
      </c>
      <c r="X197" s="45">
        <v>105</v>
      </c>
      <c r="Y197" s="15">
        <f t="shared" si="275"/>
        <v>40.5</v>
      </c>
      <c r="Z197" s="64">
        <f t="shared" si="276"/>
        <v>0.38571428571428573</v>
      </c>
      <c r="AA197" s="102" t="s">
        <v>3835</v>
      </c>
      <c r="AB197" s="22" t="s">
        <v>500</v>
      </c>
      <c r="AC197" s="86">
        <v>44285</v>
      </c>
      <c r="AD197" s="88">
        <v>44295</v>
      </c>
      <c r="AE197" s="33">
        <f t="shared" si="277"/>
        <v>10</v>
      </c>
      <c r="AF197" s="43" t="s">
        <v>2801</v>
      </c>
      <c r="AG197" s="373"/>
      <c r="AH197" s="22"/>
    </row>
    <row r="198" spans="1:37">
      <c r="A198" s="132" t="s">
        <v>1975</v>
      </c>
      <c r="B198" s="81">
        <v>7</v>
      </c>
      <c r="C198" s="81">
        <v>7</v>
      </c>
      <c r="D198" s="81">
        <v>45</v>
      </c>
      <c r="E198" s="81">
        <v>12</v>
      </c>
      <c r="F198" s="58">
        <v>10.7</v>
      </c>
      <c r="G198" s="81">
        <v>1477</v>
      </c>
      <c r="H198" s="8" t="s">
        <v>3910</v>
      </c>
      <c r="I198" s="22" t="s">
        <v>137</v>
      </c>
      <c r="J198" s="75">
        <v>55.83</v>
      </c>
      <c r="K198" s="330">
        <v>30.44</v>
      </c>
      <c r="L198" s="330">
        <v>2.66</v>
      </c>
      <c r="N198" s="325">
        <f t="shared" si="274"/>
        <v>88.929999999999993</v>
      </c>
      <c r="S198" s="330">
        <v>0.13</v>
      </c>
      <c r="T198" s="34">
        <v>8</v>
      </c>
      <c r="V198" s="58">
        <f t="shared" si="278"/>
        <v>3.292181069958848E-2</v>
      </c>
      <c r="W198" s="36">
        <v>243</v>
      </c>
      <c r="X198" s="67">
        <v>136</v>
      </c>
      <c r="Y198" s="15">
        <f t="shared" si="275"/>
        <v>107</v>
      </c>
      <c r="Z198" s="64">
        <f t="shared" si="276"/>
        <v>0.78676470588235292</v>
      </c>
      <c r="AA198" s="102" t="s">
        <v>3908</v>
      </c>
      <c r="AB198" s="22" t="s">
        <v>137</v>
      </c>
      <c r="AC198" s="86">
        <v>44279</v>
      </c>
      <c r="AD198" s="88">
        <v>44292</v>
      </c>
      <c r="AE198" s="33">
        <f t="shared" si="277"/>
        <v>13</v>
      </c>
      <c r="AF198" s="122" t="s">
        <v>2903</v>
      </c>
      <c r="AG198" s="373"/>
      <c r="AH198" s="22"/>
    </row>
    <row r="199" spans="1:37">
      <c r="A199" s="148" t="s">
        <v>3907</v>
      </c>
      <c r="B199" s="82">
        <v>-5</v>
      </c>
      <c r="C199" s="82">
        <v>-88</v>
      </c>
      <c r="D199" s="82">
        <v>-23</v>
      </c>
      <c r="E199" s="81">
        <v>166</v>
      </c>
      <c r="F199" s="6">
        <v>0.13</v>
      </c>
      <c r="G199" s="81">
        <v>3346</v>
      </c>
      <c r="H199" s="8" t="s">
        <v>3911</v>
      </c>
      <c r="I199" s="22" t="s">
        <v>612</v>
      </c>
      <c r="J199" s="330">
        <v>33.06</v>
      </c>
      <c r="K199" s="330">
        <v>6.14</v>
      </c>
      <c r="L199" s="75">
        <v>44.33</v>
      </c>
      <c r="N199" s="325">
        <f t="shared" si="274"/>
        <v>83.53</v>
      </c>
      <c r="S199" s="330">
        <v>11.95</v>
      </c>
      <c r="T199" s="71">
        <v>0</v>
      </c>
      <c r="V199" s="97">
        <f t="shared" si="278"/>
        <v>0</v>
      </c>
      <c r="W199" s="36">
        <v>64.099999999999994</v>
      </c>
      <c r="X199" s="45">
        <v>39</v>
      </c>
      <c r="Y199" s="15">
        <f t="shared" si="275"/>
        <v>25.099999999999994</v>
      </c>
      <c r="Z199" s="64">
        <f t="shared" si="276"/>
        <v>0.64358974358974341</v>
      </c>
      <c r="AA199" s="102" t="s">
        <v>3909</v>
      </c>
      <c r="AB199" s="22" t="s">
        <v>612</v>
      </c>
      <c r="AC199" s="86">
        <v>44278</v>
      </c>
      <c r="AD199" s="88">
        <v>44292</v>
      </c>
      <c r="AE199" s="33">
        <f t="shared" si="277"/>
        <v>14</v>
      </c>
      <c r="AF199" s="43" t="s">
        <v>2538</v>
      </c>
      <c r="AG199" s="373"/>
      <c r="AH199" s="22"/>
      <c r="AK199" s="48"/>
    </row>
    <row r="200" spans="1:37">
      <c r="A200" s="132" t="s">
        <v>3823</v>
      </c>
      <c r="B200" s="81">
        <v>49</v>
      </c>
      <c r="C200" s="81">
        <v>69</v>
      </c>
      <c r="D200" s="81">
        <v>32</v>
      </c>
      <c r="E200" s="81">
        <v>224</v>
      </c>
      <c r="F200" s="58">
        <v>19.45</v>
      </c>
      <c r="G200" s="81">
        <v>6781</v>
      </c>
      <c r="H200" s="8" t="s">
        <v>327</v>
      </c>
      <c r="I200" s="22" t="s">
        <v>3818</v>
      </c>
      <c r="J200" s="330">
        <v>77.16</v>
      </c>
      <c r="K200" s="75">
        <v>73</v>
      </c>
      <c r="L200" s="330"/>
      <c r="N200" s="325"/>
      <c r="T200" s="34">
        <v>5.3</v>
      </c>
      <c r="V200" s="58">
        <f t="shared" si="278"/>
        <v>8.3072100313479613E-3</v>
      </c>
      <c r="W200" s="13">
        <v>638</v>
      </c>
      <c r="X200" s="67">
        <v>168</v>
      </c>
      <c r="Y200" s="15">
        <f t="shared" ref="Y200:Y231" si="279">W200-X200</f>
        <v>470</v>
      </c>
      <c r="Z200" s="155">
        <f t="shared" ref="Z200:Z231" si="280">Y200/X200</f>
        <v>2.7976190476190474</v>
      </c>
      <c r="AA200" s="102" t="s">
        <v>3822</v>
      </c>
      <c r="AB200" s="22" t="s">
        <v>3818</v>
      </c>
      <c r="AC200" s="86">
        <v>44277</v>
      </c>
      <c r="AD200" s="88">
        <v>44287</v>
      </c>
      <c r="AE200" s="33">
        <f t="shared" ref="AE200:AE231" si="281">AD200-AC200</f>
        <v>10</v>
      </c>
      <c r="AF200" s="43" t="s">
        <v>3824</v>
      </c>
      <c r="AG200" s="373"/>
      <c r="AH200" s="22"/>
    </row>
    <row r="201" spans="1:37">
      <c r="A201" s="148" t="s">
        <v>3502</v>
      </c>
      <c r="B201" s="81">
        <v>88</v>
      </c>
      <c r="C201" s="81">
        <v>84</v>
      </c>
      <c r="D201" s="82">
        <v>-25</v>
      </c>
      <c r="E201" s="82">
        <v>-15</v>
      </c>
      <c r="F201" s="6">
        <v>-5.24</v>
      </c>
      <c r="G201" s="81">
        <v>5468</v>
      </c>
      <c r="H201" s="151" t="s">
        <v>3761</v>
      </c>
      <c r="I201" s="16" t="s">
        <v>398</v>
      </c>
      <c r="J201" s="330">
        <v>44.24</v>
      </c>
      <c r="K201" s="75">
        <v>0.28000000000000003</v>
      </c>
      <c r="N201" s="325">
        <f t="shared" ref="N201:N232" si="282">K201+J201+L201</f>
        <v>44.52</v>
      </c>
      <c r="T201" s="34">
        <v>0</v>
      </c>
      <c r="V201" s="97">
        <f t="shared" si="278"/>
        <v>0</v>
      </c>
      <c r="W201" s="36">
        <v>21.5</v>
      </c>
      <c r="X201" s="67">
        <v>10</v>
      </c>
      <c r="Y201" s="15">
        <f t="shared" si="279"/>
        <v>11.5</v>
      </c>
      <c r="Z201" s="155">
        <f t="shared" si="280"/>
        <v>1.1499999999999999</v>
      </c>
      <c r="AA201" s="102" t="s">
        <v>1757</v>
      </c>
      <c r="AB201" s="16" t="s">
        <v>398</v>
      </c>
      <c r="AC201" s="86">
        <v>44272</v>
      </c>
      <c r="AD201" s="88">
        <v>44284</v>
      </c>
      <c r="AE201" s="33">
        <f t="shared" si="281"/>
        <v>12</v>
      </c>
      <c r="AF201" s="43" t="s">
        <v>2881</v>
      </c>
      <c r="AG201" s="373"/>
      <c r="AH201" s="16"/>
    </row>
    <row r="202" spans="1:37">
      <c r="A202" s="148" t="s">
        <v>1872</v>
      </c>
      <c r="B202" s="81">
        <v>124</v>
      </c>
      <c r="C202" s="81">
        <v>122</v>
      </c>
      <c r="D202" s="82">
        <v>-86</v>
      </c>
      <c r="E202" s="82">
        <v>-15</v>
      </c>
      <c r="F202" s="6">
        <v>8.69</v>
      </c>
      <c r="G202" s="81">
        <v>4726</v>
      </c>
      <c r="H202" s="8" t="s">
        <v>328</v>
      </c>
      <c r="I202" s="16" t="s">
        <v>658</v>
      </c>
      <c r="J202" s="75">
        <v>40.51</v>
      </c>
      <c r="K202" s="75">
        <v>0.15</v>
      </c>
      <c r="N202" s="325">
        <f t="shared" si="282"/>
        <v>40.659999999999997</v>
      </c>
      <c r="T202" s="34">
        <v>0</v>
      </c>
      <c r="V202" s="97">
        <f t="shared" si="278"/>
        <v>0</v>
      </c>
      <c r="W202" s="36">
        <v>34.65</v>
      </c>
      <c r="X202" s="67">
        <v>30.5</v>
      </c>
      <c r="Y202" s="15">
        <f t="shared" si="279"/>
        <v>4.1499999999999986</v>
      </c>
      <c r="Z202" s="64">
        <f t="shared" si="280"/>
        <v>0.13606557377049175</v>
      </c>
      <c r="AA202" s="102" t="s">
        <v>3795</v>
      </c>
      <c r="AB202" s="16" t="s">
        <v>658</v>
      </c>
      <c r="AC202" s="86">
        <v>44271</v>
      </c>
      <c r="AD202" s="88">
        <v>44281</v>
      </c>
      <c r="AE202" s="33">
        <f t="shared" si="281"/>
        <v>10</v>
      </c>
      <c r="AF202" s="43" t="s">
        <v>3594</v>
      </c>
      <c r="AG202" s="373"/>
      <c r="AH202" s="16"/>
    </row>
    <row r="203" spans="1:37">
      <c r="A203" s="132" t="s">
        <v>1573</v>
      </c>
      <c r="B203" s="82">
        <v>-33</v>
      </c>
      <c r="C203" s="82">
        <v>-26</v>
      </c>
      <c r="D203" s="81">
        <v>5</v>
      </c>
      <c r="E203" s="81">
        <v>29</v>
      </c>
      <c r="F203" s="58">
        <v>10.95</v>
      </c>
      <c r="G203" s="81">
        <v>6706</v>
      </c>
      <c r="H203" s="8" t="s">
        <v>2167</v>
      </c>
      <c r="I203" s="22" t="s">
        <v>1981</v>
      </c>
      <c r="J203" s="75">
        <v>26.96</v>
      </c>
      <c r="K203" s="330">
        <v>10.23</v>
      </c>
      <c r="L203" s="330">
        <v>30.05</v>
      </c>
      <c r="N203" s="325">
        <f t="shared" si="282"/>
        <v>67.239999999999995</v>
      </c>
      <c r="S203" s="330">
        <v>0.71</v>
      </c>
      <c r="T203" s="34">
        <v>3.97</v>
      </c>
      <c r="V203" s="97">
        <f t="shared" si="278"/>
        <v>2.3491124260355031E-2</v>
      </c>
      <c r="W203" s="36">
        <v>169</v>
      </c>
      <c r="X203" s="45">
        <v>126</v>
      </c>
      <c r="Y203" s="15">
        <f t="shared" si="279"/>
        <v>43</v>
      </c>
      <c r="Z203" s="64">
        <f t="shared" si="280"/>
        <v>0.34126984126984128</v>
      </c>
      <c r="AA203" s="102" t="s">
        <v>3794</v>
      </c>
      <c r="AB203" s="22" t="s">
        <v>1981</v>
      </c>
      <c r="AC203" s="86">
        <v>44265</v>
      </c>
      <c r="AD203" s="88">
        <v>44277</v>
      </c>
      <c r="AE203" s="33">
        <f t="shared" si="281"/>
        <v>12</v>
      </c>
      <c r="AF203" s="124" t="s">
        <v>2146</v>
      </c>
      <c r="AG203" s="373"/>
      <c r="AH203" s="22"/>
      <c r="AK203" s="23"/>
    </row>
    <row r="204" spans="1:37">
      <c r="A204" s="132" t="s">
        <v>3066</v>
      </c>
      <c r="B204" s="81">
        <v>6</v>
      </c>
      <c r="C204" s="81">
        <v>5</v>
      </c>
      <c r="D204" s="81">
        <v>13</v>
      </c>
      <c r="E204" s="81">
        <v>59</v>
      </c>
      <c r="F204" s="58">
        <v>23.04</v>
      </c>
      <c r="G204" s="81">
        <v>6224</v>
      </c>
      <c r="H204" s="210" t="s">
        <v>327</v>
      </c>
      <c r="I204" s="22" t="s">
        <v>244</v>
      </c>
      <c r="J204" s="75">
        <v>28.54</v>
      </c>
      <c r="K204" s="330">
        <v>13.7</v>
      </c>
      <c r="L204" s="75">
        <v>20.13</v>
      </c>
      <c r="N204" s="325">
        <f t="shared" si="282"/>
        <v>62.36999999999999</v>
      </c>
      <c r="S204" s="330">
        <v>0.53</v>
      </c>
      <c r="T204" s="34">
        <v>4</v>
      </c>
      <c r="V204" s="97">
        <f t="shared" si="278"/>
        <v>3.3898305084745763E-2</v>
      </c>
      <c r="W204" s="36">
        <v>118</v>
      </c>
      <c r="X204" s="45">
        <v>68</v>
      </c>
      <c r="Y204" s="15">
        <f t="shared" si="279"/>
        <v>50</v>
      </c>
      <c r="Z204" s="64">
        <f t="shared" si="280"/>
        <v>0.73529411764705888</v>
      </c>
      <c r="AA204" s="102" t="s">
        <v>3484</v>
      </c>
      <c r="AB204" s="22" t="s">
        <v>244</v>
      </c>
      <c r="AC204" s="86">
        <v>44232</v>
      </c>
      <c r="AD204" s="88">
        <v>44244</v>
      </c>
      <c r="AE204" s="33">
        <f t="shared" si="281"/>
        <v>12</v>
      </c>
      <c r="AF204" s="124" t="s">
        <v>3069</v>
      </c>
      <c r="AG204" s="373"/>
      <c r="AH204" s="22"/>
      <c r="AK204" s="23"/>
    </row>
    <row r="205" spans="1:37" ht="16.5" customHeight="1">
      <c r="A205" s="148" t="s">
        <v>3067</v>
      </c>
      <c r="B205" s="96">
        <v>-2891</v>
      </c>
      <c r="C205" s="81">
        <v>13</v>
      </c>
      <c r="D205" s="82">
        <v>-31</v>
      </c>
      <c r="E205" s="82">
        <v>-99</v>
      </c>
      <c r="F205" s="75">
        <v>-591.20000000000005</v>
      </c>
      <c r="G205" s="82">
        <v>2718</v>
      </c>
      <c r="H205" s="5" t="s">
        <v>321</v>
      </c>
      <c r="I205" s="16" t="s">
        <v>1017</v>
      </c>
      <c r="J205" s="75">
        <v>85.67</v>
      </c>
      <c r="K205" s="75">
        <v>0</v>
      </c>
      <c r="L205" s="330"/>
      <c r="N205" s="325">
        <f t="shared" si="282"/>
        <v>85.67</v>
      </c>
      <c r="T205" s="34">
        <v>0</v>
      </c>
      <c r="V205" s="58">
        <f t="shared" si="278"/>
        <v>0</v>
      </c>
      <c r="W205" s="36">
        <v>17.850000000000001</v>
      </c>
      <c r="X205" s="67">
        <v>17</v>
      </c>
      <c r="Y205" s="15">
        <f t="shared" si="279"/>
        <v>0.85000000000000142</v>
      </c>
      <c r="Z205" s="64">
        <f t="shared" si="280"/>
        <v>5.0000000000000086E-2</v>
      </c>
      <c r="AA205" s="102" t="s">
        <v>3483</v>
      </c>
      <c r="AB205" s="16" t="s">
        <v>1017</v>
      </c>
      <c r="AC205" s="86">
        <v>44232</v>
      </c>
      <c r="AD205" s="88">
        <v>44244</v>
      </c>
      <c r="AE205" s="33">
        <f t="shared" si="281"/>
        <v>12</v>
      </c>
      <c r="AF205" s="43" t="s">
        <v>3068</v>
      </c>
      <c r="AG205" s="373"/>
      <c r="AH205" s="16"/>
    </row>
    <row r="206" spans="1:37">
      <c r="A206" s="148" t="s">
        <v>2053</v>
      </c>
      <c r="B206" s="82">
        <v>-71</v>
      </c>
      <c r="C206" s="82">
        <v>-61</v>
      </c>
      <c r="D206" s="81">
        <v>9</v>
      </c>
      <c r="E206" s="81">
        <v>17</v>
      </c>
      <c r="F206" s="6">
        <v>7</v>
      </c>
      <c r="G206" s="81">
        <v>1536</v>
      </c>
      <c r="H206" s="5" t="s">
        <v>2125</v>
      </c>
      <c r="I206" s="22" t="s">
        <v>138</v>
      </c>
      <c r="J206" s="75">
        <v>54.11</v>
      </c>
      <c r="K206" s="330">
        <v>16.73</v>
      </c>
      <c r="L206" s="75">
        <v>7.13</v>
      </c>
      <c r="N206" s="325">
        <f t="shared" si="282"/>
        <v>77.97</v>
      </c>
      <c r="S206" s="330">
        <v>0.28000000000000003</v>
      </c>
      <c r="T206" s="34">
        <v>2</v>
      </c>
      <c r="V206" s="58">
        <f t="shared" si="278"/>
        <v>1.6666666666666666E-2</v>
      </c>
      <c r="W206" s="36">
        <v>120</v>
      </c>
      <c r="X206" s="67">
        <v>90</v>
      </c>
      <c r="Y206" s="15">
        <f t="shared" si="279"/>
        <v>30</v>
      </c>
      <c r="Z206" s="64">
        <f t="shared" si="280"/>
        <v>0.33333333333333331</v>
      </c>
      <c r="AA206" s="102" t="s">
        <v>3478</v>
      </c>
      <c r="AB206" s="22" t="s">
        <v>138</v>
      </c>
      <c r="AC206" s="86">
        <v>44231</v>
      </c>
      <c r="AD206" s="88">
        <v>44244</v>
      </c>
      <c r="AE206" s="33">
        <f t="shared" si="281"/>
        <v>13</v>
      </c>
      <c r="AF206" s="122" t="s">
        <v>2839</v>
      </c>
      <c r="AG206" s="373"/>
      <c r="AH206" s="22"/>
    </row>
    <row r="207" spans="1:37">
      <c r="A207" s="148" t="s">
        <v>2210</v>
      </c>
      <c r="B207" s="81">
        <v>23</v>
      </c>
      <c r="C207" s="82">
        <v>-1</v>
      </c>
      <c r="D207" s="82">
        <v>-52</v>
      </c>
      <c r="E207" s="81">
        <v>125</v>
      </c>
      <c r="F207" s="75">
        <v>-232.61</v>
      </c>
      <c r="G207" s="82">
        <v>4108</v>
      </c>
      <c r="H207" s="207" t="s">
        <v>328</v>
      </c>
      <c r="I207" s="22" t="s">
        <v>676</v>
      </c>
      <c r="J207" s="75">
        <v>22.9</v>
      </c>
      <c r="K207" s="330">
        <v>0.88</v>
      </c>
      <c r="L207" s="330"/>
      <c r="N207" s="325">
        <f t="shared" si="282"/>
        <v>23.779999999999998</v>
      </c>
      <c r="T207" s="34">
        <v>0</v>
      </c>
      <c r="V207" s="97">
        <f t="shared" si="278"/>
        <v>0</v>
      </c>
      <c r="W207" s="36">
        <v>24.75</v>
      </c>
      <c r="X207" s="67">
        <v>20</v>
      </c>
      <c r="Y207" s="15">
        <f t="shared" si="279"/>
        <v>4.75</v>
      </c>
      <c r="Z207" s="64">
        <f t="shared" si="280"/>
        <v>0.23749999999999999</v>
      </c>
      <c r="AA207" s="102" t="s">
        <v>914</v>
      </c>
      <c r="AB207" s="22" t="s">
        <v>676</v>
      </c>
      <c r="AC207" s="86">
        <v>44230</v>
      </c>
      <c r="AD207" s="88">
        <v>44244</v>
      </c>
      <c r="AE207" s="33">
        <f t="shared" si="281"/>
        <v>14</v>
      </c>
      <c r="AF207" s="43" t="s">
        <v>2858</v>
      </c>
      <c r="AG207" s="373"/>
      <c r="AH207" s="22"/>
    </row>
    <row r="208" spans="1:37">
      <c r="A208" s="148" t="s">
        <v>2181</v>
      </c>
      <c r="B208" s="81">
        <v>29</v>
      </c>
      <c r="C208" s="82">
        <v>-16</v>
      </c>
      <c r="D208" s="81">
        <v>5</v>
      </c>
      <c r="E208" s="81">
        <v>48</v>
      </c>
      <c r="F208" s="6">
        <v>4.82</v>
      </c>
      <c r="G208" s="82">
        <v>1785</v>
      </c>
      <c r="H208" s="8" t="s">
        <v>334</v>
      </c>
      <c r="I208" s="16" t="s">
        <v>324</v>
      </c>
      <c r="J208" s="75">
        <v>37.92</v>
      </c>
      <c r="K208" s="75">
        <v>12.28</v>
      </c>
      <c r="L208" s="75">
        <v>19.77</v>
      </c>
      <c r="N208" s="325">
        <f t="shared" si="282"/>
        <v>69.97</v>
      </c>
      <c r="S208" s="330">
        <v>0.28000000000000003</v>
      </c>
      <c r="T208" s="34">
        <v>1</v>
      </c>
      <c r="V208" s="97">
        <f t="shared" si="278"/>
        <v>2.2075055187637971E-2</v>
      </c>
      <c r="W208" s="36">
        <v>45.3</v>
      </c>
      <c r="X208" s="67">
        <v>36</v>
      </c>
      <c r="Y208" s="15">
        <f t="shared" si="279"/>
        <v>9.2999999999999972</v>
      </c>
      <c r="Z208" s="64">
        <f t="shared" si="280"/>
        <v>0.25833333333333325</v>
      </c>
      <c r="AA208" s="102" t="s">
        <v>996</v>
      </c>
      <c r="AB208" s="16" t="s">
        <v>324</v>
      </c>
      <c r="AC208" s="86">
        <v>44229</v>
      </c>
      <c r="AD208" s="88">
        <v>44244</v>
      </c>
      <c r="AE208" s="33">
        <f t="shared" si="281"/>
        <v>15</v>
      </c>
      <c r="AF208" s="43" t="s">
        <v>2776</v>
      </c>
      <c r="AG208" s="373"/>
      <c r="AH208" s="16"/>
    </row>
    <row r="209" spans="1:36">
      <c r="A209" s="132" t="s">
        <v>3507</v>
      </c>
      <c r="B209" s="81">
        <v>15</v>
      </c>
      <c r="C209" s="81">
        <v>24</v>
      </c>
      <c r="D209" s="81">
        <v>17</v>
      </c>
      <c r="E209" s="81">
        <v>75</v>
      </c>
      <c r="F209" s="58">
        <v>12.84</v>
      </c>
      <c r="G209" s="81">
        <v>6651</v>
      </c>
      <c r="H209" s="206" t="s">
        <v>326</v>
      </c>
      <c r="I209" s="16" t="s">
        <v>2857</v>
      </c>
      <c r="J209" s="330">
        <v>22.99</v>
      </c>
      <c r="K209" s="330">
        <v>0.77</v>
      </c>
      <c r="L209" s="330"/>
      <c r="N209" s="325">
        <f t="shared" si="282"/>
        <v>23.759999999999998</v>
      </c>
      <c r="T209" s="34">
        <v>2</v>
      </c>
      <c r="V209" s="97">
        <f t="shared" si="278"/>
        <v>2.0898641588296761E-2</v>
      </c>
      <c r="W209" s="36">
        <v>95.7</v>
      </c>
      <c r="X209" s="67">
        <v>50.6</v>
      </c>
      <c r="Y209" s="15">
        <f t="shared" si="279"/>
        <v>45.1</v>
      </c>
      <c r="Z209" s="64">
        <f t="shared" si="280"/>
        <v>0.89130434782608692</v>
      </c>
      <c r="AA209" s="102" t="s">
        <v>3473</v>
      </c>
      <c r="AB209" s="16" t="s">
        <v>2857</v>
      </c>
      <c r="AC209" s="86">
        <v>44228</v>
      </c>
      <c r="AD209" s="88">
        <v>44244</v>
      </c>
      <c r="AE209" s="33">
        <f t="shared" si="281"/>
        <v>16</v>
      </c>
      <c r="AF209" s="43" t="s">
        <v>2655</v>
      </c>
      <c r="AG209" s="373"/>
      <c r="AH209" s="16"/>
    </row>
    <row r="210" spans="1:36">
      <c r="A210" s="148" t="s">
        <v>2038</v>
      </c>
      <c r="B210" s="82">
        <v>-1</v>
      </c>
      <c r="C210" s="81">
        <v>13</v>
      </c>
      <c r="D210" s="82">
        <v>-8</v>
      </c>
      <c r="E210" s="93"/>
      <c r="F210" s="47">
        <v>-9745</v>
      </c>
      <c r="G210" s="82">
        <v>6733</v>
      </c>
      <c r="H210" s="5" t="s">
        <v>328</v>
      </c>
      <c r="I210" s="16" t="s">
        <v>2811</v>
      </c>
      <c r="J210" s="75">
        <v>55.21</v>
      </c>
      <c r="K210" s="75">
        <v>8.14</v>
      </c>
      <c r="L210" s="330"/>
      <c r="N210" s="325">
        <f t="shared" si="282"/>
        <v>63.35</v>
      </c>
      <c r="T210" s="34">
        <v>0</v>
      </c>
      <c r="V210" s="58">
        <f t="shared" si="278"/>
        <v>0</v>
      </c>
      <c r="W210" s="36">
        <v>27.75</v>
      </c>
      <c r="X210" s="67">
        <v>28</v>
      </c>
      <c r="Y210" s="15">
        <f t="shared" si="279"/>
        <v>-0.25</v>
      </c>
      <c r="Z210" s="78">
        <f t="shared" si="280"/>
        <v>-8.9285714285714281E-3</v>
      </c>
      <c r="AA210" s="102" t="s">
        <v>3463</v>
      </c>
      <c r="AB210" s="16" t="s">
        <v>2811</v>
      </c>
      <c r="AC210" s="86">
        <v>44224</v>
      </c>
      <c r="AD210" s="88">
        <v>44244</v>
      </c>
      <c r="AE210" s="33">
        <f t="shared" si="281"/>
        <v>20</v>
      </c>
      <c r="AF210" s="43" t="s">
        <v>2812</v>
      </c>
      <c r="AG210" s="373"/>
      <c r="AH210" s="16"/>
    </row>
    <row r="211" spans="1:36">
      <c r="A211" s="148" t="s">
        <v>1856</v>
      </c>
      <c r="B211" s="82">
        <v>-13</v>
      </c>
      <c r="C211" s="82">
        <v>-12</v>
      </c>
      <c r="D211" s="81">
        <v>14</v>
      </c>
      <c r="E211" s="81">
        <v>4</v>
      </c>
      <c r="F211" s="6">
        <v>3.77</v>
      </c>
      <c r="G211" s="81">
        <v>4739</v>
      </c>
      <c r="H211" s="8" t="s">
        <v>806</v>
      </c>
      <c r="I211" s="22" t="s">
        <v>184</v>
      </c>
      <c r="J211" s="75">
        <v>38.479999999999997</v>
      </c>
      <c r="K211" s="75">
        <v>2.95</v>
      </c>
      <c r="L211" s="75">
        <v>11.21</v>
      </c>
      <c r="N211" s="325">
        <f t="shared" si="282"/>
        <v>52.64</v>
      </c>
      <c r="S211" s="330">
        <v>0.04</v>
      </c>
      <c r="T211" s="34">
        <v>1.23</v>
      </c>
      <c r="V211" s="97">
        <f t="shared" si="278"/>
        <v>1.9069767441860466E-2</v>
      </c>
      <c r="W211" s="36">
        <v>64.5</v>
      </c>
      <c r="X211" s="67">
        <v>50</v>
      </c>
      <c r="Y211" s="15">
        <f t="shared" si="279"/>
        <v>14.5</v>
      </c>
      <c r="Z211" s="64">
        <f t="shared" si="280"/>
        <v>0.28999999999999998</v>
      </c>
      <c r="AA211" s="102" t="s">
        <v>3464</v>
      </c>
      <c r="AB211" s="22" t="s">
        <v>184</v>
      </c>
      <c r="AC211" s="86">
        <v>44224</v>
      </c>
      <c r="AD211" s="88">
        <v>44244</v>
      </c>
      <c r="AE211" s="33">
        <f t="shared" si="281"/>
        <v>20</v>
      </c>
      <c r="AF211" s="122" t="s">
        <v>2808</v>
      </c>
      <c r="AG211" s="374"/>
      <c r="AH211" s="22"/>
      <c r="AJ211" s="281"/>
    </row>
    <row r="212" spans="1:36">
      <c r="A212" s="148" t="s">
        <v>1665</v>
      </c>
      <c r="B212" s="81">
        <v>12</v>
      </c>
      <c r="C212" s="81">
        <v>11</v>
      </c>
      <c r="D212" s="82">
        <v>-68</v>
      </c>
      <c r="E212" s="82">
        <v>-45</v>
      </c>
      <c r="F212" s="6">
        <v>9.09</v>
      </c>
      <c r="G212" s="82">
        <v>6661</v>
      </c>
      <c r="H212" s="5" t="s">
        <v>328</v>
      </c>
      <c r="I212" s="16" t="s">
        <v>2806</v>
      </c>
      <c r="J212" s="330">
        <v>46.93</v>
      </c>
      <c r="K212" s="75">
        <v>0</v>
      </c>
      <c r="L212" s="330"/>
      <c r="N212" s="325">
        <f t="shared" si="282"/>
        <v>46.93</v>
      </c>
      <c r="T212" s="34">
        <v>1.34</v>
      </c>
      <c r="V212" s="97">
        <f t="shared" si="278"/>
        <v>5.2549019607843139E-2</v>
      </c>
      <c r="W212" s="36">
        <v>25.5</v>
      </c>
      <c r="X212" s="67">
        <v>26</v>
      </c>
      <c r="Y212" s="15">
        <f t="shared" si="279"/>
        <v>-0.5</v>
      </c>
      <c r="Z212" s="78">
        <f t="shared" si="280"/>
        <v>-1.9230769230769232E-2</v>
      </c>
      <c r="AA212" s="102" t="s">
        <v>3410</v>
      </c>
      <c r="AB212" s="16" t="s">
        <v>2806</v>
      </c>
      <c r="AC212" s="86">
        <v>44223</v>
      </c>
      <c r="AD212" s="88">
        <v>44244</v>
      </c>
      <c r="AE212" s="33">
        <f t="shared" si="281"/>
        <v>21</v>
      </c>
      <c r="AF212" s="43" t="s">
        <v>2807</v>
      </c>
      <c r="AG212" s="373"/>
      <c r="AH212" s="16"/>
    </row>
    <row r="213" spans="1:36">
      <c r="A213" s="148" t="s">
        <v>3492</v>
      </c>
      <c r="B213" s="81">
        <v>164</v>
      </c>
      <c r="C213" s="82">
        <v>-19</v>
      </c>
      <c r="D213" s="81">
        <v>-38</v>
      </c>
      <c r="E213" s="81">
        <v>54</v>
      </c>
      <c r="F213" s="6">
        <v>6.84</v>
      </c>
      <c r="G213" s="81">
        <v>3680</v>
      </c>
      <c r="H213" s="197" t="s">
        <v>326</v>
      </c>
      <c r="I213" s="16" t="s">
        <v>395</v>
      </c>
      <c r="J213" s="330">
        <v>41.07</v>
      </c>
      <c r="K213" s="75">
        <v>13.2</v>
      </c>
      <c r="L213" s="75">
        <v>22.84</v>
      </c>
      <c r="N213" s="325">
        <f t="shared" si="282"/>
        <v>77.11</v>
      </c>
      <c r="S213" s="330">
        <v>2.06</v>
      </c>
      <c r="T213" s="34">
        <v>1.5</v>
      </c>
      <c r="V213" s="97">
        <f t="shared" si="278"/>
        <v>4.2194092827004216E-3</v>
      </c>
      <c r="W213" s="36">
        <v>355.5</v>
      </c>
      <c r="X213" s="45">
        <v>236</v>
      </c>
      <c r="Y213" s="15">
        <f t="shared" si="279"/>
        <v>119.5</v>
      </c>
      <c r="Z213" s="64">
        <f t="shared" si="280"/>
        <v>0.50635593220338981</v>
      </c>
      <c r="AA213" s="102" t="s">
        <v>3411</v>
      </c>
      <c r="AB213" s="16" t="s">
        <v>395</v>
      </c>
      <c r="AC213" s="86">
        <v>44223</v>
      </c>
      <c r="AD213" s="88">
        <v>44244</v>
      </c>
      <c r="AE213" s="33">
        <f t="shared" si="281"/>
        <v>21</v>
      </c>
      <c r="AF213" s="43" t="s">
        <v>2296</v>
      </c>
      <c r="AG213" s="373"/>
      <c r="AH213" s="16"/>
    </row>
    <row r="214" spans="1:36">
      <c r="A214" s="148" t="s">
        <v>3482</v>
      </c>
      <c r="B214" s="82">
        <v>-59</v>
      </c>
      <c r="C214" s="82">
        <v>-1</v>
      </c>
      <c r="D214" s="81">
        <v>28</v>
      </c>
      <c r="E214" s="82">
        <v>-18</v>
      </c>
      <c r="F214" s="6">
        <v>-47.36</v>
      </c>
      <c r="G214" s="82">
        <v>6767</v>
      </c>
      <c r="H214" s="4" t="s">
        <v>328</v>
      </c>
      <c r="I214" s="16" t="s">
        <v>2798</v>
      </c>
      <c r="J214" s="330">
        <v>46.25</v>
      </c>
      <c r="K214" s="75">
        <v>0.06</v>
      </c>
      <c r="N214" s="325">
        <f t="shared" si="282"/>
        <v>46.31</v>
      </c>
      <c r="T214" s="34">
        <v>0</v>
      </c>
      <c r="V214" s="97">
        <f t="shared" si="278"/>
        <v>0</v>
      </c>
      <c r="W214" s="36">
        <v>32.450000000000003</v>
      </c>
      <c r="X214" s="67">
        <v>30</v>
      </c>
      <c r="Y214" s="15">
        <f t="shared" si="279"/>
        <v>2.4500000000000028</v>
      </c>
      <c r="Z214" s="64">
        <f t="shared" si="280"/>
        <v>8.1666666666666762E-2</v>
      </c>
      <c r="AA214" s="102" t="s">
        <v>1014</v>
      </c>
      <c r="AB214" s="16" t="s">
        <v>2798</v>
      </c>
      <c r="AC214" s="86">
        <v>44221</v>
      </c>
      <c r="AD214" s="88">
        <v>44231</v>
      </c>
      <c r="AE214" s="33">
        <f t="shared" si="281"/>
        <v>10</v>
      </c>
      <c r="AF214" s="43" t="s">
        <v>2800</v>
      </c>
      <c r="AG214" s="373"/>
      <c r="AH214" s="16"/>
    </row>
    <row r="215" spans="1:36">
      <c r="A215" s="148" t="s">
        <v>2775</v>
      </c>
      <c r="B215" s="96">
        <v>-1759</v>
      </c>
      <c r="C215" s="82">
        <v>-610</v>
      </c>
      <c r="D215" s="81">
        <v>11</v>
      </c>
      <c r="E215" s="81">
        <v>234</v>
      </c>
      <c r="F215" s="6">
        <v>-4.6399999999999997</v>
      </c>
      <c r="G215" s="82">
        <v>5011</v>
      </c>
      <c r="H215" s="4" t="s">
        <v>317</v>
      </c>
      <c r="I215" s="16" t="s">
        <v>895</v>
      </c>
      <c r="J215" s="330">
        <v>32.72</v>
      </c>
      <c r="K215" s="75">
        <v>2.16</v>
      </c>
      <c r="L215" s="75">
        <v>29.82</v>
      </c>
      <c r="N215" s="325">
        <f t="shared" si="282"/>
        <v>64.699999999999989</v>
      </c>
      <c r="S215" s="330">
        <v>1.96</v>
      </c>
      <c r="T215" s="34">
        <v>0</v>
      </c>
      <c r="V215" s="97">
        <f t="shared" si="278"/>
        <v>0</v>
      </c>
      <c r="W215" s="36">
        <v>30.7</v>
      </c>
      <c r="X215" s="45">
        <v>32.5</v>
      </c>
      <c r="Y215" s="15">
        <f t="shared" si="279"/>
        <v>-1.8000000000000007</v>
      </c>
      <c r="Z215" s="78">
        <f t="shared" si="280"/>
        <v>-5.5384615384615407E-2</v>
      </c>
      <c r="AA215" s="102" t="s">
        <v>3300</v>
      </c>
      <c r="AB215" s="16" t="s">
        <v>895</v>
      </c>
      <c r="AC215" s="86">
        <v>44221</v>
      </c>
      <c r="AD215" s="88">
        <v>44231</v>
      </c>
      <c r="AE215" s="33">
        <f t="shared" si="281"/>
        <v>10</v>
      </c>
      <c r="AF215" s="43" t="s">
        <v>2773</v>
      </c>
      <c r="AG215" s="373"/>
      <c r="AH215" s="16"/>
    </row>
    <row r="216" spans="1:36">
      <c r="A216" s="132" t="s">
        <v>3474</v>
      </c>
      <c r="B216" s="81">
        <v>0</v>
      </c>
      <c r="C216" s="81">
        <v>1</v>
      </c>
      <c r="D216" s="82">
        <v>-16</v>
      </c>
      <c r="E216" s="82">
        <v>-3</v>
      </c>
      <c r="F216" s="58">
        <v>23.06</v>
      </c>
      <c r="G216" s="82">
        <v>6515</v>
      </c>
      <c r="H216" s="4" t="s">
        <v>326</v>
      </c>
      <c r="I216" s="22" t="s">
        <v>2772</v>
      </c>
      <c r="J216" s="330">
        <v>30.71</v>
      </c>
      <c r="K216" s="75">
        <v>4.82</v>
      </c>
      <c r="N216" s="325">
        <f t="shared" si="282"/>
        <v>35.53</v>
      </c>
      <c r="T216" s="34">
        <v>12</v>
      </c>
      <c r="V216" s="97">
        <f t="shared" si="278"/>
        <v>2.9232643118148598E-2</v>
      </c>
      <c r="W216" s="36">
        <v>410.5</v>
      </c>
      <c r="X216" s="67">
        <v>348</v>
      </c>
      <c r="Y216" s="15">
        <f t="shared" si="279"/>
        <v>62.5</v>
      </c>
      <c r="Z216" s="64">
        <f t="shared" si="280"/>
        <v>0.17959770114942528</v>
      </c>
      <c r="AA216" s="102" t="s">
        <v>3073</v>
      </c>
      <c r="AB216" s="22" t="s">
        <v>2772</v>
      </c>
      <c r="AC216" s="86">
        <v>44216</v>
      </c>
      <c r="AD216" s="88">
        <v>44228</v>
      </c>
      <c r="AE216" s="33">
        <f t="shared" si="281"/>
        <v>12</v>
      </c>
      <c r="AF216" s="122" t="s">
        <v>2774</v>
      </c>
      <c r="AG216" s="373"/>
      <c r="AH216" s="22"/>
    </row>
    <row r="217" spans="1:36">
      <c r="A217" s="132" t="s">
        <v>3472</v>
      </c>
      <c r="B217" s="81">
        <v>5</v>
      </c>
      <c r="C217" s="81">
        <v>9</v>
      </c>
      <c r="D217" s="82">
        <v>-6</v>
      </c>
      <c r="E217" s="81">
        <v>24</v>
      </c>
      <c r="F217" s="58">
        <v>30.47</v>
      </c>
      <c r="G217" s="81">
        <v>6747</v>
      </c>
      <c r="H217" s="4" t="s">
        <v>328</v>
      </c>
      <c r="I217" s="16" t="s">
        <v>2737</v>
      </c>
      <c r="J217" s="330">
        <v>77.02</v>
      </c>
      <c r="K217" s="330">
        <v>1.48</v>
      </c>
      <c r="L217" s="330"/>
      <c r="N217" s="325">
        <f t="shared" si="282"/>
        <v>78.5</v>
      </c>
      <c r="T217" s="34">
        <v>4.55</v>
      </c>
      <c r="V217" s="97">
        <f t="shared" si="278"/>
        <v>2.3821989528795811E-2</v>
      </c>
      <c r="W217" s="36">
        <v>191</v>
      </c>
      <c r="X217" s="67">
        <v>100</v>
      </c>
      <c r="Y217" s="15">
        <f t="shared" si="279"/>
        <v>91</v>
      </c>
      <c r="Z217" s="155">
        <f t="shared" si="280"/>
        <v>0.91</v>
      </c>
      <c r="AA217" s="102" t="s">
        <v>2859</v>
      </c>
      <c r="AB217" s="16" t="s">
        <v>2737</v>
      </c>
      <c r="AC217" s="86">
        <v>44215</v>
      </c>
      <c r="AD217" s="88">
        <v>44225</v>
      </c>
      <c r="AE217" s="33">
        <f t="shared" si="281"/>
        <v>10</v>
      </c>
      <c r="AF217" s="43" t="s">
        <v>2799</v>
      </c>
      <c r="AG217" s="373"/>
      <c r="AH217" s="16"/>
    </row>
    <row r="218" spans="1:36">
      <c r="A218" s="148" t="s">
        <v>1636</v>
      </c>
      <c r="B218" s="81">
        <v>86</v>
      </c>
      <c r="C218" s="81">
        <v>124</v>
      </c>
      <c r="D218" s="81">
        <v>14</v>
      </c>
      <c r="E218" s="81">
        <v>82</v>
      </c>
      <c r="F218" s="6">
        <v>4.6500000000000004</v>
      </c>
      <c r="G218" s="82">
        <v>2636</v>
      </c>
      <c r="H218" s="4" t="s">
        <v>320</v>
      </c>
      <c r="I218" s="22" t="s">
        <v>2240</v>
      </c>
      <c r="J218" s="75">
        <v>48.59</v>
      </c>
      <c r="K218" s="330">
        <v>20.76</v>
      </c>
      <c r="L218" s="330">
        <v>9.25</v>
      </c>
      <c r="N218" s="325">
        <f t="shared" si="282"/>
        <v>78.600000000000009</v>
      </c>
      <c r="S218" s="330">
        <v>0.16</v>
      </c>
      <c r="T218" s="34">
        <v>1.32</v>
      </c>
      <c r="V218" s="97">
        <f t="shared" si="278"/>
        <v>3.4691195795006576E-2</v>
      </c>
      <c r="W218" s="36">
        <v>38.049999999999997</v>
      </c>
      <c r="X218" s="67">
        <v>30</v>
      </c>
      <c r="Y218" s="15">
        <f t="shared" si="279"/>
        <v>8.0499999999999972</v>
      </c>
      <c r="Z218" s="64">
        <f t="shared" si="280"/>
        <v>0.26833333333333326</v>
      </c>
      <c r="AA218" s="102" t="s">
        <v>2860</v>
      </c>
      <c r="AB218" s="22" t="s">
        <v>2240</v>
      </c>
      <c r="AC218" s="86">
        <v>44215</v>
      </c>
      <c r="AD218" s="88">
        <v>44225</v>
      </c>
      <c r="AE218" s="33">
        <f t="shared" si="281"/>
        <v>10</v>
      </c>
      <c r="AF218" s="43" t="s">
        <v>2410</v>
      </c>
      <c r="AG218" s="373"/>
      <c r="AH218" s="22"/>
    </row>
    <row r="219" spans="1:36">
      <c r="A219" s="148" t="s">
        <v>2673</v>
      </c>
      <c r="B219" s="82">
        <v>-594</v>
      </c>
      <c r="C219" s="82">
        <v>-94</v>
      </c>
      <c r="D219" s="81">
        <v>28</v>
      </c>
      <c r="E219" s="82">
        <v>-56</v>
      </c>
      <c r="F219" s="6">
        <v>-48.15</v>
      </c>
      <c r="G219" s="81">
        <v>6431</v>
      </c>
      <c r="H219" s="4" t="s">
        <v>325</v>
      </c>
      <c r="I219" s="22" t="s">
        <v>480</v>
      </c>
      <c r="J219" s="75">
        <v>46.03</v>
      </c>
      <c r="K219" s="330">
        <v>17.649999999999999</v>
      </c>
      <c r="N219" s="325">
        <f t="shared" si="282"/>
        <v>63.68</v>
      </c>
      <c r="T219" s="34">
        <v>0</v>
      </c>
      <c r="V219" s="97">
        <f t="shared" si="278"/>
        <v>0</v>
      </c>
      <c r="W219" s="36">
        <v>29.85</v>
      </c>
      <c r="X219" s="67">
        <v>29.8</v>
      </c>
      <c r="Y219" s="15">
        <f t="shared" si="279"/>
        <v>5.0000000000000711E-2</v>
      </c>
      <c r="Z219" s="64">
        <f t="shared" si="280"/>
        <v>1.6778523489933124E-3</v>
      </c>
      <c r="AA219" s="103" t="s">
        <v>2802</v>
      </c>
      <c r="AB219" s="22" t="s">
        <v>480</v>
      </c>
      <c r="AC219" s="86">
        <v>44209</v>
      </c>
      <c r="AD219" s="88">
        <v>44221</v>
      </c>
      <c r="AE219" s="33">
        <f t="shared" si="281"/>
        <v>12</v>
      </c>
      <c r="AF219" s="43" t="s">
        <v>2674</v>
      </c>
      <c r="AG219" s="373"/>
      <c r="AH219" s="22"/>
    </row>
    <row r="220" spans="1:36">
      <c r="A220" s="148" t="s">
        <v>2663</v>
      </c>
      <c r="B220" s="82">
        <v>-42</v>
      </c>
      <c r="C220" s="82">
        <v>-42</v>
      </c>
      <c r="D220" s="81">
        <v>150</v>
      </c>
      <c r="E220" s="81">
        <v>188</v>
      </c>
      <c r="F220" s="75">
        <v>-278.64</v>
      </c>
      <c r="G220" s="81">
        <v>6712</v>
      </c>
      <c r="H220" s="4" t="s">
        <v>328</v>
      </c>
      <c r="I220" s="16" t="s">
        <v>2662</v>
      </c>
      <c r="J220" s="330">
        <v>53.02</v>
      </c>
      <c r="K220" s="330">
        <v>1.97</v>
      </c>
      <c r="L220" s="330"/>
      <c r="N220" s="325">
        <f t="shared" si="282"/>
        <v>54.99</v>
      </c>
      <c r="T220" s="34">
        <v>0</v>
      </c>
      <c r="V220" s="97">
        <f t="shared" si="278"/>
        <v>0</v>
      </c>
      <c r="W220" s="36">
        <v>220.5</v>
      </c>
      <c r="X220" s="67">
        <v>138</v>
      </c>
      <c r="Y220" s="15">
        <f t="shared" si="279"/>
        <v>82.5</v>
      </c>
      <c r="Z220" s="64">
        <f t="shared" si="280"/>
        <v>0.59782608695652173</v>
      </c>
      <c r="AA220" s="102" t="s">
        <v>2780</v>
      </c>
      <c r="AB220" s="16" t="s">
        <v>2662</v>
      </c>
      <c r="AC220" s="86">
        <v>44204</v>
      </c>
      <c r="AD220" s="88">
        <v>44214</v>
      </c>
      <c r="AE220" s="33">
        <f t="shared" si="281"/>
        <v>10</v>
      </c>
      <c r="AF220" s="43" t="s">
        <v>2664</v>
      </c>
      <c r="AG220" s="373"/>
      <c r="AH220" s="16"/>
    </row>
    <row r="221" spans="1:36">
      <c r="A221" s="132" t="s">
        <v>2634</v>
      </c>
      <c r="B221" s="82">
        <v>-7</v>
      </c>
      <c r="C221" s="82">
        <v>-8</v>
      </c>
      <c r="D221" s="81">
        <v>46</v>
      </c>
      <c r="E221" s="81">
        <v>48</v>
      </c>
      <c r="F221" s="58">
        <v>11.47</v>
      </c>
      <c r="G221" s="82">
        <v>5536</v>
      </c>
      <c r="H221" s="4" t="s">
        <v>334</v>
      </c>
      <c r="I221" s="16" t="s">
        <v>160</v>
      </c>
      <c r="J221" s="330">
        <v>20.12</v>
      </c>
      <c r="K221" s="75">
        <v>14.78</v>
      </c>
      <c r="L221" s="75">
        <v>4.5999999999999996</v>
      </c>
      <c r="N221" s="325">
        <f t="shared" si="282"/>
        <v>39.5</v>
      </c>
      <c r="S221" s="330">
        <v>0</v>
      </c>
      <c r="T221" s="34">
        <v>15</v>
      </c>
      <c r="V221" s="97">
        <f t="shared" si="278"/>
        <v>7.9365079365079361E-2</v>
      </c>
      <c r="W221" s="36">
        <v>189</v>
      </c>
      <c r="X221" s="67">
        <v>166</v>
      </c>
      <c r="Y221" s="15">
        <f t="shared" si="279"/>
        <v>23</v>
      </c>
      <c r="Z221" s="64">
        <f t="shared" si="280"/>
        <v>0.13855421686746988</v>
      </c>
      <c r="AA221" s="102" t="s">
        <v>2742</v>
      </c>
      <c r="AB221" s="16" t="s">
        <v>160</v>
      </c>
      <c r="AC221" s="86">
        <v>44203</v>
      </c>
      <c r="AD221" s="88">
        <v>44214</v>
      </c>
      <c r="AE221" s="33">
        <f t="shared" si="281"/>
        <v>11</v>
      </c>
      <c r="AF221" s="122" t="s">
        <v>1513</v>
      </c>
      <c r="AG221" s="373"/>
      <c r="AH221" s="16"/>
    </row>
    <row r="222" spans="1:36">
      <c r="A222" s="148" t="s">
        <v>2626</v>
      </c>
      <c r="B222" s="81">
        <v>347</v>
      </c>
      <c r="C222" s="81">
        <v>463</v>
      </c>
      <c r="D222" s="82">
        <v>-23</v>
      </c>
      <c r="E222" s="81">
        <v>10</v>
      </c>
      <c r="F222" s="6">
        <v>5.27</v>
      </c>
      <c r="G222" s="81">
        <v>3666</v>
      </c>
      <c r="H222" s="4" t="s">
        <v>325</v>
      </c>
      <c r="I222" s="16" t="s">
        <v>486</v>
      </c>
      <c r="J222" s="75">
        <v>49.98</v>
      </c>
      <c r="K222" s="330">
        <v>7.48</v>
      </c>
      <c r="L222" s="330">
        <v>58.68</v>
      </c>
      <c r="N222" s="325">
        <f t="shared" si="282"/>
        <v>116.13999999999999</v>
      </c>
      <c r="S222" s="330">
        <v>2.29</v>
      </c>
      <c r="T222" s="34">
        <v>0</v>
      </c>
      <c r="V222" s="97">
        <f t="shared" si="278"/>
        <v>0</v>
      </c>
      <c r="W222" s="36">
        <v>68</v>
      </c>
      <c r="X222" s="45">
        <v>70</v>
      </c>
      <c r="Y222" s="15">
        <f t="shared" si="279"/>
        <v>-2</v>
      </c>
      <c r="Z222" s="78">
        <f t="shared" si="280"/>
        <v>-2.8571428571428571E-2</v>
      </c>
      <c r="AA222" s="103" t="s">
        <v>2734</v>
      </c>
      <c r="AB222" s="16" t="s">
        <v>486</v>
      </c>
      <c r="AC222" s="86">
        <v>44202</v>
      </c>
      <c r="AD222" s="88">
        <v>44214</v>
      </c>
      <c r="AE222" s="33">
        <f t="shared" si="281"/>
        <v>12</v>
      </c>
      <c r="AF222" s="43" t="s">
        <v>2357</v>
      </c>
      <c r="AG222" s="373"/>
      <c r="AH222" s="16"/>
    </row>
    <row r="223" spans="1:36">
      <c r="A223" s="132" t="s">
        <v>2616</v>
      </c>
      <c r="B223" s="81">
        <v>80</v>
      </c>
      <c r="C223" s="81">
        <v>55</v>
      </c>
      <c r="D223" s="81">
        <v>5</v>
      </c>
      <c r="E223" s="82">
        <v>-4</v>
      </c>
      <c r="F223" s="58">
        <v>18.11</v>
      </c>
      <c r="G223" s="81">
        <v>5546</v>
      </c>
      <c r="H223" s="4" t="s">
        <v>931</v>
      </c>
      <c r="I223" s="22" t="s">
        <v>2208</v>
      </c>
      <c r="J223" s="330">
        <v>72.16</v>
      </c>
      <c r="K223" s="75">
        <v>55.06</v>
      </c>
      <c r="L223" s="75">
        <v>2.38</v>
      </c>
      <c r="N223" s="325">
        <f t="shared" si="282"/>
        <v>129.6</v>
      </c>
      <c r="S223" s="330">
        <v>0.09</v>
      </c>
      <c r="T223" s="34">
        <v>4</v>
      </c>
      <c r="V223" s="97">
        <f t="shared" si="278"/>
        <v>5.1679586563307491E-2</v>
      </c>
      <c r="W223" s="13">
        <v>77.400000000000006</v>
      </c>
      <c r="X223" s="67">
        <v>66</v>
      </c>
      <c r="Y223" s="15">
        <f t="shared" si="279"/>
        <v>11.400000000000006</v>
      </c>
      <c r="Z223" s="64">
        <f t="shared" si="280"/>
        <v>0.17272727272727281</v>
      </c>
      <c r="AA223" s="102" t="s">
        <v>2682</v>
      </c>
      <c r="AB223" s="22" t="s">
        <v>2208</v>
      </c>
      <c r="AC223" s="86">
        <v>44196</v>
      </c>
      <c r="AD223" s="88">
        <v>44207</v>
      </c>
      <c r="AE223" s="33">
        <f t="shared" si="281"/>
        <v>11</v>
      </c>
      <c r="AF223" s="122" t="s">
        <v>2228</v>
      </c>
      <c r="AG223" s="373"/>
      <c r="AH223" s="22"/>
    </row>
    <row r="224" spans="1:36">
      <c r="A224" s="148" t="s">
        <v>1831</v>
      </c>
      <c r="B224" s="82">
        <v>-28</v>
      </c>
      <c r="C224" s="82">
        <v>-48</v>
      </c>
      <c r="D224" s="81">
        <v>12</v>
      </c>
      <c r="E224" s="82">
        <v>-17</v>
      </c>
      <c r="F224" s="6">
        <v>4.22</v>
      </c>
      <c r="G224" s="81">
        <v>2034</v>
      </c>
      <c r="H224" s="4" t="s">
        <v>317</v>
      </c>
      <c r="I224" s="22" t="s">
        <v>297</v>
      </c>
      <c r="J224" s="330">
        <v>42.92</v>
      </c>
      <c r="K224" s="330">
        <v>9.26</v>
      </c>
      <c r="L224" s="75">
        <v>7.8</v>
      </c>
      <c r="N224" s="325">
        <f t="shared" si="282"/>
        <v>59.98</v>
      </c>
      <c r="S224" s="330">
        <v>0.19</v>
      </c>
      <c r="T224" s="34">
        <v>1.5</v>
      </c>
      <c r="V224" s="97">
        <f t="shared" si="278"/>
        <v>5.4945054945054944E-2</v>
      </c>
      <c r="W224" s="36">
        <v>27.3</v>
      </c>
      <c r="X224" s="67">
        <v>20</v>
      </c>
      <c r="Y224" s="15">
        <f t="shared" si="279"/>
        <v>7.3000000000000007</v>
      </c>
      <c r="Z224" s="64">
        <f t="shared" si="280"/>
        <v>0.36500000000000005</v>
      </c>
      <c r="AA224" s="102" t="s">
        <v>2683</v>
      </c>
      <c r="AB224" s="22" t="s">
        <v>297</v>
      </c>
      <c r="AC224" s="86">
        <v>44196</v>
      </c>
      <c r="AD224" s="88">
        <v>44207</v>
      </c>
      <c r="AE224" s="33">
        <f t="shared" si="281"/>
        <v>11</v>
      </c>
      <c r="AF224" s="122" t="s">
        <v>2617</v>
      </c>
      <c r="AG224" s="373"/>
      <c r="AH224" s="22"/>
    </row>
    <row r="225" spans="1:39" s="7" customFormat="1" ht="17.100000000000001" customHeight="1">
      <c r="A225" s="132" t="s">
        <v>1872</v>
      </c>
      <c r="B225" s="81">
        <v>71</v>
      </c>
      <c r="C225" s="81">
        <v>56</v>
      </c>
      <c r="D225" s="81">
        <v>3</v>
      </c>
      <c r="E225" s="81">
        <v>15</v>
      </c>
      <c r="F225" s="58">
        <v>16.72</v>
      </c>
      <c r="G225" s="81">
        <v>2472</v>
      </c>
      <c r="H225" s="53" t="s">
        <v>327</v>
      </c>
      <c r="I225" s="22" t="s">
        <v>193</v>
      </c>
      <c r="J225" s="75">
        <v>53.03</v>
      </c>
      <c r="K225" s="330">
        <v>6.21</v>
      </c>
      <c r="L225" s="75">
        <v>25.68</v>
      </c>
      <c r="M225" s="325"/>
      <c r="N225" s="325">
        <f t="shared" si="282"/>
        <v>84.92</v>
      </c>
      <c r="O225" s="27"/>
      <c r="P225" s="56"/>
      <c r="Q225" s="26"/>
      <c r="R225" s="308"/>
      <c r="S225" s="330">
        <v>4.18</v>
      </c>
      <c r="T225" s="34">
        <v>1.5</v>
      </c>
      <c r="U225" s="367"/>
      <c r="V225" s="58">
        <f t="shared" si="278"/>
        <v>2.0491803278688523E-2</v>
      </c>
      <c r="W225" s="36">
        <v>73.2</v>
      </c>
      <c r="X225" s="45">
        <v>46</v>
      </c>
      <c r="Y225" s="15">
        <f t="shared" si="279"/>
        <v>27.200000000000003</v>
      </c>
      <c r="Z225" s="64">
        <f t="shared" si="280"/>
        <v>0.59130434782608698</v>
      </c>
      <c r="AA225" s="102" t="s">
        <v>2675</v>
      </c>
      <c r="AB225" s="22" t="s">
        <v>193</v>
      </c>
      <c r="AC225" s="86">
        <v>44195</v>
      </c>
      <c r="AD225" s="88">
        <v>44207</v>
      </c>
      <c r="AE225" s="33">
        <f t="shared" si="281"/>
        <v>12</v>
      </c>
      <c r="AF225" s="124" t="s">
        <v>2318</v>
      </c>
      <c r="AG225" s="373"/>
      <c r="AH225" s="22"/>
      <c r="AI225" s="286"/>
      <c r="AJ225" s="276"/>
      <c r="AK225" s="22"/>
      <c r="AL225" s="41"/>
      <c r="AM225" s="308"/>
    </row>
    <row r="226" spans="1:39" ht="17.25" customHeight="1">
      <c r="A226" s="148" t="s">
        <v>2609</v>
      </c>
      <c r="B226" s="82">
        <v>-15</v>
      </c>
      <c r="C226" s="82">
        <v>-5</v>
      </c>
      <c r="D226" s="81">
        <v>19</v>
      </c>
      <c r="E226" s="81">
        <v>324</v>
      </c>
      <c r="F226" s="6">
        <v>5.73</v>
      </c>
      <c r="G226" s="81">
        <v>5209</v>
      </c>
      <c r="H226" s="4" t="s">
        <v>333</v>
      </c>
      <c r="I226" s="16" t="s">
        <v>1055</v>
      </c>
      <c r="J226" s="330">
        <v>55.09</v>
      </c>
      <c r="K226" s="330">
        <v>0.22</v>
      </c>
      <c r="L226" s="330"/>
      <c r="N226" s="325">
        <f t="shared" si="282"/>
        <v>55.31</v>
      </c>
      <c r="T226" s="34">
        <v>2.97</v>
      </c>
      <c r="V226" s="97">
        <f t="shared" ref="V226:V257" si="283">T226/W226</f>
        <v>4.4594594594594604E-2</v>
      </c>
      <c r="W226" s="36">
        <v>66.599999999999994</v>
      </c>
      <c r="X226" s="67">
        <v>62.46</v>
      </c>
      <c r="Y226" s="15">
        <f t="shared" si="279"/>
        <v>4.1399999999999935</v>
      </c>
      <c r="Z226" s="64">
        <f t="shared" si="280"/>
        <v>6.6282420749279439E-2</v>
      </c>
      <c r="AA226" s="102" t="s">
        <v>2676</v>
      </c>
      <c r="AB226" s="16" t="s">
        <v>1055</v>
      </c>
      <c r="AC226" s="86">
        <v>44195</v>
      </c>
      <c r="AD226" s="88">
        <v>44207</v>
      </c>
      <c r="AE226" s="33">
        <f t="shared" si="281"/>
        <v>12</v>
      </c>
      <c r="AF226" s="43" t="s">
        <v>2610</v>
      </c>
      <c r="AG226" s="373"/>
      <c r="AH226" s="16"/>
    </row>
    <row r="227" spans="1:39">
      <c r="A227" s="132" t="s">
        <v>2599</v>
      </c>
      <c r="B227" s="82">
        <v>-49</v>
      </c>
      <c r="C227" s="82">
        <v>-36</v>
      </c>
      <c r="D227" s="81">
        <v>8</v>
      </c>
      <c r="E227" s="82">
        <v>-48</v>
      </c>
      <c r="F227" s="58">
        <v>12.31</v>
      </c>
      <c r="G227" s="82">
        <v>3541</v>
      </c>
      <c r="H227" s="4" t="s">
        <v>334</v>
      </c>
      <c r="I227" s="16" t="s">
        <v>169</v>
      </c>
      <c r="J227" s="330">
        <v>20.85</v>
      </c>
      <c r="K227" s="75">
        <v>4.66</v>
      </c>
      <c r="L227" s="330">
        <v>5.09</v>
      </c>
      <c r="N227" s="325">
        <f t="shared" si="282"/>
        <v>30.6</v>
      </c>
      <c r="S227" s="330">
        <v>0.15</v>
      </c>
      <c r="T227" s="34">
        <v>5.55</v>
      </c>
      <c r="V227" s="97">
        <f t="shared" si="283"/>
        <v>9.8579040852575489E-2</v>
      </c>
      <c r="W227" s="36">
        <v>56.3</v>
      </c>
      <c r="X227" s="67">
        <v>45</v>
      </c>
      <c r="Y227" s="15">
        <f t="shared" si="279"/>
        <v>11.299999999999997</v>
      </c>
      <c r="Z227" s="64">
        <f t="shared" si="280"/>
        <v>0.25111111111111106</v>
      </c>
      <c r="AA227" s="102" t="s">
        <v>2670</v>
      </c>
      <c r="AB227" s="16" t="s">
        <v>169</v>
      </c>
      <c r="AC227" s="86">
        <v>44193</v>
      </c>
      <c r="AD227" s="88">
        <v>44203</v>
      </c>
      <c r="AE227" s="33">
        <f t="shared" si="281"/>
        <v>10</v>
      </c>
      <c r="AF227" s="122" t="s">
        <v>2600</v>
      </c>
      <c r="AG227" s="373"/>
      <c r="AH227" s="16"/>
    </row>
    <row r="228" spans="1:39">
      <c r="A228" s="148" t="s">
        <v>2512</v>
      </c>
      <c r="B228" s="95">
        <v>1709</v>
      </c>
      <c r="C228" s="81">
        <v>20</v>
      </c>
      <c r="D228" s="81">
        <v>2</v>
      </c>
      <c r="E228" s="82">
        <v>-1</v>
      </c>
      <c r="F228" s="6">
        <v>4.3899999999999997</v>
      </c>
      <c r="G228" s="81">
        <v>1909</v>
      </c>
      <c r="H228" s="52" t="s">
        <v>316</v>
      </c>
      <c r="I228" s="22" t="s">
        <v>143</v>
      </c>
      <c r="J228" s="330">
        <v>69.66</v>
      </c>
      <c r="K228" s="75">
        <v>14.39</v>
      </c>
      <c r="L228" s="75">
        <v>10.029999999999999</v>
      </c>
      <c r="N228" s="325">
        <f t="shared" si="282"/>
        <v>94.08</v>
      </c>
      <c r="S228" s="330">
        <v>0.35</v>
      </c>
      <c r="T228" s="34">
        <v>0.3</v>
      </c>
      <c r="V228" s="97">
        <f t="shared" si="283"/>
        <v>1.3422818791946307E-2</v>
      </c>
      <c r="W228" s="36">
        <v>22.35</v>
      </c>
      <c r="X228" s="67">
        <v>14.8</v>
      </c>
      <c r="Y228" s="15">
        <f t="shared" si="279"/>
        <v>7.5500000000000007</v>
      </c>
      <c r="Z228" s="64">
        <f t="shared" si="280"/>
        <v>0.5101351351351352</v>
      </c>
      <c r="AA228" s="102" t="s">
        <v>2671</v>
      </c>
      <c r="AB228" s="22" t="s">
        <v>143</v>
      </c>
      <c r="AC228" s="86">
        <v>44193</v>
      </c>
      <c r="AD228" s="88">
        <v>44203</v>
      </c>
      <c r="AE228" s="33">
        <f t="shared" si="281"/>
        <v>10</v>
      </c>
      <c r="AF228" s="122" t="s">
        <v>2601</v>
      </c>
      <c r="AG228" s="373"/>
      <c r="AH228" s="22"/>
    </row>
    <row r="229" spans="1:39" ht="17.25" customHeight="1">
      <c r="A229" s="148" t="s">
        <v>2686</v>
      </c>
      <c r="B229" s="81">
        <v>11</v>
      </c>
      <c r="C229" s="81">
        <v>17</v>
      </c>
      <c r="D229" s="81">
        <v>114</v>
      </c>
      <c r="E229" s="82">
        <v>-15</v>
      </c>
      <c r="F229" s="6">
        <v>4.1500000000000004</v>
      </c>
      <c r="G229" s="82">
        <v>6751</v>
      </c>
      <c r="H229" s="4" t="s">
        <v>333</v>
      </c>
      <c r="I229" s="16" t="s">
        <v>2604</v>
      </c>
      <c r="J229" s="330">
        <v>71.3</v>
      </c>
      <c r="K229" s="330">
        <v>0</v>
      </c>
      <c r="L229" s="330"/>
      <c r="N229" s="325">
        <f t="shared" si="282"/>
        <v>71.3</v>
      </c>
      <c r="T229" s="34">
        <v>2.0499999999999998</v>
      </c>
      <c r="V229" s="97">
        <f t="shared" si="283"/>
        <v>2.6048284625158829E-2</v>
      </c>
      <c r="W229" s="36">
        <v>78.7</v>
      </c>
      <c r="X229" s="67">
        <v>60</v>
      </c>
      <c r="Y229" s="15">
        <f t="shared" si="279"/>
        <v>18.700000000000003</v>
      </c>
      <c r="Z229" s="64">
        <f t="shared" si="280"/>
        <v>0.3116666666666667</v>
      </c>
      <c r="AA229" s="102" t="s">
        <v>2650</v>
      </c>
      <c r="AB229" s="16" t="s">
        <v>2604</v>
      </c>
      <c r="AC229" s="86">
        <v>44190</v>
      </c>
      <c r="AD229" s="88">
        <v>44200</v>
      </c>
      <c r="AE229" s="33">
        <f t="shared" si="281"/>
        <v>10</v>
      </c>
      <c r="AF229" s="43" t="s">
        <v>2605</v>
      </c>
      <c r="AG229" s="373"/>
      <c r="AH229" s="16"/>
    </row>
    <row r="230" spans="1:39">
      <c r="A230" s="148" t="s">
        <v>2687</v>
      </c>
      <c r="B230" s="81">
        <v>259</v>
      </c>
      <c r="C230" s="81">
        <v>208</v>
      </c>
      <c r="D230" s="81">
        <v>14</v>
      </c>
      <c r="E230" s="81">
        <v>24</v>
      </c>
      <c r="F230" s="6">
        <v>7.3</v>
      </c>
      <c r="G230" s="82">
        <v>6728</v>
      </c>
      <c r="H230" s="4" t="s">
        <v>249</v>
      </c>
      <c r="I230" s="16" t="s">
        <v>2606</v>
      </c>
      <c r="J230" s="75">
        <v>73.39</v>
      </c>
      <c r="K230" s="330">
        <v>0</v>
      </c>
      <c r="L230" s="330"/>
      <c r="N230" s="325">
        <f t="shared" si="282"/>
        <v>73.39</v>
      </c>
      <c r="T230" s="34">
        <v>4</v>
      </c>
      <c r="V230" s="97">
        <f t="shared" si="283"/>
        <v>7.0175438596491224E-2</v>
      </c>
      <c r="W230" s="36">
        <v>57</v>
      </c>
      <c r="X230" s="67">
        <v>43</v>
      </c>
      <c r="Y230" s="15">
        <f t="shared" si="279"/>
        <v>14</v>
      </c>
      <c r="Z230" s="64">
        <f t="shared" si="280"/>
        <v>0.32558139534883723</v>
      </c>
      <c r="AA230" s="102" t="s">
        <v>2651</v>
      </c>
      <c r="AB230" s="16" t="s">
        <v>2606</v>
      </c>
      <c r="AC230" s="86">
        <v>44190</v>
      </c>
      <c r="AD230" s="88">
        <v>44200</v>
      </c>
      <c r="AE230" s="33">
        <f t="shared" si="281"/>
        <v>10</v>
      </c>
      <c r="AF230" s="43" t="s">
        <v>2607</v>
      </c>
      <c r="AG230" s="373"/>
      <c r="AH230" s="16"/>
    </row>
    <row r="231" spans="1:39">
      <c r="A231" s="148" t="s">
        <v>1920</v>
      </c>
      <c r="B231" s="82">
        <v>-14</v>
      </c>
      <c r="C231" s="82">
        <v>-18</v>
      </c>
      <c r="D231" s="82">
        <v>-25</v>
      </c>
      <c r="E231" s="82">
        <v>-99</v>
      </c>
      <c r="F231" s="47">
        <v>-1268</v>
      </c>
      <c r="G231" s="81">
        <v>6576</v>
      </c>
      <c r="H231" s="4" t="s">
        <v>328</v>
      </c>
      <c r="I231" s="16" t="s">
        <v>669</v>
      </c>
      <c r="J231" s="330">
        <v>37.26</v>
      </c>
      <c r="K231" s="330">
        <v>32.76</v>
      </c>
      <c r="L231" s="330"/>
      <c r="N231" s="325">
        <f t="shared" si="282"/>
        <v>70.02</v>
      </c>
      <c r="T231" s="34">
        <v>0</v>
      </c>
      <c r="V231" s="97">
        <f t="shared" si="283"/>
        <v>0</v>
      </c>
      <c r="W231" s="36">
        <v>88.8</v>
      </c>
      <c r="X231" s="67">
        <v>88</v>
      </c>
      <c r="Y231" s="15">
        <f t="shared" si="279"/>
        <v>0.79999999999999716</v>
      </c>
      <c r="Z231" s="64">
        <f t="shared" si="280"/>
        <v>9.0909090909090592E-3</v>
      </c>
      <c r="AA231" s="102" t="s">
        <v>2652</v>
      </c>
      <c r="AB231" s="16" t="s">
        <v>669</v>
      </c>
      <c r="AC231" s="86">
        <v>44190</v>
      </c>
      <c r="AD231" s="88">
        <v>44200</v>
      </c>
      <c r="AE231" s="33">
        <f t="shared" si="281"/>
        <v>10</v>
      </c>
      <c r="AF231" s="43" t="s">
        <v>2528</v>
      </c>
      <c r="AG231" s="373"/>
      <c r="AH231" s="16"/>
    </row>
    <row r="232" spans="1:39">
      <c r="A232" s="148" t="s">
        <v>2513</v>
      </c>
      <c r="B232" s="82">
        <v>-27</v>
      </c>
      <c r="C232" s="82">
        <v>-48</v>
      </c>
      <c r="D232" s="81">
        <v>3</v>
      </c>
      <c r="E232" s="81">
        <v>59</v>
      </c>
      <c r="F232" s="6">
        <v>8.36</v>
      </c>
      <c r="G232" s="81">
        <v>2049</v>
      </c>
      <c r="H232" s="4" t="s">
        <v>313</v>
      </c>
      <c r="I232" s="22" t="s">
        <v>21</v>
      </c>
      <c r="J232" s="75">
        <v>59.82</v>
      </c>
      <c r="K232" s="75">
        <v>49.79</v>
      </c>
      <c r="L232" s="75">
        <v>1.22</v>
      </c>
      <c r="N232" s="325">
        <f t="shared" si="282"/>
        <v>110.83</v>
      </c>
      <c r="S232" s="330">
        <v>0.41</v>
      </c>
      <c r="T232" s="34">
        <v>2.1</v>
      </c>
      <c r="V232" s="97">
        <f t="shared" si="283"/>
        <v>5.4687500000000005E-3</v>
      </c>
      <c r="W232" s="13">
        <v>384</v>
      </c>
      <c r="X232" s="67">
        <v>195</v>
      </c>
      <c r="Y232" s="15">
        <f t="shared" ref="Y232:Y263" si="284">W232-X232</f>
        <v>189</v>
      </c>
      <c r="Z232" s="64">
        <f t="shared" ref="Z232:Z263" si="285">Y232/X232</f>
        <v>0.96923076923076923</v>
      </c>
      <c r="AA232" s="102" t="s">
        <v>2653</v>
      </c>
      <c r="AB232" s="22" t="s">
        <v>21</v>
      </c>
      <c r="AC232" s="86">
        <v>44190</v>
      </c>
      <c r="AD232" s="88">
        <v>44200</v>
      </c>
      <c r="AE232" s="33">
        <f t="shared" ref="AE232:AE263" si="286">AD232-AC232</f>
        <v>10</v>
      </c>
      <c r="AF232" s="122" t="s">
        <v>2365</v>
      </c>
      <c r="AG232" s="373"/>
      <c r="AH232" s="22"/>
    </row>
    <row r="233" spans="1:39">
      <c r="A233" s="132" t="s">
        <v>1555</v>
      </c>
      <c r="B233" s="81">
        <v>6</v>
      </c>
      <c r="C233" s="82">
        <v>-9</v>
      </c>
      <c r="D233" s="81">
        <v>16</v>
      </c>
      <c r="E233" s="81">
        <v>52</v>
      </c>
      <c r="F233" s="58">
        <v>12.94</v>
      </c>
      <c r="G233" s="81">
        <v>1593</v>
      </c>
      <c r="H233" s="4" t="s">
        <v>328</v>
      </c>
      <c r="I233" s="16" t="s">
        <v>642</v>
      </c>
      <c r="J233" s="75">
        <v>22.77</v>
      </c>
      <c r="K233" s="75">
        <v>1.74</v>
      </c>
      <c r="L233" s="75">
        <v>32.78</v>
      </c>
      <c r="N233" s="325">
        <f t="shared" ref="N233:N264" si="287">K233+J233+L233</f>
        <v>57.29</v>
      </c>
      <c r="S233" s="330">
        <v>0.8</v>
      </c>
      <c r="T233" s="34">
        <v>3.2</v>
      </c>
      <c r="V233" s="97">
        <f t="shared" si="283"/>
        <v>3.9024390243902439E-2</v>
      </c>
      <c r="W233" s="36">
        <v>82</v>
      </c>
      <c r="X233" s="45">
        <v>50</v>
      </c>
      <c r="Y233" s="15">
        <f t="shared" si="284"/>
        <v>32</v>
      </c>
      <c r="Z233" s="64">
        <f t="shared" si="285"/>
        <v>0.64</v>
      </c>
      <c r="AA233" s="102" t="s">
        <v>997</v>
      </c>
      <c r="AB233" s="16" t="s">
        <v>642</v>
      </c>
      <c r="AC233" s="86">
        <v>44190</v>
      </c>
      <c r="AD233" s="88">
        <v>44200</v>
      </c>
      <c r="AE233" s="33">
        <f t="shared" si="286"/>
        <v>10</v>
      </c>
      <c r="AF233" s="43" t="s">
        <v>2312</v>
      </c>
      <c r="AG233" s="373"/>
      <c r="AH233" s="16"/>
    </row>
    <row r="234" spans="1:39">
      <c r="A234" s="132" t="s">
        <v>2030</v>
      </c>
      <c r="B234" s="81">
        <v>30</v>
      </c>
      <c r="C234" s="81">
        <v>44</v>
      </c>
      <c r="D234" s="81">
        <v>0</v>
      </c>
      <c r="E234" s="81">
        <v>5</v>
      </c>
      <c r="F234" s="58">
        <v>19.36</v>
      </c>
      <c r="G234" s="81">
        <v>6756</v>
      </c>
      <c r="H234" s="4" t="s">
        <v>326</v>
      </c>
      <c r="I234" s="22" t="s">
        <v>2597</v>
      </c>
      <c r="J234" s="330">
        <v>62.06</v>
      </c>
      <c r="K234" s="75">
        <v>0.54</v>
      </c>
      <c r="L234" s="330"/>
      <c r="N234" s="325">
        <f t="shared" si="287"/>
        <v>62.6</v>
      </c>
      <c r="T234" s="34">
        <v>3.3</v>
      </c>
      <c r="V234" s="97">
        <f t="shared" si="283"/>
        <v>1.2619502868068833E-2</v>
      </c>
      <c r="W234" s="36">
        <v>261.5</v>
      </c>
      <c r="X234" s="67">
        <v>168</v>
      </c>
      <c r="Y234" s="15">
        <f t="shared" si="284"/>
        <v>93.5</v>
      </c>
      <c r="Z234" s="64">
        <f t="shared" si="285"/>
        <v>0.55654761904761907</v>
      </c>
      <c r="AA234" s="102" t="s">
        <v>2647</v>
      </c>
      <c r="AB234" s="22" t="s">
        <v>2597</v>
      </c>
      <c r="AC234" s="86">
        <v>44189</v>
      </c>
      <c r="AD234" s="88">
        <v>44200</v>
      </c>
      <c r="AE234" s="33">
        <f t="shared" si="286"/>
        <v>11</v>
      </c>
      <c r="AF234" s="43" t="s">
        <v>2598</v>
      </c>
      <c r="AG234" s="373"/>
      <c r="AH234" s="22"/>
    </row>
    <row r="235" spans="1:39">
      <c r="A235" s="148" t="s">
        <v>2250</v>
      </c>
      <c r="B235" s="81">
        <v>5</v>
      </c>
      <c r="C235" s="81">
        <v>8</v>
      </c>
      <c r="D235" s="82"/>
      <c r="E235" s="82"/>
      <c r="F235" s="47">
        <v>-5463</v>
      </c>
      <c r="G235" s="82">
        <v>6541</v>
      </c>
      <c r="H235" s="4" t="s">
        <v>328</v>
      </c>
      <c r="I235" s="22" t="s">
        <v>683</v>
      </c>
      <c r="J235" s="330">
        <v>70.900000000000006</v>
      </c>
      <c r="K235" s="330">
        <v>37.26</v>
      </c>
      <c r="L235" s="330">
        <v>0</v>
      </c>
      <c r="N235" s="325">
        <f t="shared" si="287"/>
        <v>108.16</v>
      </c>
      <c r="S235" s="330">
        <v>0</v>
      </c>
      <c r="T235" s="34">
        <v>0</v>
      </c>
      <c r="V235" s="97">
        <f t="shared" si="283"/>
        <v>0</v>
      </c>
      <c r="W235" s="36">
        <v>37.299999999999997</v>
      </c>
      <c r="X235" s="67">
        <v>36</v>
      </c>
      <c r="Y235" s="15">
        <f t="shared" si="284"/>
        <v>1.2999999999999972</v>
      </c>
      <c r="Z235" s="64">
        <f t="shared" si="285"/>
        <v>3.6111111111111031E-2</v>
      </c>
      <c r="AA235" s="102" t="s">
        <v>1914</v>
      </c>
      <c r="AB235" s="22" t="s">
        <v>683</v>
      </c>
      <c r="AC235" s="86">
        <v>44189</v>
      </c>
      <c r="AD235" s="88">
        <v>44200</v>
      </c>
      <c r="AE235" s="33">
        <f t="shared" si="286"/>
        <v>11</v>
      </c>
      <c r="AF235" s="43" t="s">
        <v>2587</v>
      </c>
      <c r="AG235" s="373"/>
      <c r="AH235" s="22"/>
    </row>
    <row r="236" spans="1:39">
      <c r="A236" s="132" t="s">
        <v>2585</v>
      </c>
      <c r="B236" s="81">
        <v>243</v>
      </c>
      <c r="C236" s="81">
        <v>428</v>
      </c>
      <c r="D236" s="82">
        <v>-34</v>
      </c>
      <c r="E236" s="81">
        <v>-19</v>
      </c>
      <c r="F236" s="58">
        <v>13.58</v>
      </c>
      <c r="G236" s="81">
        <v>3325</v>
      </c>
      <c r="H236" s="54" t="s">
        <v>329</v>
      </c>
      <c r="I236" s="16" t="s">
        <v>503</v>
      </c>
      <c r="J236" s="75">
        <v>15.1</v>
      </c>
      <c r="K236" s="75">
        <v>0.57999999999999996</v>
      </c>
      <c r="L236" s="330">
        <v>50.57</v>
      </c>
      <c r="N236" s="325">
        <f t="shared" si="287"/>
        <v>66.25</v>
      </c>
      <c r="S236" s="330">
        <v>0.9</v>
      </c>
      <c r="T236" s="34">
        <v>0.7</v>
      </c>
      <c r="V236" s="97">
        <f t="shared" si="283"/>
        <v>2.5316455696202531E-2</v>
      </c>
      <c r="W236" s="36">
        <v>27.65</v>
      </c>
      <c r="X236" s="45">
        <v>25</v>
      </c>
      <c r="Y236" s="15">
        <f t="shared" si="284"/>
        <v>2.6499999999999986</v>
      </c>
      <c r="Z236" s="64">
        <f t="shared" si="285"/>
        <v>0.10599999999999994</v>
      </c>
      <c r="AA236" s="102" t="s">
        <v>1905</v>
      </c>
      <c r="AB236" s="16" t="s">
        <v>503</v>
      </c>
      <c r="AC236" s="86">
        <v>44189</v>
      </c>
      <c r="AD236" s="88">
        <v>44200</v>
      </c>
      <c r="AE236" s="33">
        <f t="shared" si="286"/>
        <v>11</v>
      </c>
      <c r="AF236" s="43" t="s">
        <v>2586</v>
      </c>
      <c r="AG236" s="373"/>
      <c r="AH236" s="16"/>
    </row>
    <row r="237" spans="1:39">
      <c r="A237" s="148" t="s">
        <v>2061</v>
      </c>
      <c r="B237" s="81">
        <v>41</v>
      </c>
      <c r="C237" s="81">
        <v>44</v>
      </c>
      <c r="D237" s="82">
        <v>-3</v>
      </c>
      <c r="E237" s="82">
        <v>-22</v>
      </c>
      <c r="F237" s="6">
        <v>-13.86</v>
      </c>
      <c r="G237" s="81">
        <v>3321</v>
      </c>
      <c r="H237" s="4" t="s">
        <v>327</v>
      </c>
      <c r="I237" s="22" t="s">
        <v>419</v>
      </c>
      <c r="J237" s="75">
        <v>40.39</v>
      </c>
      <c r="K237" s="330">
        <v>0.51</v>
      </c>
      <c r="L237" s="330"/>
      <c r="N237" s="325">
        <f t="shared" si="287"/>
        <v>40.9</v>
      </c>
      <c r="T237" s="34">
        <v>0</v>
      </c>
      <c r="V237" s="97">
        <f t="shared" si="283"/>
        <v>0</v>
      </c>
      <c r="W237" s="36">
        <v>15.3</v>
      </c>
      <c r="X237" s="67">
        <v>11.5</v>
      </c>
      <c r="Y237" s="15">
        <f t="shared" si="284"/>
        <v>3.8000000000000007</v>
      </c>
      <c r="Z237" s="64">
        <f t="shared" si="285"/>
        <v>0.33043478260869569</v>
      </c>
      <c r="AA237" s="102" t="s">
        <v>2648</v>
      </c>
      <c r="AB237" s="22" t="s">
        <v>419</v>
      </c>
      <c r="AC237" s="86">
        <v>44189</v>
      </c>
      <c r="AD237" s="88">
        <v>44200</v>
      </c>
      <c r="AE237" s="33">
        <f t="shared" si="286"/>
        <v>11</v>
      </c>
      <c r="AF237" s="43" t="s">
        <v>1108</v>
      </c>
      <c r="AG237" s="373"/>
      <c r="AH237" s="22"/>
    </row>
    <row r="238" spans="1:39">
      <c r="A238" s="148" t="s">
        <v>2579</v>
      </c>
      <c r="B238" s="82">
        <v>-6</v>
      </c>
      <c r="C238" s="82"/>
      <c r="D238" s="81">
        <v>12</v>
      </c>
      <c r="E238" s="81">
        <v>2</v>
      </c>
      <c r="F238" s="6"/>
      <c r="G238" s="82">
        <v>2812</v>
      </c>
      <c r="H238" s="10" t="s">
        <v>322</v>
      </c>
      <c r="I238" s="22" t="s">
        <v>145</v>
      </c>
      <c r="J238" s="75">
        <v>61.3</v>
      </c>
      <c r="K238" s="330">
        <v>11.16</v>
      </c>
      <c r="L238" s="75">
        <v>0.28999999999999998</v>
      </c>
      <c r="N238" s="325">
        <f t="shared" si="287"/>
        <v>72.75</v>
      </c>
      <c r="S238" s="330">
        <v>0</v>
      </c>
      <c r="T238" s="34">
        <v>0.8</v>
      </c>
      <c r="V238" s="97">
        <f t="shared" si="283"/>
        <v>7.3732718894009217E-2</v>
      </c>
      <c r="W238" s="36">
        <v>10.85</v>
      </c>
      <c r="X238" s="67">
        <v>10.199999999999999</v>
      </c>
      <c r="Y238" s="15">
        <f t="shared" si="284"/>
        <v>0.65000000000000036</v>
      </c>
      <c r="Z238" s="64">
        <f t="shared" si="285"/>
        <v>6.3725490196078469E-2</v>
      </c>
      <c r="AA238" s="102" t="s">
        <v>2637</v>
      </c>
      <c r="AB238" s="22" t="s">
        <v>145</v>
      </c>
      <c r="AC238" s="86">
        <v>44187</v>
      </c>
      <c r="AD238" s="88">
        <v>44200</v>
      </c>
      <c r="AE238" s="33">
        <f t="shared" si="286"/>
        <v>13</v>
      </c>
      <c r="AF238" s="122" t="s">
        <v>1497</v>
      </c>
      <c r="AG238" s="373"/>
      <c r="AH238" s="22"/>
    </row>
    <row r="239" spans="1:39">
      <c r="A239" s="132" t="s">
        <v>2633</v>
      </c>
      <c r="B239" s="81">
        <v>129</v>
      </c>
      <c r="C239" s="81">
        <v>141</v>
      </c>
      <c r="D239" s="82">
        <v>-7</v>
      </c>
      <c r="E239" s="81">
        <v>29</v>
      </c>
      <c r="F239" s="58">
        <v>48.57</v>
      </c>
      <c r="G239" s="81">
        <v>6762</v>
      </c>
      <c r="H239" s="4" t="s">
        <v>328</v>
      </c>
      <c r="I239" s="16" t="s">
        <v>2578</v>
      </c>
      <c r="J239" s="75">
        <v>72.44</v>
      </c>
      <c r="K239" s="75">
        <v>0.76</v>
      </c>
      <c r="N239" s="325">
        <f t="shared" si="287"/>
        <v>73.2</v>
      </c>
      <c r="T239" s="34">
        <v>4</v>
      </c>
      <c r="V239" s="97">
        <f t="shared" si="283"/>
        <v>1.5873015873015872E-2</v>
      </c>
      <c r="W239" s="36">
        <v>252</v>
      </c>
      <c r="X239" s="67">
        <v>267.98</v>
      </c>
      <c r="Y239" s="15">
        <f t="shared" si="284"/>
        <v>-15.980000000000018</v>
      </c>
      <c r="Z239" s="78">
        <f t="shared" si="285"/>
        <v>-5.9631315769833632E-2</v>
      </c>
      <c r="AA239" s="103" t="s">
        <v>2625</v>
      </c>
      <c r="AB239" s="16" t="s">
        <v>2578</v>
      </c>
      <c r="AC239" s="86">
        <v>44183</v>
      </c>
      <c r="AD239" s="88">
        <v>44193</v>
      </c>
      <c r="AE239" s="33">
        <f t="shared" si="286"/>
        <v>10</v>
      </c>
      <c r="AF239" s="43" t="s">
        <v>2582</v>
      </c>
      <c r="AG239" s="373"/>
      <c r="AH239" s="16"/>
    </row>
    <row r="240" spans="1:39" ht="17.25" customHeight="1">
      <c r="A240" s="148" t="s">
        <v>2575</v>
      </c>
      <c r="B240" s="82">
        <v>-60</v>
      </c>
      <c r="C240" s="81">
        <v>1</v>
      </c>
      <c r="D240" s="92">
        <v>-98</v>
      </c>
      <c r="E240" s="92">
        <v>-1</v>
      </c>
      <c r="F240" s="75">
        <v>-102.68</v>
      </c>
      <c r="G240" s="81">
        <v>2530</v>
      </c>
      <c r="H240" s="4" t="s">
        <v>931</v>
      </c>
      <c r="I240" s="22" t="s">
        <v>968</v>
      </c>
      <c r="J240" s="330">
        <v>70.08</v>
      </c>
      <c r="K240" s="330">
        <v>0.61</v>
      </c>
      <c r="L240" s="75">
        <v>11.19</v>
      </c>
      <c r="N240" s="325">
        <f t="shared" si="287"/>
        <v>81.88</v>
      </c>
      <c r="S240" s="330">
        <v>1.73</v>
      </c>
      <c r="T240" s="34">
        <v>0.1</v>
      </c>
      <c r="V240" s="97">
        <f t="shared" si="283"/>
        <v>7.1174377224199285E-3</v>
      </c>
      <c r="W240" s="36">
        <v>14.05</v>
      </c>
      <c r="X240" s="67">
        <v>12.56</v>
      </c>
      <c r="Y240" s="15">
        <f t="shared" si="284"/>
        <v>1.4900000000000002</v>
      </c>
      <c r="Z240" s="64">
        <f t="shared" si="285"/>
        <v>0.11863057324840766</v>
      </c>
      <c r="AA240" s="102" t="s">
        <v>2624</v>
      </c>
      <c r="AB240" s="22" t="s">
        <v>968</v>
      </c>
      <c r="AC240" s="86">
        <v>44182</v>
      </c>
      <c r="AD240" s="88">
        <v>44193</v>
      </c>
      <c r="AE240" s="33">
        <f t="shared" si="286"/>
        <v>11</v>
      </c>
      <c r="AF240" s="43" t="s">
        <v>2403</v>
      </c>
      <c r="AG240" s="373"/>
      <c r="AH240" s="22"/>
      <c r="AK240" s="48"/>
    </row>
    <row r="241" spans="1:39" ht="17.25" customHeight="1">
      <c r="A241" s="148" t="s">
        <v>2608</v>
      </c>
      <c r="B241" s="81">
        <v>4</v>
      </c>
      <c r="C241" s="81">
        <v>10</v>
      </c>
      <c r="D241" s="82">
        <v>-3</v>
      </c>
      <c r="E241" s="81">
        <v>9</v>
      </c>
      <c r="F241" s="6">
        <v>5.98</v>
      </c>
      <c r="G241" s="81">
        <v>2755</v>
      </c>
      <c r="H241" s="4" t="s">
        <v>321</v>
      </c>
      <c r="I241" s="16" t="s">
        <v>2573</v>
      </c>
      <c r="J241" s="75">
        <v>44.74</v>
      </c>
      <c r="K241" s="75">
        <v>0.06</v>
      </c>
      <c r="N241" s="325">
        <f t="shared" si="287"/>
        <v>44.800000000000004</v>
      </c>
      <c r="T241" s="34">
        <v>1</v>
      </c>
      <c r="V241" s="97">
        <f t="shared" si="283"/>
        <v>1.6393442622950821E-2</v>
      </c>
      <c r="W241" s="36">
        <v>61</v>
      </c>
      <c r="X241" s="67">
        <v>60</v>
      </c>
      <c r="Y241" s="15">
        <f t="shared" si="284"/>
        <v>1</v>
      </c>
      <c r="Z241" s="64">
        <f t="shared" si="285"/>
        <v>1.6666666666666666E-2</v>
      </c>
      <c r="AA241" s="102" t="s">
        <v>2614</v>
      </c>
      <c r="AB241" s="16" t="s">
        <v>2573</v>
      </c>
      <c r="AC241" s="86">
        <v>44181</v>
      </c>
      <c r="AD241" s="88">
        <v>44193</v>
      </c>
      <c r="AE241" s="33">
        <f t="shared" si="286"/>
        <v>12</v>
      </c>
      <c r="AF241" s="43" t="s">
        <v>2574</v>
      </c>
      <c r="AG241" s="373"/>
      <c r="AH241" s="16"/>
      <c r="AK241" s="48"/>
    </row>
    <row r="242" spans="1:39">
      <c r="A242" s="148" t="s">
        <v>1955</v>
      </c>
      <c r="B242" s="81">
        <v>18</v>
      </c>
      <c r="C242" s="82">
        <v>-29</v>
      </c>
      <c r="D242" s="82">
        <v>-1</v>
      </c>
      <c r="E242" s="81">
        <v>261</v>
      </c>
      <c r="F242" s="6">
        <v>2.63</v>
      </c>
      <c r="G242" s="81">
        <v>4919</v>
      </c>
      <c r="H242" s="4" t="s">
        <v>326</v>
      </c>
      <c r="I242" s="22" t="s">
        <v>130</v>
      </c>
      <c r="J242" s="330">
        <v>58.55</v>
      </c>
      <c r="K242" s="330">
        <v>2.99</v>
      </c>
      <c r="L242" s="330">
        <v>12.51</v>
      </c>
      <c r="N242" s="325">
        <f t="shared" si="287"/>
        <v>74.05</v>
      </c>
      <c r="S242" s="330">
        <v>1.78</v>
      </c>
      <c r="T242" s="34">
        <v>1.2</v>
      </c>
      <c r="V242" s="58">
        <f t="shared" si="283"/>
        <v>2.5862068965517241E-2</v>
      </c>
      <c r="W242" s="36">
        <v>46.4</v>
      </c>
      <c r="X242" s="67">
        <v>38</v>
      </c>
      <c r="Y242" s="15">
        <f t="shared" si="284"/>
        <v>8.3999999999999986</v>
      </c>
      <c r="Z242" s="64">
        <f t="shared" si="285"/>
        <v>0.22105263157894733</v>
      </c>
      <c r="AA242" s="102" t="s">
        <v>2612</v>
      </c>
      <c r="AB242" s="22" t="s">
        <v>130</v>
      </c>
      <c r="AC242" s="86">
        <v>44180</v>
      </c>
      <c r="AD242" s="88">
        <v>44190</v>
      </c>
      <c r="AE242" s="33">
        <f t="shared" si="286"/>
        <v>10</v>
      </c>
      <c r="AF242" s="122" t="s">
        <v>1522</v>
      </c>
      <c r="AG242" s="373"/>
      <c r="AH242" s="22"/>
    </row>
    <row r="243" spans="1:39">
      <c r="A243" s="148" t="s">
        <v>1773</v>
      </c>
      <c r="B243" s="81">
        <v>699</v>
      </c>
      <c r="C243" s="81">
        <v>776</v>
      </c>
      <c r="D243" s="82">
        <v>-15</v>
      </c>
      <c r="E243" s="81">
        <v>123</v>
      </c>
      <c r="F243" s="58">
        <v>14.02</v>
      </c>
      <c r="G243" s="81">
        <v>6743</v>
      </c>
      <c r="H243" s="4" t="s">
        <v>334</v>
      </c>
      <c r="I243" s="22" t="s">
        <v>2566</v>
      </c>
      <c r="J243" s="330">
        <v>62.9</v>
      </c>
      <c r="K243" s="75">
        <v>3.66</v>
      </c>
      <c r="L243" s="330"/>
      <c r="N243" s="325">
        <f t="shared" si="287"/>
        <v>66.56</v>
      </c>
      <c r="T243" s="34">
        <v>0.95</v>
      </c>
      <c r="V243" s="97">
        <f t="shared" si="283"/>
        <v>7.0631970260223043E-3</v>
      </c>
      <c r="W243" s="36">
        <v>134.5</v>
      </c>
      <c r="X243" s="67">
        <v>100</v>
      </c>
      <c r="Y243" s="15">
        <f t="shared" si="284"/>
        <v>34.5</v>
      </c>
      <c r="Z243" s="64">
        <f t="shared" si="285"/>
        <v>0.34499999999999997</v>
      </c>
      <c r="AA243" s="102" t="s">
        <v>996</v>
      </c>
      <c r="AB243" s="22" t="s">
        <v>2566</v>
      </c>
      <c r="AC243" s="86">
        <v>44179</v>
      </c>
      <c r="AD243" s="88">
        <v>44189</v>
      </c>
      <c r="AE243" s="33">
        <f t="shared" si="286"/>
        <v>10</v>
      </c>
      <c r="AF243" s="43" t="s">
        <v>2580</v>
      </c>
      <c r="AG243" s="373"/>
      <c r="AH243" s="22"/>
    </row>
    <row r="244" spans="1:39">
      <c r="A244" s="148" t="s">
        <v>2558</v>
      </c>
      <c r="B244" s="81">
        <v>923</v>
      </c>
      <c r="C244" s="81">
        <v>705</v>
      </c>
      <c r="D244" s="81">
        <v>0</v>
      </c>
      <c r="E244" s="81">
        <v>40</v>
      </c>
      <c r="F244" s="6">
        <v>4.2</v>
      </c>
      <c r="G244" s="81">
        <v>4121</v>
      </c>
      <c r="H244" s="4" t="s">
        <v>328</v>
      </c>
      <c r="I244" s="16" t="s">
        <v>649</v>
      </c>
      <c r="J244" s="330">
        <v>33.229999999999997</v>
      </c>
      <c r="K244" s="75">
        <v>4</v>
      </c>
      <c r="L244" s="75">
        <v>26.06</v>
      </c>
      <c r="N244" s="325">
        <f t="shared" si="287"/>
        <v>63.289999999999992</v>
      </c>
      <c r="S244" s="330">
        <v>1.56</v>
      </c>
      <c r="T244" s="34">
        <v>0.2</v>
      </c>
      <c r="V244" s="97">
        <f t="shared" si="283"/>
        <v>9.0497737556561077E-3</v>
      </c>
      <c r="W244" s="36">
        <v>22.1</v>
      </c>
      <c r="X244" s="45">
        <v>15.6</v>
      </c>
      <c r="Y244" s="15">
        <f t="shared" si="284"/>
        <v>6.5000000000000018</v>
      </c>
      <c r="Z244" s="64">
        <f t="shared" si="285"/>
        <v>0.4166666666666668</v>
      </c>
      <c r="AA244" s="102" t="s">
        <v>2603</v>
      </c>
      <c r="AB244" s="16" t="s">
        <v>649</v>
      </c>
      <c r="AC244" s="86">
        <v>44179</v>
      </c>
      <c r="AD244" s="88">
        <v>44189</v>
      </c>
      <c r="AE244" s="33">
        <f t="shared" si="286"/>
        <v>10</v>
      </c>
      <c r="AF244" s="43" t="s">
        <v>2557</v>
      </c>
      <c r="AG244" s="373"/>
      <c r="AH244" s="16"/>
    </row>
    <row r="245" spans="1:39">
      <c r="A245" s="132" t="s">
        <v>1915</v>
      </c>
      <c r="B245" s="81">
        <v>143</v>
      </c>
      <c r="C245" s="81">
        <v>172</v>
      </c>
      <c r="D245" s="81">
        <v>4</v>
      </c>
      <c r="E245" s="81">
        <v>38</v>
      </c>
      <c r="F245" s="58">
        <v>12.8</v>
      </c>
      <c r="G245" s="81">
        <v>3138</v>
      </c>
      <c r="H245" s="4" t="s">
        <v>331</v>
      </c>
      <c r="I245" s="22" t="s">
        <v>2567</v>
      </c>
      <c r="J245" s="330">
        <v>21.65</v>
      </c>
      <c r="K245" s="75">
        <v>0.46</v>
      </c>
      <c r="N245" s="325">
        <f t="shared" si="287"/>
        <v>22.11</v>
      </c>
      <c r="T245" s="34">
        <v>1</v>
      </c>
      <c r="V245" s="97">
        <f t="shared" si="283"/>
        <v>8.4745762711864406E-3</v>
      </c>
      <c r="W245" s="36">
        <v>118</v>
      </c>
      <c r="X245" s="67">
        <v>46</v>
      </c>
      <c r="Y245" s="15">
        <f t="shared" si="284"/>
        <v>72</v>
      </c>
      <c r="Z245" s="176">
        <f t="shared" si="285"/>
        <v>1.5652173913043479</v>
      </c>
      <c r="AA245" s="102" t="s">
        <v>2594</v>
      </c>
      <c r="AB245" s="22" t="s">
        <v>2567</v>
      </c>
      <c r="AC245" s="86">
        <v>44176</v>
      </c>
      <c r="AD245" s="88">
        <v>44186</v>
      </c>
      <c r="AE245" s="33">
        <f t="shared" si="286"/>
        <v>10</v>
      </c>
      <c r="AF245" s="122" t="s">
        <v>2568</v>
      </c>
      <c r="AG245" s="373"/>
      <c r="AH245" s="22"/>
    </row>
    <row r="246" spans="1:39">
      <c r="A246" s="132" t="s">
        <v>2550</v>
      </c>
      <c r="B246" s="81">
        <v>51</v>
      </c>
      <c r="C246" s="81">
        <v>45</v>
      </c>
      <c r="D246" s="81">
        <v>1</v>
      </c>
      <c r="E246" s="81">
        <v>140</v>
      </c>
      <c r="F246" s="58">
        <v>19.329999999999998</v>
      </c>
      <c r="G246" s="81">
        <v>6629</v>
      </c>
      <c r="H246" s="4" t="s">
        <v>249</v>
      </c>
      <c r="I246" s="16" t="s">
        <v>2549</v>
      </c>
      <c r="J246" s="330">
        <v>83.58</v>
      </c>
      <c r="K246" s="330">
        <v>85.08</v>
      </c>
      <c r="N246" s="325">
        <f t="shared" si="287"/>
        <v>168.66</v>
      </c>
      <c r="T246" s="34">
        <v>3.1</v>
      </c>
      <c r="V246" s="97">
        <f t="shared" si="283"/>
        <v>4.8286604361370715E-2</v>
      </c>
      <c r="W246" s="13">
        <v>64.2</v>
      </c>
      <c r="X246" s="67">
        <v>52</v>
      </c>
      <c r="Y246" s="15">
        <f t="shared" si="284"/>
        <v>12.200000000000003</v>
      </c>
      <c r="Z246" s="64">
        <f t="shared" si="285"/>
        <v>0.23461538461538467</v>
      </c>
      <c r="AA246" s="102" t="s">
        <v>2595</v>
      </c>
      <c r="AB246" s="16" t="s">
        <v>2549</v>
      </c>
      <c r="AC246" s="86">
        <v>44176</v>
      </c>
      <c r="AD246" s="88">
        <v>44186</v>
      </c>
      <c r="AE246" s="33">
        <f t="shared" si="286"/>
        <v>10</v>
      </c>
      <c r="AF246" s="43" t="s">
        <v>2551</v>
      </c>
      <c r="AG246" s="373"/>
      <c r="AH246" s="16"/>
    </row>
    <row r="247" spans="1:39" ht="17.25" customHeight="1">
      <c r="A247" s="132" t="s">
        <v>1554</v>
      </c>
      <c r="B247" s="81">
        <v>69</v>
      </c>
      <c r="C247" s="81">
        <v>74</v>
      </c>
      <c r="D247" s="81">
        <v>24</v>
      </c>
      <c r="E247" s="81">
        <v>12</v>
      </c>
      <c r="F247" s="58">
        <v>10.81</v>
      </c>
      <c r="G247" s="81">
        <v>6752</v>
      </c>
      <c r="H247" s="4" t="s">
        <v>333</v>
      </c>
      <c r="I247" s="16" t="s">
        <v>2556</v>
      </c>
      <c r="J247" s="330">
        <v>21.14</v>
      </c>
      <c r="K247" s="330">
        <v>0.21</v>
      </c>
      <c r="N247" s="325">
        <f t="shared" si="287"/>
        <v>21.35</v>
      </c>
      <c r="T247" s="34">
        <v>1.8</v>
      </c>
      <c r="V247" s="97">
        <f t="shared" si="283"/>
        <v>3.0456852791878174E-2</v>
      </c>
      <c r="W247" s="36">
        <v>59.1</v>
      </c>
      <c r="X247" s="67">
        <v>56</v>
      </c>
      <c r="Y247" s="15">
        <f t="shared" si="284"/>
        <v>3.1000000000000014</v>
      </c>
      <c r="Z247" s="64">
        <f t="shared" si="285"/>
        <v>5.5357142857142883E-2</v>
      </c>
      <c r="AA247" s="102" t="s">
        <v>2588</v>
      </c>
      <c r="AB247" s="16" t="s">
        <v>2556</v>
      </c>
      <c r="AC247" s="86">
        <v>44175</v>
      </c>
      <c r="AD247" s="88">
        <v>44186</v>
      </c>
      <c r="AE247" s="33">
        <f t="shared" si="286"/>
        <v>11</v>
      </c>
      <c r="AF247" s="43" t="s">
        <v>2581</v>
      </c>
      <c r="AG247" s="373"/>
      <c r="AH247" s="16"/>
    </row>
    <row r="248" spans="1:39">
      <c r="A248" s="148" t="s">
        <v>2552</v>
      </c>
      <c r="B248" s="92">
        <v>-88</v>
      </c>
      <c r="C248" s="82">
        <v>-90</v>
      </c>
      <c r="D248" s="81">
        <v>49</v>
      </c>
      <c r="E248" s="81">
        <v>18</v>
      </c>
      <c r="F248" s="6">
        <v>0.32</v>
      </c>
      <c r="G248" s="82">
        <v>2867</v>
      </c>
      <c r="H248" s="10" t="s">
        <v>322</v>
      </c>
      <c r="I248" s="22" t="s">
        <v>128</v>
      </c>
      <c r="J248" s="330">
        <v>72.62</v>
      </c>
      <c r="K248" s="330">
        <v>7.12</v>
      </c>
      <c r="L248" s="330">
        <v>2.5299999999999998</v>
      </c>
      <c r="N248" s="325">
        <f t="shared" si="287"/>
        <v>82.27000000000001</v>
      </c>
      <c r="S248" s="330">
        <v>0.05</v>
      </c>
      <c r="T248" s="34">
        <v>0</v>
      </c>
      <c r="V248" s="97">
        <f t="shared" si="283"/>
        <v>0</v>
      </c>
      <c r="W248" s="36">
        <v>8.3000000000000007</v>
      </c>
      <c r="X248" s="67">
        <v>7.55</v>
      </c>
      <c r="Y248" s="15">
        <f t="shared" si="284"/>
        <v>0.75000000000000089</v>
      </c>
      <c r="Z248" s="64">
        <f t="shared" si="285"/>
        <v>9.933774834437098E-2</v>
      </c>
      <c r="AA248" s="102" t="s">
        <v>2589</v>
      </c>
      <c r="AB248" s="22" t="s">
        <v>128</v>
      </c>
      <c r="AC248" s="86">
        <v>44175</v>
      </c>
      <c r="AD248" s="88">
        <v>44186</v>
      </c>
      <c r="AE248" s="33">
        <f t="shared" si="286"/>
        <v>11</v>
      </c>
      <c r="AF248" s="122" t="s">
        <v>2628</v>
      </c>
      <c r="AG248" s="373"/>
      <c r="AH248" s="22"/>
    </row>
    <row r="249" spans="1:39">
      <c r="A249" s="148" t="s">
        <v>2531</v>
      </c>
      <c r="B249" s="96">
        <v>-236</v>
      </c>
      <c r="C249" s="96">
        <v>-2493</v>
      </c>
      <c r="D249" s="82">
        <v>3</v>
      </c>
      <c r="E249" s="81">
        <v>23</v>
      </c>
      <c r="F249" s="6">
        <v>-6.71</v>
      </c>
      <c r="G249" s="81">
        <v>6443</v>
      </c>
      <c r="H249" s="4" t="s">
        <v>325</v>
      </c>
      <c r="I249" s="22" t="s">
        <v>481</v>
      </c>
      <c r="J249" s="330">
        <v>25.06</v>
      </c>
      <c r="K249" s="75">
        <v>10.130000000000001</v>
      </c>
      <c r="N249" s="325">
        <f t="shared" si="287"/>
        <v>35.19</v>
      </c>
      <c r="T249" s="34">
        <v>0</v>
      </c>
      <c r="V249" s="97">
        <f t="shared" si="283"/>
        <v>0</v>
      </c>
      <c r="W249" s="36">
        <v>39.450000000000003</v>
      </c>
      <c r="X249" s="67">
        <v>25.8</v>
      </c>
      <c r="Y249" s="15">
        <f t="shared" si="284"/>
        <v>13.650000000000002</v>
      </c>
      <c r="Z249" s="64">
        <f t="shared" si="285"/>
        <v>0.52906976744186052</v>
      </c>
      <c r="AA249" s="102" t="s">
        <v>2577</v>
      </c>
      <c r="AB249" s="22" t="s">
        <v>481</v>
      </c>
      <c r="AC249" s="86">
        <v>44172</v>
      </c>
      <c r="AD249" s="88">
        <v>44182</v>
      </c>
      <c r="AE249" s="33">
        <f t="shared" si="286"/>
        <v>10</v>
      </c>
      <c r="AF249" s="43" t="s">
        <v>2353</v>
      </c>
      <c r="AG249" s="373"/>
      <c r="AH249" s="22"/>
    </row>
    <row r="250" spans="1:39">
      <c r="A250" s="132" t="s">
        <v>2385</v>
      </c>
      <c r="B250" s="81">
        <v>27</v>
      </c>
      <c r="C250" s="81">
        <v>35</v>
      </c>
      <c r="D250" s="81">
        <v>18</v>
      </c>
      <c r="E250" s="81">
        <v>10</v>
      </c>
      <c r="F250" s="58">
        <v>12.18</v>
      </c>
      <c r="G250" s="81">
        <v>4755</v>
      </c>
      <c r="H250" s="4" t="s">
        <v>806</v>
      </c>
      <c r="I250" s="22" t="s">
        <v>819</v>
      </c>
      <c r="J250" s="75">
        <v>76.099999999999994</v>
      </c>
      <c r="K250" s="330">
        <v>29.76</v>
      </c>
      <c r="L250" s="330">
        <v>2.41</v>
      </c>
      <c r="N250" s="325">
        <f t="shared" si="287"/>
        <v>108.27</v>
      </c>
      <c r="S250" s="330">
        <v>0</v>
      </c>
      <c r="T250" s="34">
        <v>2.5</v>
      </c>
      <c r="V250" s="97">
        <f t="shared" si="283"/>
        <v>3.7821482602118005E-2</v>
      </c>
      <c r="W250" s="36">
        <v>66.099999999999994</v>
      </c>
      <c r="X250" s="67">
        <v>48.7</v>
      </c>
      <c r="Y250" s="15">
        <f t="shared" si="284"/>
        <v>17.399999999999991</v>
      </c>
      <c r="Z250" s="64">
        <f t="shared" si="285"/>
        <v>0.35728952772073902</v>
      </c>
      <c r="AA250" s="102" t="s">
        <v>2572</v>
      </c>
      <c r="AB250" s="22" t="s">
        <v>819</v>
      </c>
      <c r="AC250" s="86">
        <v>44169</v>
      </c>
      <c r="AD250" s="88">
        <v>44179</v>
      </c>
      <c r="AE250" s="33">
        <f t="shared" si="286"/>
        <v>10</v>
      </c>
      <c r="AF250" s="43" t="s">
        <v>2532</v>
      </c>
      <c r="AG250" s="373"/>
      <c r="AH250" s="22"/>
    </row>
    <row r="251" spans="1:39">
      <c r="A251" s="132" t="s">
        <v>2596</v>
      </c>
      <c r="B251" s="82">
        <v>-21</v>
      </c>
      <c r="C251" s="81">
        <v>24</v>
      </c>
      <c r="D251" s="82">
        <v>-22</v>
      </c>
      <c r="E251" s="92">
        <v>-43</v>
      </c>
      <c r="F251" s="58">
        <v>14.09</v>
      </c>
      <c r="G251" s="82">
        <v>6727</v>
      </c>
      <c r="H251" s="4" t="s">
        <v>327</v>
      </c>
      <c r="I251" s="16" t="s">
        <v>2529</v>
      </c>
      <c r="J251" s="330">
        <v>7.8</v>
      </c>
      <c r="K251" s="330">
        <v>2.4300000000000002</v>
      </c>
      <c r="N251" s="325">
        <f t="shared" si="287"/>
        <v>10.23</v>
      </c>
      <c r="T251" s="34">
        <v>2</v>
      </c>
      <c r="V251" s="97">
        <f t="shared" si="283"/>
        <v>3.3670033670033669E-2</v>
      </c>
      <c r="W251" s="36">
        <v>59.4</v>
      </c>
      <c r="X251" s="67">
        <v>52.8</v>
      </c>
      <c r="Y251" s="15">
        <f t="shared" si="284"/>
        <v>6.6000000000000014</v>
      </c>
      <c r="Z251" s="64">
        <f t="shared" si="285"/>
        <v>0.12500000000000003</v>
      </c>
      <c r="AA251" s="102" t="s">
        <v>2563</v>
      </c>
      <c r="AB251" s="16" t="s">
        <v>2529</v>
      </c>
      <c r="AC251" s="86">
        <v>44166</v>
      </c>
      <c r="AD251" s="88">
        <v>44176</v>
      </c>
      <c r="AE251" s="33">
        <f t="shared" si="286"/>
        <v>10</v>
      </c>
      <c r="AF251" s="43" t="s">
        <v>2530</v>
      </c>
      <c r="AG251" s="373"/>
      <c r="AH251" s="16"/>
    </row>
    <row r="252" spans="1:39">
      <c r="A252" s="132" t="s">
        <v>2015</v>
      </c>
      <c r="B252" s="81">
        <v>9</v>
      </c>
      <c r="C252" s="81">
        <v>14</v>
      </c>
      <c r="D252" s="82">
        <v>-27</v>
      </c>
      <c r="E252" s="81">
        <v>11</v>
      </c>
      <c r="F252" s="58">
        <v>17.32</v>
      </c>
      <c r="G252" s="82">
        <v>1342</v>
      </c>
      <c r="H252" s="4" t="s">
        <v>311</v>
      </c>
      <c r="I252" s="22" t="s">
        <v>2522</v>
      </c>
      <c r="J252" s="330">
        <v>81.73</v>
      </c>
      <c r="K252" s="330">
        <v>53.43</v>
      </c>
      <c r="L252" s="330"/>
      <c r="N252" s="325">
        <f t="shared" si="287"/>
        <v>135.16</v>
      </c>
      <c r="T252" s="34">
        <v>2.5</v>
      </c>
      <c r="V252" s="97">
        <f t="shared" si="283"/>
        <v>4.1254125412541254E-2</v>
      </c>
      <c r="W252" s="13">
        <v>60.6</v>
      </c>
      <c r="X252" s="67">
        <v>55</v>
      </c>
      <c r="Y252" s="15">
        <f t="shared" si="284"/>
        <v>5.6000000000000014</v>
      </c>
      <c r="Z252" s="64">
        <f t="shared" si="285"/>
        <v>0.10181818181818185</v>
      </c>
      <c r="AA252" s="102" t="s">
        <v>2541</v>
      </c>
      <c r="AB252" s="22" t="s">
        <v>2522</v>
      </c>
      <c r="AC252" s="86">
        <v>44159</v>
      </c>
      <c r="AD252" s="88">
        <v>44169</v>
      </c>
      <c r="AE252" s="33">
        <f t="shared" si="286"/>
        <v>10</v>
      </c>
      <c r="AF252" s="43" t="s">
        <v>2523</v>
      </c>
      <c r="AG252" s="373"/>
      <c r="AH252" s="22"/>
    </row>
    <row r="253" spans="1:39">
      <c r="A253" s="148" t="s">
        <v>2516</v>
      </c>
      <c r="B253" s="82">
        <v>-112</v>
      </c>
      <c r="C253" s="82">
        <v>-126</v>
      </c>
      <c r="D253" s="82">
        <v>-39</v>
      </c>
      <c r="E253" s="81">
        <v>45</v>
      </c>
      <c r="F253" s="6">
        <v>-27.96</v>
      </c>
      <c r="G253" s="82">
        <v>6625</v>
      </c>
      <c r="H253" s="4" t="s">
        <v>249</v>
      </c>
      <c r="I253" s="22" t="s">
        <v>733</v>
      </c>
      <c r="J253" s="330">
        <v>56.24</v>
      </c>
      <c r="K253" s="75">
        <v>0.21</v>
      </c>
      <c r="L253" s="330">
        <v>0.78</v>
      </c>
      <c r="N253" s="325">
        <f t="shared" si="287"/>
        <v>57.230000000000004</v>
      </c>
      <c r="S253" s="330">
        <v>0</v>
      </c>
      <c r="T253" s="34">
        <v>0.6</v>
      </c>
      <c r="V253" s="97">
        <f t="shared" si="283"/>
        <v>1.7857142857142856E-2</v>
      </c>
      <c r="W253" s="36">
        <v>33.6</v>
      </c>
      <c r="X253" s="67">
        <v>30</v>
      </c>
      <c r="Y253" s="15">
        <f t="shared" si="284"/>
        <v>3.6000000000000014</v>
      </c>
      <c r="Z253" s="64">
        <f t="shared" si="285"/>
        <v>0.12000000000000005</v>
      </c>
      <c r="AA253" s="102" t="s">
        <v>2542</v>
      </c>
      <c r="AB253" s="22" t="s">
        <v>733</v>
      </c>
      <c r="AC253" s="86">
        <v>44159</v>
      </c>
      <c r="AD253" s="88">
        <v>44169</v>
      </c>
      <c r="AE253" s="33">
        <f t="shared" si="286"/>
        <v>10</v>
      </c>
      <c r="AF253" s="43" t="s">
        <v>2517</v>
      </c>
      <c r="AG253" s="373"/>
      <c r="AH253" s="22"/>
    </row>
    <row r="254" spans="1:39" ht="17.25" customHeight="1">
      <c r="A254" s="132" t="s">
        <v>2518</v>
      </c>
      <c r="B254" s="82">
        <v>-81</v>
      </c>
      <c r="C254" s="82">
        <v>-72</v>
      </c>
      <c r="D254" s="82">
        <v>-92</v>
      </c>
      <c r="E254" s="82">
        <v>-97</v>
      </c>
      <c r="F254" s="58">
        <v>13.67</v>
      </c>
      <c r="G254" s="81">
        <v>6177</v>
      </c>
      <c r="H254" s="4" t="s">
        <v>931</v>
      </c>
      <c r="I254" s="22" t="s">
        <v>993</v>
      </c>
      <c r="J254" s="330">
        <v>67.52</v>
      </c>
      <c r="K254" s="75">
        <v>1.99</v>
      </c>
      <c r="L254" s="75">
        <v>7.45</v>
      </c>
      <c r="N254" s="325">
        <f t="shared" si="287"/>
        <v>76.959999999999994</v>
      </c>
      <c r="S254" s="330">
        <v>0.06</v>
      </c>
      <c r="T254" s="34">
        <v>3</v>
      </c>
      <c r="V254" s="97">
        <f t="shared" si="283"/>
        <v>9.5846645367412137E-2</v>
      </c>
      <c r="W254" s="36">
        <v>31.3</v>
      </c>
      <c r="X254" s="67">
        <v>25</v>
      </c>
      <c r="Y254" s="15">
        <f t="shared" si="284"/>
        <v>6.3000000000000007</v>
      </c>
      <c r="Z254" s="64">
        <f t="shared" si="285"/>
        <v>0.252</v>
      </c>
      <c r="AA254" s="102" t="s">
        <v>2048</v>
      </c>
      <c r="AB254" s="22" t="s">
        <v>993</v>
      </c>
      <c r="AC254" s="86">
        <v>44159</v>
      </c>
      <c r="AD254" s="88">
        <v>44169</v>
      </c>
      <c r="AE254" s="33">
        <f t="shared" si="286"/>
        <v>10</v>
      </c>
      <c r="AF254" s="43" t="s">
        <v>2403</v>
      </c>
      <c r="AG254" s="373"/>
      <c r="AH254" s="22"/>
    </row>
    <row r="255" spans="1:39">
      <c r="A255" s="148" t="s">
        <v>2504</v>
      </c>
      <c r="B255" s="81">
        <v>55</v>
      </c>
      <c r="C255" s="81">
        <v>60</v>
      </c>
      <c r="D255" s="82">
        <v>-9</v>
      </c>
      <c r="E255" s="82">
        <v>-11</v>
      </c>
      <c r="F255" s="6">
        <v>-6.44</v>
      </c>
      <c r="G255" s="81">
        <v>5351</v>
      </c>
      <c r="H255" s="54" t="s">
        <v>326</v>
      </c>
      <c r="I255" s="24" t="s">
        <v>264</v>
      </c>
      <c r="J255" s="75">
        <v>18.95</v>
      </c>
      <c r="K255" s="75">
        <v>6.29</v>
      </c>
      <c r="L255" s="330">
        <v>23.03</v>
      </c>
      <c r="N255" s="325">
        <f t="shared" si="287"/>
        <v>48.269999999999996</v>
      </c>
      <c r="S255" s="330">
        <v>0.65</v>
      </c>
      <c r="T255" s="34">
        <v>0</v>
      </c>
      <c r="V255" s="97">
        <f t="shared" si="283"/>
        <v>0</v>
      </c>
      <c r="W255" s="36">
        <v>22.3</v>
      </c>
      <c r="X255" s="45">
        <v>14.6</v>
      </c>
      <c r="Y255" s="15">
        <f t="shared" si="284"/>
        <v>7.7000000000000011</v>
      </c>
      <c r="Z255" s="64">
        <f t="shared" si="285"/>
        <v>0.52739726027397271</v>
      </c>
      <c r="AA255" s="102" t="s">
        <v>2543</v>
      </c>
      <c r="AB255" s="24" t="s">
        <v>264</v>
      </c>
      <c r="AC255" s="86">
        <v>44159</v>
      </c>
      <c r="AD255" s="88">
        <v>44169</v>
      </c>
      <c r="AE255" s="33">
        <f t="shared" si="286"/>
        <v>10</v>
      </c>
      <c r="AF255" s="124" t="s">
        <v>2244</v>
      </c>
      <c r="AG255" s="373"/>
      <c r="AH255" s="24"/>
      <c r="AI255" s="320"/>
    </row>
    <row r="256" spans="1:39" s="7" customFormat="1" ht="17.100000000000001" customHeight="1">
      <c r="A256" s="132" t="s">
        <v>1661</v>
      </c>
      <c r="B256" s="81">
        <v>32</v>
      </c>
      <c r="C256" s="81">
        <v>66</v>
      </c>
      <c r="D256" s="81">
        <v>14</v>
      </c>
      <c r="E256" s="81">
        <v>19</v>
      </c>
      <c r="F256" s="58">
        <v>18.440000000000001</v>
      </c>
      <c r="G256" s="81">
        <v>4945</v>
      </c>
      <c r="H256" s="53" t="s">
        <v>326</v>
      </c>
      <c r="I256" s="24" t="s">
        <v>2515</v>
      </c>
      <c r="J256" s="330">
        <v>48.65</v>
      </c>
      <c r="K256" s="75">
        <v>3.42</v>
      </c>
      <c r="L256" s="330"/>
      <c r="M256" s="325"/>
      <c r="N256" s="325">
        <f t="shared" si="287"/>
        <v>52.07</v>
      </c>
      <c r="O256" s="27"/>
      <c r="P256" s="56"/>
      <c r="Q256" s="26"/>
      <c r="R256" s="308"/>
      <c r="S256" s="330"/>
      <c r="T256" s="34">
        <v>1.5</v>
      </c>
      <c r="U256" s="367"/>
      <c r="V256" s="97">
        <f t="shared" si="283"/>
        <v>2.9940119760479042E-2</v>
      </c>
      <c r="W256" s="36">
        <v>50.1</v>
      </c>
      <c r="X256" s="67">
        <v>38</v>
      </c>
      <c r="Y256" s="15">
        <f t="shared" si="284"/>
        <v>12.100000000000001</v>
      </c>
      <c r="Z256" s="64">
        <f t="shared" si="285"/>
        <v>0.31842105263157899</v>
      </c>
      <c r="AA256" s="102" t="s">
        <v>2500</v>
      </c>
      <c r="AB256" s="24" t="s">
        <v>2515</v>
      </c>
      <c r="AC256" s="86">
        <v>44155</v>
      </c>
      <c r="AD256" s="88">
        <v>44165</v>
      </c>
      <c r="AE256" s="33">
        <f t="shared" si="286"/>
        <v>10</v>
      </c>
      <c r="AF256" s="124" t="s">
        <v>2519</v>
      </c>
      <c r="AG256" s="373"/>
      <c r="AH256" s="24"/>
      <c r="AI256" s="320"/>
      <c r="AJ256" s="276"/>
      <c r="AK256" s="22"/>
      <c r="AL256" s="41"/>
      <c r="AM256" s="308"/>
    </row>
    <row r="257" spans="1:34">
      <c r="A257" s="148" t="s">
        <v>2511</v>
      </c>
      <c r="B257" s="82">
        <v>-14</v>
      </c>
      <c r="C257" s="82">
        <v>-20</v>
      </c>
      <c r="D257" s="82">
        <v>-23</v>
      </c>
      <c r="E257" s="81">
        <v>178</v>
      </c>
      <c r="F257" s="47">
        <v>-1101</v>
      </c>
      <c r="G257" s="81">
        <v>6547</v>
      </c>
      <c r="H257" s="4" t="s">
        <v>328</v>
      </c>
      <c r="I257" s="16" t="s">
        <v>1154</v>
      </c>
      <c r="J257" s="330">
        <v>33.5</v>
      </c>
      <c r="K257" s="330">
        <v>4.8099999999999996</v>
      </c>
      <c r="N257" s="325">
        <f t="shared" si="287"/>
        <v>38.31</v>
      </c>
      <c r="T257" s="34">
        <v>0</v>
      </c>
      <c r="V257" s="97">
        <f t="shared" si="283"/>
        <v>0</v>
      </c>
      <c r="W257" s="36">
        <v>107</v>
      </c>
      <c r="X257" s="67">
        <v>80</v>
      </c>
      <c r="Y257" s="15">
        <f t="shared" si="284"/>
        <v>27</v>
      </c>
      <c r="Z257" s="64">
        <f t="shared" si="285"/>
        <v>0.33750000000000002</v>
      </c>
      <c r="AA257" s="102" t="s">
        <v>2535</v>
      </c>
      <c r="AB257" s="16" t="s">
        <v>1154</v>
      </c>
      <c r="AC257" s="86">
        <v>44155</v>
      </c>
      <c r="AD257" s="88">
        <v>44165</v>
      </c>
      <c r="AE257" s="33">
        <f t="shared" si="286"/>
        <v>10</v>
      </c>
      <c r="AF257" s="43" t="s">
        <v>2207</v>
      </c>
      <c r="AG257" s="373"/>
      <c r="AH257" s="16"/>
    </row>
    <row r="258" spans="1:34">
      <c r="A258" s="148" t="s">
        <v>2506</v>
      </c>
      <c r="B258" s="81">
        <v>62</v>
      </c>
      <c r="C258" s="81">
        <v>92</v>
      </c>
      <c r="D258" s="81">
        <v>30</v>
      </c>
      <c r="E258" s="82">
        <v>-23</v>
      </c>
      <c r="F258" s="6">
        <v>-0.59</v>
      </c>
      <c r="G258" s="81">
        <v>8011</v>
      </c>
      <c r="H258" s="4" t="s">
        <v>331</v>
      </c>
      <c r="I258" s="22" t="s">
        <v>250</v>
      </c>
      <c r="J258" s="75">
        <v>28.59</v>
      </c>
      <c r="K258" s="330">
        <v>1.85</v>
      </c>
      <c r="L258" s="75">
        <v>12.03</v>
      </c>
      <c r="N258" s="325">
        <f t="shared" si="287"/>
        <v>42.47</v>
      </c>
      <c r="S258" s="330">
        <v>0.62</v>
      </c>
      <c r="T258" s="34">
        <v>0</v>
      </c>
      <c r="V258" s="97">
        <f t="shared" ref="V258:V289" si="288">T258/W258</f>
        <v>0</v>
      </c>
      <c r="W258" s="36">
        <v>18.75</v>
      </c>
      <c r="X258" s="67">
        <v>14.2</v>
      </c>
      <c r="Y258" s="15">
        <f t="shared" si="284"/>
        <v>4.5500000000000007</v>
      </c>
      <c r="Z258" s="64">
        <f t="shared" si="285"/>
        <v>0.32042253521126768</v>
      </c>
      <c r="AA258" s="102" t="s">
        <v>2527</v>
      </c>
      <c r="AB258" s="22" t="s">
        <v>250</v>
      </c>
      <c r="AC258" s="86">
        <v>44152</v>
      </c>
      <c r="AD258" s="88">
        <v>44162</v>
      </c>
      <c r="AE258" s="33">
        <f t="shared" si="286"/>
        <v>10</v>
      </c>
      <c r="AF258" s="122" t="s">
        <v>2507</v>
      </c>
      <c r="AG258" s="373"/>
      <c r="AH258" s="22"/>
    </row>
    <row r="259" spans="1:34" ht="17.25" customHeight="1">
      <c r="A259" s="148" t="s">
        <v>1683</v>
      </c>
      <c r="B259" s="81">
        <v>35</v>
      </c>
      <c r="C259" s="81">
        <v>19</v>
      </c>
      <c r="D259" s="82">
        <v>-8</v>
      </c>
      <c r="E259" s="81">
        <v>12</v>
      </c>
      <c r="F259" s="6">
        <v>9.27</v>
      </c>
      <c r="G259" s="81">
        <v>3171</v>
      </c>
      <c r="H259" s="4" t="s">
        <v>330</v>
      </c>
      <c r="I259" s="16" t="s">
        <v>848</v>
      </c>
      <c r="J259" s="330">
        <v>74.760000000000005</v>
      </c>
      <c r="K259" s="330">
        <v>0.52</v>
      </c>
      <c r="L259" s="330">
        <v>4.33</v>
      </c>
      <c r="N259" s="325">
        <f t="shared" si="287"/>
        <v>79.61</v>
      </c>
      <c r="S259" s="330">
        <v>0</v>
      </c>
      <c r="T259" s="34">
        <v>1.58</v>
      </c>
      <c r="V259" s="97">
        <f t="shared" si="288"/>
        <v>7.3317865429234338E-2</v>
      </c>
      <c r="W259" s="36">
        <v>21.55</v>
      </c>
      <c r="X259" s="67">
        <v>20</v>
      </c>
      <c r="Y259" s="15">
        <f t="shared" si="284"/>
        <v>1.5500000000000007</v>
      </c>
      <c r="Z259" s="64">
        <f t="shared" si="285"/>
        <v>7.7500000000000041E-2</v>
      </c>
      <c r="AA259" s="102" t="s">
        <v>2525</v>
      </c>
      <c r="AB259" s="16" t="s">
        <v>848</v>
      </c>
      <c r="AC259" s="86">
        <v>44147</v>
      </c>
      <c r="AD259" s="88">
        <v>44158</v>
      </c>
      <c r="AE259" s="33">
        <f t="shared" si="286"/>
        <v>11</v>
      </c>
      <c r="AF259" s="43" t="s">
        <v>2499</v>
      </c>
      <c r="AG259" s="373"/>
      <c r="AH259" s="16"/>
    </row>
    <row r="260" spans="1:34">
      <c r="A260" s="132" t="s">
        <v>2402</v>
      </c>
      <c r="B260" s="82">
        <v>-4</v>
      </c>
      <c r="C260" s="81">
        <v>215</v>
      </c>
      <c r="D260" s="82">
        <v>-26</v>
      </c>
      <c r="E260" s="81">
        <v>7</v>
      </c>
      <c r="F260" s="58">
        <v>11.97</v>
      </c>
      <c r="G260" s="82">
        <v>6023</v>
      </c>
      <c r="H260" s="10" t="s">
        <v>322</v>
      </c>
      <c r="I260" s="16" t="s">
        <v>161</v>
      </c>
      <c r="J260" s="330">
        <v>81.8</v>
      </c>
      <c r="K260" s="330">
        <v>0.79</v>
      </c>
      <c r="L260" s="75">
        <v>0.36</v>
      </c>
      <c r="N260" s="325">
        <f t="shared" si="287"/>
        <v>82.95</v>
      </c>
      <c r="S260" s="330">
        <v>0</v>
      </c>
      <c r="T260" s="34">
        <v>3.2</v>
      </c>
      <c r="V260" s="97">
        <f t="shared" si="288"/>
        <v>6.237816764132554E-2</v>
      </c>
      <c r="W260" s="36">
        <v>51.3</v>
      </c>
      <c r="X260" s="67">
        <v>45.5</v>
      </c>
      <c r="Y260" s="15">
        <f t="shared" si="284"/>
        <v>5.7999999999999972</v>
      </c>
      <c r="Z260" s="64">
        <f t="shared" si="285"/>
        <v>0.12747252747252741</v>
      </c>
      <c r="AA260" s="102" t="s">
        <v>2510</v>
      </c>
      <c r="AB260" s="16" t="s">
        <v>161</v>
      </c>
      <c r="AC260" s="86">
        <v>44139</v>
      </c>
      <c r="AD260" s="88">
        <v>44151</v>
      </c>
      <c r="AE260" s="33">
        <f t="shared" si="286"/>
        <v>12</v>
      </c>
      <c r="AF260" s="122" t="s">
        <v>1507</v>
      </c>
      <c r="AG260" s="373"/>
      <c r="AH260" s="16"/>
    </row>
    <row r="261" spans="1:34">
      <c r="A261" s="148" t="s">
        <v>1890</v>
      </c>
      <c r="B261" s="81">
        <v>173</v>
      </c>
      <c r="C261" s="81">
        <v>904</v>
      </c>
      <c r="D261" s="81">
        <v>34</v>
      </c>
      <c r="E261" s="82">
        <v>-27</v>
      </c>
      <c r="F261" s="6">
        <v>5.77</v>
      </c>
      <c r="G261" s="81">
        <v>6667</v>
      </c>
      <c r="H261" s="4" t="s">
        <v>334</v>
      </c>
      <c r="I261" s="16" t="s">
        <v>1140</v>
      </c>
      <c r="J261" s="330">
        <v>53.97</v>
      </c>
      <c r="K261" s="330">
        <v>1.63</v>
      </c>
      <c r="L261" s="330">
        <v>19.82</v>
      </c>
      <c r="N261" s="325">
        <f t="shared" si="287"/>
        <v>75.42</v>
      </c>
      <c r="S261" s="330">
        <v>7.0000000000000007E-2</v>
      </c>
      <c r="T261" s="34">
        <v>1.99</v>
      </c>
      <c r="V261" s="97">
        <f t="shared" si="288"/>
        <v>2.9924812030075187E-2</v>
      </c>
      <c r="W261" s="36">
        <v>66.5</v>
      </c>
      <c r="X261" s="67">
        <v>47</v>
      </c>
      <c r="Y261" s="15">
        <f t="shared" si="284"/>
        <v>19.5</v>
      </c>
      <c r="Z261" s="64">
        <f t="shared" si="285"/>
        <v>0.41489361702127658</v>
      </c>
      <c r="AA261" s="102" t="s">
        <v>2508</v>
      </c>
      <c r="AB261" s="16" t="s">
        <v>1140</v>
      </c>
      <c r="AC261" s="86">
        <v>44138</v>
      </c>
      <c r="AD261" s="88">
        <v>44148</v>
      </c>
      <c r="AE261" s="33">
        <f t="shared" si="286"/>
        <v>10</v>
      </c>
      <c r="AF261" s="43" t="s">
        <v>2478</v>
      </c>
      <c r="AG261" s="373"/>
      <c r="AH261" s="16"/>
    </row>
    <row r="262" spans="1:34">
      <c r="A262" s="132" t="s">
        <v>1907</v>
      </c>
      <c r="B262" s="81">
        <v>16</v>
      </c>
      <c r="C262" s="81">
        <v>34</v>
      </c>
      <c r="D262" s="81">
        <v>2</v>
      </c>
      <c r="E262" s="81">
        <v>5</v>
      </c>
      <c r="F262" s="58">
        <v>26.69</v>
      </c>
      <c r="G262" s="81">
        <v>7556</v>
      </c>
      <c r="H262" s="52" t="s">
        <v>326</v>
      </c>
      <c r="I262" s="16" t="s">
        <v>2477</v>
      </c>
      <c r="J262" s="330">
        <v>58.76</v>
      </c>
      <c r="K262" s="75">
        <v>2.6</v>
      </c>
      <c r="N262" s="325">
        <f t="shared" si="287"/>
        <v>61.36</v>
      </c>
      <c r="T262" s="34">
        <v>2.2000000000000002</v>
      </c>
      <c r="V262" s="97">
        <f t="shared" si="288"/>
        <v>2.2845275181723784E-2</v>
      </c>
      <c r="W262" s="36">
        <v>96.3</v>
      </c>
      <c r="X262" s="67">
        <v>88</v>
      </c>
      <c r="Y262" s="15">
        <f t="shared" si="284"/>
        <v>8.2999999999999972</v>
      </c>
      <c r="Z262" s="64">
        <f t="shared" si="285"/>
        <v>9.4318181818181787E-2</v>
      </c>
      <c r="AA262" s="102" t="s">
        <v>2502</v>
      </c>
      <c r="AB262" s="16" t="s">
        <v>2477</v>
      </c>
      <c r="AC262" s="86">
        <v>44134</v>
      </c>
      <c r="AD262" s="88">
        <v>44144</v>
      </c>
      <c r="AE262" s="33">
        <f t="shared" si="286"/>
        <v>10</v>
      </c>
      <c r="AF262" s="43" t="s">
        <v>2479</v>
      </c>
      <c r="AG262" s="373"/>
      <c r="AH262" s="16"/>
    </row>
    <row r="263" spans="1:34">
      <c r="A263" s="148" t="s">
        <v>1969</v>
      </c>
      <c r="B263" s="82">
        <v>-130</v>
      </c>
      <c r="C263" s="82">
        <v>-104</v>
      </c>
      <c r="D263" s="81">
        <v>5</v>
      </c>
      <c r="E263" s="82">
        <v>-19</v>
      </c>
      <c r="F263" s="6">
        <v>-0.66</v>
      </c>
      <c r="G263" s="82">
        <v>2027</v>
      </c>
      <c r="H263" s="4" t="s">
        <v>317</v>
      </c>
      <c r="I263" s="22" t="s">
        <v>296</v>
      </c>
      <c r="J263" s="75">
        <v>64.2</v>
      </c>
      <c r="K263" s="75">
        <v>20.71</v>
      </c>
      <c r="L263" s="330">
        <v>8.68</v>
      </c>
      <c r="N263" s="325">
        <f t="shared" si="287"/>
        <v>93.59</v>
      </c>
      <c r="S263" s="330">
        <v>0.43</v>
      </c>
      <c r="T263" s="34">
        <v>1.2</v>
      </c>
      <c r="V263" s="58">
        <f t="shared" si="288"/>
        <v>4.8289738430583498E-2</v>
      </c>
      <c r="W263" s="36">
        <v>24.85</v>
      </c>
      <c r="X263" s="67">
        <v>18</v>
      </c>
      <c r="Y263" s="15">
        <f t="shared" si="284"/>
        <v>6.8500000000000014</v>
      </c>
      <c r="Z263" s="64">
        <f t="shared" si="285"/>
        <v>0.38055555555555565</v>
      </c>
      <c r="AA263" s="102" t="s">
        <v>2503</v>
      </c>
      <c r="AB263" s="22" t="s">
        <v>296</v>
      </c>
      <c r="AC263" s="86">
        <v>44134</v>
      </c>
      <c r="AD263" s="88">
        <v>44144</v>
      </c>
      <c r="AE263" s="33">
        <f t="shared" si="286"/>
        <v>10</v>
      </c>
      <c r="AF263" s="122" t="s">
        <v>1494</v>
      </c>
      <c r="AG263" s="373"/>
      <c r="AH263" s="22"/>
    </row>
    <row r="264" spans="1:34">
      <c r="A264" s="148" t="s">
        <v>2461</v>
      </c>
      <c r="B264" s="82">
        <v>-18</v>
      </c>
      <c r="C264" s="81"/>
      <c r="D264" s="82">
        <v>-19</v>
      </c>
      <c r="E264" s="81">
        <v>3</v>
      </c>
      <c r="F264" s="6"/>
      <c r="G264" s="82">
        <v>2897</v>
      </c>
      <c r="H264" s="10" t="s">
        <v>322</v>
      </c>
      <c r="I264" s="22" t="s">
        <v>363</v>
      </c>
      <c r="J264" s="330">
        <v>85.86</v>
      </c>
      <c r="K264" s="330">
        <v>1.51</v>
      </c>
      <c r="L264" s="75">
        <v>0.46</v>
      </c>
      <c r="N264" s="325">
        <f t="shared" si="287"/>
        <v>87.83</v>
      </c>
      <c r="S264" s="330">
        <v>0</v>
      </c>
      <c r="T264" s="34">
        <v>0.4</v>
      </c>
      <c r="V264" s="97">
        <f t="shared" si="288"/>
        <v>6.230529595015577E-2</v>
      </c>
      <c r="W264" s="36">
        <v>6.42</v>
      </c>
      <c r="X264" s="67">
        <v>6.35</v>
      </c>
      <c r="Y264" s="15">
        <f t="shared" ref="Y264:Y295" si="289">W264-X264</f>
        <v>7.0000000000000284E-2</v>
      </c>
      <c r="Z264" s="64">
        <f t="shared" ref="Z264:Z295" si="290">Y264/X264</f>
        <v>1.1023622047244139E-2</v>
      </c>
      <c r="AA264" s="102" t="s">
        <v>2397</v>
      </c>
      <c r="AB264" s="22" t="s">
        <v>363</v>
      </c>
      <c r="AC264" s="86">
        <v>44130</v>
      </c>
      <c r="AD264" s="88">
        <v>44140</v>
      </c>
      <c r="AE264" s="33">
        <f t="shared" ref="AE264:AE295" si="291">AD264-AC264</f>
        <v>10</v>
      </c>
      <c r="AF264" s="43" t="s">
        <v>2434</v>
      </c>
      <c r="AG264" s="373"/>
      <c r="AH264" s="22"/>
    </row>
    <row r="265" spans="1:34">
      <c r="A265" s="132" t="s">
        <v>2158</v>
      </c>
      <c r="B265" s="81">
        <v>21</v>
      </c>
      <c r="C265" s="81">
        <v>25</v>
      </c>
      <c r="D265" s="81">
        <v>3</v>
      </c>
      <c r="E265" s="81">
        <v>43</v>
      </c>
      <c r="F265" s="58">
        <v>15.81</v>
      </c>
      <c r="G265" s="81">
        <v>6703</v>
      </c>
      <c r="H265" s="4" t="s">
        <v>328</v>
      </c>
      <c r="I265" s="16" t="s">
        <v>2460</v>
      </c>
      <c r="J265" s="330">
        <v>37.94</v>
      </c>
      <c r="K265" s="330">
        <v>11.69</v>
      </c>
      <c r="N265" s="325">
        <f t="shared" ref="N265:N292" si="292">K265+J265+L265</f>
        <v>49.629999999999995</v>
      </c>
      <c r="T265" s="34">
        <v>8</v>
      </c>
      <c r="V265" s="97">
        <f t="shared" si="288"/>
        <v>7.441860465116279E-2</v>
      </c>
      <c r="W265" s="36">
        <v>107.5</v>
      </c>
      <c r="X265" s="67">
        <v>96.9</v>
      </c>
      <c r="Y265" s="15">
        <f t="shared" si="289"/>
        <v>10.599999999999994</v>
      </c>
      <c r="Z265" s="64">
        <f t="shared" si="290"/>
        <v>0.10939112487100097</v>
      </c>
      <c r="AA265" s="102" t="s">
        <v>2485</v>
      </c>
      <c r="AB265" s="16" t="s">
        <v>2460</v>
      </c>
      <c r="AC265" s="86">
        <v>44124</v>
      </c>
      <c r="AD265" s="88">
        <v>44134</v>
      </c>
      <c r="AE265" s="33">
        <f t="shared" si="291"/>
        <v>10</v>
      </c>
      <c r="AF265" s="43" t="s">
        <v>2459</v>
      </c>
      <c r="AG265" s="373"/>
      <c r="AH265" s="16"/>
    </row>
    <row r="266" spans="1:34">
      <c r="A266" s="148" t="s">
        <v>2455</v>
      </c>
      <c r="B266" s="81">
        <v>191</v>
      </c>
      <c r="C266" s="81">
        <v>340</v>
      </c>
      <c r="D266" s="81">
        <v>4</v>
      </c>
      <c r="E266" s="81">
        <v>10</v>
      </c>
      <c r="F266" s="6">
        <v>1.32</v>
      </c>
      <c r="G266" s="81">
        <v>1589</v>
      </c>
      <c r="H266" s="4" t="s">
        <v>313</v>
      </c>
      <c r="I266" s="22" t="s">
        <v>609</v>
      </c>
      <c r="J266" s="75">
        <v>40.6</v>
      </c>
      <c r="K266" s="330">
        <v>10.32</v>
      </c>
      <c r="L266" s="75">
        <v>31.52</v>
      </c>
      <c r="N266" s="325">
        <f t="shared" si="292"/>
        <v>82.44</v>
      </c>
      <c r="S266" s="330">
        <v>0.91</v>
      </c>
      <c r="T266" s="34">
        <v>0.5</v>
      </c>
      <c r="V266" s="97">
        <f t="shared" si="288"/>
        <v>5.4644808743169399E-3</v>
      </c>
      <c r="W266" s="36">
        <v>91.5</v>
      </c>
      <c r="X266" s="45">
        <v>80</v>
      </c>
      <c r="Y266" s="15">
        <f t="shared" si="289"/>
        <v>11.5</v>
      </c>
      <c r="Z266" s="64">
        <f t="shared" si="290"/>
        <v>0.14374999999999999</v>
      </c>
      <c r="AA266" s="102" t="s">
        <v>2484</v>
      </c>
      <c r="AB266" s="22" t="s">
        <v>609</v>
      </c>
      <c r="AC266" s="86">
        <v>44124</v>
      </c>
      <c r="AD266" s="88">
        <v>44134</v>
      </c>
      <c r="AE266" s="33">
        <f t="shared" si="291"/>
        <v>10</v>
      </c>
      <c r="AF266" s="43" t="s">
        <v>2315</v>
      </c>
      <c r="AG266" s="373"/>
      <c r="AH266" s="22"/>
    </row>
    <row r="267" spans="1:34">
      <c r="A267" s="132" t="s">
        <v>2446</v>
      </c>
      <c r="B267" s="82">
        <v>-24</v>
      </c>
      <c r="C267" s="82">
        <v>-19</v>
      </c>
      <c r="D267" s="81">
        <v>4</v>
      </c>
      <c r="E267" s="81">
        <v>46</v>
      </c>
      <c r="F267" s="58">
        <v>16.91</v>
      </c>
      <c r="G267" s="82">
        <v>6411</v>
      </c>
      <c r="H267" s="54" t="s">
        <v>326</v>
      </c>
      <c r="I267" s="16" t="s">
        <v>267</v>
      </c>
      <c r="J267" s="75">
        <v>21.33</v>
      </c>
      <c r="K267" s="330">
        <v>3.62</v>
      </c>
      <c r="L267" s="330">
        <v>17.91</v>
      </c>
      <c r="N267" s="325">
        <f t="shared" si="292"/>
        <v>42.86</v>
      </c>
      <c r="S267" s="330">
        <v>0.08</v>
      </c>
      <c r="T267" s="34">
        <v>4.8</v>
      </c>
      <c r="V267" s="97">
        <f t="shared" si="288"/>
        <v>5.7831325301204814E-2</v>
      </c>
      <c r="W267" s="36">
        <v>83</v>
      </c>
      <c r="X267" s="67">
        <v>72</v>
      </c>
      <c r="Y267" s="15">
        <f t="shared" si="289"/>
        <v>11</v>
      </c>
      <c r="Z267" s="64">
        <f t="shared" si="290"/>
        <v>0.15277777777777779</v>
      </c>
      <c r="AA267" s="102" t="s">
        <v>1824</v>
      </c>
      <c r="AB267" s="16" t="s">
        <v>267</v>
      </c>
      <c r="AC267" s="86">
        <v>44120</v>
      </c>
      <c r="AD267" s="88">
        <v>44130</v>
      </c>
      <c r="AE267" s="33">
        <f t="shared" si="291"/>
        <v>10</v>
      </c>
      <c r="AF267" s="124" t="s">
        <v>1919</v>
      </c>
      <c r="AG267" s="373"/>
      <c r="AH267" s="16"/>
    </row>
    <row r="268" spans="1:34">
      <c r="A268" s="132" t="s">
        <v>1834</v>
      </c>
      <c r="B268" s="81">
        <v>267</v>
      </c>
      <c r="C268" s="81">
        <v>877</v>
      </c>
      <c r="D268" s="81">
        <v>16</v>
      </c>
      <c r="E268" s="81">
        <v>8</v>
      </c>
      <c r="F268" s="58">
        <v>13.06</v>
      </c>
      <c r="G268" s="81">
        <v>6591</v>
      </c>
      <c r="H268" s="49" t="s">
        <v>329</v>
      </c>
      <c r="I268" s="22" t="s">
        <v>502</v>
      </c>
      <c r="J268" s="330">
        <v>23.55</v>
      </c>
      <c r="K268" s="75">
        <v>27.71</v>
      </c>
      <c r="L268" s="75">
        <v>33.619999999999997</v>
      </c>
      <c r="N268" s="325">
        <f t="shared" si="292"/>
        <v>84.88</v>
      </c>
      <c r="S268" s="330">
        <v>0.78</v>
      </c>
      <c r="T268" s="34">
        <v>1.46</v>
      </c>
      <c r="V268" s="97">
        <f t="shared" si="288"/>
        <v>2.5840707964601771E-2</v>
      </c>
      <c r="W268" s="36">
        <v>56.5</v>
      </c>
      <c r="X268" s="45">
        <v>47</v>
      </c>
      <c r="Y268" s="15">
        <f t="shared" si="289"/>
        <v>9.5</v>
      </c>
      <c r="Z268" s="64">
        <f t="shared" si="290"/>
        <v>0.20212765957446807</v>
      </c>
      <c r="AA268" s="102" t="s">
        <v>2468</v>
      </c>
      <c r="AB268" s="22" t="s">
        <v>502</v>
      </c>
      <c r="AC268" s="86">
        <v>44117</v>
      </c>
      <c r="AD268" s="88">
        <v>44127</v>
      </c>
      <c r="AE268" s="33">
        <f t="shared" si="291"/>
        <v>10</v>
      </c>
      <c r="AF268" s="43" t="s">
        <v>2358</v>
      </c>
      <c r="AG268" s="373"/>
      <c r="AH268" s="22"/>
    </row>
    <row r="269" spans="1:34">
      <c r="A269" s="148" t="s">
        <v>2278</v>
      </c>
      <c r="B269" s="81">
        <v>48</v>
      </c>
      <c r="C269" s="81">
        <v>29</v>
      </c>
      <c r="D269" s="81">
        <v>20</v>
      </c>
      <c r="E269" s="81">
        <v>63</v>
      </c>
      <c r="F269" s="6">
        <v>2.74</v>
      </c>
      <c r="G269" s="81">
        <v>2247</v>
      </c>
      <c r="H269" s="4" t="s">
        <v>313</v>
      </c>
      <c r="I269" s="22" t="s">
        <v>2444</v>
      </c>
      <c r="J269" s="330">
        <v>74.87</v>
      </c>
      <c r="K269" s="75">
        <v>0.14000000000000001</v>
      </c>
      <c r="N269" s="325">
        <f t="shared" si="292"/>
        <v>75.010000000000005</v>
      </c>
      <c r="T269" s="34">
        <v>8.44</v>
      </c>
      <c r="V269" s="97">
        <f t="shared" si="288"/>
        <v>3.1492537313432836E-2</v>
      </c>
      <c r="W269" s="36">
        <v>268</v>
      </c>
      <c r="X269" s="67">
        <v>180</v>
      </c>
      <c r="Y269" s="15">
        <f t="shared" si="289"/>
        <v>88</v>
      </c>
      <c r="Z269" s="64">
        <f t="shared" si="290"/>
        <v>0.48888888888888887</v>
      </c>
      <c r="AA269" s="102" t="s">
        <v>2467</v>
      </c>
      <c r="AB269" s="22" t="s">
        <v>2444</v>
      </c>
      <c r="AC269" s="86">
        <v>44116</v>
      </c>
      <c r="AD269" s="88">
        <v>44126</v>
      </c>
      <c r="AE269" s="33">
        <f t="shared" si="291"/>
        <v>10</v>
      </c>
      <c r="AF269" s="43" t="s">
        <v>2445</v>
      </c>
      <c r="AG269" s="373"/>
      <c r="AH269" s="22"/>
    </row>
    <row r="270" spans="1:34">
      <c r="A270" s="132" t="s">
        <v>1825</v>
      </c>
      <c r="B270" s="81">
        <v>4</v>
      </c>
      <c r="C270" s="81">
        <v>7</v>
      </c>
      <c r="D270" s="82">
        <v>-23</v>
      </c>
      <c r="E270" s="81">
        <v>0</v>
      </c>
      <c r="F270" s="58">
        <v>11.43</v>
      </c>
      <c r="G270" s="81">
        <v>9802</v>
      </c>
      <c r="H270" s="4" t="s">
        <v>249</v>
      </c>
      <c r="I270" s="22" t="s">
        <v>1162</v>
      </c>
      <c r="J270" s="75">
        <v>64.48</v>
      </c>
      <c r="K270" s="75">
        <v>46.1</v>
      </c>
      <c r="L270" s="75">
        <v>5.44</v>
      </c>
      <c r="N270" s="325">
        <f t="shared" si="292"/>
        <v>116.02000000000001</v>
      </c>
      <c r="S270" s="330">
        <v>0.12</v>
      </c>
      <c r="T270" s="34">
        <v>5.52</v>
      </c>
      <c r="V270" s="97">
        <f t="shared" si="288"/>
        <v>4.7179487179487174E-2</v>
      </c>
      <c r="W270" s="13">
        <v>117</v>
      </c>
      <c r="X270" s="67">
        <v>75</v>
      </c>
      <c r="Y270" s="15">
        <f t="shared" si="289"/>
        <v>42</v>
      </c>
      <c r="Z270" s="64">
        <f t="shared" si="290"/>
        <v>0.56000000000000005</v>
      </c>
      <c r="AA270" s="102" t="s">
        <v>2462</v>
      </c>
      <c r="AB270" s="22" t="s">
        <v>1162</v>
      </c>
      <c r="AC270" s="86">
        <v>44112</v>
      </c>
      <c r="AD270" s="88">
        <v>44123</v>
      </c>
      <c r="AE270" s="33">
        <f t="shared" si="291"/>
        <v>11</v>
      </c>
      <c r="AF270" s="43" t="s">
        <v>2287</v>
      </c>
      <c r="AG270" s="373"/>
      <c r="AH270" s="22"/>
    </row>
    <row r="271" spans="1:34">
      <c r="A271" s="132" t="s">
        <v>2436</v>
      </c>
      <c r="B271" s="81">
        <v>53</v>
      </c>
      <c r="C271" s="81">
        <v>97</v>
      </c>
      <c r="D271" s="81">
        <v>2</v>
      </c>
      <c r="E271" s="81">
        <v>30</v>
      </c>
      <c r="F271" s="58">
        <v>10.42</v>
      </c>
      <c r="G271" s="81">
        <v>8089</v>
      </c>
      <c r="H271" s="4" t="s">
        <v>331</v>
      </c>
      <c r="I271" s="16" t="s">
        <v>2391</v>
      </c>
      <c r="J271" s="330">
        <v>53.41</v>
      </c>
      <c r="K271" s="75">
        <v>4.88</v>
      </c>
      <c r="N271" s="325">
        <f t="shared" si="292"/>
        <v>58.29</v>
      </c>
      <c r="T271" s="34">
        <v>1.69</v>
      </c>
      <c r="V271" s="97">
        <f t="shared" si="288"/>
        <v>2.7083333333333334E-2</v>
      </c>
      <c r="W271" s="36">
        <v>62.4</v>
      </c>
      <c r="X271" s="67">
        <v>45.24</v>
      </c>
      <c r="Y271" s="15">
        <f t="shared" si="289"/>
        <v>17.159999999999997</v>
      </c>
      <c r="Z271" s="155">
        <f t="shared" si="290"/>
        <v>0.37931034482758613</v>
      </c>
      <c r="AA271" s="102" t="s">
        <v>2435</v>
      </c>
      <c r="AB271" s="16" t="s">
        <v>2391</v>
      </c>
      <c r="AC271" s="86">
        <v>44097</v>
      </c>
      <c r="AD271" s="88">
        <v>44109</v>
      </c>
      <c r="AE271" s="33">
        <f t="shared" si="291"/>
        <v>12</v>
      </c>
      <c r="AF271" s="43" t="s">
        <v>2392</v>
      </c>
      <c r="AG271" s="373"/>
      <c r="AH271" s="16"/>
    </row>
    <row r="272" spans="1:34">
      <c r="A272" s="148" t="s">
        <v>1968</v>
      </c>
      <c r="B272" s="82">
        <v>-123</v>
      </c>
      <c r="C272" s="82">
        <v>-115</v>
      </c>
      <c r="D272" s="81">
        <v>9</v>
      </c>
      <c r="E272" s="81">
        <v>30</v>
      </c>
      <c r="F272" s="6">
        <v>-1.45</v>
      </c>
      <c r="G272" s="82">
        <v>2754</v>
      </c>
      <c r="H272" s="4" t="s">
        <v>321</v>
      </c>
      <c r="I272" s="16" t="s">
        <v>2382</v>
      </c>
      <c r="J272" s="330">
        <v>73.81</v>
      </c>
      <c r="K272" s="330">
        <v>71.91</v>
      </c>
      <c r="N272" s="325">
        <f t="shared" si="292"/>
        <v>145.72</v>
      </c>
      <c r="T272" s="34">
        <v>0.5</v>
      </c>
      <c r="V272" s="97">
        <f t="shared" si="288"/>
        <v>6.5359477124183009E-3</v>
      </c>
      <c r="W272" s="36">
        <v>76.5</v>
      </c>
      <c r="X272" s="67">
        <v>55</v>
      </c>
      <c r="Y272" s="15">
        <f t="shared" si="289"/>
        <v>21.5</v>
      </c>
      <c r="Z272" s="155">
        <f t="shared" si="290"/>
        <v>0.39090909090909093</v>
      </c>
      <c r="AA272" s="102" t="s">
        <v>2415</v>
      </c>
      <c r="AB272" s="16" t="s">
        <v>2382</v>
      </c>
      <c r="AC272" s="86">
        <v>44091</v>
      </c>
      <c r="AD272" s="88">
        <v>44102</v>
      </c>
      <c r="AE272" s="33">
        <f t="shared" si="291"/>
        <v>11</v>
      </c>
      <c r="AF272" s="43" t="s">
        <v>2383</v>
      </c>
      <c r="AG272" s="373"/>
      <c r="AH272" s="16"/>
    </row>
    <row r="273" spans="1:34">
      <c r="A273" s="148" t="s">
        <v>2367</v>
      </c>
      <c r="B273" s="81">
        <v>32</v>
      </c>
      <c r="C273" s="81">
        <v>32</v>
      </c>
      <c r="D273" s="81">
        <v>0</v>
      </c>
      <c r="E273" s="81">
        <v>194</v>
      </c>
      <c r="F273" s="47">
        <v>-5000</v>
      </c>
      <c r="G273" s="81">
        <v>6492</v>
      </c>
      <c r="H273" s="4" t="s">
        <v>328</v>
      </c>
      <c r="I273" s="16" t="s">
        <v>664</v>
      </c>
      <c r="J273" s="330">
        <v>50.68</v>
      </c>
      <c r="K273" s="330">
        <v>15.41</v>
      </c>
      <c r="N273" s="325">
        <f t="shared" si="292"/>
        <v>66.09</v>
      </c>
      <c r="T273" s="34">
        <v>0</v>
      </c>
      <c r="V273" s="97">
        <f t="shared" si="288"/>
        <v>0</v>
      </c>
      <c r="W273" s="36">
        <v>276.5</v>
      </c>
      <c r="X273" s="67">
        <v>120</v>
      </c>
      <c r="Y273" s="15">
        <f t="shared" si="289"/>
        <v>156.5</v>
      </c>
      <c r="Z273" s="176">
        <f t="shared" si="290"/>
        <v>1.3041666666666667</v>
      </c>
      <c r="AA273" s="102" t="s">
        <v>2416</v>
      </c>
      <c r="AB273" s="16" t="s">
        <v>664</v>
      </c>
      <c r="AC273" s="86">
        <v>44091</v>
      </c>
      <c r="AD273" s="88">
        <v>44102</v>
      </c>
      <c r="AE273" s="33">
        <f t="shared" si="291"/>
        <v>11</v>
      </c>
      <c r="AF273" s="43" t="s">
        <v>1598</v>
      </c>
      <c r="AG273" s="373"/>
      <c r="AH273" s="16"/>
    </row>
    <row r="274" spans="1:34" ht="17.25" customHeight="1">
      <c r="A274" s="148" t="s">
        <v>1632</v>
      </c>
      <c r="B274" s="82">
        <v>-120</v>
      </c>
      <c r="C274" s="82">
        <v>-126</v>
      </c>
      <c r="D274" s="81">
        <v>554</v>
      </c>
      <c r="E274" s="82">
        <v>-83</v>
      </c>
      <c r="F274" s="58">
        <v>-22.28</v>
      </c>
      <c r="G274" s="81">
        <v>6596</v>
      </c>
      <c r="H274" s="4" t="s">
        <v>1081</v>
      </c>
      <c r="I274" s="16" t="s">
        <v>1086</v>
      </c>
      <c r="J274" s="75">
        <v>66.94</v>
      </c>
      <c r="K274" s="75">
        <v>0.01</v>
      </c>
      <c r="N274" s="325">
        <f t="shared" si="292"/>
        <v>66.95</v>
      </c>
      <c r="T274" s="34">
        <v>4.5</v>
      </c>
      <c r="V274" s="97">
        <f t="shared" si="288"/>
        <v>9.7613882863340565E-2</v>
      </c>
      <c r="W274" s="36">
        <v>46.1</v>
      </c>
      <c r="X274" s="67">
        <v>45</v>
      </c>
      <c r="Y274" s="15">
        <f t="shared" si="289"/>
        <v>1.1000000000000014</v>
      </c>
      <c r="Z274" s="64">
        <f t="shared" si="290"/>
        <v>2.4444444444444477E-2</v>
      </c>
      <c r="AA274" s="102" t="s">
        <v>2374</v>
      </c>
      <c r="AB274" s="16" t="s">
        <v>1086</v>
      </c>
      <c r="AC274" s="86">
        <v>44081</v>
      </c>
      <c r="AD274" s="88">
        <v>44091</v>
      </c>
      <c r="AE274" s="33">
        <f t="shared" si="291"/>
        <v>10</v>
      </c>
      <c r="AF274" s="43" t="s">
        <v>2345</v>
      </c>
      <c r="AG274" s="373"/>
      <c r="AH274" s="16"/>
    </row>
    <row r="275" spans="1:34">
      <c r="A275" s="132" t="s">
        <v>2289</v>
      </c>
      <c r="B275" s="81">
        <v>20</v>
      </c>
      <c r="C275" s="81">
        <v>18</v>
      </c>
      <c r="D275" s="81">
        <v>8</v>
      </c>
      <c r="E275" s="81">
        <v>46</v>
      </c>
      <c r="F275" s="58">
        <v>13.7</v>
      </c>
      <c r="G275" s="81">
        <v>3376</v>
      </c>
      <c r="H275" s="4" t="s">
        <v>327</v>
      </c>
      <c r="I275" s="22" t="s">
        <v>67</v>
      </c>
      <c r="J275" s="330">
        <v>72.98</v>
      </c>
      <c r="K275" s="330">
        <v>29.97</v>
      </c>
      <c r="L275" s="75">
        <v>14.46</v>
      </c>
      <c r="N275" s="325">
        <f t="shared" si="292"/>
        <v>117.41</v>
      </c>
      <c r="S275" s="330">
        <v>0.14000000000000001</v>
      </c>
      <c r="T275" s="34">
        <v>4</v>
      </c>
      <c r="V275" s="97">
        <f t="shared" si="288"/>
        <v>2.8070175438596492E-2</v>
      </c>
      <c r="W275" s="36">
        <v>142.5</v>
      </c>
      <c r="X275" s="67">
        <v>110</v>
      </c>
      <c r="Y275" s="15">
        <f t="shared" si="289"/>
        <v>32.5</v>
      </c>
      <c r="Z275" s="64">
        <f t="shared" si="290"/>
        <v>0.29545454545454547</v>
      </c>
      <c r="AA275" s="102" t="s">
        <v>2361</v>
      </c>
      <c r="AB275" s="22" t="s">
        <v>67</v>
      </c>
      <c r="AC275" s="86">
        <v>44076</v>
      </c>
      <c r="AD275" s="88">
        <v>44088</v>
      </c>
      <c r="AE275" s="33">
        <f t="shared" si="291"/>
        <v>12</v>
      </c>
      <c r="AF275" s="122" t="s">
        <v>2291</v>
      </c>
      <c r="AG275" s="373"/>
      <c r="AH275" s="22"/>
    </row>
    <row r="276" spans="1:34">
      <c r="A276" s="132" t="s">
        <v>2305</v>
      </c>
      <c r="B276" s="81">
        <v>89</v>
      </c>
      <c r="C276" s="81">
        <v>94</v>
      </c>
      <c r="D276" s="81">
        <v>4</v>
      </c>
      <c r="E276" s="81">
        <v>24</v>
      </c>
      <c r="F276" s="58">
        <v>28.88</v>
      </c>
      <c r="G276" s="81">
        <v>3217</v>
      </c>
      <c r="H276" s="4" t="s">
        <v>327</v>
      </c>
      <c r="I276" s="16" t="s">
        <v>433</v>
      </c>
      <c r="J276" s="330">
        <v>60.76</v>
      </c>
      <c r="K276" s="330">
        <v>18.39</v>
      </c>
      <c r="L276" s="75">
        <v>20.98</v>
      </c>
      <c r="N276" s="325">
        <f t="shared" si="292"/>
        <v>100.13000000000001</v>
      </c>
      <c r="S276" s="330">
        <v>0.42</v>
      </c>
      <c r="T276" s="34">
        <v>4.3</v>
      </c>
      <c r="V276" s="97">
        <f t="shared" si="288"/>
        <v>3.6595744680851063E-2</v>
      </c>
      <c r="W276" s="36">
        <v>117.5</v>
      </c>
      <c r="X276" s="45">
        <v>92</v>
      </c>
      <c r="Y276" s="15">
        <f t="shared" si="289"/>
        <v>25.5</v>
      </c>
      <c r="Z276" s="64">
        <f t="shared" si="290"/>
        <v>0.27717391304347827</v>
      </c>
      <c r="AA276" s="102" t="s">
        <v>2346</v>
      </c>
      <c r="AB276" s="16" t="s">
        <v>433</v>
      </c>
      <c r="AC276" s="86">
        <v>44071</v>
      </c>
      <c r="AD276" s="88">
        <v>44081</v>
      </c>
      <c r="AE276" s="33">
        <f t="shared" si="291"/>
        <v>10</v>
      </c>
      <c r="AF276" s="43" t="s">
        <v>2214</v>
      </c>
      <c r="AG276" s="373"/>
      <c r="AH276" s="16"/>
    </row>
    <row r="277" spans="1:34" ht="17.25" customHeight="1">
      <c r="A277" s="132" t="s">
        <v>2328</v>
      </c>
      <c r="B277" s="95">
        <v>4456</v>
      </c>
      <c r="C277" s="95">
        <v>2983</v>
      </c>
      <c r="D277" s="81">
        <v>100</v>
      </c>
      <c r="E277" s="82">
        <v>-86</v>
      </c>
      <c r="F277" s="58">
        <v>16</v>
      </c>
      <c r="G277" s="82">
        <v>6186</v>
      </c>
      <c r="H277" s="4" t="s">
        <v>931</v>
      </c>
      <c r="I277" s="16" t="s">
        <v>948</v>
      </c>
      <c r="J277" s="330">
        <v>52.55</v>
      </c>
      <c r="K277" s="75">
        <v>0.98</v>
      </c>
      <c r="L277" s="75">
        <v>10.62</v>
      </c>
      <c r="N277" s="325">
        <f t="shared" si="292"/>
        <v>64.149999999999991</v>
      </c>
      <c r="S277" s="330">
        <v>0.34</v>
      </c>
      <c r="T277" s="34">
        <v>3</v>
      </c>
      <c r="V277" s="97">
        <f t="shared" si="288"/>
        <v>0.10695187165775401</v>
      </c>
      <c r="W277" s="36">
        <v>28.05</v>
      </c>
      <c r="X277" s="67">
        <v>24.5</v>
      </c>
      <c r="Y277" s="15">
        <f t="shared" si="289"/>
        <v>3.5500000000000007</v>
      </c>
      <c r="Z277" s="64">
        <f t="shared" si="290"/>
        <v>0.14489795918367349</v>
      </c>
      <c r="AA277" s="102" t="s">
        <v>2347</v>
      </c>
      <c r="AB277" s="16" t="s">
        <v>948</v>
      </c>
      <c r="AC277" s="86">
        <v>44071</v>
      </c>
      <c r="AD277" s="88">
        <v>44081</v>
      </c>
      <c r="AE277" s="33">
        <f t="shared" si="291"/>
        <v>10</v>
      </c>
      <c r="AF277" s="43" t="s">
        <v>2306</v>
      </c>
      <c r="AG277" s="373"/>
      <c r="AH277" s="16"/>
    </row>
    <row r="278" spans="1:34">
      <c r="A278" s="148" t="s">
        <v>2375</v>
      </c>
      <c r="B278" s="82">
        <v>-55</v>
      </c>
      <c r="C278" s="82">
        <v>-17</v>
      </c>
      <c r="D278" s="81">
        <v>14</v>
      </c>
      <c r="E278" s="82">
        <v>-11</v>
      </c>
      <c r="F278" s="6">
        <v>8.1999999999999993</v>
      </c>
      <c r="G278" s="81">
        <v>2241</v>
      </c>
      <c r="H278" s="4" t="s">
        <v>249</v>
      </c>
      <c r="I278" s="22" t="s">
        <v>2310</v>
      </c>
      <c r="J278" s="75">
        <v>57</v>
      </c>
      <c r="K278" s="330">
        <v>23</v>
      </c>
      <c r="N278" s="325">
        <f t="shared" si="292"/>
        <v>80</v>
      </c>
      <c r="T278" s="34">
        <v>0.88</v>
      </c>
      <c r="V278" s="97">
        <f t="shared" si="288"/>
        <v>1.5304347826086957E-2</v>
      </c>
      <c r="W278" s="36">
        <v>57.5</v>
      </c>
      <c r="X278" s="67">
        <v>50</v>
      </c>
      <c r="Y278" s="15">
        <f t="shared" si="289"/>
        <v>7.5</v>
      </c>
      <c r="Z278" s="64">
        <f t="shared" si="290"/>
        <v>0.15</v>
      </c>
      <c r="AA278" s="102" t="s">
        <v>2341</v>
      </c>
      <c r="AB278" s="22" t="s">
        <v>2310</v>
      </c>
      <c r="AC278" s="86">
        <v>44069</v>
      </c>
      <c r="AD278" s="88">
        <v>44081</v>
      </c>
      <c r="AE278" s="33">
        <f t="shared" si="291"/>
        <v>12</v>
      </c>
      <c r="AF278" s="159" t="s">
        <v>2320</v>
      </c>
      <c r="AG278" s="373"/>
      <c r="AH278" s="22"/>
    </row>
    <row r="279" spans="1:34">
      <c r="A279" s="148" t="s">
        <v>2368</v>
      </c>
      <c r="B279" s="82">
        <v>-21</v>
      </c>
      <c r="C279" s="82">
        <v>-26</v>
      </c>
      <c r="D279" s="81">
        <v>9</v>
      </c>
      <c r="E279" s="82">
        <v>-45</v>
      </c>
      <c r="F279" s="6">
        <v>7.8</v>
      </c>
      <c r="G279" s="81">
        <v>6754</v>
      </c>
      <c r="H279" s="4" t="s">
        <v>2303</v>
      </c>
      <c r="I279" s="22" t="s">
        <v>2302</v>
      </c>
      <c r="J279" s="330">
        <v>85.42</v>
      </c>
      <c r="K279" s="330">
        <v>24.31</v>
      </c>
      <c r="L279" s="330"/>
      <c r="N279" s="325">
        <f t="shared" si="292"/>
        <v>109.73</v>
      </c>
      <c r="T279" s="34">
        <v>2.8</v>
      </c>
      <c r="V279" s="97">
        <f t="shared" si="288"/>
        <v>5.5445544554455439E-2</v>
      </c>
      <c r="W279" s="36">
        <v>50.5</v>
      </c>
      <c r="X279" s="67">
        <v>45</v>
      </c>
      <c r="Y279" s="15">
        <f t="shared" si="289"/>
        <v>5.5</v>
      </c>
      <c r="Z279" s="64">
        <f t="shared" si="290"/>
        <v>0.12222222222222222</v>
      </c>
      <c r="AA279" s="102" t="s">
        <v>2336</v>
      </c>
      <c r="AB279" s="22" t="s">
        <v>2302</v>
      </c>
      <c r="AC279" s="86">
        <v>44068</v>
      </c>
      <c r="AD279" s="88">
        <v>44078</v>
      </c>
      <c r="AE279" s="33">
        <f t="shared" si="291"/>
        <v>10</v>
      </c>
      <c r="AF279" s="159" t="s">
        <v>2304</v>
      </c>
      <c r="AG279" s="373"/>
      <c r="AH279" s="22"/>
    </row>
    <row r="280" spans="1:34">
      <c r="A280" s="148" t="s">
        <v>1784</v>
      </c>
      <c r="B280" s="82">
        <v>-4</v>
      </c>
      <c r="C280" s="82">
        <v>-5</v>
      </c>
      <c r="D280" s="95">
        <v>1</v>
      </c>
      <c r="E280" s="95">
        <v>6788</v>
      </c>
      <c r="F280" s="47">
        <v>-388.93</v>
      </c>
      <c r="G280" s="81">
        <v>6446</v>
      </c>
      <c r="H280" s="4" t="s">
        <v>328</v>
      </c>
      <c r="I280" s="16" t="s">
        <v>661</v>
      </c>
      <c r="J280" s="75">
        <v>58.44</v>
      </c>
      <c r="K280" s="330">
        <v>14.88</v>
      </c>
      <c r="L280" s="330"/>
      <c r="N280" s="325">
        <f t="shared" si="292"/>
        <v>73.319999999999993</v>
      </c>
      <c r="T280" s="34">
        <v>0</v>
      </c>
      <c r="V280" s="97">
        <f t="shared" si="288"/>
        <v>0</v>
      </c>
      <c r="W280" s="36">
        <v>107.5</v>
      </c>
      <c r="X280" s="67">
        <v>102</v>
      </c>
      <c r="Y280" s="15">
        <f t="shared" si="289"/>
        <v>5.5</v>
      </c>
      <c r="Z280" s="64">
        <f t="shared" si="290"/>
        <v>5.3921568627450983E-2</v>
      </c>
      <c r="AA280" s="102" t="s">
        <v>1564</v>
      </c>
      <c r="AB280" s="16" t="s">
        <v>661</v>
      </c>
      <c r="AC280" s="86">
        <v>44055</v>
      </c>
      <c r="AD280" s="88">
        <v>44067</v>
      </c>
      <c r="AE280" s="33">
        <f t="shared" si="291"/>
        <v>12</v>
      </c>
      <c r="AF280" s="43" t="s">
        <v>1596</v>
      </c>
      <c r="AG280" s="373"/>
      <c r="AH280" s="16"/>
    </row>
    <row r="281" spans="1:34">
      <c r="A281" s="148" t="s">
        <v>2271</v>
      </c>
      <c r="B281" s="81">
        <v>36</v>
      </c>
      <c r="C281" s="81">
        <v>29</v>
      </c>
      <c r="D281" s="81">
        <v>1</v>
      </c>
      <c r="E281" s="81">
        <v>27</v>
      </c>
      <c r="F281" s="6">
        <v>8.65</v>
      </c>
      <c r="G281" s="82">
        <v>4155</v>
      </c>
      <c r="H281" s="4" t="s">
        <v>328</v>
      </c>
      <c r="I281" s="22" t="s">
        <v>679</v>
      </c>
      <c r="J281" s="75">
        <v>40.39</v>
      </c>
      <c r="K281" s="330">
        <v>0.8</v>
      </c>
      <c r="L281" s="330">
        <v>11.41</v>
      </c>
      <c r="N281" s="325">
        <f t="shared" si="292"/>
        <v>52.599999999999994</v>
      </c>
      <c r="S281" s="330">
        <v>0.22</v>
      </c>
      <c r="T281" s="34">
        <v>1.43</v>
      </c>
      <c r="V281" s="97">
        <f t="shared" si="288"/>
        <v>5.4684512428298276E-2</v>
      </c>
      <c r="W281" s="36">
        <v>26.15</v>
      </c>
      <c r="X281" s="67">
        <v>26</v>
      </c>
      <c r="Y281" s="15">
        <f t="shared" si="289"/>
        <v>0.14999999999999858</v>
      </c>
      <c r="Z281" s="64">
        <f t="shared" si="290"/>
        <v>5.7692307692307149E-3</v>
      </c>
      <c r="AA281" s="102" t="s">
        <v>2297</v>
      </c>
      <c r="AB281" s="22" t="s">
        <v>679</v>
      </c>
      <c r="AC281" s="86">
        <v>44054</v>
      </c>
      <c r="AD281" s="88">
        <v>44064</v>
      </c>
      <c r="AE281" s="33">
        <f t="shared" si="291"/>
        <v>10</v>
      </c>
      <c r="AF281" s="43" t="s">
        <v>1594</v>
      </c>
      <c r="AG281" s="373"/>
      <c r="AH281" s="22"/>
    </row>
    <row r="282" spans="1:34">
      <c r="A282" s="148" t="s">
        <v>894</v>
      </c>
      <c r="B282" s="81">
        <v>23</v>
      </c>
      <c r="C282" s="82">
        <v>-27</v>
      </c>
      <c r="D282" s="95">
        <v>1276</v>
      </c>
      <c r="E282" s="82">
        <v>-57</v>
      </c>
      <c r="F282" s="75">
        <v>-507.57</v>
      </c>
      <c r="G282" s="82">
        <v>5227</v>
      </c>
      <c r="H282" s="4" t="s">
        <v>327</v>
      </c>
      <c r="I282" s="16" t="s">
        <v>442</v>
      </c>
      <c r="J282" s="330">
        <v>42.18</v>
      </c>
      <c r="K282" s="330">
        <v>26.39</v>
      </c>
      <c r="L282" s="330"/>
      <c r="N282" s="325">
        <f t="shared" si="292"/>
        <v>68.569999999999993</v>
      </c>
      <c r="T282" s="34">
        <v>0</v>
      </c>
      <c r="V282" s="97">
        <f t="shared" si="288"/>
        <v>0</v>
      </c>
      <c r="W282" s="36">
        <v>12.4</v>
      </c>
      <c r="X282" s="67">
        <v>11.6</v>
      </c>
      <c r="Y282" s="15">
        <f t="shared" si="289"/>
        <v>0.80000000000000071</v>
      </c>
      <c r="Z282" s="64">
        <f t="shared" si="290"/>
        <v>6.8965517241379379E-2</v>
      </c>
      <c r="AA282" s="102" t="s">
        <v>2284</v>
      </c>
      <c r="AB282" s="16" t="s">
        <v>442</v>
      </c>
      <c r="AC282" s="86">
        <v>44050</v>
      </c>
      <c r="AD282" s="88">
        <v>44060</v>
      </c>
      <c r="AE282" s="33">
        <f t="shared" si="291"/>
        <v>10</v>
      </c>
      <c r="AF282" s="43" t="s">
        <v>1103</v>
      </c>
      <c r="AG282" s="373"/>
      <c r="AH282" s="16"/>
    </row>
    <row r="283" spans="1:34">
      <c r="A283" s="148" t="s">
        <v>2272</v>
      </c>
      <c r="B283" s="82">
        <v>-65</v>
      </c>
      <c r="C283" s="82">
        <v>-51</v>
      </c>
      <c r="D283" s="82">
        <v>-25</v>
      </c>
      <c r="E283" s="82">
        <v>-21</v>
      </c>
      <c r="F283" s="6">
        <v>1.3</v>
      </c>
      <c r="G283" s="81">
        <v>6222</v>
      </c>
      <c r="H283" s="54" t="s">
        <v>329</v>
      </c>
      <c r="I283" s="16" t="s">
        <v>505</v>
      </c>
      <c r="J283" s="330">
        <v>72.67</v>
      </c>
      <c r="K283" s="330">
        <v>0.02</v>
      </c>
      <c r="L283" s="330"/>
      <c r="N283" s="325">
        <f t="shared" si="292"/>
        <v>72.69</v>
      </c>
      <c r="T283" s="34">
        <v>0</v>
      </c>
      <c r="V283" s="97">
        <f t="shared" si="288"/>
        <v>0</v>
      </c>
      <c r="W283" s="36">
        <v>13.45</v>
      </c>
      <c r="X283" s="67">
        <v>10</v>
      </c>
      <c r="Y283" s="15">
        <f t="shared" si="289"/>
        <v>3.4499999999999993</v>
      </c>
      <c r="Z283" s="64">
        <f t="shared" si="290"/>
        <v>0.34499999999999992</v>
      </c>
      <c r="AA283" s="102" t="s">
        <v>1848</v>
      </c>
      <c r="AB283" s="16" t="s">
        <v>505</v>
      </c>
      <c r="AC283" s="86">
        <v>44048</v>
      </c>
      <c r="AD283" s="88">
        <v>44060</v>
      </c>
      <c r="AE283" s="33">
        <f t="shared" si="291"/>
        <v>12</v>
      </c>
      <c r="AF283" s="43" t="s">
        <v>1589</v>
      </c>
      <c r="AG283" s="373"/>
      <c r="AH283" s="16"/>
    </row>
    <row r="284" spans="1:34">
      <c r="A284" s="148" t="s">
        <v>1652</v>
      </c>
      <c r="B284" s="82">
        <v>-371</v>
      </c>
      <c r="C284" s="81">
        <v>9</v>
      </c>
      <c r="D284" s="81">
        <v>11</v>
      </c>
      <c r="E284" s="82">
        <v>-8</v>
      </c>
      <c r="F284" s="6">
        <v>-19.100000000000001</v>
      </c>
      <c r="G284" s="82">
        <v>6573</v>
      </c>
      <c r="H284" s="4" t="s">
        <v>326</v>
      </c>
      <c r="I284" s="22" t="s">
        <v>385</v>
      </c>
      <c r="J284" s="330">
        <v>73.489999999999995</v>
      </c>
      <c r="K284" s="330">
        <v>67.2</v>
      </c>
      <c r="L284" s="75">
        <v>4.63</v>
      </c>
      <c r="N284" s="325">
        <f t="shared" si="292"/>
        <v>145.32</v>
      </c>
      <c r="S284" s="330">
        <v>0.11</v>
      </c>
      <c r="T284" s="34">
        <v>0</v>
      </c>
      <c r="V284" s="97">
        <f t="shared" si="288"/>
        <v>0</v>
      </c>
      <c r="W284" s="13">
        <v>16.5</v>
      </c>
      <c r="X284" s="67">
        <v>16.5</v>
      </c>
      <c r="Y284" s="15">
        <f t="shared" si="289"/>
        <v>0</v>
      </c>
      <c r="Z284" s="78">
        <f t="shared" si="290"/>
        <v>0</v>
      </c>
      <c r="AA284" s="102" t="s">
        <v>1903</v>
      </c>
      <c r="AB284" s="22" t="s">
        <v>385</v>
      </c>
      <c r="AC284" s="86">
        <v>44033</v>
      </c>
      <c r="AD284" s="88">
        <v>44043</v>
      </c>
      <c r="AE284" s="33">
        <f t="shared" si="291"/>
        <v>10</v>
      </c>
      <c r="AF284" s="43" t="s">
        <v>1473</v>
      </c>
      <c r="AG284" s="373"/>
      <c r="AH284" s="22"/>
    </row>
    <row r="285" spans="1:34">
      <c r="A285" s="148" t="s">
        <v>2260</v>
      </c>
      <c r="B285" s="82">
        <v>-155</v>
      </c>
      <c r="C285" s="82">
        <v>-157</v>
      </c>
      <c r="D285" s="81">
        <v>0</v>
      </c>
      <c r="E285" s="81">
        <v>432</v>
      </c>
      <c r="F285" s="6">
        <v>-7.35</v>
      </c>
      <c r="G285" s="82">
        <v>3512</v>
      </c>
      <c r="H285" s="4" t="s">
        <v>327</v>
      </c>
      <c r="I285" s="16" t="s">
        <v>1132</v>
      </c>
      <c r="J285" s="75">
        <v>73.239999999999995</v>
      </c>
      <c r="K285" s="75">
        <v>0.04</v>
      </c>
      <c r="L285" s="75">
        <v>13.93</v>
      </c>
      <c r="N285" s="325">
        <f t="shared" si="292"/>
        <v>87.210000000000008</v>
      </c>
      <c r="S285" s="330">
        <v>0.65</v>
      </c>
      <c r="T285" s="34">
        <v>0</v>
      </c>
      <c r="V285" s="97">
        <f t="shared" si="288"/>
        <v>0</v>
      </c>
      <c r="W285" s="36">
        <v>26.5</v>
      </c>
      <c r="X285" s="67">
        <v>24</v>
      </c>
      <c r="Y285" s="15">
        <f t="shared" si="289"/>
        <v>2.5</v>
      </c>
      <c r="Z285" s="64">
        <f t="shared" si="290"/>
        <v>0.10416666666666667</v>
      </c>
      <c r="AA285" s="102" t="s">
        <v>2265</v>
      </c>
      <c r="AB285" s="16" t="s">
        <v>1132</v>
      </c>
      <c r="AC285" s="86">
        <v>44026</v>
      </c>
      <c r="AD285" s="88">
        <v>44036</v>
      </c>
      <c r="AE285" s="33">
        <f t="shared" si="291"/>
        <v>10</v>
      </c>
      <c r="AF285" s="43" t="s">
        <v>6193</v>
      </c>
      <c r="AG285" s="373"/>
      <c r="AH285" s="16"/>
    </row>
    <row r="286" spans="1:34">
      <c r="A286" s="148" t="s">
        <v>1635</v>
      </c>
      <c r="B286" s="82">
        <v>-92</v>
      </c>
      <c r="C286" s="82">
        <v>-89</v>
      </c>
      <c r="D286" s="82">
        <v>-83</v>
      </c>
      <c r="E286" s="82">
        <v>-90</v>
      </c>
      <c r="F286" s="47">
        <v>-177</v>
      </c>
      <c r="G286" s="81">
        <v>4152</v>
      </c>
      <c r="H286" s="4" t="s">
        <v>328</v>
      </c>
      <c r="I286" s="16" t="s">
        <v>654</v>
      </c>
      <c r="J286" s="330">
        <v>57.28</v>
      </c>
      <c r="K286" s="330">
        <v>20.27</v>
      </c>
      <c r="L286" s="330"/>
      <c r="N286" s="325">
        <f t="shared" si="292"/>
        <v>77.55</v>
      </c>
      <c r="T286" s="34">
        <v>0</v>
      </c>
      <c r="V286" s="97">
        <f t="shared" si="288"/>
        <v>0</v>
      </c>
      <c r="W286" s="36">
        <v>97.7</v>
      </c>
      <c r="X286" s="67">
        <v>68</v>
      </c>
      <c r="Y286" s="15">
        <f t="shared" si="289"/>
        <v>29.700000000000003</v>
      </c>
      <c r="Z286" s="64">
        <f t="shared" si="290"/>
        <v>0.436764705882353</v>
      </c>
      <c r="AA286" s="102" t="s">
        <v>2262</v>
      </c>
      <c r="AB286" s="16" t="s">
        <v>654</v>
      </c>
      <c r="AC286" s="86">
        <v>44015</v>
      </c>
      <c r="AD286" s="88">
        <v>44028</v>
      </c>
      <c r="AE286" s="33">
        <f t="shared" si="291"/>
        <v>13</v>
      </c>
      <c r="AF286" s="43" t="s">
        <v>1595</v>
      </c>
      <c r="AG286" s="373"/>
      <c r="AH286" s="16"/>
    </row>
    <row r="287" spans="1:34">
      <c r="A287" s="148" t="s">
        <v>2253</v>
      </c>
      <c r="B287" s="82">
        <v>-266</v>
      </c>
      <c r="C287" s="96">
        <v>-8571</v>
      </c>
      <c r="D287" s="81">
        <v>33</v>
      </c>
      <c r="E287" s="81">
        <v>14</v>
      </c>
      <c r="F287" s="6">
        <v>-17.57</v>
      </c>
      <c r="G287" s="82">
        <v>2406</v>
      </c>
      <c r="H287" s="4" t="s">
        <v>325</v>
      </c>
      <c r="I287" s="22" t="s">
        <v>475</v>
      </c>
      <c r="J287" s="330">
        <v>26.55</v>
      </c>
      <c r="K287" s="330">
        <v>4.3899999999999997</v>
      </c>
      <c r="L287" s="330">
        <v>0</v>
      </c>
      <c r="N287" s="325">
        <f t="shared" si="292"/>
        <v>30.94</v>
      </c>
      <c r="S287" s="330">
        <v>0</v>
      </c>
      <c r="T287" s="34">
        <v>0</v>
      </c>
      <c r="V287" s="97">
        <f t="shared" si="288"/>
        <v>0</v>
      </c>
      <c r="W287" s="36">
        <v>9.08</v>
      </c>
      <c r="X287" s="67">
        <v>8.5</v>
      </c>
      <c r="Y287" s="15">
        <f t="shared" si="289"/>
        <v>0.58000000000000007</v>
      </c>
      <c r="Z287" s="64">
        <f t="shared" si="290"/>
        <v>6.8235294117647061E-2</v>
      </c>
      <c r="AA287" s="102" t="s">
        <v>1565</v>
      </c>
      <c r="AB287" s="22" t="s">
        <v>475</v>
      </c>
      <c r="AC287" s="86">
        <v>44014</v>
      </c>
      <c r="AD287" s="88">
        <v>44028</v>
      </c>
      <c r="AE287" s="33">
        <f t="shared" si="291"/>
        <v>14</v>
      </c>
      <c r="AF287" s="43" t="s">
        <v>2254</v>
      </c>
      <c r="AG287" s="373"/>
      <c r="AH287" s="22"/>
    </row>
    <row r="288" spans="1:34">
      <c r="A288" s="132" t="s">
        <v>1554</v>
      </c>
      <c r="B288" s="81">
        <v>13</v>
      </c>
      <c r="C288" s="82">
        <v>-28</v>
      </c>
      <c r="D288" s="81">
        <v>1</v>
      </c>
      <c r="E288" s="81">
        <v>26</v>
      </c>
      <c r="F288" s="58">
        <v>11.51</v>
      </c>
      <c r="G288" s="81">
        <v>6588</v>
      </c>
      <c r="H288" s="4" t="s">
        <v>331</v>
      </c>
      <c r="I288" s="16" t="s">
        <v>2257</v>
      </c>
      <c r="J288" s="330">
        <v>42.65</v>
      </c>
      <c r="K288" s="75">
        <v>0</v>
      </c>
      <c r="L288" s="330"/>
      <c r="N288" s="325">
        <f t="shared" si="292"/>
        <v>42.65</v>
      </c>
      <c r="T288" s="34">
        <v>1.31</v>
      </c>
      <c r="V288" s="97">
        <f t="shared" si="288"/>
        <v>1.0194552529182881E-2</v>
      </c>
      <c r="W288" s="36">
        <v>128.5</v>
      </c>
      <c r="X288" s="67">
        <v>68</v>
      </c>
      <c r="Y288" s="15">
        <f t="shared" si="289"/>
        <v>60.5</v>
      </c>
      <c r="Z288" s="176">
        <f t="shared" si="290"/>
        <v>0.88970588235294112</v>
      </c>
      <c r="AA288" s="102" t="s">
        <v>2261</v>
      </c>
      <c r="AB288" s="16" t="s">
        <v>2256</v>
      </c>
      <c r="AC288" s="86">
        <v>44013</v>
      </c>
      <c r="AD288" s="88">
        <v>44028</v>
      </c>
      <c r="AE288" s="33">
        <f t="shared" si="291"/>
        <v>15</v>
      </c>
      <c r="AF288" s="43" t="s">
        <v>2258</v>
      </c>
      <c r="AG288" s="373"/>
      <c r="AH288" s="16"/>
    </row>
    <row r="289" spans="1:39">
      <c r="A289" s="148" t="s">
        <v>2250</v>
      </c>
      <c r="B289" s="95">
        <v>1502</v>
      </c>
      <c r="C289" s="95">
        <v>1065</v>
      </c>
      <c r="D289" s="82">
        <v>-7</v>
      </c>
      <c r="E289" s="82">
        <v>-26</v>
      </c>
      <c r="F289" s="6">
        <v>4.71</v>
      </c>
      <c r="G289" s="81">
        <v>6251</v>
      </c>
      <c r="H289" s="53" t="s">
        <v>327</v>
      </c>
      <c r="I289" s="22" t="s">
        <v>430</v>
      </c>
      <c r="J289" s="75">
        <v>41.56</v>
      </c>
      <c r="K289" s="330">
        <v>13.27</v>
      </c>
      <c r="L289" s="75">
        <v>29.4</v>
      </c>
      <c r="N289" s="325">
        <f t="shared" si="292"/>
        <v>84.22999999999999</v>
      </c>
      <c r="S289" s="330">
        <v>0.86</v>
      </c>
      <c r="T289" s="34">
        <v>0</v>
      </c>
      <c r="V289" s="58">
        <f t="shared" si="288"/>
        <v>0</v>
      </c>
      <c r="W289" s="36">
        <v>17.649999999999999</v>
      </c>
      <c r="X289" s="45">
        <v>16</v>
      </c>
      <c r="Y289" s="15">
        <f t="shared" si="289"/>
        <v>1.6499999999999986</v>
      </c>
      <c r="Z289" s="64">
        <f t="shared" si="290"/>
        <v>0.10312499999999991</v>
      </c>
      <c r="AA289" s="102" t="s">
        <v>2259</v>
      </c>
      <c r="AB289" s="22" t="s">
        <v>430</v>
      </c>
      <c r="AC289" s="86">
        <v>44005</v>
      </c>
      <c r="AD289" s="88">
        <v>44015</v>
      </c>
      <c r="AE289" s="33">
        <f t="shared" si="291"/>
        <v>10</v>
      </c>
      <c r="AF289" s="43" t="s">
        <v>1101</v>
      </c>
      <c r="AG289" s="373"/>
      <c r="AH289" s="22"/>
    </row>
    <row r="290" spans="1:39">
      <c r="A290" s="132" t="s">
        <v>2122</v>
      </c>
      <c r="B290" s="81">
        <v>23</v>
      </c>
      <c r="C290" s="81">
        <v>18</v>
      </c>
      <c r="D290" s="81">
        <v>7</v>
      </c>
      <c r="E290" s="81">
        <v>79</v>
      </c>
      <c r="F290" s="58">
        <v>11.3</v>
      </c>
      <c r="G290" s="81">
        <v>5215</v>
      </c>
      <c r="H290" s="52" t="s">
        <v>329</v>
      </c>
      <c r="I290" s="22" t="s">
        <v>500</v>
      </c>
      <c r="J290" s="75">
        <v>61.5</v>
      </c>
      <c r="K290" s="75">
        <v>36.06</v>
      </c>
      <c r="L290" s="75">
        <v>32.950000000000003</v>
      </c>
      <c r="N290" s="325">
        <f t="shared" si="292"/>
        <v>130.51</v>
      </c>
      <c r="S290" s="330">
        <v>3.74</v>
      </c>
      <c r="T290" s="34">
        <v>3.28</v>
      </c>
      <c r="V290" s="58">
        <f t="shared" ref="V290:V321" si="293">T290/W290</f>
        <v>2.6345381526104415E-2</v>
      </c>
      <c r="W290" s="36">
        <v>124.5</v>
      </c>
      <c r="X290" s="45">
        <v>50</v>
      </c>
      <c r="Y290" s="15">
        <f t="shared" si="289"/>
        <v>74.5</v>
      </c>
      <c r="Z290" s="176">
        <f t="shared" si="290"/>
        <v>1.49</v>
      </c>
      <c r="AA290" s="102" t="s">
        <v>2252</v>
      </c>
      <c r="AB290" s="22" t="s">
        <v>500</v>
      </c>
      <c r="AC290" s="86">
        <v>43997</v>
      </c>
      <c r="AD290" s="88">
        <v>44011</v>
      </c>
      <c r="AE290" s="33">
        <f t="shared" si="291"/>
        <v>14</v>
      </c>
      <c r="AF290" s="43" t="s">
        <v>1729</v>
      </c>
      <c r="AG290" s="373"/>
      <c r="AH290" s="22"/>
    </row>
    <row r="291" spans="1:39">
      <c r="A291" s="132" t="s">
        <v>2246</v>
      </c>
      <c r="B291" s="81">
        <v>97</v>
      </c>
      <c r="C291" s="81">
        <v>93</v>
      </c>
      <c r="D291" s="82">
        <v>-35</v>
      </c>
      <c r="E291" s="82">
        <v>-38</v>
      </c>
      <c r="F291" s="58">
        <v>30</v>
      </c>
      <c r="G291" s="81">
        <v>6732</v>
      </c>
      <c r="H291" s="52" t="s">
        <v>326</v>
      </c>
      <c r="I291" s="16" t="s">
        <v>2234</v>
      </c>
      <c r="J291" s="330">
        <v>60.91</v>
      </c>
      <c r="K291" s="75">
        <v>4.9400000000000004</v>
      </c>
      <c r="N291" s="325">
        <f t="shared" si="292"/>
        <v>65.849999999999994</v>
      </c>
      <c r="T291" s="34">
        <v>24</v>
      </c>
      <c r="V291" s="97">
        <f t="shared" si="293"/>
        <v>2.5316455696202531E-2</v>
      </c>
      <c r="W291" s="36">
        <v>948</v>
      </c>
      <c r="X291" s="67">
        <v>498</v>
      </c>
      <c r="Y291" s="15">
        <f t="shared" si="289"/>
        <v>450</v>
      </c>
      <c r="Z291" s="177">
        <f t="shared" si="290"/>
        <v>0.90361445783132532</v>
      </c>
      <c r="AA291" s="102" t="s">
        <v>2248</v>
      </c>
      <c r="AB291" s="16" t="s">
        <v>2234</v>
      </c>
      <c r="AC291" s="86">
        <v>43990</v>
      </c>
      <c r="AD291" s="88">
        <v>44000</v>
      </c>
      <c r="AE291" s="33">
        <f t="shared" si="291"/>
        <v>10</v>
      </c>
      <c r="AF291" s="43" t="s">
        <v>2247</v>
      </c>
      <c r="AG291" s="373"/>
      <c r="AH291" s="16"/>
    </row>
    <row r="292" spans="1:39">
      <c r="A292" s="148" t="s">
        <v>1871</v>
      </c>
      <c r="B292" s="81">
        <v>40</v>
      </c>
      <c r="C292" s="81">
        <v>39</v>
      </c>
      <c r="D292" s="82">
        <v>-70</v>
      </c>
      <c r="E292" s="82">
        <v>-51</v>
      </c>
      <c r="F292" s="58">
        <v>-87.65</v>
      </c>
      <c r="G292" s="81">
        <v>6598</v>
      </c>
      <c r="H292" s="4" t="s">
        <v>328</v>
      </c>
      <c r="I292" s="22" t="s">
        <v>2237</v>
      </c>
      <c r="J292" s="75">
        <v>65.53</v>
      </c>
      <c r="K292" s="330">
        <v>40.29</v>
      </c>
      <c r="L292" s="330"/>
      <c r="N292" s="325">
        <f t="shared" si="292"/>
        <v>105.82</v>
      </c>
      <c r="T292" s="34">
        <v>0</v>
      </c>
      <c r="V292" s="97">
        <f t="shared" si="293"/>
        <v>0</v>
      </c>
      <c r="W292" s="13">
        <v>166.5</v>
      </c>
      <c r="X292" s="67">
        <v>48</v>
      </c>
      <c r="Y292" s="15">
        <f t="shared" si="289"/>
        <v>118.5</v>
      </c>
      <c r="Z292" s="176">
        <f t="shared" si="290"/>
        <v>2.46875</v>
      </c>
      <c r="AA292" s="102" t="s">
        <v>2249</v>
      </c>
      <c r="AB292" s="22" t="s">
        <v>2237</v>
      </c>
      <c r="AC292" s="86">
        <v>43991</v>
      </c>
      <c r="AD292" s="88">
        <v>44001</v>
      </c>
      <c r="AE292" s="33">
        <f t="shared" si="291"/>
        <v>10</v>
      </c>
      <c r="AF292" s="43" t="s">
        <v>2238</v>
      </c>
      <c r="AG292" s="373"/>
      <c r="AH292" s="22"/>
    </row>
    <row r="293" spans="1:39" s="7" customFormat="1" ht="17.100000000000001" customHeight="1">
      <c r="A293" s="148" t="s">
        <v>2239</v>
      </c>
      <c r="B293" s="82">
        <v>-45</v>
      </c>
      <c r="C293" s="81">
        <v>13</v>
      </c>
      <c r="D293" s="81">
        <v>9</v>
      </c>
      <c r="E293" s="81">
        <v>11</v>
      </c>
      <c r="F293" s="6">
        <v>5.85</v>
      </c>
      <c r="G293" s="82">
        <v>5469</v>
      </c>
      <c r="H293" s="53" t="s">
        <v>327</v>
      </c>
      <c r="I293" s="22" t="s">
        <v>251</v>
      </c>
      <c r="J293" s="75">
        <v>69.489999999999995</v>
      </c>
      <c r="K293" s="75">
        <v>12.92</v>
      </c>
      <c r="L293" s="75">
        <v>16.149999999999999</v>
      </c>
      <c r="M293" s="325"/>
      <c r="N293" s="325">
        <f t="shared" ref="N293:N325" si="294">S293+K293+J293+L293</f>
        <v>98.639999999999986</v>
      </c>
      <c r="O293" s="27"/>
      <c r="P293" s="56"/>
      <c r="Q293" s="26"/>
      <c r="R293" s="308"/>
      <c r="S293" s="330">
        <v>0.08</v>
      </c>
      <c r="T293" s="34">
        <v>1.8</v>
      </c>
      <c r="U293" s="367"/>
      <c r="V293" s="97">
        <f t="shared" si="293"/>
        <v>4.6272493573264788E-2</v>
      </c>
      <c r="W293" s="36">
        <v>38.9</v>
      </c>
      <c r="X293" s="67">
        <v>36</v>
      </c>
      <c r="Y293" s="15">
        <f t="shared" si="289"/>
        <v>2.8999999999999986</v>
      </c>
      <c r="Z293" s="64">
        <f t="shared" si="290"/>
        <v>8.0555555555555519E-2</v>
      </c>
      <c r="AA293" s="102" t="s">
        <v>2236</v>
      </c>
      <c r="AB293" s="22" t="s">
        <v>251</v>
      </c>
      <c r="AC293" s="86">
        <v>43978</v>
      </c>
      <c r="AD293" s="88">
        <v>43990</v>
      </c>
      <c r="AE293" s="33">
        <f t="shared" si="291"/>
        <v>12</v>
      </c>
      <c r="AF293" s="122" t="s">
        <v>2218</v>
      </c>
      <c r="AG293" s="373"/>
      <c r="AH293" s="22"/>
      <c r="AI293" s="286"/>
      <c r="AJ293" s="276"/>
      <c r="AK293" s="22"/>
      <c r="AL293" s="41"/>
      <c r="AM293" s="308"/>
    </row>
    <row r="294" spans="1:39">
      <c r="A294" s="132" t="s">
        <v>2227</v>
      </c>
      <c r="B294" s="82">
        <v>-1</v>
      </c>
      <c r="C294" s="82">
        <v>-2</v>
      </c>
      <c r="D294" s="82"/>
      <c r="E294" s="82">
        <v>4.45</v>
      </c>
      <c r="F294" s="58">
        <v>12.01</v>
      </c>
      <c r="G294" s="82">
        <v>5546</v>
      </c>
      <c r="H294" s="4" t="s">
        <v>931</v>
      </c>
      <c r="I294" s="22" t="s">
        <v>2208</v>
      </c>
      <c r="J294" s="330">
        <v>81.39</v>
      </c>
      <c r="K294" s="330">
        <v>55.1</v>
      </c>
      <c r="L294" s="330"/>
      <c r="N294" s="325">
        <f t="shared" si="294"/>
        <v>136.49</v>
      </c>
      <c r="T294" s="34">
        <v>4</v>
      </c>
      <c r="V294" s="97">
        <f t="shared" si="293"/>
        <v>6.4516129032258063E-2</v>
      </c>
      <c r="W294" s="36">
        <v>62</v>
      </c>
      <c r="X294" s="67">
        <v>58.5</v>
      </c>
      <c r="Y294" s="15">
        <f t="shared" si="289"/>
        <v>3.5</v>
      </c>
      <c r="Z294" s="64">
        <f t="shared" si="290"/>
        <v>5.9829059829059832E-2</v>
      </c>
      <c r="AA294" s="102" t="s">
        <v>1812</v>
      </c>
      <c r="AB294" s="22" t="s">
        <v>2208</v>
      </c>
      <c r="AC294" s="86">
        <v>43971</v>
      </c>
      <c r="AD294" s="88">
        <v>43983</v>
      </c>
      <c r="AE294" s="33">
        <f t="shared" si="291"/>
        <v>12</v>
      </c>
      <c r="AF294" s="122" t="s">
        <v>2228</v>
      </c>
      <c r="AG294" s="373"/>
      <c r="AH294" s="22"/>
    </row>
    <row r="295" spans="1:39">
      <c r="A295" s="132" t="s">
        <v>1710</v>
      </c>
      <c r="B295" s="82">
        <v>-13</v>
      </c>
      <c r="C295" s="82">
        <v>-12</v>
      </c>
      <c r="D295" s="81">
        <v>1</v>
      </c>
      <c r="E295" s="81">
        <v>0</v>
      </c>
      <c r="F295" s="58">
        <v>40.49</v>
      </c>
      <c r="G295" s="82">
        <v>3563</v>
      </c>
      <c r="H295" s="4" t="s">
        <v>325</v>
      </c>
      <c r="I295" s="22" t="s">
        <v>192</v>
      </c>
      <c r="J295" s="330">
        <v>35.369999999999997</v>
      </c>
      <c r="K295" s="330">
        <v>17.84</v>
      </c>
      <c r="L295" s="75">
        <v>20.63</v>
      </c>
      <c r="N295" s="325">
        <f t="shared" si="294"/>
        <v>76.05</v>
      </c>
      <c r="S295" s="330">
        <v>2.21</v>
      </c>
      <c r="T295" s="34"/>
      <c r="V295" s="97">
        <f t="shared" si="293"/>
        <v>0</v>
      </c>
      <c r="W295" s="36">
        <v>327</v>
      </c>
      <c r="X295" s="45">
        <v>250</v>
      </c>
      <c r="Y295" s="15">
        <f t="shared" si="289"/>
        <v>77</v>
      </c>
      <c r="Z295" s="64">
        <f t="shared" si="290"/>
        <v>0.308</v>
      </c>
      <c r="AA295" s="102" t="s">
        <v>2191</v>
      </c>
      <c r="AB295" s="22" t="s">
        <v>192</v>
      </c>
      <c r="AC295" s="86">
        <v>43970</v>
      </c>
      <c r="AD295" s="88">
        <v>43980</v>
      </c>
      <c r="AE295" s="33">
        <f t="shared" si="291"/>
        <v>10</v>
      </c>
      <c r="AF295" s="124" t="s">
        <v>1941</v>
      </c>
      <c r="AG295" s="373"/>
      <c r="AH295" s="22"/>
    </row>
    <row r="296" spans="1:39" ht="17.25" customHeight="1">
      <c r="A296" s="132" t="s">
        <v>2235</v>
      </c>
      <c r="B296" s="81">
        <v>9</v>
      </c>
      <c r="C296" s="81">
        <v>9</v>
      </c>
      <c r="D296" s="81">
        <v>4</v>
      </c>
      <c r="E296" s="81">
        <v>17</v>
      </c>
      <c r="F296" s="58">
        <v>10.4</v>
      </c>
      <c r="G296" s="81">
        <v>8284</v>
      </c>
      <c r="H296" s="4" t="s">
        <v>333</v>
      </c>
      <c r="I296" s="16" t="s">
        <v>2205</v>
      </c>
      <c r="J296" s="75">
        <v>63.03</v>
      </c>
      <c r="K296" s="75">
        <v>3.71</v>
      </c>
      <c r="L296" s="330"/>
      <c r="N296" s="325">
        <f t="shared" si="294"/>
        <v>66.739999999999995</v>
      </c>
      <c r="T296" s="34">
        <v>3</v>
      </c>
      <c r="V296" s="97">
        <f t="shared" si="293"/>
        <v>4.7619047619047616E-2</v>
      </c>
      <c r="W296" s="36">
        <v>63</v>
      </c>
      <c r="X296" s="67">
        <v>45</v>
      </c>
      <c r="Y296" s="15">
        <f t="shared" ref="Y296:Y325" si="295">W296-X296</f>
        <v>18</v>
      </c>
      <c r="Z296" s="64">
        <f t="shared" ref="Z296:Z325" si="296">Y296/X296</f>
        <v>0.4</v>
      </c>
      <c r="AA296" s="102" t="s">
        <v>2223</v>
      </c>
      <c r="AB296" s="16" t="s">
        <v>2205</v>
      </c>
      <c r="AC296" s="86">
        <v>43969</v>
      </c>
      <c r="AD296" s="88">
        <v>43980</v>
      </c>
      <c r="AE296" s="33">
        <f t="shared" ref="AE296:AE325" si="297">AD296-AC296</f>
        <v>11</v>
      </c>
      <c r="AF296" s="43" t="s">
        <v>2206</v>
      </c>
      <c r="AG296" s="373"/>
      <c r="AH296" s="16"/>
    </row>
    <row r="297" spans="1:39">
      <c r="A297" s="148" t="s">
        <v>2194</v>
      </c>
      <c r="B297" s="81">
        <v>20</v>
      </c>
      <c r="C297" s="81"/>
      <c r="D297" s="81">
        <v>26</v>
      </c>
      <c r="E297" s="82">
        <v>-12</v>
      </c>
      <c r="F297" s="6"/>
      <c r="G297" s="82">
        <v>2888</v>
      </c>
      <c r="H297" s="10" t="s">
        <v>322</v>
      </c>
      <c r="I297" s="22" t="s">
        <v>18</v>
      </c>
      <c r="J297" s="330">
        <v>68.09</v>
      </c>
      <c r="K297" s="75">
        <v>21.4</v>
      </c>
      <c r="L297" s="330">
        <v>3.23</v>
      </c>
      <c r="N297" s="325">
        <f t="shared" si="294"/>
        <v>92.740000000000009</v>
      </c>
      <c r="S297" s="330">
        <v>0.02</v>
      </c>
      <c r="T297" s="34">
        <v>0.4</v>
      </c>
      <c r="V297" s="97">
        <f t="shared" si="293"/>
        <v>4.7961630695443645E-2</v>
      </c>
      <c r="W297" s="36">
        <v>8.34</v>
      </c>
      <c r="X297" s="67">
        <v>7.8</v>
      </c>
      <c r="Y297" s="15">
        <f t="shared" si="295"/>
        <v>0.54</v>
      </c>
      <c r="Z297" s="64">
        <f t="shared" si="296"/>
        <v>6.9230769230769235E-2</v>
      </c>
      <c r="AA297" s="102" t="s">
        <v>2224</v>
      </c>
      <c r="AB297" s="22" t="s">
        <v>18</v>
      </c>
      <c r="AC297" s="86">
        <v>43969</v>
      </c>
      <c r="AD297" s="88">
        <v>43980</v>
      </c>
      <c r="AE297" s="33">
        <f t="shared" si="297"/>
        <v>11</v>
      </c>
      <c r="AF297" s="122" t="s">
        <v>1519</v>
      </c>
      <c r="AG297" s="373"/>
      <c r="AH297" s="22"/>
    </row>
    <row r="298" spans="1:39">
      <c r="A298" s="148" t="s">
        <v>1922</v>
      </c>
      <c r="B298" s="82">
        <v>-2</v>
      </c>
      <c r="C298" s="82">
        <v>-34</v>
      </c>
      <c r="D298" s="82">
        <v>-7</v>
      </c>
      <c r="E298" s="81">
        <v>8</v>
      </c>
      <c r="F298" s="6">
        <v>8.6999999999999993</v>
      </c>
      <c r="G298" s="82">
        <v>6208</v>
      </c>
      <c r="H298" s="4" t="s">
        <v>327</v>
      </c>
      <c r="I298" s="16" t="s">
        <v>465</v>
      </c>
      <c r="J298" s="75">
        <v>52.18</v>
      </c>
      <c r="K298" s="75">
        <v>1.63</v>
      </c>
      <c r="L298" s="330">
        <v>3.51</v>
      </c>
      <c r="N298" s="325">
        <f t="shared" si="294"/>
        <v>57.4</v>
      </c>
      <c r="S298" s="330">
        <v>0.08</v>
      </c>
      <c r="T298" s="34">
        <v>1.7</v>
      </c>
      <c r="V298" s="97">
        <f t="shared" si="293"/>
        <v>6.6019417475728148E-2</v>
      </c>
      <c r="W298" s="36">
        <v>25.75</v>
      </c>
      <c r="X298" s="67">
        <v>20</v>
      </c>
      <c r="Y298" s="15">
        <f t="shared" si="295"/>
        <v>5.75</v>
      </c>
      <c r="Z298" s="64">
        <f t="shared" si="296"/>
        <v>0.28749999999999998</v>
      </c>
      <c r="AA298" s="102" t="s">
        <v>2221</v>
      </c>
      <c r="AB298" s="16" t="s">
        <v>465</v>
      </c>
      <c r="AC298" s="86">
        <v>43966</v>
      </c>
      <c r="AD298" s="88">
        <v>43980</v>
      </c>
      <c r="AE298" s="33">
        <f t="shared" si="297"/>
        <v>14</v>
      </c>
      <c r="AF298" s="43" t="s">
        <v>2203</v>
      </c>
      <c r="AG298" s="373"/>
      <c r="AH298" s="16"/>
    </row>
    <row r="299" spans="1:39">
      <c r="A299" s="148" t="s">
        <v>2202</v>
      </c>
      <c r="B299" s="82">
        <v>-137</v>
      </c>
      <c r="C299" s="82">
        <v>-128</v>
      </c>
      <c r="D299" s="82">
        <v>-6</v>
      </c>
      <c r="E299" s="81">
        <v>171</v>
      </c>
      <c r="F299" s="75">
        <v>-147</v>
      </c>
      <c r="G299" s="81">
        <v>6589</v>
      </c>
      <c r="H299" s="4" t="s">
        <v>328</v>
      </c>
      <c r="I299" s="16" t="s">
        <v>2055</v>
      </c>
      <c r="J299" s="330">
        <v>57.75</v>
      </c>
      <c r="K299" s="330">
        <v>3.98</v>
      </c>
      <c r="L299" s="330"/>
      <c r="N299" s="325">
        <f t="shared" si="294"/>
        <v>61.73</v>
      </c>
      <c r="T299" s="34"/>
      <c r="V299" s="97">
        <f t="shared" si="293"/>
        <v>0</v>
      </c>
      <c r="W299" s="36">
        <v>61.5</v>
      </c>
      <c r="X299" s="67">
        <v>29</v>
      </c>
      <c r="Y299" s="15">
        <f t="shared" si="295"/>
        <v>32.5</v>
      </c>
      <c r="Z299" s="176">
        <f t="shared" si="296"/>
        <v>1.1206896551724137</v>
      </c>
      <c r="AA299" s="102" t="s">
        <v>2222</v>
      </c>
      <c r="AB299" s="16" t="s">
        <v>2055</v>
      </c>
      <c r="AC299" s="86">
        <v>43966</v>
      </c>
      <c r="AD299" s="88">
        <v>43980</v>
      </c>
      <c r="AE299" s="33">
        <f t="shared" si="297"/>
        <v>14</v>
      </c>
      <c r="AF299" s="43" t="s">
        <v>2056</v>
      </c>
      <c r="AG299" s="373"/>
      <c r="AH299" s="16"/>
    </row>
    <row r="300" spans="1:39">
      <c r="A300" s="148" t="s">
        <v>2187</v>
      </c>
      <c r="B300" s="81">
        <v>0</v>
      </c>
      <c r="C300" s="81">
        <v>2</v>
      </c>
      <c r="D300" s="82">
        <v>-15</v>
      </c>
      <c r="E300" s="81">
        <v>66</v>
      </c>
      <c r="F300" s="6">
        <v>5.58</v>
      </c>
      <c r="G300" s="81">
        <v>4173</v>
      </c>
      <c r="H300" s="4" t="s">
        <v>328</v>
      </c>
      <c r="I300" s="16" t="s">
        <v>657</v>
      </c>
      <c r="J300" s="330">
        <v>48.34</v>
      </c>
      <c r="K300" s="75">
        <v>0.22</v>
      </c>
      <c r="L300" s="75">
        <v>12.83</v>
      </c>
      <c r="N300" s="325">
        <f t="shared" si="294"/>
        <v>61.53</v>
      </c>
      <c r="S300" s="330">
        <v>0.14000000000000001</v>
      </c>
      <c r="T300" s="34">
        <v>1</v>
      </c>
      <c r="V300" s="97">
        <f t="shared" si="293"/>
        <v>4.9019607843137261E-2</v>
      </c>
      <c r="W300" s="36">
        <v>20.399999999999999</v>
      </c>
      <c r="X300" s="67">
        <v>15</v>
      </c>
      <c r="Y300" s="15">
        <f t="shared" si="295"/>
        <v>5.3999999999999986</v>
      </c>
      <c r="Z300" s="64">
        <f t="shared" si="296"/>
        <v>0.35999999999999993</v>
      </c>
      <c r="AA300" s="102" t="s">
        <v>2219</v>
      </c>
      <c r="AB300" s="16" t="s">
        <v>657</v>
      </c>
      <c r="AC300" s="86">
        <v>43964</v>
      </c>
      <c r="AD300" s="88">
        <v>43980</v>
      </c>
      <c r="AE300" s="33">
        <f t="shared" si="297"/>
        <v>16</v>
      </c>
      <c r="AF300" s="43" t="s">
        <v>2204</v>
      </c>
      <c r="AG300" s="373"/>
      <c r="AH300" s="16"/>
    </row>
    <row r="301" spans="1:39">
      <c r="A301" s="148" t="s">
        <v>2179</v>
      </c>
      <c r="B301" s="82">
        <v>-200</v>
      </c>
      <c r="C301" s="82">
        <v>-41</v>
      </c>
      <c r="D301" s="82">
        <v>-50</v>
      </c>
      <c r="E301" s="82">
        <v>-57</v>
      </c>
      <c r="F301" s="6">
        <v>-23.92</v>
      </c>
      <c r="G301" s="82">
        <v>1506</v>
      </c>
      <c r="H301" s="4" t="s">
        <v>313</v>
      </c>
      <c r="I301" s="22" t="s">
        <v>589</v>
      </c>
      <c r="J301" s="75">
        <v>69.91</v>
      </c>
      <c r="K301" s="75">
        <v>1.1599999999999999</v>
      </c>
      <c r="L301" s="330">
        <v>0</v>
      </c>
      <c r="N301" s="325">
        <f t="shared" si="294"/>
        <v>71.069999999999993</v>
      </c>
      <c r="T301" s="34">
        <v>0</v>
      </c>
      <c r="V301" s="97">
        <f t="shared" si="293"/>
        <v>0</v>
      </c>
      <c r="W301" s="36">
        <v>12.35</v>
      </c>
      <c r="X301" s="67">
        <v>10</v>
      </c>
      <c r="Y301" s="15">
        <f t="shared" si="295"/>
        <v>2.3499999999999996</v>
      </c>
      <c r="Z301" s="64">
        <f t="shared" si="296"/>
        <v>0.23499999999999996</v>
      </c>
      <c r="AA301" s="102" t="s">
        <v>2197</v>
      </c>
      <c r="AB301" s="22" t="s">
        <v>589</v>
      </c>
      <c r="AC301" s="86">
        <v>43950</v>
      </c>
      <c r="AD301" s="88">
        <v>43980</v>
      </c>
      <c r="AE301" s="33">
        <f t="shared" si="297"/>
        <v>30</v>
      </c>
      <c r="AF301" s="43" t="s">
        <v>2180</v>
      </c>
      <c r="AG301" s="373"/>
      <c r="AH301" s="22"/>
    </row>
    <row r="302" spans="1:39">
      <c r="A302" s="148" t="s">
        <v>1932</v>
      </c>
      <c r="B302" s="82">
        <v>-166</v>
      </c>
      <c r="C302" s="82">
        <v>-504</v>
      </c>
      <c r="D302" s="82">
        <v>-16</v>
      </c>
      <c r="E302" s="82">
        <v>-19</v>
      </c>
      <c r="F302" s="6">
        <v>-4.79</v>
      </c>
      <c r="G302" s="82">
        <v>3543</v>
      </c>
      <c r="H302" s="4" t="s">
        <v>2167</v>
      </c>
      <c r="I302" s="22" t="s">
        <v>2169</v>
      </c>
      <c r="J302" s="330">
        <v>55.41</v>
      </c>
      <c r="K302" s="330">
        <v>0.23</v>
      </c>
      <c r="L302" s="330"/>
      <c r="N302" s="325">
        <f t="shared" si="294"/>
        <v>71.66</v>
      </c>
      <c r="S302" s="330">
        <v>16.02</v>
      </c>
      <c r="T302" s="34"/>
      <c r="V302" s="97">
        <f t="shared" si="293"/>
        <v>0</v>
      </c>
      <c r="W302" s="36">
        <v>17.25</v>
      </c>
      <c r="X302" s="67">
        <v>15</v>
      </c>
      <c r="Y302" s="15">
        <f t="shared" si="295"/>
        <v>2.25</v>
      </c>
      <c r="Z302" s="64">
        <f t="shared" si="296"/>
        <v>0.15</v>
      </c>
      <c r="AA302" s="102" t="s">
        <v>1047</v>
      </c>
      <c r="AB302" s="22" t="s">
        <v>2169</v>
      </c>
      <c r="AC302" s="86">
        <v>43936</v>
      </c>
      <c r="AD302" s="88">
        <v>43966</v>
      </c>
      <c r="AE302" s="33">
        <f t="shared" si="297"/>
        <v>30</v>
      </c>
      <c r="AF302" s="43" t="s">
        <v>2168</v>
      </c>
      <c r="AG302" s="373"/>
      <c r="AH302" s="22"/>
    </row>
    <row r="303" spans="1:39" s="7" customFormat="1" ht="17.100000000000001" customHeight="1">
      <c r="A303" s="132" t="s">
        <v>2058</v>
      </c>
      <c r="B303" s="81">
        <v>-25</v>
      </c>
      <c r="C303" s="81">
        <v>0</v>
      </c>
      <c r="D303" s="81">
        <v>0</v>
      </c>
      <c r="E303" s="81">
        <v>23</v>
      </c>
      <c r="F303" s="58">
        <v>10.54</v>
      </c>
      <c r="G303" s="81">
        <v>6213</v>
      </c>
      <c r="H303" s="52" t="s">
        <v>327</v>
      </c>
      <c r="I303" s="22" t="s">
        <v>64</v>
      </c>
      <c r="J303" s="330">
        <v>74.790000000000006</v>
      </c>
      <c r="K303" s="330">
        <v>24.09</v>
      </c>
      <c r="L303" s="330">
        <v>10.31</v>
      </c>
      <c r="M303" s="325"/>
      <c r="N303" s="325">
        <f t="shared" si="294"/>
        <v>122.71000000000001</v>
      </c>
      <c r="O303" s="27"/>
      <c r="P303" s="56"/>
      <c r="Q303" s="26"/>
      <c r="R303" s="308"/>
      <c r="S303" s="330">
        <v>13.52</v>
      </c>
      <c r="T303" s="34">
        <v>5</v>
      </c>
      <c r="U303" s="367"/>
      <c r="V303" s="97">
        <f t="shared" si="293"/>
        <v>3.5460992907801421E-2</v>
      </c>
      <c r="W303" s="36">
        <v>141</v>
      </c>
      <c r="X303" s="67">
        <v>110</v>
      </c>
      <c r="Y303" s="15">
        <f t="shared" si="295"/>
        <v>31</v>
      </c>
      <c r="Z303" s="64">
        <f t="shared" si="296"/>
        <v>0.2818181818181818</v>
      </c>
      <c r="AA303" s="102" t="s">
        <v>1090</v>
      </c>
      <c r="AB303" s="22" t="s">
        <v>64</v>
      </c>
      <c r="AC303" s="86">
        <v>43928</v>
      </c>
      <c r="AD303" s="88">
        <v>43958</v>
      </c>
      <c r="AE303" s="33">
        <f t="shared" si="297"/>
        <v>30</v>
      </c>
      <c r="AF303" s="122" t="s">
        <v>1528</v>
      </c>
      <c r="AG303" s="373"/>
      <c r="AH303" s="22"/>
      <c r="AI303" s="286"/>
      <c r="AJ303" s="276"/>
      <c r="AK303" s="22"/>
      <c r="AL303" s="41"/>
      <c r="AM303" s="308"/>
    </row>
    <row r="304" spans="1:39">
      <c r="A304" s="148" t="s">
        <v>1881</v>
      </c>
      <c r="B304" s="82">
        <v>-132</v>
      </c>
      <c r="C304" s="82">
        <v>-59</v>
      </c>
      <c r="D304" s="81">
        <v>48</v>
      </c>
      <c r="E304" s="81">
        <v>35</v>
      </c>
      <c r="F304" s="6">
        <v>0.89</v>
      </c>
      <c r="G304" s="81">
        <v>4746</v>
      </c>
      <c r="H304" s="4" t="s">
        <v>328</v>
      </c>
      <c r="I304" s="22" t="s">
        <v>682</v>
      </c>
      <c r="J304" s="330">
        <v>39.380000000000003</v>
      </c>
      <c r="K304" s="75">
        <v>5.82</v>
      </c>
      <c r="L304" s="75">
        <v>25.39</v>
      </c>
      <c r="N304" s="325">
        <f t="shared" si="294"/>
        <v>86.45</v>
      </c>
      <c r="S304" s="330">
        <v>15.86</v>
      </c>
      <c r="T304" s="34"/>
      <c r="V304" s="97">
        <f t="shared" si="293"/>
        <v>0</v>
      </c>
      <c r="W304" s="36">
        <v>55.3</v>
      </c>
      <c r="X304" s="45">
        <v>37</v>
      </c>
      <c r="Y304" s="15">
        <f t="shared" si="295"/>
        <v>18.299999999999997</v>
      </c>
      <c r="Z304" s="64">
        <f t="shared" si="296"/>
        <v>0.49459459459459454</v>
      </c>
      <c r="AA304" s="102" t="s">
        <v>2165</v>
      </c>
      <c r="AB304" s="22" t="s">
        <v>682</v>
      </c>
      <c r="AC304" s="86">
        <v>43922</v>
      </c>
      <c r="AD304" s="88">
        <v>43955</v>
      </c>
      <c r="AE304" s="33">
        <f t="shared" si="297"/>
        <v>33</v>
      </c>
      <c r="AF304" s="43" t="s">
        <v>2152</v>
      </c>
      <c r="AG304" s="373"/>
      <c r="AH304" s="22"/>
    </row>
    <row r="305" spans="1:34">
      <c r="A305" s="148" t="s">
        <v>2154</v>
      </c>
      <c r="B305" s="82">
        <v>-28</v>
      </c>
      <c r="C305" s="82">
        <v>-66</v>
      </c>
      <c r="D305" s="81">
        <v>49</v>
      </c>
      <c r="E305" s="81">
        <v>75</v>
      </c>
      <c r="F305" s="6">
        <v>9.26</v>
      </c>
      <c r="G305" s="82">
        <v>6024</v>
      </c>
      <c r="H305" s="10" t="s">
        <v>322</v>
      </c>
      <c r="I305" s="22" t="s">
        <v>364</v>
      </c>
      <c r="J305" s="330">
        <v>68.88</v>
      </c>
      <c r="K305" s="330">
        <v>2.4</v>
      </c>
      <c r="L305" s="330">
        <v>1.04</v>
      </c>
      <c r="N305" s="325">
        <f t="shared" si="294"/>
        <v>130.32</v>
      </c>
      <c r="S305" s="330">
        <v>58</v>
      </c>
      <c r="T305" s="34"/>
      <c r="V305" s="58">
        <f t="shared" si="293"/>
        <v>0</v>
      </c>
      <c r="W305" s="36">
        <v>39.4</v>
      </c>
      <c r="X305" s="67">
        <v>34.4</v>
      </c>
      <c r="Y305" s="15">
        <f t="shared" si="295"/>
        <v>5</v>
      </c>
      <c r="Z305" s="64">
        <f t="shared" si="296"/>
        <v>0.14534883720930233</v>
      </c>
      <c r="AA305" s="103" t="s">
        <v>2161</v>
      </c>
      <c r="AB305" s="22" t="s">
        <v>364</v>
      </c>
      <c r="AC305" s="86">
        <v>43921</v>
      </c>
      <c r="AD305" s="88">
        <v>43951</v>
      </c>
      <c r="AE305" s="33">
        <f t="shared" si="297"/>
        <v>30</v>
      </c>
      <c r="AF305" s="43" t="s">
        <v>1508</v>
      </c>
      <c r="AG305" s="373"/>
      <c r="AH305" s="22"/>
    </row>
    <row r="306" spans="1:34">
      <c r="A306" s="148" t="s">
        <v>1684</v>
      </c>
      <c r="B306" s="82">
        <v>-174</v>
      </c>
      <c r="C306" s="82">
        <v>-159</v>
      </c>
      <c r="D306" s="81">
        <v>69</v>
      </c>
      <c r="E306" s="81">
        <v>25</v>
      </c>
      <c r="F306" s="6">
        <v>-4.2300000000000004</v>
      </c>
      <c r="G306" s="82">
        <v>4563</v>
      </c>
      <c r="H306" s="4" t="s">
        <v>313</v>
      </c>
      <c r="I306" s="16" t="s">
        <v>582</v>
      </c>
      <c r="J306" s="330">
        <v>74.73</v>
      </c>
      <c r="K306" s="330">
        <v>19.440000000000001</v>
      </c>
      <c r="L306" s="75">
        <v>1.94</v>
      </c>
      <c r="N306" s="325">
        <f t="shared" si="294"/>
        <v>135.96</v>
      </c>
      <c r="S306" s="330">
        <v>39.85</v>
      </c>
      <c r="T306" s="34"/>
      <c r="V306" s="58">
        <f t="shared" si="293"/>
        <v>0</v>
      </c>
      <c r="W306" s="36">
        <v>36.200000000000003</v>
      </c>
      <c r="X306" s="67">
        <v>40</v>
      </c>
      <c r="Y306" s="15">
        <f t="shared" si="295"/>
        <v>-3.7999999999999972</v>
      </c>
      <c r="Z306" s="78">
        <f t="shared" si="296"/>
        <v>-9.4999999999999932E-2</v>
      </c>
      <c r="AA306" s="103" t="s">
        <v>2199</v>
      </c>
      <c r="AB306" s="16" t="s">
        <v>582</v>
      </c>
      <c r="AC306" s="86">
        <v>43921</v>
      </c>
      <c r="AD306" s="88">
        <v>43951</v>
      </c>
      <c r="AE306" s="33">
        <f t="shared" si="297"/>
        <v>30</v>
      </c>
      <c r="AF306" s="43" t="s">
        <v>2153</v>
      </c>
      <c r="AG306" s="373"/>
      <c r="AH306" s="16"/>
    </row>
    <row r="307" spans="1:34">
      <c r="A307" s="148" t="s">
        <v>2151</v>
      </c>
      <c r="B307" s="81">
        <v>13</v>
      </c>
      <c r="C307" s="82">
        <v>-65</v>
      </c>
      <c r="D307" s="81">
        <v>69</v>
      </c>
      <c r="E307" s="81">
        <v>130</v>
      </c>
      <c r="F307" s="6">
        <v>4.9000000000000004</v>
      </c>
      <c r="G307" s="81">
        <v>6023</v>
      </c>
      <c r="H307" s="10" t="s">
        <v>322</v>
      </c>
      <c r="I307" s="16" t="s">
        <v>161</v>
      </c>
      <c r="J307" s="75">
        <v>86.19</v>
      </c>
      <c r="K307" s="330">
        <v>1.54</v>
      </c>
      <c r="L307" s="75">
        <v>0.11</v>
      </c>
      <c r="N307" s="325">
        <f t="shared" si="294"/>
        <v>155.92000000000002</v>
      </c>
      <c r="S307" s="330">
        <v>68.08</v>
      </c>
      <c r="T307" s="34">
        <v>3.2</v>
      </c>
      <c r="V307" s="58">
        <f t="shared" si="293"/>
        <v>5.9369202226345091E-2</v>
      </c>
      <c r="W307" s="36">
        <v>53.9</v>
      </c>
      <c r="X307" s="67">
        <v>48</v>
      </c>
      <c r="Y307" s="15">
        <f t="shared" si="295"/>
        <v>5.8999999999999986</v>
      </c>
      <c r="Z307" s="64">
        <f t="shared" si="296"/>
        <v>0.12291666666666663</v>
      </c>
      <c r="AA307" s="102" t="s">
        <v>2158</v>
      </c>
      <c r="AB307" s="16" t="s">
        <v>161</v>
      </c>
      <c r="AC307" s="86">
        <v>43920</v>
      </c>
      <c r="AD307" s="88">
        <v>43951</v>
      </c>
      <c r="AE307" s="33">
        <f t="shared" si="297"/>
        <v>31</v>
      </c>
      <c r="AF307" s="122" t="s">
        <v>1507</v>
      </c>
      <c r="AG307" s="373"/>
      <c r="AH307" s="16"/>
    </row>
    <row r="308" spans="1:34">
      <c r="A308" s="132" t="s">
        <v>1666</v>
      </c>
      <c r="B308" s="82">
        <v>-7</v>
      </c>
      <c r="C308" s="81">
        <v>2</v>
      </c>
      <c r="D308" s="81">
        <v>24</v>
      </c>
      <c r="E308" s="81">
        <v>52</v>
      </c>
      <c r="F308" s="58">
        <v>16.5</v>
      </c>
      <c r="G308" s="81">
        <v>6716</v>
      </c>
      <c r="H308" s="52" t="s">
        <v>326</v>
      </c>
      <c r="I308" s="16" t="s">
        <v>2149</v>
      </c>
      <c r="J308" s="330">
        <v>43.74</v>
      </c>
      <c r="K308" s="75">
        <v>2.19</v>
      </c>
      <c r="L308" s="330"/>
      <c r="N308" s="325">
        <f t="shared" si="294"/>
        <v>64.58</v>
      </c>
      <c r="S308" s="330">
        <v>18.649999999999999</v>
      </c>
      <c r="T308" s="34">
        <v>3</v>
      </c>
      <c r="V308" s="97">
        <f t="shared" si="293"/>
        <v>4.195804195804196E-2</v>
      </c>
      <c r="W308" s="36">
        <v>71.5</v>
      </c>
      <c r="X308" s="67">
        <v>42</v>
      </c>
      <c r="Y308" s="15">
        <f t="shared" si="295"/>
        <v>29.5</v>
      </c>
      <c r="Z308" s="64">
        <f t="shared" si="296"/>
        <v>0.70238095238095233</v>
      </c>
      <c r="AA308" s="102" t="s">
        <v>2155</v>
      </c>
      <c r="AB308" s="16" t="s">
        <v>2149</v>
      </c>
      <c r="AC308" s="86">
        <v>43917</v>
      </c>
      <c r="AD308" s="88">
        <v>43948</v>
      </c>
      <c r="AE308" s="33">
        <f t="shared" si="297"/>
        <v>31</v>
      </c>
      <c r="AF308" s="43" t="s">
        <v>2150</v>
      </c>
      <c r="AG308" s="373"/>
      <c r="AH308" s="16"/>
    </row>
    <row r="309" spans="1:34">
      <c r="A309" s="148" t="s">
        <v>2176</v>
      </c>
      <c r="B309" s="81">
        <v>33</v>
      </c>
      <c r="C309" s="81">
        <v>38</v>
      </c>
      <c r="D309" s="81">
        <v>5</v>
      </c>
      <c r="E309" s="82">
        <v>-19</v>
      </c>
      <c r="F309" s="6">
        <v>-6.04</v>
      </c>
      <c r="G309" s="81">
        <v>1449</v>
      </c>
      <c r="H309" s="4" t="s">
        <v>312</v>
      </c>
      <c r="I309" s="22" t="s">
        <v>785</v>
      </c>
      <c r="J309" s="75">
        <v>76.58</v>
      </c>
      <c r="K309" s="75">
        <v>8.6</v>
      </c>
      <c r="L309" s="330"/>
      <c r="N309" s="325">
        <f t="shared" si="294"/>
        <v>112.96000000000001</v>
      </c>
      <c r="S309" s="330">
        <v>27.78</v>
      </c>
      <c r="T309" s="34">
        <v>0</v>
      </c>
      <c r="V309" s="97">
        <f t="shared" si="293"/>
        <v>0</v>
      </c>
      <c r="W309" s="36">
        <v>12.2</v>
      </c>
      <c r="X309" s="67">
        <v>10</v>
      </c>
      <c r="Y309" s="15">
        <f t="shared" si="295"/>
        <v>2.1999999999999993</v>
      </c>
      <c r="Z309" s="64">
        <f t="shared" si="296"/>
        <v>0.21999999999999992</v>
      </c>
      <c r="AA309" s="102" t="s">
        <v>1188</v>
      </c>
      <c r="AB309" s="22" t="s">
        <v>785</v>
      </c>
      <c r="AC309" s="86">
        <v>43917</v>
      </c>
      <c r="AD309" s="88">
        <v>43948</v>
      </c>
      <c r="AE309" s="33">
        <f t="shared" si="297"/>
        <v>31</v>
      </c>
      <c r="AF309" s="43" t="s">
        <v>2143</v>
      </c>
      <c r="AG309" s="373"/>
      <c r="AH309" s="22"/>
    </row>
    <row r="310" spans="1:34">
      <c r="A310" s="132" t="s">
        <v>2118</v>
      </c>
      <c r="B310" s="81">
        <v>21</v>
      </c>
      <c r="C310" s="81">
        <v>34</v>
      </c>
      <c r="D310" s="81">
        <v>0</v>
      </c>
      <c r="E310" s="81">
        <v>164</v>
      </c>
      <c r="F310" s="58">
        <v>19.920000000000002</v>
      </c>
      <c r="G310" s="82">
        <v>8086</v>
      </c>
      <c r="H310" s="52" t="s">
        <v>326</v>
      </c>
      <c r="I310" s="16" t="s">
        <v>278</v>
      </c>
      <c r="J310" s="330">
        <v>36.28</v>
      </c>
      <c r="K310" s="330">
        <v>15.51</v>
      </c>
      <c r="L310" s="75">
        <v>41.91</v>
      </c>
      <c r="N310" s="325">
        <f t="shared" si="294"/>
        <v>99.96</v>
      </c>
      <c r="S310" s="330">
        <v>6.26</v>
      </c>
      <c r="T310" s="34">
        <v>1.7</v>
      </c>
      <c r="V310" s="97">
        <f t="shared" si="293"/>
        <v>1.9296254256526674E-2</v>
      </c>
      <c r="W310" s="36">
        <v>88.1</v>
      </c>
      <c r="X310" s="45">
        <v>75</v>
      </c>
      <c r="Y310" s="15">
        <f t="shared" si="295"/>
        <v>13.099999999999994</v>
      </c>
      <c r="Z310" s="64">
        <f t="shared" si="296"/>
        <v>0.17466666666666658</v>
      </c>
      <c r="AA310" s="103" t="s">
        <v>2142</v>
      </c>
      <c r="AB310" s="16" t="s">
        <v>278</v>
      </c>
      <c r="AC310" s="86">
        <v>43907</v>
      </c>
      <c r="AD310" s="88">
        <v>43938</v>
      </c>
      <c r="AE310" s="33">
        <f t="shared" si="297"/>
        <v>31</v>
      </c>
      <c r="AF310" s="122" t="s">
        <v>1512</v>
      </c>
      <c r="AG310" s="373"/>
      <c r="AH310" s="16"/>
    </row>
    <row r="311" spans="1:34">
      <c r="A311" s="132" t="s">
        <v>1555</v>
      </c>
      <c r="B311" s="82">
        <v>-37</v>
      </c>
      <c r="C311" s="82">
        <v>-33</v>
      </c>
      <c r="D311" s="82">
        <v>-20</v>
      </c>
      <c r="E311" s="82">
        <v>-8</v>
      </c>
      <c r="F311" s="58">
        <v>10.72</v>
      </c>
      <c r="G311" s="82">
        <v>4581</v>
      </c>
      <c r="H311" s="4" t="s">
        <v>2125</v>
      </c>
      <c r="I311" s="22" t="s">
        <v>2079</v>
      </c>
      <c r="J311" s="330">
        <v>75.489999999999995</v>
      </c>
      <c r="K311" s="75">
        <v>29.09</v>
      </c>
      <c r="L311" s="330"/>
      <c r="N311" s="325">
        <f t="shared" si="294"/>
        <v>104.58</v>
      </c>
      <c r="T311" s="34">
        <v>3</v>
      </c>
      <c r="V311" s="97">
        <f t="shared" si="293"/>
        <v>7.8534031413612565E-2</v>
      </c>
      <c r="W311" s="36">
        <v>38.200000000000003</v>
      </c>
      <c r="X311" s="67">
        <v>35</v>
      </c>
      <c r="Y311" s="15">
        <f t="shared" si="295"/>
        <v>3.2000000000000028</v>
      </c>
      <c r="Z311" s="64">
        <f t="shared" si="296"/>
        <v>9.1428571428571512E-2</v>
      </c>
      <c r="AA311" s="102" t="s">
        <v>2123</v>
      </c>
      <c r="AB311" s="22" t="s">
        <v>2079</v>
      </c>
      <c r="AC311" s="86">
        <v>43899</v>
      </c>
      <c r="AD311" s="88">
        <v>43930</v>
      </c>
      <c r="AE311" s="33">
        <f t="shared" si="297"/>
        <v>31</v>
      </c>
      <c r="AF311" s="124" t="s">
        <v>2124</v>
      </c>
      <c r="AG311" s="373"/>
      <c r="AH311" s="22"/>
    </row>
    <row r="312" spans="1:34">
      <c r="A312" s="148" t="s">
        <v>1580</v>
      </c>
      <c r="B312" s="81">
        <v>78</v>
      </c>
      <c r="C312" s="95">
        <v>1305</v>
      </c>
      <c r="D312" s="82">
        <v>-20</v>
      </c>
      <c r="E312" s="82">
        <v>-39</v>
      </c>
      <c r="F312" s="6">
        <v>1.07</v>
      </c>
      <c r="G312" s="82">
        <v>2743</v>
      </c>
      <c r="H312" s="54" t="s">
        <v>321</v>
      </c>
      <c r="I312" s="16" t="s">
        <v>2077</v>
      </c>
      <c r="J312" s="75">
        <v>69.28</v>
      </c>
      <c r="K312" s="75">
        <v>1.87</v>
      </c>
      <c r="L312" s="330"/>
      <c r="N312" s="325">
        <f t="shared" si="294"/>
        <v>125.53999999999999</v>
      </c>
      <c r="S312" s="330">
        <v>54.39</v>
      </c>
      <c r="T312" s="34">
        <v>0.8</v>
      </c>
      <c r="V312" s="58">
        <f t="shared" si="293"/>
        <v>6.5306122448979598E-2</v>
      </c>
      <c r="W312" s="36">
        <v>12.25</v>
      </c>
      <c r="X312" s="67">
        <v>12.5</v>
      </c>
      <c r="Y312" s="15">
        <f t="shared" si="295"/>
        <v>-0.25</v>
      </c>
      <c r="Z312" s="78">
        <f t="shared" si="296"/>
        <v>-0.02</v>
      </c>
      <c r="AA312" s="104" t="s">
        <v>1827</v>
      </c>
      <c r="AB312" s="16" t="s">
        <v>2077</v>
      </c>
      <c r="AC312" s="86">
        <v>43899</v>
      </c>
      <c r="AD312" s="88">
        <v>43930</v>
      </c>
      <c r="AE312" s="33">
        <f t="shared" si="297"/>
        <v>31</v>
      </c>
      <c r="AF312" s="43" t="s">
        <v>1624</v>
      </c>
      <c r="AG312" s="373"/>
      <c r="AH312" s="16"/>
    </row>
    <row r="313" spans="1:34">
      <c r="A313" s="148" t="s">
        <v>2134</v>
      </c>
      <c r="B313" s="82">
        <v>-30</v>
      </c>
      <c r="C313" s="82">
        <v>-35</v>
      </c>
      <c r="D313" s="81">
        <v>77</v>
      </c>
      <c r="E313" s="82">
        <v>-4</v>
      </c>
      <c r="F313" s="6">
        <v>4.5599999999999996</v>
      </c>
      <c r="G313" s="82">
        <v>3597</v>
      </c>
      <c r="H313" s="54" t="s">
        <v>351</v>
      </c>
      <c r="I313" s="16" t="s">
        <v>2078</v>
      </c>
      <c r="J313" s="75">
        <v>81.849999999999994</v>
      </c>
      <c r="K313" s="75">
        <v>0.03</v>
      </c>
      <c r="L313" s="330"/>
      <c r="N313" s="325">
        <f t="shared" si="294"/>
        <v>114.62</v>
      </c>
      <c r="S313" s="330">
        <v>32.74</v>
      </c>
      <c r="T313" s="34">
        <v>0.85</v>
      </c>
      <c r="V313" s="58">
        <f t="shared" si="293"/>
        <v>5.4838709677419356E-2</v>
      </c>
      <c r="W313" s="36">
        <v>15.5</v>
      </c>
      <c r="X313" s="67">
        <v>15.5</v>
      </c>
      <c r="Y313" s="15">
        <f t="shared" si="295"/>
        <v>0</v>
      </c>
      <c r="Z313" s="64">
        <f t="shared" si="296"/>
        <v>0</v>
      </c>
      <c r="AA313" s="104" t="s">
        <v>1970</v>
      </c>
      <c r="AB313" s="16" t="s">
        <v>2078</v>
      </c>
      <c r="AC313" s="86">
        <v>43899</v>
      </c>
      <c r="AD313" s="88">
        <v>43930</v>
      </c>
      <c r="AE313" s="33">
        <f t="shared" si="297"/>
        <v>31</v>
      </c>
      <c r="AF313" s="43" t="s">
        <v>2175</v>
      </c>
      <c r="AG313" s="373"/>
      <c r="AH313" s="16"/>
    </row>
    <row r="314" spans="1:34">
      <c r="A314" s="148" t="s">
        <v>2066</v>
      </c>
      <c r="B314" s="81">
        <v>312</v>
      </c>
      <c r="C314" s="81">
        <v>523</v>
      </c>
      <c r="D314" s="82">
        <v>-50</v>
      </c>
      <c r="E314" s="82">
        <v>-25</v>
      </c>
      <c r="F314" s="6">
        <v>4.8499999999999996</v>
      </c>
      <c r="G314" s="82">
        <v>3483</v>
      </c>
      <c r="H314" s="54" t="s">
        <v>329</v>
      </c>
      <c r="I314" s="16" t="s">
        <v>504</v>
      </c>
      <c r="J314" s="330">
        <v>27.2</v>
      </c>
      <c r="K314" s="75">
        <v>4.63</v>
      </c>
      <c r="L314" s="330">
        <v>54.44</v>
      </c>
      <c r="N314" s="325">
        <f t="shared" si="294"/>
        <v>96.44</v>
      </c>
      <c r="S314" s="330">
        <v>10.17</v>
      </c>
      <c r="T314" s="34">
        <v>1.5</v>
      </c>
      <c r="V314" s="97">
        <f t="shared" si="293"/>
        <v>3.1914893617021274E-2</v>
      </c>
      <c r="W314" s="36">
        <v>47</v>
      </c>
      <c r="X314" s="45">
        <v>40</v>
      </c>
      <c r="Y314" s="15">
        <f t="shared" si="295"/>
        <v>7</v>
      </c>
      <c r="Z314" s="64">
        <f t="shared" si="296"/>
        <v>0.17499999999999999</v>
      </c>
      <c r="AA314" s="104" t="s">
        <v>1190</v>
      </c>
      <c r="AB314" s="16" t="s">
        <v>504</v>
      </c>
      <c r="AC314" s="86">
        <v>43895</v>
      </c>
      <c r="AD314" s="88">
        <v>43927</v>
      </c>
      <c r="AE314" s="33">
        <f t="shared" si="297"/>
        <v>32</v>
      </c>
      <c r="AF314" s="43" t="s">
        <v>1588</v>
      </c>
      <c r="AG314" s="373"/>
      <c r="AH314" s="16"/>
    </row>
    <row r="315" spans="1:34">
      <c r="A315" s="132" t="s">
        <v>2062</v>
      </c>
      <c r="B315" s="82">
        <v>-25</v>
      </c>
      <c r="C315" s="81">
        <v>161</v>
      </c>
      <c r="D315" s="82">
        <v>-11</v>
      </c>
      <c r="E315" s="81">
        <v>23</v>
      </c>
      <c r="F315" s="58">
        <v>25.92</v>
      </c>
      <c r="G315" s="82">
        <v>6472</v>
      </c>
      <c r="H315" s="4" t="s">
        <v>328</v>
      </c>
      <c r="I315" s="16" t="s">
        <v>663</v>
      </c>
      <c r="J315" s="75">
        <v>54.13</v>
      </c>
      <c r="K315" s="330">
        <v>8.7200000000000006</v>
      </c>
      <c r="L315" s="330"/>
      <c r="N315" s="325">
        <f t="shared" si="294"/>
        <v>93.54</v>
      </c>
      <c r="S315" s="330">
        <v>30.69</v>
      </c>
      <c r="T315" s="34">
        <v>6</v>
      </c>
      <c r="V315" s="97">
        <f t="shared" si="293"/>
        <v>5.5555555555555552E-2</v>
      </c>
      <c r="W315" s="36">
        <v>108</v>
      </c>
      <c r="X315" s="67">
        <v>120</v>
      </c>
      <c r="Y315" s="15">
        <f t="shared" si="295"/>
        <v>-12</v>
      </c>
      <c r="Z315" s="78">
        <f t="shared" si="296"/>
        <v>-0.1</v>
      </c>
      <c r="AA315" s="104" t="s">
        <v>2074</v>
      </c>
      <c r="AB315" s="16" t="s">
        <v>663</v>
      </c>
      <c r="AC315" s="86">
        <v>43880</v>
      </c>
      <c r="AD315" s="88">
        <v>43909</v>
      </c>
      <c r="AE315" s="33">
        <f t="shared" si="297"/>
        <v>29</v>
      </c>
      <c r="AF315" s="43" t="s">
        <v>1597</v>
      </c>
      <c r="AG315" s="373"/>
      <c r="AH315" s="16"/>
    </row>
    <row r="316" spans="1:34" ht="17.25" customHeight="1">
      <c r="A316" s="148" t="s">
        <v>2063</v>
      </c>
      <c r="B316" s="82">
        <v>-280</v>
      </c>
      <c r="C316" s="82">
        <v>-161</v>
      </c>
      <c r="D316" s="82">
        <v>-53</v>
      </c>
      <c r="E316" s="82">
        <v>-47</v>
      </c>
      <c r="F316" s="6">
        <v>-8.25</v>
      </c>
      <c r="G316" s="82">
        <v>5324</v>
      </c>
      <c r="H316" s="4" t="s">
        <v>931</v>
      </c>
      <c r="I316" s="16" t="s">
        <v>941</v>
      </c>
      <c r="J316" s="75">
        <v>67.95</v>
      </c>
      <c r="K316" s="75">
        <v>9.1199999999999992</v>
      </c>
      <c r="L316" s="330"/>
      <c r="N316" s="325">
        <f t="shared" si="294"/>
        <v>87.95</v>
      </c>
      <c r="S316" s="330">
        <v>10.88</v>
      </c>
      <c r="T316" s="34">
        <v>0</v>
      </c>
      <c r="V316" s="97">
        <f t="shared" si="293"/>
        <v>0</v>
      </c>
      <c r="W316" s="36">
        <v>7.35</v>
      </c>
      <c r="X316" s="67">
        <v>9.5</v>
      </c>
      <c r="Y316" s="15">
        <f t="shared" si="295"/>
        <v>-2.1500000000000004</v>
      </c>
      <c r="Z316" s="78">
        <f t="shared" si="296"/>
        <v>-0.22631578947368425</v>
      </c>
      <c r="AA316" s="141" t="s">
        <v>2198</v>
      </c>
      <c r="AB316" s="16" t="s">
        <v>941</v>
      </c>
      <c r="AC316" s="86">
        <v>43875</v>
      </c>
      <c r="AD316" s="88">
        <v>43906</v>
      </c>
      <c r="AE316" s="33">
        <f t="shared" si="297"/>
        <v>31</v>
      </c>
      <c r="AF316" s="43" t="s">
        <v>1623</v>
      </c>
      <c r="AG316" s="373"/>
      <c r="AH316" s="16"/>
    </row>
    <row r="317" spans="1:34">
      <c r="A317" s="148" t="s">
        <v>1899</v>
      </c>
      <c r="B317" s="82">
        <v>-64</v>
      </c>
      <c r="C317" s="82">
        <v>-64</v>
      </c>
      <c r="D317" s="82">
        <v>-15</v>
      </c>
      <c r="E317" s="82">
        <v>-40</v>
      </c>
      <c r="F317" s="6">
        <v>3.19</v>
      </c>
      <c r="G317" s="82">
        <v>6438</v>
      </c>
      <c r="H317" s="4" t="s">
        <v>334</v>
      </c>
      <c r="I317" s="16" t="s">
        <v>517</v>
      </c>
      <c r="J317" s="330">
        <v>39.4</v>
      </c>
      <c r="K317" s="330">
        <v>16.22</v>
      </c>
      <c r="L317" s="75">
        <v>45.07</v>
      </c>
      <c r="N317" s="325">
        <f t="shared" si="294"/>
        <v>114.91</v>
      </c>
      <c r="S317" s="330">
        <v>14.22</v>
      </c>
      <c r="T317" s="34">
        <v>2.8</v>
      </c>
      <c r="V317" s="97">
        <f t="shared" si="293"/>
        <v>6.0606060606060601E-2</v>
      </c>
      <c r="W317" s="36">
        <v>46.2</v>
      </c>
      <c r="X317" s="45">
        <v>68</v>
      </c>
      <c r="Y317" s="15">
        <f t="shared" si="295"/>
        <v>-21.799999999999997</v>
      </c>
      <c r="Z317" s="78">
        <f t="shared" si="296"/>
        <v>-0.32058823529411762</v>
      </c>
      <c r="AA317" s="104" t="s">
        <v>2073</v>
      </c>
      <c r="AB317" s="16" t="s">
        <v>517</v>
      </c>
      <c r="AC317" s="86">
        <v>43874</v>
      </c>
      <c r="AD317" s="88">
        <v>43903</v>
      </c>
      <c r="AE317" s="33">
        <f t="shared" si="297"/>
        <v>29</v>
      </c>
      <c r="AF317" s="43" t="s">
        <v>1590</v>
      </c>
      <c r="AG317" s="373"/>
      <c r="AH317" s="16"/>
    </row>
    <row r="318" spans="1:34">
      <c r="A318" s="148" t="s">
        <v>1825</v>
      </c>
      <c r="B318" s="82">
        <v>-36</v>
      </c>
      <c r="C318" s="82">
        <v>-36</v>
      </c>
      <c r="D318" s="82"/>
      <c r="E318" s="82"/>
      <c r="F318" s="47">
        <v>-6521</v>
      </c>
      <c r="G318" s="83">
        <v>6547</v>
      </c>
      <c r="H318" s="4" t="s">
        <v>328</v>
      </c>
      <c r="I318" s="16" t="s">
        <v>1154</v>
      </c>
      <c r="J318" s="330">
        <v>50.78</v>
      </c>
      <c r="K318" s="75">
        <v>0.49</v>
      </c>
      <c r="L318" s="330"/>
      <c r="N318" s="325">
        <f t="shared" si="294"/>
        <v>84.550000000000011</v>
      </c>
      <c r="S318" s="330">
        <v>33.28</v>
      </c>
      <c r="T318" s="34">
        <v>0</v>
      </c>
      <c r="V318" s="58">
        <f t="shared" si="293"/>
        <v>0</v>
      </c>
      <c r="W318" s="36">
        <v>52.7</v>
      </c>
      <c r="X318" s="67">
        <v>26</v>
      </c>
      <c r="Y318" s="15">
        <f t="shared" si="295"/>
        <v>26.700000000000003</v>
      </c>
      <c r="Z318" s="176">
        <f t="shared" si="296"/>
        <v>1.026923076923077</v>
      </c>
      <c r="AA318" s="104" t="s">
        <v>2119</v>
      </c>
      <c r="AB318" s="16" t="s">
        <v>1154</v>
      </c>
      <c r="AC318" s="86">
        <v>43865</v>
      </c>
      <c r="AD318" s="88">
        <v>43894</v>
      </c>
      <c r="AE318" s="33">
        <f t="shared" si="297"/>
        <v>29</v>
      </c>
      <c r="AF318" s="43" t="s">
        <v>2207</v>
      </c>
      <c r="AG318" s="373"/>
      <c r="AH318" s="16"/>
    </row>
    <row r="319" spans="1:34">
      <c r="A319" s="148" t="s">
        <v>1923</v>
      </c>
      <c r="B319" s="81">
        <v>13</v>
      </c>
      <c r="C319" s="81">
        <v>6</v>
      </c>
      <c r="D319" s="82">
        <v>-3</v>
      </c>
      <c r="E319" s="82">
        <v>-5</v>
      </c>
      <c r="F319" s="6">
        <v>7.65</v>
      </c>
      <c r="G319" s="83">
        <v>4104</v>
      </c>
      <c r="H319" s="52" t="s">
        <v>328</v>
      </c>
      <c r="I319" s="22" t="s">
        <v>674</v>
      </c>
      <c r="J319" s="330">
        <v>47.62</v>
      </c>
      <c r="K319" s="330">
        <v>6.86</v>
      </c>
      <c r="L319" s="330">
        <v>1.94</v>
      </c>
      <c r="N319" s="325">
        <f t="shared" si="294"/>
        <v>68.58</v>
      </c>
      <c r="S319" s="330">
        <v>12.16</v>
      </c>
      <c r="T319" s="34">
        <v>3</v>
      </c>
      <c r="V319" s="97">
        <f t="shared" si="293"/>
        <v>5.6179775280898875E-2</v>
      </c>
      <c r="W319" s="36">
        <v>53.4</v>
      </c>
      <c r="X319" s="67">
        <v>45</v>
      </c>
      <c r="Y319" s="15">
        <f t="shared" si="295"/>
        <v>8.3999999999999986</v>
      </c>
      <c r="Z319" s="64">
        <f t="shared" si="296"/>
        <v>0.18666666666666665</v>
      </c>
      <c r="AA319" s="104" t="s">
        <v>2072</v>
      </c>
      <c r="AB319" s="22" t="s">
        <v>674</v>
      </c>
      <c r="AC319" s="86">
        <v>43850</v>
      </c>
      <c r="AD319" s="88">
        <v>43881</v>
      </c>
      <c r="AE319" s="33">
        <f t="shared" si="297"/>
        <v>31</v>
      </c>
      <c r="AF319" s="43" t="s">
        <v>1593</v>
      </c>
      <c r="AG319" s="373"/>
      <c r="AH319" s="22"/>
    </row>
    <row r="320" spans="1:34" ht="17.25" customHeight="1">
      <c r="A320" s="132" t="s">
        <v>1912</v>
      </c>
      <c r="B320" s="81">
        <v>63</v>
      </c>
      <c r="C320" s="81">
        <v>90</v>
      </c>
      <c r="D320" s="82">
        <v>-13</v>
      </c>
      <c r="E320" s="82">
        <v>-1</v>
      </c>
      <c r="F320" s="58">
        <v>27.51</v>
      </c>
      <c r="G320" s="81">
        <v>5278</v>
      </c>
      <c r="H320" s="4" t="s">
        <v>356</v>
      </c>
      <c r="I320" s="16" t="s">
        <v>1091</v>
      </c>
      <c r="J320" s="330">
        <v>44.5</v>
      </c>
      <c r="K320" s="75">
        <v>43.15</v>
      </c>
      <c r="L320" s="330"/>
      <c r="N320" s="325">
        <f t="shared" si="294"/>
        <v>130.51999999999998</v>
      </c>
      <c r="S320" s="330">
        <v>42.87</v>
      </c>
      <c r="T320" s="34">
        <v>5</v>
      </c>
      <c r="V320" s="58">
        <f t="shared" si="293"/>
        <v>3.2258064516129031E-2</v>
      </c>
      <c r="W320" s="13">
        <v>155</v>
      </c>
      <c r="X320" s="67">
        <v>106</v>
      </c>
      <c r="Y320" s="15">
        <f t="shared" si="295"/>
        <v>49</v>
      </c>
      <c r="Z320" s="64">
        <f t="shared" si="296"/>
        <v>0.46226415094339623</v>
      </c>
      <c r="AA320" s="104" t="s">
        <v>2071</v>
      </c>
      <c r="AB320" s="16" t="s">
        <v>1091</v>
      </c>
      <c r="AC320" s="86">
        <v>43850</v>
      </c>
      <c r="AD320" s="88">
        <v>43881</v>
      </c>
      <c r="AE320" s="33">
        <f t="shared" si="297"/>
        <v>31</v>
      </c>
      <c r="AF320" s="43" t="s">
        <v>1627</v>
      </c>
      <c r="AG320" s="373"/>
      <c r="AH320" s="16"/>
    </row>
    <row r="321" spans="1:34">
      <c r="A321" s="148" t="s">
        <v>2032</v>
      </c>
      <c r="B321" s="95">
        <v>3719</v>
      </c>
      <c r="C321" s="81">
        <v>367</v>
      </c>
      <c r="D321" s="82">
        <v>-25</v>
      </c>
      <c r="E321" s="82">
        <v>-41</v>
      </c>
      <c r="F321" s="6">
        <v>3.87</v>
      </c>
      <c r="G321" s="81">
        <v>1598</v>
      </c>
      <c r="H321" s="52" t="s">
        <v>328</v>
      </c>
      <c r="I321" s="22" t="s">
        <v>672</v>
      </c>
      <c r="J321" s="75">
        <v>77.87</v>
      </c>
      <c r="K321" s="330">
        <v>0.78</v>
      </c>
      <c r="L321" s="75">
        <v>49.99</v>
      </c>
      <c r="N321" s="325">
        <f t="shared" si="294"/>
        <v>158.43</v>
      </c>
      <c r="S321" s="330">
        <v>29.79</v>
      </c>
      <c r="T321" s="34">
        <v>0.7</v>
      </c>
      <c r="V321" s="97">
        <f t="shared" si="293"/>
        <v>1.8494055482166444E-2</v>
      </c>
      <c r="W321" s="13">
        <v>37.85</v>
      </c>
      <c r="X321" s="45">
        <v>39</v>
      </c>
      <c r="Y321" s="15">
        <f t="shared" si="295"/>
        <v>-1.1499999999999986</v>
      </c>
      <c r="Z321" s="78">
        <f t="shared" si="296"/>
        <v>-2.9487179487179452E-2</v>
      </c>
      <c r="AA321" s="141" t="s">
        <v>2136</v>
      </c>
      <c r="AB321" s="22" t="s">
        <v>672</v>
      </c>
      <c r="AC321" s="86">
        <v>43846</v>
      </c>
      <c r="AD321" s="88">
        <v>43878</v>
      </c>
      <c r="AE321" s="33">
        <f t="shared" si="297"/>
        <v>32</v>
      </c>
      <c r="AF321" s="43" t="s">
        <v>2033</v>
      </c>
      <c r="AG321" s="373"/>
      <c r="AH321" s="22"/>
    </row>
    <row r="322" spans="1:34" ht="17.25" customHeight="1">
      <c r="A322" s="148" t="s">
        <v>1632</v>
      </c>
      <c r="B322" s="81">
        <v>50</v>
      </c>
      <c r="C322" s="81">
        <v>68</v>
      </c>
      <c r="D322" s="82">
        <v>-17</v>
      </c>
      <c r="E322" s="81">
        <v>10</v>
      </c>
      <c r="F322" s="6">
        <v>4.5199999999999996</v>
      </c>
      <c r="G322" s="83">
        <v>2643</v>
      </c>
      <c r="H322" s="4" t="s">
        <v>320</v>
      </c>
      <c r="I322" s="16" t="s">
        <v>916</v>
      </c>
      <c r="J322" s="75">
        <v>67.03</v>
      </c>
      <c r="K322" s="75">
        <v>0.75</v>
      </c>
      <c r="L322" s="330"/>
      <c r="N322" s="325">
        <f t="shared" si="294"/>
        <v>116.94</v>
      </c>
      <c r="S322" s="330">
        <v>49.16</v>
      </c>
      <c r="T322" s="34">
        <v>2</v>
      </c>
      <c r="V322" s="58">
        <f t="shared" ref="V322:V325" si="298">T322/W322</f>
        <v>5.3475935828877004E-2</v>
      </c>
      <c r="W322" s="36">
        <v>37.4</v>
      </c>
      <c r="X322" s="67">
        <v>35</v>
      </c>
      <c r="Y322" s="15">
        <f t="shared" si="295"/>
        <v>2.3999999999999986</v>
      </c>
      <c r="Z322" s="64">
        <f t="shared" si="296"/>
        <v>6.8571428571428533E-2</v>
      </c>
      <c r="AA322" s="104" t="s">
        <v>2070</v>
      </c>
      <c r="AB322" s="16" t="s">
        <v>916</v>
      </c>
      <c r="AC322" s="86">
        <v>43846</v>
      </c>
      <c r="AD322" s="88">
        <v>43878</v>
      </c>
      <c r="AE322" s="33">
        <f t="shared" si="297"/>
        <v>32</v>
      </c>
      <c r="AF322" s="43" t="s">
        <v>1613</v>
      </c>
      <c r="AG322" s="373"/>
      <c r="AH322" s="16"/>
    </row>
    <row r="323" spans="1:34">
      <c r="A323" s="148" t="s">
        <v>2037</v>
      </c>
      <c r="B323" s="81">
        <v>5</v>
      </c>
      <c r="C323" s="81">
        <v>3</v>
      </c>
      <c r="D323" s="81">
        <v>32</v>
      </c>
      <c r="E323" s="82">
        <v>69</v>
      </c>
      <c r="F323" s="112">
        <v>-4580</v>
      </c>
      <c r="G323" s="81">
        <v>4168</v>
      </c>
      <c r="H323" s="52" t="s">
        <v>328</v>
      </c>
      <c r="I323" s="16" t="s">
        <v>655</v>
      </c>
      <c r="J323" s="75">
        <v>35.770000000000003</v>
      </c>
      <c r="K323" s="75">
        <v>6.47</v>
      </c>
      <c r="L323" s="330"/>
      <c r="N323" s="325">
        <f t="shared" si="294"/>
        <v>54.050000000000004</v>
      </c>
      <c r="S323" s="330">
        <v>11.81</v>
      </c>
      <c r="T323" s="34">
        <v>0</v>
      </c>
      <c r="V323" s="97">
        <f t="shared" si="298"/>
        <v>0</v>
      </c>
      <c r="W323" s="36">
        <v>19.600000000000001</v>
      </c>
      <c r="X323" s="67">
        <v>20</v>
      </c>
      <c r="Y323" s="15">
        <f t="shared" si="295"/>
        <v>-0.39999999999999858</v>
      </c>
      <c r="Z323" s="78">
        <f t="shared" si="296"/>
        <v>-1.9999999999999928E-2</v>
      </c>
      <c r="AA323" s="141" t="s">
        <v>2069</v>
      </c>
      <c r="AB323" s="16" t="s">
        <v>655</v>
      </c>
      <c r="AC323" s="86">
        <v>43846</v>
      </c>
      <c r="AD323" s="88">
        <v>43878</v>
      </c>
      <c r="AE323" s="33">
        <f t="shared" si="297"/>
        <v>32</v>
      </c>
      <c r="AF323" s="43" t="s">
        <v>1515</v>
      </c>
      <c r="AG323" s="373"/>
      <c r="AH323" s="16"/>
    </row>
    <row r="324" spans="1:34">
      <c r="A324" s="148" t="s">
        <v>1800</v>
      </c>
      <c r="B324" s="81">
        <v>248</v>
      </c>
      <c r="C324" s="81">
        <v>276</v>
      </c>
      <c r="D324" s="81">
        <v>7</v>
      </c>
      <c r="E324" s="81">
        <v>16</v>
      </c>
      <c r="F324" s="6">
        <v>9.15</v>
      </c>
      <c r="G324" s="83">
        <v>3680</v>
      </c>
      <c r="H324" s="54" t="s">
        <v>326</v>
      </c>
      <c r="I324" s="16" t="s">
        <v>395</v>
      </c>
      <c r="J324" s="330">
        <v>59.01</v>
      </c>
      <c r="K324" s="330">
        <v>5.21</v>
      </c>
      <c r="L324" s="330">
        <v>18.37</v>
      </c>
      <c r="N324" s="325">
        <f t="shared" si="294"/>
        <v>106.15</v>
      </c>
      <c r="S324" s="330">
        <v>23.56</v>
      </c>
      <c r="T324" s="34">
        <v>0.25</v>
      </c>
      <c r="V324" s="97">
        <f t="shared" si="298"/>
        <v>1.4792899408284023E-3</v>
      </c>
      <c r="W324" s="36">
        <v>169</v>
      </c>
      <c r="X324" s="67">
        <v>110</v>
      </c>
      <c r="Y324" s="15">
        <f t="shared" si="295"/>
        <v>59</v>
      </c>
      <c r="Z324" s="64">
        <f t="shared" si="296"/>
        <v>0.53636363636363638</v>
      </c>
      <c r="AA324" s="102" t="s">
        <v>2068</v>
      </c>
      <c r="AB324" s="16" t="s">
        <v>395</v>
      </c>
      <c r="AC324" s="86">
        <v>43838</v>
      </c>
      <c r="AD324" s="88">
        <v>43871</v>
      </c>
      <c r="AE324" s="33">
        <f t="shared" si="297"/>
        <v>33</v>
      </c>
      <c r="AF324" s="43" t="s">
        <v>1949</v>
      </c>
      <c r="AG324" s="373"/>
      <c r="AH324" s="16"/>
    </row>
    <row r="325" spans="1:34">
      <c r="A325" s="132" t="s">
        <v>2022</v>
      </c>
      <c r="B325" s="81">
        <v>39</v>
      </c>
      <c r="C325" s="81">
        <v>28</v>
      </c>
      <c r="D325" s="82">
        <v>-4</v>
      </c>
      <c r="E325" s="81">
        <v>12</v>
      </c>
      <c r="F325" s="58">
        <v>16.62</v>
      </c>
      <c r="G325" s="81">
        <v>4580</v>
      </c>
      <c r="H325" s="4" t="s">
        <v>313</v>
      </c>
      <c r="I325" s="16" t="s">
        <v>2023</v>
      </c>
      <c r="J325" s="330">
        <v>60.62</v>
      </c>
      <c r="K325" s="75">
        <v>0.37</v>
      </c>
      <c r="L325" s="330"/>
      <c r="N325" s="325">
        <f t="shared" si="294"/>
        <v>74.209999999999994</v>
      </c>
      <c r="S325" s="330">
        <v>13.22</v>
      </c>
      <c r="T325" s="34">
        <v>3.2</v>
      </c>
      <c r="V325" s="97">
        <f t="shared" si="298"/>
        <v>3.2128514056224904E-2</v>
      </c>
      <c r="W325" s="36">
        <v>99.6</v>
      </c>
      <c r="X325" s="67">
        <v>78</v>
      </c>
      <c r="Y325" s="15">
        <f t="shared" si="295"/>
        <v>21.599999999999994</v>
      </c>
      <c r="Z325" s="64">
        <f t="shared" si="296"/>
        <v>0.27692307692307683</v>
      </c>
      <c r="AA325" s="102" t="s">
        <v>2067</v>
      </c>
      <c r="AB325" s="16" t="s">
        <v>2023</v>
      </c>
      <c r="AC325" s="86">
        <v>43836</v>
      </c>
      <c r="AD325" s="88">
        <v>43867</v>
      </c>
      <c r="AE325" s="33">
        <f t="shared" si="297"/>
        <v>31</v>
      </c>
      <c r="AF325" s="124" t="s">
        <v>2024</v>
      </c>
      <c r="AG325" s="373"/>
      <c r="AH325" s="16"/>
    </row>
    <row r="326" spans="1:34">
      <c r="A326" s="148"/>
      <c r="B326" s="81"/>
      <c r="C326" s="95"/>
      <c r="D326" s="81"/>
      <c r="E326" s="95"/>
      <c r="F326" s="6"/>
      <c r="H326" s="53"/>
      <c r="I326" s="16"/>
      <c r="J326" s="75"/>
      <c r="K326" s="75"/>
      <c r="L326" s="330"/>
      <c r="N326" s="325"/>
      <c r="T326" s="34"/>
      <c r="V326" s="58"/>
      <c r="W326" s="36"/>
      <c r="X326" s="45"/>
      <c r="Y326" s="15"/>
      <c r="Z326" s="78"/>
      <c r="AA326" s="103"/>
      <c r="AB326" s="16"/>
      <c r="AE326" s="33"/>
      <c r="AF326" s="271"/>
      <c r="AG326" s="373"/>
      <c r="AH326" s="16"/>
    </row>
    <row r="327" spans="1:34">
      <c r="A327" s="148"/>
      <c r="B327" s="81"/>
      <c r="C327" s="81"/>
      <c r="D327" s="81"/>
      <c r="E327" s="81"/>
      <c r="F327" s="6"/>
      <c r="H327" s="4"/>
      <c r="I327" s="22"/>
      <c r="J327" s="75"/>
      <c r="K327" s="75"/>
      <c r="L327" s="330"/>
      <c r="N327" s="325"/>
      <c r="T327" s="34"/>
      <c r="V327" s="97"/>
      <c r="W327" s="36"/>
      <c r="X327" s="45"/>
      <c r="Y327" s="15"/>
      <c r="Z327" s="64"/>
      <c r="AA327" s="104"/>
      <c r="AB327" s="22"/>
      <c r="AE327" s="33"/>
      <c r="AF327" s="271"/>
      <c r="AG327" s="373"/>
      <c r="AH327" s="22"/>
    </row>
    <row r="328" spans="1:34" ht="17.25" customHeight="1">
      <c r="B328" s="81"/>
      <c r="C328" s="81"/>
      <c r="D328" s="81"/>
      <c r="E328" s="82"/>
      <c r="F328" s="58"/>
      <c r="H328" s="4"/>
      <c r="I328" s="22"/>
      <c r="J328" s="75"/>
      <c r="K328" s="75"/>
      <c r="N328" s="325"/>
      <c r="T328" s="34"/>
      <c r="V328" s="97"/>
      <c r="W328" s="36"/>
      <c r="X328" s="67"/>
      <c r="Y328" s="15"/>
      <c r="Z328" s="78"/>
      <c r="AA328" s="141"/>
      <c r="AB328" s="22"/>
      <c r="AE328" s="33"/>
      <c r="AF328" s="271"/>
      <c r="AG328" s="373"/>
      <c r="AH328" s="22"/>
    </row>
    <row r="329" spans="1:34" ht="17.25" customHeight="1">
      <c r="B329" s="81"/>
      <c r="C329" s="81"/>
      <c r="D329" s="81"/>
      <c r="E329" s="82"/>
      <c r="F329" s="58"/>
      <c r="H329" s="4"/>
      <c r="I329" s="22"/>
      <c r="J329" s="75"/>
      <c r="K329" s="75"/>
      <c r="N329" s="325"/>
      <c r="T329" s="34"/>
      <c r="V329" s="97"/>
      <c r="W329" s="36"/>
      <c r="X329" s="67"/>
      <c r="Y329" s="15"/>
      <c r="Z329" s="78"/>
      <c r="AA329" s="141"/>
      <c r="AB329" s="22"/>
      <c r="AE329" s="33"/>
      <c r="AF329" s="271"/>
      <c r="AH329" s="22"/>
    </row>
    <row r="330" spans="1:34">
      <c r="A330" s="148"/>
      <c r="B330" s="82"/>
      <c r="C330" s="82"/>
      <c r="D330" s="82"/>
      <c r="E330" s="81"/>
      <c r="F330" s="6"/>
      <c r="H330" s="4"/>
      <c r="I330" s="16"/>
      <c r="J330" s="75"/>
      <c r="K330" s="330"/>
      <c r="N330" s="325"/>
      <c r="T330" s="34"/>
      <c r="V330" s="58"/>
      <c r="W330" s="13"/>
      <c r="X330" s="67"/>
      <c r="Y330" s="15"/>
      <c r="Z330" s="64"/>
      <c r="AA330" s="104"/>
      <c r="AB330" s="16"/>
      <c r="AE330" s="33"/>
      <c r="AF330" s="271"/>
      <c r="AH330" s="16"/>
    </row>
    <row r="331" spans="1:34">
      <c r="A331" s="148"/>
      <c r="B331" s="81"/>
      <c r="C331" s="81"/>
      <c r="D331" s="82"/>
      <c r="E331" s="81"/>
      <c r="F331" s="6"/>
      <c r="H331" s="54"/>
      <c r="I331" s="16"/>
      <c r="J331" s="75"/>
      <c r="K331" s="75"/>
      <c r="N331" s="325"/>
      <c r="T331" s="34"/>
      <c r="V331" s="97"/>
      <c r="W331" s="36"/>
      <c r="X331" s="67"/>
      <c r="Y331" s="15"/>
      <c r="Z331" s="64"/>
      <c r="AA331" s="102"/>
      <c r="AB331" s="16"/>
      <c r="AE331" s="33"/>
      <c r="AF331" s="271"/>
      <c r="AH331" s="16"/>
    </row>
    <row r="332" spans="1:34">
      <c r="B332" s="82"/>
      <c r="C332" s="82"/>
      <c r="D332" s="81"/>
      <c r="E332" s="82"/>
      <c r="F332" s="58"/>
      <c r="H332" s="4"/>
      <c r="I332" s="22"/>
      <c r="J332" s="330"/>
      <c r="K332" s="75"/>
      <c r="L332" s="330"/>
      <c r="N332" s="325"/>
      <c r="T332" s="34"/>
      <c r="V332" s="97"/>
      <c r="W332" s="36"/>
      <c r="X332" s="67"/>
      <c r="Y332" s="15"/>
      <c r="Z332" s="64"/>
      <c r="AA332" s="104"/>
      <c r="AB332" s="22"/>
      <c r="AE332" s="33"/>
      <c r="AF332" s="271"/>
      <c r="AH332" s="22"/>
    </row>
    <row r="333" spans="1:34">
      <c r="A333" s="148"/>
      <c r="B333" s="81"/>
      <c r="C333" s="81"/>
      <c r="D333" s="82"/>
      <c r="E333" s="81"/>
      <c r="F333" s="6"/>
      <c r="H333" s="4"/>
      <c r="I333" s="22"/>
      <c r="J333" s="75"/>
      <c r="K333" s="75"/>
      <c r="N333" s="325"/>
      <c r="T333" s="34"/>
      <c r="V333" s="97"/>
      <c r="W333" s="36"/>
      <c r="X333" s="67"/>
      <c r="Y333" s="15"/>
      <c r="Z333" s="78"/>
      <c r="AA333" s="103"/>
      <c r="AB333" s="22"/>
      <c r="AE333" s="33"/>
      <c r="AF333" s="271"/>
      <c r="AH333" s="22"/>
    </row>
    <row r="334" spans="1:34">
      <c r="A334" s="148"/>
      <c r="B334" s="82"/>
      <c r="C334" s="81"/>
      <c r="D334" s="82"/>
      <c r="E334" s="82"/>
      <c r="F334" s="6"/>
      <c r="H334" s="49"/>
      <c r="I334" s="22"/>
      <c r="J334" s="330"/>
      <c r="K334" s="330"/>
      <c r="N334" s="325"/>
      <c r="T334" s="34"/>
      <c r="V334" s="97"/>
      <c r="W334" s="36"/>
      <c r="X334" s="67"/>
      <c r="Y334" s="15"/>
      <c r="Z334" s="78"/>
      <c r="AA334" s="141"/>
      <c r="AB334" s="22"/>
      <c r="AE334" s="33"/>
      <c r="AH334" s="22"/>
    </row>
    <row r="335" spans="1:34">
      <c r="A335" s="148"/>
      <c r="B335" s="82"/>
      <c r="C335" s="82"/>
      <c r="D335" s="82"/>
      <c r="E335" s="81"/>
      <c r="F335" s="6"/>
      <c r="H335" s="4"/>
      <c r="I335" s="22"/>
      <c r="J335" s="75"/>
      <c r="K335" s="75"/>
      <c r="N335" s="325"/>
      <c r="T335" s="34"/>
      <c r="V335" s="58"/>
      <c r="W335" s="36"/>
      <c r="X335" s="67"/>
      <c r="Y335" s="15"/>
      <c r="Z335" s="3"/>
      <c r="AA335" s="104"/>
      <c r="AB335" s="22"/>
      <c r="AE335" s="33"/>
      <c r="AH335" s="22"/>
    </row>
    <row r="1291" spans="15:17">
      <c r="O1291" s="386"/>
      <c r="P1291" s="356"/>
      <c r="Q1291" s="380"/>
    </row>
    <row r="1301" spans="15:17">
      <c r="O1301" s="386"/>
      <c r="P1301" s="356"/>
      <c r="Q1301" s="380"/>
    </row>
    <row r="1305" spans="15:17">
      <c r="O1305" s="386"/>
      <c r="P1305" s="356"/>
      <c r="Q1305" s="380"/>
    </row>
    <row r="1310" spans="15:17">
      <c r="O1310" s="386"/>
      <c r="P1310" s="356"/>
      <c r="Q1310" s="380"/>
    </row>
    <row r="1311" spans="15:17">
      <c r="O1311" s="386"/>
      <c r="P1311" s="356"/>
      <c r="Q1311" s="380"/>
    </row>
    <row r="1312" spans="15:17">
      <c r="O1312" s="386"/>
      <c r="P1312" s="356"/>
      <c r="Q1312" s="380"/>
    </row>
    <row r="1314" spans="15:17">
      <c r="O1314" s="386"/>
      <c r="P1314" s="356"/>
      <c r="Q1314" s="380"/>
    </row>
    <row r="1315" spans="15:17">
      <c r="O1315" s="386"/>
      <c r="P1315" s="356"/>
      <c r="Q1315" s="380"/>
    </row>
    <row r="1317" spans="15:17">
      <c r="O1317" s="386"/>
      <c r="P1317" s="356"/>
      <c r="Q1317" s="380"/>
    </row>
    <row r="1319" spans="15:17">
      <c r="O1319" s="386"/>
      <c r="P1319" s="356"/>
      <c r="Q1319" s="380"/>
    </row>
    <row r="1320" spans="15:17">
      <c r="O1320" s="386"/>
      <c r="P1320" s="356"/>
      <c r="Q1320" s="380"/>
    </row>
    <row r="1321" spans="15:17">
      <c r="O1321" s="386"/>
      <c r="P1321" s="356"/>
      <c r="Q1321" s="380"/>
    </row>
    <row r="1322" spans="15:17">
      <c r="O1322" s="386"/>
      <c r="P1322" s="356"/>
      <c r="Q1322" s="380"/>
    </row>
    <row r="1323" spans="15:17">
      <c r="O1323" s="386"/>
      <c r="P1323" s="356"/>
      <c r="Q1323" s="380"/>
    </row>
    <row r="1324" spans="15:17">
      <c r="O1324" s="386"/>
      <c r="P1324" s="356"/>
      <c r="Q1324" s="380"/>
    </row>
    <row r="1325" spans="15:17">
      <c r="O1325" s="386"/>
      <c r="P1325" s="356"/>
      <c r="Q1325" s="380"/>
    </row>
    <row r="1326" spans="15:17">
      <c r="O1326" s="386"/>
      <c r="P1326" s="356"/>
      <c r="Q1326" s="380"/>
    </row>
    <row r="1335" spans="15:17">
      <c r="O1335" s="386"/>
      <c r="P1335" s="356"/>
      <c r="Q1335" s="380"/>
    </row>
    <row r="1336" spans="15:17">
      <c r="O1336" s="386"/>
      <c r="P1336" s="356"/>
      <c r="Q1336" s="380"/>
    </row>
    <row r="1337" spans="15:17">
      <c r="O1337" s="386"/>
      <c r="P1337" s="356"/>
      <c r="Q1337" s="380"/>
    </row>
    <row r="1339" spans="15:17">
      <c r="O1339" s="386"/>
      <c r="P1339" s="356"/>
      <c r="Q1339" s="380"/>
    </row>
    <row r="1340" spans="15:17">
      <c r="O1340" s="386"/>
      <c r="P1340" s="356"/>
      <c r="Q1340" s="380"/>
    </row>
    <row r="1341" spans="15:17">
      <c r="O1341" s="386"/>
      <c r="P1341" s="356"/>
      <c r="Q1341" s="380"/>
    </row>
    <row r="1342" spans="15:17">
      <c r="O1342" s="386"/>
      <c r="P1342" s="356"/>
      <c r="Q1342" s="380"/>
    </row>
    <row r="1468" spans="15:17">
      <c r="O1468" s="386"/>
      <c r="P1468" s="356"/>
      <c r="Q1468" s="380"/>
    </row>
    <row r="1478" spans="15:17">
      <c r="O1478" s="386"/>
      <c r="P1478" s="356"/>
      <c r="Q1478" s="380"/>
    </row>
    <row r="1482" spans="15:17">
      <c r="O1482" s="386"/>
      <c r="P1482" s="356"/>
      <c r="Q1482" s="380"/>
    </row>
    <row r="1487" spans="15:17">
      <c r="O1487" s="386"/>
      <c r="P1487" s="356"/>
      <c r="Q1487" s="380"/>
    </row>
    <row r="1488" spans="15:17">
      <c r="O1488" s="386"/>
      <c r="P1488" s="356"/>
      <c r="Q1488" s="380"/>
    </row>
    <row r="1489" spans="15:17">
      <c r="O1489" s="386"/>
      <c r="P1489" s="356"/>
      <c r="Q1489" s="380"/>
    </row>
    <row r="1491" spans="15:17">
      <c r="O1491" s="386"/>
      <c r="P1491" s="356"/>
      <c r="Q1491" s="380"/>
    </row>
    <row r="1492" spans="15:17">
      <c r="O1492" s="386"/>
      <c r="P1492" s="356"/>
      <c r="Q1492" s="380"/>
    </row>
    <row r="1494" spans="15:17">
      <c r="O1494" s="386"/>
      <c r="P1494" s="356"/>
      <c r="Q1494" s="380"/>
    </row>
    <row r="1496" spans="15:17">
      <c r="O1496" s="386"/>
      <c r="P1496" s="356"/>
      <c r="Q1496" s="380"/>
    </row>
    <row r="1497" spans="15:17">
      <c r="O1497" s="386"/>
      <c r="P1497" s="356"/>
      <c r="Q1497" s="380"/>
    </row>
    <row r="1498" spans="15:17">
      <c r="O1498" s="386"/>
      <c r="P1498" s="356"/>
      <c r="Q1498" s="380"/>
    </row>
    <row r="1499" spans="15:17">
      <c r="O1499" s="386"/>
      <c r="P1499" s="356"/>
      <c r="Q1499" s="380"/>
    </row>
    <row r="1500" spans="15:17">
      <c r="O1500" s="386"/>
      <c r="P1500" s="356"/>
      <c r="Q1500" s="380"/>
    </row>
    <row r="1501" spans="15:17">
      <c r="O1501" s="386"/>
      <c r="P1501" s="356"/>
      <c r="Q1501" s="380"/>
    </row>
    <row r="1502" spans="15:17">
      <c r="O1502" s="386"/>
      <c r="P1502" s="356"/>
      <c r="Q1502" s="380"/>
    </row>
    <row r="1503" spans="15:17">
      <c r="O1503" s="386"/>
      <c r="P1503" s="356"/>
      <c r="Q1503" s="380"/>
    </row>
    <row r="1504" spans="15:17">
      <c r="O1504" s="386"/>
      <c r="P1504" s="356"/>
      <c r="Q1504" s="380"/>
    </row>
    <row r="1505" spans="15:17">
      <c r="O1505" s="386"/>
      <c r="P1505" s="356"/>
      <c r="Q1505" s="380"/>
    </row>
    <row r="1507" spans="15:17">
      <c r="O1507" s="386"/>
      <c r="P1507" s="356"/>
      <c r="Q1507" s="380"/>
    </row>
    <row r="1508" spans="15:17">
      <c r="O1508" s="386"/>
      <c r="P1508" s="356"/>
      <c r="Q1508" s="380"/>
    </row>
    <row r="1509" spans="15:17">
      <c r="O1509" s="386"/>
      <c r="P1509" s="356"/>
      <c r="Q1509" s="380"/>
    </row>
    <row r="1510" spans="15:17">
      <c r="O1510" s="386"/>
      <c r="P1510" s="356"/>
      <c r="Q1510" s="380"/>
    </row>
    <row r="1511" spans="15:17">
      <c r="O1511" s="386"/>
      <c r="P1511" s="356"/>
      <c r="Q1511" s="380"/>
    </row>
    <row r="1512" spans="15:17">
      <c r="O1512" s="386"/>
      <c r="P1512" s="356"/>
      <c r="Q1512" s="380"/>
    </row>
    <row r="1513" spans="15:17">
      <c r="O1513" s="386"/>
      <c r="P1513" s="356"/>
      <c r="Q1513" s="380"/>
    </row>
    <row r="1514" spans="15:17">
      <c r="O1514" s="386"/>
      <c r="P1514" s="356"/>
      <c r="Q1514" s="380"/>
    </row>
    <row r="1516" spans="15:17">
      <c r="O1516" s="386"/>
      <c r="P1516" s="356"/>
      <c r="Q1516" s="380"/>
    </row>
    <row r="1517" spans="15:17">
      <c r="O1517" s="386"/>
      <c r="P1517" s="356"/>
      <c r="Q1517" s="380"/>
    </row>
    <row r="1518" spans="15:17">
      <c r="O1518" s="386"/>
      <c r="P1518" s="356"/>
      <c r="Q1518" s="380"/>
    </row>
    <row r="1519" spans="15:17">
      <c r="O1519" s="386"/>
      <c r="P1519" s="356"/>
      <c r="Q1519" s="380"/>
    </row>
    <row r="1520" spans="15:17">
      <c r="O1520" s="386"/>
      <c r="P1520" s="356"/>
      <c r="Q1520" s="380"/>
    </row>
    <row r="1521" spans="15:17">
      <c r="O1521" s="386"/>
      <c r="P1521" s="356"/>
      <c r="Q1521" s="380"/>
    </row>
    <row r="1522" spans="15:17">
      <c r="O1522" s="386"/>
      <c r="P1522" s="356"/>
      <c r="Q1522" s="380"/>
    </row>
    <row r="1523" spans="15:17">
      <c r="O1523" s="386"/>
      <c r="P1523" s="356"/>
      <c r="Q1523" s="380"/>
    </row>
    <row r="1524" spans="15:17">
      <c r="O1524" s="386"/>
      <c r="P1524" s="356"/>
      <c r="Q1524" s="380"/>
    </row>
    <row r="1525" spans="15:17">
      <c r="O1525" s="386"/>
      <c r="P1525" s="356"/>
      <c r="Q1525" s="380"/>
    </row>
    <row r="1526" spans="15:17">
      <c r="O1526" s="386"/>
      <c r="P1526" s="356"/>
      <c r="Q1526" s="380"/>
    </row>
    <row r="1528" spans="15:17">
      <c r="O1528" s="386"/>
      <c r="P1528" s="356"/>
      <c r="Q1528" s="380"/>
    </row>
    <row r="1529" spans="15:17">
      <c r="O1529" s="386"/>
      <c r="P1529" s="356"/>
      <c r="Q1529" s="380"/>
    </row>
    <row r="1530" spans="15:17">
      <c r="O1530" s="386"/>
      <c r="P1530" s="356"/>
      <c r="Q1530" s="380"/>
    </row>
    <row r="1531" spans="15:17">
      <c r="O1531" s="386"/>
      <c r="P1531" s="356"/>
      <c r="Q1531" s="380"/>
    </row>
    <row r="1532" spans="15:17">
      <c r="O1532" s="386"/>
      <c r="P1532" s="356"/>
      <c r="Q1532" s="380"/>
    </row>
    <row r="1533" spans="15:17">
      <c r="O1533" s="386"/>
      <c r="P1533" s="356"/>
      <c r="Q1533" s="380"/>
    </row>
    <row r="1534" spans="15:17">
      <c r="O1534" s="386"/>
      <c r="P1534" s="356"/>
      <c r="Q1534" s="380"/>
    </row>
    <row r="1535" spans="15:17">
      <c r="O1535" s="386"/>
      <c r="P1535" s="356"/>
      <c r="Q1535" s="380"/>
    </row>
    <row r="1537" spans="15:17">
      <c r="O1537" s="386"/>
      <c r="P1537" s="356"/>
      <c r="Q1537" s="380"/>
    </row>
    <row r="1538" spans="15:17">
      <c r="O1538" s="386"/>
      <c r="P1538" s="356"/>
      <c r="Q1538" s="380"/>
    </row>
    <row r="1539" spans="15:17">
      <c r="O1539" s="386"/>
      <c r="P1539" s="356"/>
      <c r="Q1539" s="380"/>
    </row>
    <row r="1540" spans="15:17">
      <c r="O1540" s="386"/>
      <c r="P1540" s="356"/>
      <c r="Q1540" s="380"/>
    </row>
    <row r="1541" spans="15:17">
      <c r="O1541" s="386"/>
      <c r="P1541" s="356"/>
      <c r="Q1541" s="380"/>
    </row>
    <row r="1542" spans="15:17">
      <c r="O1542" s="386"/>
      <c r="P1542" s="356"/>
      <c r="Q1542" s="380"/>
    </row>
    <row r="1543" spans="15:17">
      <c r="O1543" s="386"/>
      <c r="P1543" s="356"/>
      <c r="Q1543" s="380"/>
    </row>
    <row r="1544" spans="15:17">
      <c r="O1544" s="386"/>
      <c r="P1544" s="356"/>
      <c r="Q1544" s="380"/>
    </row>
    <row r="1545" spans="15:17">
      <c r="O1545" s="386"/>
      <c r="P1545" s="356"/>
      <c r="Q1545" s="380"/>
    </row>
    <row r="1546" spans="15:17">
      <c r="O1546" s="386"/>
      <c r="P1546" s="356"/>
      <c r="Q1546" s="380"/>
    </row>
    <row r="1547" spans="15:17">
      <c r="O1547" s="386"/>
      <c r="P1547" s="356"/>
      <c r="Q1547" s="380"/>
    </row>
    <row r="1548" spans="15:17">
      <c r="O1548" s="386"/>
      <c r="P1548" s="356"/>
      <c r="Q1548" s="380"/>
    </row>
    <row r="1549" spans="15:17">
      <c r="O1549" s="386"/>
      <c r="P1549" s="356"/>
      <c r="Q1549" s="380"/>
    </row>
    <row r="1550" spans="15:17">
      <c r="O1550" s="386"/>
      <c r="P1550" s="356"/>
      <c r="Q1550" s="380"/>
    </row>
    <row r="1551" spans="15:17">
      <c r="O1551" s="386"/>
      <c r="P1551" s="356"/>
      <c r="Q1551" s="380"/>
    </row>
    <row r="1552" spans="15:17">
      <c r="O1552" s="386"/>
      <c r="P1552" s="356"/>
      <c r="Q1552" s="380"/>
    </row>
    <row r="1553" spans="15:17">
      <c r="O1553" s="386"/>
      <c r="P1553" s="356"/>
      <c r="Q1553" s="380"/>
    </row>
    <row r="1554" spans="15:17">
      <c r="O1554" s="386"/>
      <c r="P1554" s="356"/>
      <c r="Q1554" s="380"/>
    </row>
    <row r="1555" spans="15:17">
      <c r="O1555" s="386"/>
      <c r="P1555" s="356"/>
      <c r="Q1555" s="380"/>
    </row>
    <row r="1556" spans="15:17">
      <c r="O1556" s="386"/>
      <c r="P1556" s="356"/>
      <c r="Q1556" s="380"/>
    </row>
    <row r="1557" spans="15:17">
      <c r="O1557" s="386"/>
      <c r="P1557" s="356"/>
      <c r="Q1557" s="380"/>
    </row>
    <row r="1558" spans="15:17">
      <c r="O1558" s="386"/>
      <c r="P1558" s="356"/>
      <c r="Q1558" s="380"/>
    </row>
    <row r="1559" spans="15:17">
      <c r="O1559" s="386"/>
      <c r="P1559" s="356"/>
      <c r="Q1559" s="380"/>
    </row>
    <row r="1560" spans="15:17">
      <c r="O1560" s="386"/>
      <c r="P1560" s="356"/>
      <c r="Q1560" s="380"/>
    </row>
    <row r="1561" spans="15:17">
      <c r="O1561" s="386"/>
      <c r="P1561" s="356"/>
      <c r="Q1561" s="380"/>
    </row>
    <row r="1562" spans="15:17">
      <c r="O1562" s="386"/>
      <c r="P1562" s="356"/>
      <c r="Q1562" s="380"/>
    </row>
    <row r="1563" spans="15:17">
      <c r="O1563" s="386"/>
      <c r="P1563" s="356"/>
      <c r="Q1563" s="380"/>
    </row>
    <row r="1564" spans="15:17">
      <c r="O1564" s="386"/>
      <c r="P1564" s="356"/>
      <c r="Q1564" s="380"/>
    </row>
    <row r="1565" spans="15:17">
      <c r="O1565" s="386"/>
      <c r="P1565" s="356"/>
      <c r="Q1565" s="380"/>
    </row>
    <row r="1566" spans="15:17">
      <c r="O1566" s="386"/>
      <c r="P1566" s="356"/>
      <c r="Q1566" s="380"/>
    </row>
    <row r="1567" spans="15:17">
      <c r="O1567" s="386"/>
      <c r="P1567" s="356"/>
      <c r="Q1567" s="380"/>
    </row>
    <row r="1568" spans="15:17">
      <c r="O1568" s="386"/>
      <c r="P1568" s="356"/>
      <c r="Q1568" s="380"/>
    </row>
    <row r="1569" spans="15:17">
      <c r="O1569" s="386"/>
      <c r="P1569" s="356"/>
      <c r="Q1569" s="380"/>
    </row>
    <row r="1570" spans="15:17">
      <c r="O1570" s="386"/>
      <c r="P1570" s="356"/>
      <c r="Q1570" s="380"/>
    </row>
    <row r="1571" spans="15:17">
      <c r="O1571" s="386"/>
      <c r="P1571" s="356"/>
      <c r="Q1571" s="380"/>
    </row>
    <row r="1572" spans="15:17">
      <c r="O1572" s="386"/>
      <c r="P1572" s="356"/>
      <c r="Q1572" s="380"/>
    </row>
    <row r="1573" spans="15:17">
      <c r="O1573" s="386"/>
      <c r="P1573" s="356"/>
      <c r="Q1573" s="380"/>
    </row>
    <row r="1574" spans="15:17">
      <c r="O1574" s="386"/>
      <c r="P1574" s="356"/>
      <c r="Q1574" s="380"/>
    </row>
    <row r="1575" spans="15:17">
      <c r="O1575" s="386"/>
      <c r="P1575" s="356"/>
      <c r="Q1575" s="380"/>
    </row>
    <row r="1576" spans="15:17">
      <c r="O1576" s="386"/>
      <c r="P1576" s="356"/>
      <c r="Q1576" s="380"/>
    </row>
    <row r="1577" spans="15:17">
      <c r="O1577" s="386"/>
      <c r="P1577" s="356"/>
      <c r="Q1577" s="380"/>
    </row>
    <row r="1578" spans="15:17">
      <c r="O1578" s="386"/>
      <c r="P1578" s="356"/>
      <c r="Q1578" s="380"/>
    </row>
    <row r="1579" spans="15:17">
      <c r="O1579" s="386"/>
      <c r="P1579" s="356"/>
      <c r="Q1579" s="380"/>
    </row>
    <row r="1580" spans="15:17">
      <c r="O1580" s="386"/>
      <c r="P1580" s="356"/>
      <c r="Q1580" s="380"/>
    </row>
    <row r="1581" spans="15:17">
      <c r="O1581" s="386"/>
      <c r="P1581" s="356"/>
      <c r="Q1581" s="380"/>
    </row>
    <row r="1582" spans="15:17">
      <c r="O1582" s="386"/>
      <c r="P1582" s="356"/>
      <c r="Q1582" s="380"/>
    </row>
    <row r="1583" spans="15:17">
      <c r="O1583" s="386"/>
      <c r="P1583" s="356"/>
      <c r="Q1583" s="380"/>
    </row>
    <row r="1584" spans="15:17">
      <c r="O1584" s="386"/>
      <c r="P1584" s="356"/>
      <c r="Q1584" s="380"/>
    </row>
    <row r="1585" spans="15:17">
      <c r="O1585" s="386"/>
      <c r="P1585" s="356"/>
      <c r="Q1585" s="380"/>
    </row>
    <row r="1586" spans="15:17">
      <c r="O1586" s="386"/>
      <c r="P1586" s="356"/>
      <c r="Q1586" s="380"/>
    </row>
    <row r="1587" spans="15:17">
      <c r="O1587" s="386"/>
      <c r="P1587" s="356"/>
      <c r="Q1587" s="380"/>
    </row>
    <row r="1588" spans="15:17">
      <c r="O1588" s="386"/>
      <c r="P1588" s="356"/>
      <c r="Q1588" s="380"/>
    </row>
    <row r="1589" spans="15:17">
      <c r="O1589" s="386"/>
      <c r="P1589" s="356"/>
      <c r="Q1589" s="380"/>
    </row>
    <row r="1590" spans="15:17">
      <c r="O1590" s="386"/>
      <c r="P1590" s="356"/>
      <c r="Q1590" s="380"/>
    </row>
    <row r="1591" spans="15:17">
      <c r="O1591" s="386"/>
      <c r="P1591" s="356"/>
      <c r="Q1591" s="380"/>
    </row>
    <row r="1592" spans="15:17">
      <c r="O1592" s="386"/>
      <c r="P1592" s="356"/>
      <c r="Q1592" s="380"/>
    </row>
    <row r="1593" spans="15:17">
      <c r="O1593" s="386"/>
      <c r="P1593" s="356"/>
      <c r="Q1593" s="380"/>
    </row>
    <row r="1594" spans="15:17">
      <c r="O1594" s="386"/>
      <c r="P1594" s="356"/>
      <c r="Q1594" s="380"/>
    </row>
    <row r="1595" spans="15:17">
      <c r="O1595" s="386"/>
      <c r="P1595" s="356"/>
      <c r="Q1595" s="380"/>
    </row>
    <row r="1596" spans="15:17">
      <c r="O1596" s="386"/>
      <c r="P1596" s="356"/>
      <c r="Q1596" s="380"/>
    </row>
    <row r="1597" spans="15:17">
      <c r="O1597" s="386"/>
      <c r="P1597" s="356"/>
      <c r="Q1597" s="380"/>
    </row>
    <row r="1598" spans="15:17">
      <c r="O1598" s="386"/>
      <c r="P1598" s="356"/>
      <c r="Q1598" s="380"/>
    </row>
    <row r="1599" spans="15:17">
      <c r="O1599" s="386"/>
      <c r="P1599" s="356"/>
      <c r="Q1599" s="380"/>
    </row>
    <row r="1600" spans="15:17">
      <c r="O1600" s="386"/>
      <c r="P1600" s="356"/>
      <c r="Q1600" s="380"/>
    </row>
    <row r="1601" spans="15:17">
      <c r="O1601" s="386"/>
      <c r="P1601" s="356"/>
      <c r="Q1601" s="380"/>
    </row>
    <row r="1602" spans="15:17">
      <c r="O1602" s="386"/>
      <c r="P1602" s="356"/>
      <c r="Q1602" s="380"/>
    </row>
    <row r="1603" spans="15:17">
      <c r="O1603" s="386"/>
      <c r="P1603" s="356"/>
      <c r="Q1603" s="380"/>
    </row>
    <row r="1604" spans="15:17">
      <c r="O1604" s="386"/>
      <c r="P1604" s="356"/>
      <c r="Q1604" s="380"/>
    </row>
    <row r="1605" spans="15:17">
      <c r="O1605" s="386"/>
      <c r="P1605" s="356"/>
      <c r="Q1605" s="380"/>
    </row>
    <row r="1606" spans="15:17">
      <c r="O1606" s="386"/>
      <c r="P1606" s="356"/>
      <c r="Q1606" s="380"/>
    </row>
    <row r="1607" spans="15:17">
      <c r="O1607" s="386"/>
      <c r="P1607" s="356"/>
      <c r="Q1607" s="380"/>
    </row>
    <row r="1608" spans="15:17">
      <c r="O1608" s="386"/>
      <c r="P1608" s="356"/>
      <c r="Q1608" s="380"/>
    </row>
    <row r="1609" spans="15:17">
      <c r="O1609" s="386"/>
      <c r="P1609" s="356"/>
      <c r="Q1609" s="380"/>
    </row>
    <row r="1610" spans="15:17">
      <c r="O1610" s="386"/>
      <c r="P1610" s="356"/>
      <c r="Q1610" s="380"/>
    </row>
    <row r="1611" spans="15:17">
      <c r="O1611" s="386"/>
      <c r="P1611" s="356"/>
      <c r="Q1611" s="380"/>
    </row>
    <row r="1612" spans="15:17">
      <c r="O1612" s="386"/>
      <c r="P1612" s="356"/>
      <c r="Q1612" s="380"/>
    </row>
    <row r="1613" spans="15:17">
      <c r="O1613" s="386"/>
      <c r="P1613" s="356"/>
      <c r="Q1613" s="380"/>
    </row>
    <row r="1614" spans="15:17">
      <c r="O1614" s="386"/>
      <c r="P1614" s="356"/>
      <c r="Q1614" s="380"/>
    </row>
    <row r="1615" spans="15:17">
      <c r="O1615" s="386"/>
      <c r="P1615" s="356"/>
      <c r="Q1615" s="380"/>
    </row>
    <row r="1616" spans="15:17">
      <c r="O1616" s="386"/>
      <c r="P1616" s="356"/>
      <c r="Q1616" s="380"/>
    </row>
    <row r="1617" spans="15:17">
      <c r="O1617" s="386"/>
      <c r="P1617" s="356"/>
      <c r="Q1617" s="380"/>
    </row>
    <row r="1618" spans="15:17">
      <c r="O1618" s="386"/>
      <c r="P1618" s="356"/>
      <c r="Q1618" s="380"/>
    </row>
    <row r="1619" spans="15:17">
      <c r="O1619" s="386"/>
      <c r="P1619" s="356"/>
      <c r="Q1619" s="380"/>
    </row>
    <row r="1620" spans="15:17">
      <c r="O1620" s="386"/>
      <c r="P1620" s="356"/>
      <c r="Q1620" s="380"/>
    </row>
    <row r="1621" spans="15:17">
      <c r="O1621" s="386"/>
      <c r="P1621" s="356"/>
      <c r="Q1621" s="380"/>
    </row>
    <row r="1622" spans="15:17">
      <c r="O1622" s="386"/>
      <c r="P1622" s="356"/>
      <c r="Q1622" s="380"/>
    </row>
    <row r="1623" spans="15:17">
      <c r="O1623" s="386"/>
      <c r="P1623" s="356"/>
      <c r="Q1623" s="380"/>
    </row>
    <row r="1624" spans="15:17">
      <c r="O1624" s="386"/>
      <c r="P1624" s="356"/>
      <c r="Q1624" s="380"/>
    </row>
    <row r="1625" spans="15:17">
      <c r="O1625" s="386"/>
      <c r="P1625" s="356"/>
      <c r="Q1625" s="380"/>
    </row>
    <row r="1626" spans="15:17">
      <c r="O1626" s="386"/>
      <c r="P1626" s="356"/>
      <c r="Q1626" s="380"/>
    </row>
    <row r="1627" spans="15:17">
      <c r="O1627" s="386"/>
      <c r="P1627" s="356"/>
      <c r="Q1627" s="380"/>
    </row>
    <row r="1628" spans="15:17">
      <c r="O1628" s="386"/>
      <c r="P1628" s="356"/>
      <c r="Q1628" s="380"/>
    </row>
    <row r="1629" spans="15:17">
      <c r="O1629" s="386"/>
      <c r="P1629" s="356"/>
      <c r="Q1629" s="380"/>
    </row>
    <row r="1630" spans="15:17">
      <c r="O1630" s="386"/>
      <c r="P1630" s="356"/>
      <c r="Q1630" s="380"/>
    </row>
    <row r="1631" spans="15:17">
      <c r="O1631" s="386"/>
      <c r="P1631" s="356"/>
      <c r="Q1631" s="380"/>
    </row>
    <row r="1632" spans="15:17">
      <c r="O1632" s="386"/>
      <c r="P1632" s="356"/>
      <c r="Q1632" s="380"/>
    </row>
    <row r="1633" spans="15:17">
      <c r="O1633" s="386"/>
      <c r="P1633" s="356"/>
      <c r="Q1633" s="380"/>
    </row>
    <row r="1634" spans="15:17">
      <c r="O1634" s="386"/>
      <c r="P1634" s="356"/>
      <c r="Q1634" s="380"/>
    </row>
    <row r="1635" spans="15:17">
      <c r="O1635" s="386"/>
      <c r="P1635" s="356"/>
      <c r="Q1635" s="380"/>
    </row>
    <row r="1636" spans="15:17">
      <c r="O1636" s="386"/>
      <c r="P1636" s="356"/>
      <c r="Q1636" s="380"/>
    </row>
    <row r="1637" spans="15:17">
      <c r="O1637" s="386"/>
      <c r="P1637" s="356"/>
      <c r="Q1637" s="380"/>
    </row>
    <row r="1638" spans="15:17">
      <c r="O1638" s="386"/>
      <c r="P1638" s="356"/>
      <c r="Q1638" s="380"/>
    </row>
    <row r="1639" spans="15:17">
      <c r="O1639" s="386"/>
      <c r="P1639" s="356"/>
      <c r="Q1639" s="380"/>
    </row>
    <row r="1640" spans="15:17">
      <c r="O1640" s="386"/>
      <c r="P1640" s="356"/>
      <c r="Q1640" s="380"/>
    </row>
    <row r="1641" spans="15:17">
      <c r="O1641" s="386"/>
      <c r="P1641" s="356"/>
      <c r="Q1641" s="380"/>
    </row>
    <row r="1642" spans="15:17">
      <c r="O1642" s="386"/>
      <c r="P1642" s="356"/>
      <c r="Q1642" s="380"/>
    </row>
    <row r="1643" spans="15:17">
      <c r="O1643" s="386"/>
      <c r="P1643" s="356"/>
      <c r="Q1643" s="380"/>
    </row>
    <row r="1644" spans="15:17">
      <c r="O1644" s="386"/>
      <c r="P1644" s="356"/>
      <c r="Q1644" s="380"/>
    </row>
    <row r="1645" spans="15:17">
      <c r="O1645" s="386"/>
      <c r="P1645" s="356"/>
      <c r="Q1645" s="380"/>
    </row>
    <row r="1646" spans="15:17">
      <c r="O1646" s="386"/>
      <c r="P1646" s="356"/>
      <c r="Q1646" s="380"/>
    </row>
    <row r="1647" spans="15:17">
      <c r="O1647" s="386"/>
      <c r="P1647" s="356"/>
      <c r="Q1647" s="380"/>
    </row>
    <row r="1648" spans="15:17">
      <c r="O1648" s="386"/>
      <c r="P1648" s="356"/>
      <c r="Q1648" s="380"/>
    </row>
    <row r="1649" spans="15:17">
      <c r="O1649" s="386"/>
      <c r="P1649" s="356"/>
      <c r="Q1649" s="380"/>
    </row>
    <row r="1650" spans="15:17">
      <c r="O1650" s="386"/>
      <c r="P1650" s="356"/>
      <c r="Q1650" s="380"/>
    </row>
    <row r="1651" spans="15:17">
      <c r="O1651" s="386"/>
      <c r="P1651" s="356"/>
      <c r="Q1651" s="380"/>
    </row>
    <row r="1652" spans="15:17">
      <c r="O1652" s="386"/>
      <c r="P1652" s="356"/>
      <c r="Q1652" s="380"/>
    </row>
    <row r="1653" spans="15:17">
      <c r="O1653" s="386"/>
      <c r="P1653" s="356"/>
      <c r="Q1653" s="380"/>
    </row>
    <row r="1654" spans="15:17">
      <c r="O1654" s="386"/>
      <c r="P1654" s="356"/>
      <c r="Q1654" s="380"/>
    </row>
    <row r="1655" spans="15:17">
      <c r="O1655" s="386"/>
      <c r="P1655" s="356"/>
      <c r="Q1655" s="380"/>
    </row>
    <row r="1656" spans="15:17">
      <c r="O1656" s="386"/>
      <c r="P1656" s="356"/>
      <c r="Q1656" s="380"/>
    </row>
    <row r="1657" spans="15:17">
      <c r="O1657" s="386"/>
      <c r="P1657" s="356"/>
      <c r="Q1657" s="380"/>
    </row>
    <row r="1658" spans="15:17">
      <c r="O1658" s="386"/>
      <c r="P1658" s="356"/>
      <c r="Q1658" s="380"/>
    </row>
    <row r="1659" spans="15:17">
      <c r="O1659" s="386"/>
      <c r="P1659" s="356"/>
      <c r="Q1659" s="380"/>
    </row>
    <row r="1660" spans="15:17">
      <c r="O1660" s="386"/>
      <c r="P1660" s="356"/>
      <c r="Q1660" s="380"/>
    </row>
    <row r="1661" spans="15:17">
      <c r="O1661" s="386"/>
      <c r="P1661" s="356"/>
      <c r="Q1661" s="380"/>
    </row>
    <row r="1662" spans="15:17">
      <c r="O1662" s="386"/>
      <c r="P1662" s="356"/>
      <c r="Q1662" s="380"/>
    </row>
    <row r="1663" spans="15:17">
      <c r="O1663" s="386"/>
      <c r="P1663" s="356"/>
      <c r="Q1663" s="380"/>
    </row>
    <row r="1664" spans="15:17">
      <c r="O1664" s="386"/>
      <c r="P1664" s="356"/>
      <c r="Q1664" s="380"/>
    </row>
    <row r="1665" spans="15:17">
      <c r="O1665" s="386"/>
      <c r="P1665" s="356"/>
      <c r="Q1665" s="380"/>
    </row>
    <row r="1666" spans="15:17">
      <c r="O1666" s="386"/>
      <c r="P1666" s="356"/>
      <c r="Q1666" s="380"/>
    </row>
    <row r="1667" spans="15:17">
      <c r="O1667" s="386"/>
      <c r="P1667" s="356"/>
      <c r="Q1667" s="380"/>
    </row>
    <row r="1668" spans="15:17">
      <c r="O1668" s="386"/>
      <c r="P1668" s="356"/>
      <c r="Q1668" s="380"/>
    </row>
    <row r="1669" spans="15:17">
      <c r="O1669" s="386"/>
      <c r="P1669" s="356"/>
      <c r="Q1669" s="380"/>
    </row>
    <row r="1670" spans="15:17">
      <c r="O1670" s="386"/>
      <c r="P1670" s="356"/>
      <c r="Q1670" s="380"/>
    </row>
    <row r="1671" spans="15:17">
      <c r="O1671" s="386"/>
      <c r="P1671" s="356"/>
      <c r="Q1671" s="380"/>
    </row>
    <row r="1672" spans="15:17">
      <c r="O1672" s="386"/>
      <c r="P1672" s="356"/>
      <c r="Q1672" s="380"/>
    </row>
    <row r="1673" spans="15:17">
      <c r="O1673" s="386"/>
      <c r="P1673" s="356"/>
      <c r="Q1673" s="380"/>
    </row>
    <row r="1674" spans="15:17">
      <c r="O1674" s="386"/>
      <c r="P1674" s="356"/>
      <c r="Q1674" s="380"/>
    </row>
    <row r="1675" spans="15:17">
      <c r="O1675" s="386"/>
      <c r="P1675" s="356"/>
      <c r="Q1675" s="380"/>
    </row>
    <row r="1676" spans="15:17">
      <c r="O1676" s="386"/>
      <c r="P1676" s="356"/>
      <c r="Q1676" s="380"/>
    </row>
    <row r="1677" spans="15:17">
      <c r="O1677" s="386"/>
      <c r="P1677" s="356"/>
      <c r="Q1677" s="380"/>
    </row>
    <row r="1678" spans="15:17">
      <c r="O1678" s="386"/>
      <c r="P1678" s="356"/>
      <c r="Q1678" s="380"/>
    </row>
    <row r="1679" spans="15:17">
      <c r="O1679" s="386"/>
      <c r="P1679" s="356"/>
      <c r="Q1679" s="380"/>
    </row>
    <row r="1680" spans="15:17">
      <c r="O1680" s="386"/>
      <c r="P1680" s="356"/>
      <c r="Q1680" s="380"/>
    </row>
    <row r="1681" spans="15:17">
      <c r="O1681" s="386"/>
      <c r="P1681" s="356"/>
      <c r="Q1681" s="380"/>
    </row>
    <row r="1682" spans="15:17">
      <c r="O1682" s="386"/>
      <c r="P1682" s="356"/>
      <c r="Q1682" s="380"/>
    </row>
    <row r="1683" spans="15:17">
      <c r="O1683" s="386"/>
      <c r="P1683" s="356"/>
      <c r="Q1683" s="380"/>
    </row>
    <row r="1684" spans="15:17">
      <c r="O1684" s="386"/>
      <c r="P1684" s="356"/>
      <c r="Q1684" s="380"/>
    </row>
    <row r="1685" spans="15:17">
      <c r="O1685" s="386"/>
      <c r="P1685" s="356"/>
      <c r="Q1685" s="380"/>
    </row>
    <row r="1686" spans="15:17">
      <c r="O1686" s="386"/>
      <c r="P1686" s="356"/>
      <c r="Q1686" s="380"/>
    </row>
    <row r="1687" spans="15:17">
      <c r="O1687" s="386"/>
      <c r="P1687" s="356"/>
      <c r="Q1687" s="380"/>
    </row>
    <row r="1688" spans="15:17">
      <c r="O1688" s="386"/>
      <c r="P1688" s="356"/>
      <c r="Q1688" s="380"/>
    </row>
    <row r="1689" spans="15:17">
      <c r="O1689" s="386"/>
      <c r="P1689" s="356"/>
      <c r="Q1689" s="380"/>
    </row>
    <row r="1690" spans="15:17">
      <c r="O1690" s="386"/>
      <c r="P1690" s="356"/>
      <c r="Q1690" s="380"/>
    </row>
    <row r="1691" spans="15:17">
      <c r="O1691" s="386"/>
      <c r="P1691" s="356"/>
      <c r="Q1691" s="380"/>
    </row>
    <row r="1692" spans="15:17">
      <c r="O1692" s="386"/>
      <c r="P1692" s="356"/>
      <c r="Q1692" s="380"/>
    </row>
    <row r="1693" spans="15:17">
      <c r="O1693" s="386"/>
      <c r="P1693" s="356"/>
      <c r="Q1693" s="380"/>
    </row>
    <row r="1694" spans="15:17">
      <c r="O1694" s="386"/>
      <c r="P1694" s="356"/>
      <c r="Q1694" s="380"/>
    </row>
    <row r="1695" spans="15:17">
      <c r="O1695" s="386"/>
      <c r="P1695" s="356"/>
      <c r="Q1695" s="380"/>
    </row>
    <row r="1696" spans="15:17">
      <c r="O1696" s="386"/>
      <c r="P1696" s="356"/>
      <c r="Q1696" s="380"/>
    </row>
    <row r="1697" spans="15:17">
      <c r="O1697" s="386"/>
      <c r="P1697" s="356"/>
      <c r="Q1697" s="380"/>
    </row>
    <row r="1698" spans="15:17">
      <c r="O1698" s="386"/>
      <c r="P1698" s="356"/>
      <c r="Q1698" s="380"/>
    </row>
    <row r="1699" spans="15:17">
      <c r="O1699" s="386"/>
      <c r="P1699" s="356"/>
      <c r="Q1699" s="380"/>
    </row>
    <row r="1700" spans="15:17">
      <c r="O1700" s="386"/>
      <c r="P1700" s="356"/>
      <c r="Q1700" s="380"/>
    </row>
    <row r="1701" spans="15:17">
      <c r="O1701" s="386"/>
      <c r="P1701" s="356"/>
      <c r="Q1701" s="380"/>
    </row>
    <row r="1702" spans="15:17">
      <c r="O1702" s="386"/>
      <c r="P1702" s="356"/>
      <c r="Q1702" s="380"/>
    </row>
    <row r="1703" spans="15:17">
      <c r="O1703" s="386"/>
      <c r="P1703" s="356"/>
      <c r="Q1703" s="380"/>
    </row>
    <row r="1704" spans="15:17">
      <c r="O1704" s="386"/>
      <c r="P1704" s="356"/>
      <c r="Q1704" s="380"/>
    </row>
    <row r="1705" spans="15:17">
      <c r="O1705" s="386"/>
      <c r="P1705" s="356"/>
      <c r="Q1705" s="380"/>
    </row>
    <row r="1706" spans="15:17">
      <c r="O1706" s="386"/>
      <c r="P1706" s="356"/>
      <c r="Q1706" s="380"/>
    </row>
    <row r="1707" spans="15:17">
      <c r="O1707" s="386"/>
      <c r="P1707" s="356"/>
      <c r="Q1707" s="380"/>
    </row>
    <row r="1708" spans="15:17">
      <c r="O1708" s="386"/>
      <c r="P1708" s="356"/>
      <c r="Q1708" s="380"/>
    </row>
    <row r="1709" spans="15:17">
      <c r="O1709" s="386"/>
      <c r="P1709" s="356"/>
      <c r="Q1709" s="380"/>
    </row>
    <row r="1710" spans="15:17">
      <c r="O1710" s="386"/>
      <c r="P1710" s="356"/>
      <c r="Q1710" s="380"/>
    </row>
    <row r="1711" spans="15:17">
      <c r="O1711" s="386"/>
      <c r="P1711" s="356"/>
      <c r="Q1711" s="380"/>
    </row>
    <row r="1712" spans="15:17">
      <c r="O1712" s="386"/>
      <c r="P1712" s="356"/>
      <c r="Q1712" s="380"/>
    </row>
    <row r="1713" spans="15:17">
      <c r="O1713" s="386"/>
      <c r="P1713" s="356"/>
      <c r="Q1713" s="380"/>
    </row>
    <row r="1714" spans="15:17">
      <c r="O1714" s="386"/>
      <c r="P1714" s="356"/>
      <c r="Q1714" s="380"/>
    </row>
    <row r="1715" spans="15:17">
      <c r="O1715" s="386"/>
      <c r="P1715" s="356"/>
      <c r="Q1715" s="380"/>
    </row>
    <row r="1716" spans="15:17">
      <c r="O1716" s="386"/>
      <c r="P1716" s="356"/>
      <c r="Q1716" s="380"/>
    </row>
    <row r="1717" spans="15:17">
      <c r="O1717" s="386"/>
      <c r="P1717" s="356"/>
      <c r="Q1717" s="380"/>
    </row>
    <row r="1718" spans="15:17">
      <c r="O1718" s="386"/>
      <c r="P1718" s="356"/>
      <c r="Q1718" s="380"/>
    </row>
    <row r="1719" spans="15:17">
      <c r="O1719" s="386"/>
      <c r="P1719" s="356"/>
      <c r="Q1719" s="380"/>
    </row>
    <row r="1720" spans="15:17">
      <c r="O1720" s="386"/>
      <c r="P1720" s="356"/>
      <c r="Q1720" s="380"/>
    </row>
    <row r="1721" spans="15:17">
      <c r="O1721" s="386"/>
      <c r="P1721" s="356"/>
      <c r="Q1721" s="380"/>
    </row>
    <row r="1722" spans="15:17">
      <c r="O1722" s="386"/>
      <c r="P1722" s="356"/>
      <c r="Q1722" s="380"/>
    </row>
    <row r="1723" spans="15:17">
      <c r="O1723" s="386"/>
      <c r="P1723" s="356"/>
      <c r="Q1723" s="380"/>
    </row>
    <row r="1724" spans="15:17">
      <c r="O1724" s="386"/>
      <c r="P1724" s="356"/>
      <c r="Q1724" s="380"/>
    </row>
    <row r="1725" spans="15:17">
      <c r="O1725" s="386"/>
      <c r="P1725" s="356"/>
      <c r="Q1725" s="380"/>
    </row>
    <row r="1726" spans="15:17">
      <c r="O1726" s="386"/>
      <c r="P1726" s="356"/>
      <c r="Q1726" s="380"/>
    </row>
    <row r="1727" spans="15:17">
      <c r="O1727" s="386"/>
      <c r="P1727" s="356"/>
      <c r="Q1727" s="380"/>
    </row>
    <row r="1728" spans="15:17">
      <c r="O1728" s="386"/>
      <c r="P1728" s="356"/>
      <c r="Q1728" s="380"/>
    </row>
    <row r="1729" spans="15:20">
      <c r="O1729" s="386"/>
      <c r="P1729" s="356"/>
      <c r="Q1729" s="380"/>
    </row>
    <row r="1730" spans="15:20">
      <c r="O1730" s="386"/>
      <c r="P1730" s="356"/>
      <c r="Q1730" s="380"/>
    </row>
    <row r="1731" spans="15:20" ht="26.25">
      <c r="O1731" s="386"/>
      <c r="P1731" s="356"/>
      <c r="Q1731" s="380"/>
      <c r="T1731" s="62" ph="1"/>
    </row>
    <row r="1732" spans="15:20">
      <c r="O1732" s="386"/>
      <c r="P1732" s="356"/>
      <c r="Q1732" s="380"/>
    </row>
    <row r="1733" spans="15:20">
      <c r="O1733" s="386"/>
      <c r="P1733" s="356"/>
      <c r="Q1733" s="380"/>
    </row>
    <row r="1734" spans="15:20">
      <c r="O1734" s="386"/>
      <c r="P1734" s="356"/>
      <c r="Q1734" s="380"/>
    </row>
    <row r="1735" spans="15:20">
      <c r="O1735" s="386"/>
      <c r="P1735" s="356"/>
      <c r="Q1735" s="380"/>
    </row>
    <row r="1736" spans="15:20">
      <c r="O1736" s="386"/>
      <c r="P1736" s="356"/>
      <c r="Q1736" s="380"/>
    </row>
    <row r="1737" spans="15:20">
      <c r="O1737" s="386"/>
      <c r="P1737" s="356"/>
      <c r="Q1737" s="380"/>
    </row>
    <row r="1738" spans="15:20">
      <c r="O1738" s="386"/>
      <c r="P1738" s="356"/>
      <c r="Q1738" s="380"/>
    </row>
    <row r="1739" spans="15:20">
      <c r="O1739" s="386"/>
      <c r="P1739" s="356"/>
      <c r="Q1739" s="380"/>
    </row>
    <row r="1740" spans="15:20">
      <c r="O1740" s="386"/>
      <c r="P1740" s="356"/>
      <c r="Q1740" s="380"/>
    </row>
    <row r="1741" spans="15:20" ht="26.25">
      <c r="O1741" s="386"/>
      <c r="P1741" s="356"/>
      <c r="Q1741" s="380"/>
      <c r="T1741" s="62" ph="1"/>
    </row>
    <row r="1742" spans="15:20">
      <c r="O1742" s="386"/>
      <c r="P1742" s="356"/>
      <c r="Q1742" s="380"/>
    </row>
    <row r="1743" spans="15:20">
      <c r="O1743" s="386"/>
      <c r="P1743" s="356"/>
      <c r="Q1743" s="380"/>
    </row>
    <row r="1744" spans="15:20">
      <c r="O1744" s="386"/>
      <c r="P1744" s="356"/>
      <c r="Q1744" s="380"/>
    </row>
    <row r="1745" spans="15:20" ht="26.25">
      <c r="O1745" s="386"/>
      <c r="P1745" s="356"/>
      <c r="Q1745" s="380"/>
      <c r="T1745" s="62" ph="1"/>
    </row>
    <row r="1746" spans="15:20">
      <c r="O1746" s="386"/>
      <c r="P1746" s="356"/>
      <c r="Q1746" s="380"/>
    </row>
    <row r="1747" spans="15:20">
      <c r="O1747" s="386"/>
      <c r="P1747" s="356"/>
      <c r="Q1747" s="380"/>
    </row>
    <row r="1748" spans="15:20">
      <c r="O1748" s="386"/>
      <c r="P1748" s="356"/>
      <c r="Q1748" s="380"/>
    </row>
    <row r="1749" spans="15:20">
      <c r="O1749" s="386"/>
      <c r="P1749" s="356"/>
      <c r="Q1749" s="380"/>
    </row>
    <row r="1750" spans="15:20" ht="26.25">
      <c r="O1750" s="386"/>
      <c r="P1750" s="356"/>
      <c r="Q1750" s="380"/>
      <c r="T1750" s="62" ph="1"/>
    </row>
    <row r="1751" spans="15:20" ht="26.25">
      <c r="O1751" s="386"/>
      <c r="P1751" s="356"/>
      <c r="Q1751" s="380"/>
      <c r="T1751" s="62" ph="1"/>
    </row>
    <row r="1752" spans="15:20" ht="26.25">
      <c r="O1752" s="386"/>
      <c r="P1752" s="356"/>
      <c r="Q1752" s="380"/>
      <c r="T1752" s="62" ph="1"/>
    </row>
    <row r="1753" spans="15:20">
      <c r="O1753" s="386"/>
      <c r="P1753" s="356"/>
      <c r="Q1753" s="380"/>
    </row>
    <row r="1754" spans="15:20" ht="26.25">
      <c r="O1754" s="386"/>
      <c r="P1754" s="356"/>
      <c r="Q1754" s="380"/>
      <c r="T1754" s="62" ph="1"/>
    </row>
    <row r="1755" spans="15:20" ht="26.25">
      <c r="O1755" s="386"/>
      <c r="P1755" s="356"/>
      <c r="Q1755" s="380"/>
      <c r="T1755" s="62" ph="1"/>
    </row>
    <row r="1756" spans="15:20">
      <c r="O1756" s="386"/>
      <c r="P1756" s="356"/>
      <c r="Q1756" s="380"/>
    </row>
    <row r="1757" spans="15:20" ht="26.25">
      <c r="O1757" s="386"/>
      <c r="P1757" s="356"/>
      <c r="Q1757" s="380"/>
      <c r="T1757" s="62" ph="1"/>
    </row>
    <row r="1758" spans="15:20">
      <c r="O1758" s="386"/>
      <c r="P1758" s="356"/>
      <c r="Q1758" s="380"/>
    </row>
    <row r="1759" spans="15:20" ht="26.25">
      <c r="O1759" s="386"/>
      <c r="P1759" s="356"/>
      <c r="Q1759" s="380"/>
      <c r="T1759" s="62" ph="1"/>
    </row>
    <row r="1760" spans="15:20" ht="26.25">
      <c r="O1760" s="386"/>
      <c r="P1760" s="356"/>
      <c r="Q1760" s="380"/>
      <c r="T1760" s="62" ph="1"/>
    </row>
    <row r="1761" spans="15:20" ht="26.25">
      <c r="O1761" s="386"/>
      <c r="P1761" s="356"/>
      <c r="Q1761" s="380"/>
      <c r="T1761" s="62" ph="1"/>
    </row>
    <row r="1762" spans="15:20" ht="26.25">
      <c r="O1762" s="386"/>
      <c r="P1762" s="356"/>
      <c r="Q1762" s="380"/>
      <c r="T1762" s="62" ph="1"/>
    </row>
    <row r="1763" spans="15:20" ht="26.25">
      <c r="O1763" s="386"/>
      <c r="P1763" s="356"/>
      <c r="Q1763" s="380"/>
      <c r="T1763" s="62" ph="1"/>
    </row>
    <row r="1764" spans="15:20" ht="26.25">
      <c r="O1764" s="386"/>
      <c r="P1764" s="356"/>
      <c r="Q1764" s="380"/>
      <c r="T1764" s="62" ph="1"/>
    </row>
    <row r="1765" spans="15:20" ht="26.25">
      <c r="O1765" s="386"/>
      <c r="P1765" s="356"/>
      <c r="Q1765" s="380"/>
      <c r="T1765" s="62" ph="1"/>
    </row>
    <row r="1766" spans="15:20" ht="26.25">
      <c r="O1766" s="386"/>
      <c r="P1766" s="356"/>
      <c r="Q1766" s="380"/>
      <c r="T1766" s="62" ph="1"/>
    </row>
    <row r="1767" spans="15:20" ht="26.25">
      <c r="O1767" s="386"/>
      <c r="P1767" s="356"/>
      <c r="Q1767" s="380"/>
      <c r="T1767" s="62" ph="1"/>
    </row>
    <row r="1768" spans="15:20" ht="26.25">
      <c r="O1768" s="386"/>
      <c r="P1768" s="356"/>
      <c r="Q1768" s="380"/>
      <c r="T1768" s="62" ph="1"/>
    </row>
    <row r="1769" spans="15:20">
      <c r="O1769" s="386"/>
      <c r="P1769" s="356"/>
      <c r="Q1769" s="380"/>
    </row>
    <row r="1770" spans="15:20" ht="26.25">
      <c r="O1770" s="386"/>
      <c r="P1770" s="356"/>
      <c r="Q1770" s="380"/>
      <c r="T1770" s="62" ph="1"/>
    </row>
    <row r="1771" spans="15:20" ht="26.25">
      <c r="O1771" s="386"/>
      <c r="P1771" s="356"/>
      <c r="Q1771" s="380"/>
      <c r="T1771" s="62" ph="1"/>
    </row>
    <row r="1772" spans="15:20" ht="26.25">
      <c r="O1772" s="386"/>
      <c r="P1772" s="356"/>
      <c r="Q1772" s="380"/>
      <c r="T1772" s="62" ph="1"/>
    </row>
    <row r="1773" spans="15:20" ht="26.25">
      <c r="O1773" s="386"/>
      <c r="P1773" s="356"/>
      <c r="Q1773" s="380"/>
      <c r="T1773" s="62" ph="1"/>
    </row>
    <row r="1774" spans="15:20" ht="26.25">
      <c r="O1774" s="386"/>
      <c r="P1774" s="356"/>
      <c r="Q1774" s="380"/>
      <c r="T1774" s="62" ph="1"/>
    </row>
    <row r="1775" spans="15:20" ht="26.25">
      <c r="O1775" s="386"/>
      <c r="P1775" s="356"/>
      <c r="Q1775" s="380"/>
      <c r="T1775" s="62" ph="1"/>
    </row>
    <row r="1776" spans="15:20" ht="26.25">
      <c r="O1776" s="386"/>
      <c r="P1776" s="356"/>
      <c r="Q1776" s="380"/>
      <c r="T1776" s="62" ph="1"/>
    </row>
    <row r="1777" spans="15:20" ht="26.25">
      <c r="O1777" s="386"/>
      <c r="P1777" s="356"/>
      <c r="Q1777" s="380"/>
      <c r="T1777" s="62" ph="1"/>
    </row>
    <row r="1778" spans="15:20">
      <c r="O1778" s="386"/>
      <c r="P1778" s="356"/>
      <c r="Q1778" s="380"/>
    </row>
    <row r="1779" spans="15:20" ht="26.25">
      <c r="O1779" s="386"/>
      <c r="P1779" s="356"/>
      <c r="Q1779" s="380"/>
      <c r="T1779" s="62" ph="1"/>
    </row>
    <row r="1780" spans="15:20" ht="26.25">
      <c r="O1780" s="386"/>
      <c r="P1780" s="356"/>
      <c r="Q1780" s="380"/>
      <c r="T1780" s="62" ph="1"/>
    </row>
    <row r="1781" spans="15:20" ht="26.25">
      <c r="O1781" s="386"/>
      <c r="P1781" s="356"/>
      <c r="Q1781" s="380"/>
      <c r="T1781" s="62" ph="1"/>
    </row>
    <row r="1782" spans="15:20" ht="26.25">
      <c r="O1782" s="386"/>
      <c r="P1782" s="356"/>
      <c r="Q1782" s="380"/>
      <c r="T1782" s="62" ph="1"/>
    </row>
    <row r="1783" spans="15:20">
      <c r="O1783" s="386"/>
      <c r="P1783" s="356"/>
      <c r="Q1783" s="380"/>
    </row>
    <row r="1784" spans="15:20">
      <c r="O1784" s="386"/>
      <c r="P1784" s="356"/>
      <c r="Q1784" s="380"/>
    </row>
    <row r="1785" spans="15:20">
      <c r="O1785" s="386"/>
      <c r="P1785" s="356"/>
      <c r="Q1785" s="380"/>
    </row>
    <row r="1786" spans="15:20">
      <c r="O1786" s="386"/>
      <c r="P1786" s="356"/>
      <c r="Q1786" s="380"/>
    </row>
    <row r="1787" spans="15:20">
      <c r="O1787" s="386"/>
      <c r="P1787" s="356"/>
      <c r="Q1787" s="380"/>
    </row>
    <row r="1788" spans="15:20">
      <c r="O1788" s="386"/>
      <c r="P1788" s="356"/>
      <c r="Q1788" s="380"/>
    </row>
    <row r="1789" spans="15:20">
      <c r="O1789" s="386"/>
      <c r="P1789" s="356"/>
      <c r="Q1789" s="380"/>
    </row>
    <row r="1790" spans="15:20">
      <c r="O1790" s="386"/>
      <c r="P1790" s="356"/>
      <c r="Q1790" s="380"/>
    </row>
    <row r="1791" spans="15:20">
      <c r="O1791" s="386"/>
      <c r="P1791" s="356"/>
      <c r="Q1791" s="380"/>
    </row>
    <row r="1792" spans="15:20">
      <c r="O1792" s="386"/>
      <c r="P1792" s="356"/>
      <c r="Q1792" s="380"/>
    </row>
    <row r="1793" spans="15:17">
      <c r="O1793" s="386"/>
      <c r="P1793" s="356"/>
      <c r="Q1793" s="380"/>
    </row>
    <row r="1794" spans="15:17">
      <c r="O1794" s="386"/>
      <c r="P1794" s="356"/>
      <c r="Q1794" s="380"/>
    </row>
    <row r="1795" spans="15:17">
      <c r="O1795" s="386"/>
      <c r="P1795" s="356"/>
      <c r="Q1795" s="380"/>
    </row>
    <row r="1796" spans="15:17">
      <c r="O1796" s="386"/>
      <c r="P1796" s="356"/>
      <c r="Q1796" s="380"/>
    </row>
    <row r="1797" spans="15:17">
      <c r="O1797" s="386"/>
      <c r="P1797" s="356"/>
      <c r="Q1797" s="380"/>
    </row>
    <row r="1798" spans="15:17">
      <c r="O1798" s="386"/>
      <c r="P1798" s="356"/>
      <c r="Q1798" s="380"/>
    </row>
    <row r="1799" spans="15:17">
      <c r="O1799" s="386"/>
      <c r="P1799" s="356"/>
      <c r="Q1799" s="380"/>
    </row>
    <row r="1800" spans="15:17">
      <c r="O1800" s="386"/>
      <c r="P1800" s="356"/>
      <c r="Q1800" s="380"/>
    </row>
    <row r="1801" spans="15:17">
      <c r="O1801" s="386"/>
      <c r="P1801" s="356"/>
      <c r="Q1801" s="380"/>
    </row>
    <row r="1802" spans="15:17">
      <c r="O1802" s="386"/>
      <c r="P1802" s="356"/>
      <c r="Q1802" s="380"/>
    </row>
    <row r="1803" spans="15:17">
      <c r="O1803" s="386"/>
      <c r="P1803" s="356"/>
      <c r="Q1803" s="380"/>
    </row>
    <row r="1804" spans="15:17">
      <c r="O1804" s="386"/>
      <c r="P1804" s="356"/>
      <c r="Q1804" s="380"/>
    </row>
    <row r="1805" spans="15:17">
      <c r="O1805" s="386"/>
      <c r="P1805" s="356"/>
      <c r="Q1805" s="380"/>
    </row>
    <row r="1806" spans="15:17">
      <c r="O1806" s="386"/>
      <c r="P1806" s="356"/>
      <c r="Q1806" s="380"/>
    </row>
    <row r="1807" spans="15:17">
      <c r="O1807" s="386"/>
      <c r="P1807" s="356"/>
      <c r="Q1807" s="380"/>
    </row>
    <row r="1808" spans="15:17">
      <c r="O1808" s="386"/>
      <c r="P1808" s="356"/>
      <c r="Q1808" s="380"/>
    </row>
    <row r="1809" spans="15:17">
      <c r="O1809" s="386"/>
      <c r="P1809" s="356"/>
      <c r="Q1809" s="380"/>
    </row>
    <row r="1810" spans="15:17">
      <c r="O1810" s="386"/>
      <c r="P1810" s="356"/>
      <c r="Q1810" s="380"/>
    </row>
    <row r="1811" spans="15:17">
      <c r="O1811" s="386"/>
      <c r="P1811" s="356"/>
      <c r="Q1811" s="380"/>
    </row>
    <row r="1812" spans="15:17">
      <c r="O1812" s="386"/>
      <c r="P1812" s="356"/>
      <c r="Q1812" s="380"/>
    </row>
    <row r="1813" spans="15:17">
      <c r="O1813" s="386"/>
      <c r="P1813" s="356"/>
      <c r="Q1813" s="380"/>
    </row>
    <row r="1814" spans="15:17">
      <c r="O1814" s="386"/>
      <c r="P1814" s="356"/>
      <c r="Q1814" s="380"/>
    </row>
    <row r="1815" spans="15:17">
      <c r="O1815" s="386"/>
      <c r="P1815" s="356"/>
      <c r="Q1815" s="380"/>
    </row>
    <row r="1816" spans="15:17">
      <c r="O1816" s="386"/>
      <c r="P1816" s="356"/>
      <c r="Q1816" s="380"/>
    </row>
    <row r="1817" spans="15:17">
      <c r="O1817" s="386"/>
      <c r="P1817" s="356"/>
      <c r="Q1817" s="380"/>
    </row>
    <row r="1818" spans="15:17">
      <c r="O1818" s="386"/>
      <c r="P1818" s="356"/>
      <c r="Q1818" s="380"/>
    </row>
    <row r="1819" spans="15:17">
      <c r="O1819" s="386"/>
      <c r="P1819" s="356"/>
      <c r="Q1819" s="380"/>
    </row>
    <row r="1820" spans="15:17">
      <c r="O1820" s="386"/>
      <c r="P1820" s="356"/>
      <c r="Q1820" s="380"/>
    </row>
    <row r="1821" spans="15:17">
      <c r="O1821" s="386"/>
      <c r="P1821" s="356"/>
      <c r="Q1821" s="380"/>
    </row>
    <row r="1822" spans="15:17">
      <c r="O1822" s="386"/>
      <c r="P1822" s="356"/>
      <c r="Q1822" s="380"/>
    </row>
    <row r="1823" spans="15:17">
      <c r="O1823" s="386"/>
      <c r="P1823" s="356"/>
      <c r="Q1823" s="380"/>
    </row>
    <row r="1824" spans="15:17">
      <c r="O1824" s="386"/>
      <c r="P1824" s="356"/>
      <c r="Q1824" s="380"/>
    </row>
    <row r="1825" spans="15:17">
      <c r="O1825" s="386"/>
      <c r="P1825" s="356"/>
      <c r="Q1825" s="380"/>
    </row>
    <row r="1826" spans="15:17">
      <c r="O1826" s="386"/>
      <c r="P1826" s="356"/>
      <c r="Q1826" s="380"/>
    </row>
    <row r="1827" spans="15:17">
      <c r="O1827" s="386"/>
      <c r="P1827" s="356"/>
      <c r="Q1827" s="380"/>
    </row>
    <row r="1828" spans="15:17">
      <c r="O1828" s="386"/>
      <c r="P1828" s="356"/>
      <c r="Q1828" s="380"/>
    </row>
    <row r="1829" spans="15:17">
      <c r="O1829" s="386"/>
      <c r="P1829" s="356"/>
      <c r="Q1829" s="380"/>
    </row>
    <row r="1830" spans="15:17">
      <c r="O1830" s="386"/>
      <c r="P1830" s="356"/>
      <c r="Q1830" s="380"/>
    </row>
    <row r="1831" spans="15:17">
      <c r="O1831" s="386"/>
      <c r="P1831" s="356"/>
      <c r="Q1831" s="380"/>
    </row>
    <row r="1832" spans="15:17">
      <c r="O1832" s="386"/>
      <c r="P1832" s="356"/>
      <c r="Q1832" s="380"/>
    </row>
    <row r="1833" spans="15:17">
      <c r="O1833" s="386"/>
      <c r="P1833" s="356"/>
      <c r="Q1833" s="380"/>
    </row>
    <row r="1834" spans="15:17">
      <c r="O1834" s="386"/>
      <c r="P1834" s="356"/>
      <c r="Q1834" s="380"/>
    </row>
    <row r="1835" spans="15:17">
      <c r="O1835" s="386"/>
      <c r="P1835" s="356"/>
      <c r="Q1835" s="380"/>
    </row>
    <row r="1836" spans="15:17">
      <c r="O1836" s="386"/>
      <c r="P1836" s="356"/>
      <c r="Q1836" s="380"/>
    </row>
    <row r="1837" spans="15:17">
      <c r="O1837" s="386"/>
      <c r="P1837" s="356"/>
      <c r="Q1837" s="380"/>
    </row>
    <row r="1838" spans="15:17">
      <c r="O1838" s="386"/>
      <c r="P1838" s="356"/>
      <c r="Q1838" s="380"/>
    </row>
    <row r="1839" spans="15:17">
      <c r="O1839" s="386"/>
      <c r="P1839" s="356"/>
      <c r="Q1839" s="380"/>
    </row>
    <row r="1840" spans="15:17">
      <c r="O1840" s="386"/>
      <c r="P1840" s="356"/>
      <c r="Q1840" s="380"/>
    </row>
    <row r="1841" spans="15:17">
      <c r="O1841" s="386"/>
      <c r="P1841" s="356"/>
      <c r="Q1841" s="380"/>
    </row>
    <row r="1842" spans="15:17">
      <c r="O1842" s="386"/>
      <c r="P1842" s="356"/>
      <c r="Q1842" s="380"/>
    </row>
    <row r="1843" spans="15:17">
      <c r="O1843" s="386"/>
      <c r="P1843" s="356"/>
      <c r="Q1843" s="380"/>
    </row>
    <row r="1844" spans="15:17">
      <c r="O1844" s="386"/>
      <c r="P1844" s="356"/>
      <c r="Q1844" s="380"/>
    </row>
    <row r="1845" spans="15:17">
      <c r="O1845" s="386"/>
      <c r="P1845" s="356"/>
      <c r="Q1845" s="380"/>
    </row>
    <row r="1846" spans="15:17">
      <c r="O1846" s="386"/>
      <c r="P1846" s="356"/>
      <c r="Q1846" s="380"/>
    </row>
    <row r="1847" spans="15:17">
      <c r="O1847" s="386"/>
      <c r="P1847" s="356"/>
      <c r="Q1847" s="380"/>
    </row>
    <row r="1848" spans="15:17">
      <c r="O1848" s="386"/>
      <c r="P1848" s="356"/>
      <c r="Q1848" s="380"/>
    </row>
    <row r="1849" spans="15:17">
      <c r="O1849" s="386"/>
      <c r="P1849" s="356"/>
      <c r="Q1849" s="380"/>
    </row>
    <row r="1850" spans="15:17">
      <c r="O1850" s="386"/>
      <c r="P1850" s="356"/>
      <c r="Q1850" s="380"/>
    </row>
    <row r="1851" spans="15:17">
      <c r="O1851" s="386"/>
      <c r="P1851" s="356"/>
      <c r="Q1851" s="380"/>
    </row>
    <row r="1852" spans="15:17">
      <c r="O1852" s="386"/>
      <c r="P1852" s="356"/>
      <c r="Q1852" s="380"/>
    </row>
    <row r="1853" spans="15:17">
      <c r="O1853" s="386"/>
      <c r="P1853" s="356"/>
      <c r="Q1853" s="380"/>
    </row>
    <row r="1854" spans="15:17">
      <c r="O1854" s="386"/>
      <c r="P1854" s="356"/>
      <c r="Q1854" s="380"/>
    </row>
    <row r="1855" spans="15:17">
      <c r="O1855" s="386"/>
      <c r="P1855" s="356"/>
      <c r="Q1855" s="380"/>
    </row>
    <row r="1856" spans="15:17">
      <c r="O1856" s="386"/>
      <c r="P1856" s="356"/>
      <c r="Q1856" s="380"/>
    </row>
    <row r="1857" spans="15:17">
      <c r="O1857" s="386"/>
      <c r="P1857" s="356"/>
      <c r="Q1857" s="380"/>
    </row>
    <row r="1858" spans="15:17">
      <c r="O1858" s="386"/>
      <c r="P1858" s="356"/>
      <c r="Q1858" s="380"/>
    </row>
    <row r="1859" spans="15:17">
      <c r="O1859" s="386"/>
      <c r="P1859" s="356"/>
      <c r="Q1859" s="380"/>
    </row>
    <row r="1860" spans="15:17">
      <c r="O1860" s="386"/>
      <c r="P1860" s="356"/>
      <c r="Q1860" s="380"/>
    </row>
    <row r="1861" spans="15:17">
      <c r="O1861" s="386"/>
      <c r="P1861" s="356"/>
      <c r="Q1861" s="380"/>
    </row>
    <row r="1862" spans="15:17">
      <c r="O1862" s="386"/>
      <c r="P1862" s="356"/>
      <c r="Q1862" s="380"/>
    </row>
    <row r="1863" spans="15:17">
      <c r="O1863" s="386"/>
      <c r="P1863" s="356"/>
      <c r="Q1863" s="380"/>
    </row>
    <row r="1864" spans="15:17">
      <c r="O1864" s="386"/>
      <c r="P1864" s="356"/>
      <c r="Q1864" s="380"/>
    </row>
    <row r="1865" spans="15:17">
      <c r="O1865" s="386"/>
      <c r="P1865" s="356"/>
      <c r="Q1865" s="380"/>
    </row>
    <row r="1866" spans="15:17">
      <c r="O1866" s="386"/>
      <c r="P1866" s="356"/>
      <c r="Q1866" s="380"/>
    </row>
    <row r="1867" spans="15:17">
      <c r="O1867" s="386"/>
      <c r="P1867" s="356"/>
      <c r="Q1867" s="380"/>
    </row>
    <row r="1868" spans="15:17">
      <c r="O1868" s="386"/>
      <c r="P1868" s="356"/>
      <c r="Q1868" s="380"/>
    </row>
    <row r="1869" spans="15:17">
      <c r="O1869" s="386"/>
      <c r="P1869" s="356"/>
      <c r="Q1869" s="380"/>
    </row>
    <row r="1870" spans="15:17">
      <c r="O1870" s="386"/>
      <c r="P1870" s="356"/>
      <c r="Q1870" s="380"/>
    </row>
    <row r="1871" spans="15:17">
      <c r="O1871" s="386"/>
      <c r="P1871" s="356"/>
      <c r="Q1871" s="380"/>
    </row>
    <row r="1872" spans="15:17">
      <c r="O1872" s="386"/>
      <c r="P1872" s="356"/>
      <c r="Q1872" s="380"/>
    </row>
    <row r="1873" spans="15:17">
      <c r="O1873" s="386"/>
      <c r="P1873" s="356"/>
      <c r="Q1873" s="380"/>
    </row>
    <row r="1874" spans="15:17">
      <c r="O1874" s="386"/>
      <c r="P1874" s="356"/>
      <c r="Q1874" s="380"/>
    </row>
    <row r="1875" spans="15:17">
      <c r="O1875" s="386"/>
      <c r="P1875" s="356"/>
      <c r="Q1875" s="380"/>
    </row>
    <row r="1876" spans="15:17">
      <c r="O1876" s="386"/>
      <c r="P1876" s="356"/>
      <c r="Q1876" s="380"/>
    </row>
    <row r="1877" spans="15:17">
      <c r="O1877" s="386"/>
      <c r="P1877" s="356"/>
      <c r="Q1877" s="380"/>
    </row>
    <row r="1878" spans="15:17">
      <c r="O1878" s="386"/>
      <c r="P1878" s="356"/>
      <c r="Q1878" s="380"/>
    </row>
    <row r="1879" spans="15:17">
      <c r="O1879" s="386"/>
      <c r="P1879" s="356"/>
      <c r="Q1879" s="380"/>
    </row>
    <row r="1880" spans="15:17">
      <c r="O1880" s="386"/>
      <c r="P1880" s="356"/>
      <c r="Q1880" s="380"/>
    </row>
    <row r="1881" spans="15:17">
      <c r="O1881" s="386"/>
      <c r="P1881" s="356"/>
      <c r="Q1881" s="380"/>
    </row>
    <row r="1882" spans="15:17">
      <c r="O1882" s="386"/>
      <c r="P1882" s="356"/>
      <c r="Q1882" s="380"/>
    </row>
    <row r="1883" spans="15:17">
      <c r="O1883" s="386"/>
      <c r="P1883" s="356"/>
      <c r="Q1883" s="380"/>
    </row>
    <row r="1884" spans="15:17">
      <c r="O1884" s="386"/>
      <c r="P1884" s="356"/>
      <c r="Q1884" s="380"/>
    </row>
    <row r="1885" spans="15:17">
      <c r="O1885" s="386"/>
      <c r="P1885" s="356"/>
      <c r="Q1885" s="380"/>
    </row>
    <row r="1886" spans="15:17">
      <c r="O1886" s="386"/>
      <c r="P1886" s="356"/>
      <c r="Q1886" s="380"/>
    </row>
    <row r="1887" spans="15:17">
      <c r="O1887" s="386"/>
      <c r="P1887" s="356"/>
      <c r="Q1887" s="380"/>
    </row>
    <row r="1888" spans="15:17">
      <c r="O1888" s="386"/>
      <c r="P1888" s="356"/>
      <c r="Q1888" s="380"/>
    </row>
    <row r="1889" spans="15:17">
      <c r="O1889" s="386"/>
      <c r="P1889" s="356"/>
      <c r="Q1889" s="380"/>
    </row>
    <row r="1890" spans="15:17">
      <c r="O1890" s="386"/>
      <c r="P1890" s="356"/>
      <c r="Q1890" s="380"/>
    </row>
    <row r="1891" spans="15:17">
      <c r="O1891" s="386"/>
      <c r="P1891" s="356"/>
      <c r="Q1891" s="380"/>
    </row>
    <row r="1892" spans="15:17">
      <c r="O1892" s="386"/>
      <c r="P1892" s="356"/>
      <c r="Q1892" s="380"/>
    </row>
    <row r="1893" spans="15:17">
      <c r="O1893" s="386"/>
      <c r="P1893" s="356"/>
      <c r="Q1893" s="380"/>
    </row>
    <row r="1894" spans="15:17">
      <c r="O1894" s="386"/>
      <c r="P1894" s="356"/>
      <c r="Q1894" s="380"/>
    </row>
    <row r="1895" spans="15:17">
      <c r="O1895" s="386"/>
      <c r="P1895" s="356"/>
      <c r="Q1895" s="380"/>
    </row>
    <row r="1896" spans="15:17">
      <c r="O1896" s="386"/>
      <c r="P1896" s="356"/>
      <c r="Q1896" s="380"/>
    </row>
    <row r="1897" spans="15:17">
      <c r="O1897" s="386"/>
      <c r="P1897" s="356"/>
      <c r="Q1897" s="380"/>
    </row>
    <row r="1898" spans="15:17">
      <c r="O1898" s="386"/>
      <c r="P1898" s="356"/>
      <c r="Q1898" s="380"/>
    </row>
    <row r="1899" spans="15:17">
      <c r="O1899" s="386"/>
      <c r="P1899" s="356"/>
      <c r="Q1899" s="380"/>
    </row>
    <row r="1900" spans="15:17">
      <c r="O1900" s="386"/>
      <c r="P1900" s="356"/>
      <c r="Q1900" s="380"/>
    </row>
    <row r="1901" spans="15:17">
      <c r="O1901" s="386"/>
      <c r="P1901" s="356"/>
      <c r="Q1901" s="380"/>
    </row>
    <row r="1902" spans="15:17">
      <c r="O1902" s="386"/>
      <c r="P1902" s="356"/>
      <c r="Q1902" s="380"/>
    </row>
    <row r="1903" spans="15:17">
      <c r="O1903" s="386"/>
      <c r="P1903" s="356"/>
      <c r="Q1903" s="380"/>
    </row>
    <row r="1904" spans="15:17">
      <c r="O1904" s="386"/>
      <c r="P1904" s="356"/>
      <c r="Q1904" s="380"/>
    </row>
    <row r="1905" spans="15:20">
      <c r="O1905" s="386"/>
      <c r="P1905" s="356"/>
      <c r="Q1905" s="380"/>
    </row>
    <row r="1906" spans="15:20">
      <c r="O1906" s="386"/>
      <c r="P1906" s="356"/>
      <c r="Q1906" s="380"/>
    </row>
    <row r="1907" spans="15:20">
      <c r="O1907" s="386"/>
      <c r="P1907" s="356"/>
      <c r="Q1907" s="380"/>
    </row>
    <row r="1908" spans="15:20" ht="26.25">
      <c r="O1908" s="386"/>
      <c r="P1908" s="356"/>
      <c r="Q1908" s="380"/>
      <c r="T1908" s="62" ph="1"/>
    </row>
    <row r="1909" spans="15:20">
      <c r="O1909" s="386"/>
      <c r="P1909" s="356"/>
      <c r="Q1909" s="380"/>
    </row>
    <row r="1910" spans="15:20">
      <c r="O1910" s="386"/>
      <c r="P1910" s="356"/>
      <c r="Q1910" s="380"/>
    </row>
    <row r="1911" spans="15:20">
      <c r="O1911" s="386"/>
      <c r="P1911" s="356"/>
      <c r="Q1911" s="380"/>
    </row>
    <row r="1912" spans="15:20">
      <c r="O1912" s="386"/>
      <c r="P1912" s="356"/>
      <c r="Q1912" s="380"/>
    </row>
    <row r="1913" spans="15:20">
      <c r="O1913" s="386"/>
      <c r="P1913" s="356"/>
      <c r="Q1913" s="380"/>
    </row>
    <row r="1914" spans="15:20">
      <c r="O1914" s="386"/>
      <c r="P1914" s="356"/>
      <c r="Q1914" s="380"/>
    </row>
    <row r="1915" spans="15:20">
      <c r="O1915" s="386"/>
      <c r="P1915" s="356"/>
      <c r="Q1915" s="380"/>
    </row>
    <row r="1916" spans="15:20">
      <c r="O1916" s="386"/>
      <c r="P1916" s="356"/>
      <c r="Q1916" s="380"/>
    </row>
    <row r="1917" spans="15:20">
      <c r="O1917" s="386"/>
      <c r="P1917" s="356"/>
      <c r="Q1917" s="380"/>
    </row>
    <row r="1918" spans="15:20" ht="26.25">
      <c r="O1918" s="386"/>
      <c r="P1918" s="356"/>
      <c r="Q1918" s="380"/>
      <c r="T1918" s="62" ph="1"/>
    </row>
    <row r="1919" spans="15:20">
      <c r="O1919" s="386"/>
      <c r="P1919" s="356"/>
      <c r="Q1919" s="380"/>
    </row>
    <row r="1920" spans="15:20">
      <c r="O1920" s="386"/>
      <c r="P1920" s="356"/>
      <c r="Q1920" s="380"/>
    </row>
    <row r="1921" spans="15:20">
      <c r="O1921" s="386"/>
      <c r="P1921" s="356"/>
      <c r="Q1921" s="380"/>
    </row>
    <row r="1922" spans="15:20" ht="26.25">
      <c r="O1922" s="386"/>
      <c r="P1922" s="356"/>
      <c r="Q1922" s="380"/>
      <c r="T1922" s="62" ph="1"/>
    </row>
    <row r="1923" spans="15:20">
      <c r="O1923" s="386"/>
      <c r="P1923" s="356"/>
      <c r="Q1923" s="380"/>
    </row>
    <row r="1924" spans="15:20">
      <c r="O1924" s="386"/>
      <c r="P1924" s="356"/>
      <c r="Q1924" s="380"/>
    </row>
    <row r="1925" spans="15:20">
      <c r="O1925" s="386"/>
      <c r="P1925" s="356"/>
      <c r="Q1925" s="380"/>
    </row>
    <row r="1926" spans="15:20">
      <c r="O1926" s="386"/>
      <c r="P1926" s="356"/>
      <c r="Q1926" s="380"/>
    </row>
    <row r="1927" spans="15:20" ht="26.25">
      <c r="O1927" s="386"/>
      <c r="P1927" s="356"/>
      <c r="Q1927" s="380"/>
      <c r="T1927" s="62" ph="1"/>
    </row>
    <row r="1928" spans="15:20" ht="26.25">
      <c r="O1928" s="386"/>
      <c r="P1928" s="356"/>
      <c r="Q1928" s="380"/>
      <c r="T1928" s="62" ph="1"/>
    </row>
    <row r="1929" spans="15:20" ht="26.25">
      <c r="O1929" s="386"/>
      <c r="P1929" s="356"/>
      <c r="Q1929" s="380"/>
      <c r="T1929" s="62" ph="1"/>
    </row>
    <row r="1930" spans="15:20">
      <c r="O1930" s="386"/>
      <c r="P1930" s="356"/>
      <c r="Q1930" s="380"/>
    </row>
    <row r="1931" spans="15:20" ht="26.25">
      <c r="O1931" s="386"/>
      <c r="P1931" s="356"/>
      <c r="Q1931" s="380"/>
      <c r="T1931" s="62" ph="1"/>
    </row>
    <row r="1932" spans="15:20" ht="26.25">
      <c r="O1932" s="386"/>
      <c r="P1932" s="356"/>
      <c r="Q1932" s="380"/>
      <c r="T1932" s="62" ph="1"/>
    </row>
    <row r="1933" spans="15:20">
      <c r="O1933" s="386"/>
      <c r="P1933" s="356"/>
      <c r="Q1933" s="380"/>
    </row>
    <row r="1934" spans="15:20" ht="26.25">
      <c r="O1934" s="386"/>
      <c r="P1934" s="356"/>
      <c r="Q1934" s="380"/>
      <c r="T1934" s="62" ph="1"/>
    </row>
    <row r="1935" spans="15:20">
      <c r="O1935" s="386"/>
      <c r="P1935" s="356"/>
      <c r="Q1935" s="380"/>
    </row>
    <row r="1936" spans="15:20" ht="26.25">
      <c r="O1936" s="386"/>
      <c r="P1936" s="356"/>
      <c r="Q1936" s="380"/>
      <c r="T1936" s="62" ph="1"/>
    </row>
    <row r="1937" spans="15:20" ht="26.25">
      <c r="O1937" s="386"/>
      <c r="P1937" s="356"/>
      <c r="Q1937" s="380"/>
      <c r="T1937" s="62" ph="1"/>
    </row>
    <row r="1938" spans="15:20" ht="26.25">
      <c r="O1938" s="386"/>
      <c r="P1938" s="356"/>
      <c r="Q1938" s="380"/>
      <c r="T1938" s="62" ph="1"/>
    </row>
    <row r="1939" spans="15:20" ht="26.25">
      <c r="O1939" s="386"/>
      <c r="P1939" s="356"/>
      <c r="Q1939" s="380"/>
      <c r="T1939" s="62" ph="1"/>
    </row>
    <row r="1940" spans="15:20" ht="26.25">
      <c r="O1940" s="386"/>
      <c r="P1940" s="356"/>
      <c r="Q1940" s="380"/>
      <c r="T1940" s="62" ph="1"/>
    </row>
    <row r="1941" spans="15:20" ht="26.25">
      <c r="O1941" s="386"/>
      <c r="P1941" s="356"/>
      <c r="Q1941" s="380"/>
      <c r="T1941" s="62" ph="1"/>
    </row>
    <row r="1942" spans="15:20" ht="26.25">
      <c r="O1942" s="386"/>
      <c r="P1942" s="356"/>
      <c r="Q1942" s="380"/>
      <c r="T1942" s="62" ph="1"/>
    </row>
    <row r="1943" spans="15:20" ht="26.25">
      <c r="O1943" s="386"/>
      <c r="P1943" s="356"/>
      <c r="Q1943" s="380"/>
      <c r="T1943" s="62" ph="1"/>
    </row>
    <row r="1944" spans="15:20" ht="26.25">
      <c r="O1944" s="386"/>
      <c r="P1944" s="356"/>
      <c r="Q1944" s="380"/>
      <c r="T1944" s="62" ph="1"/>
    </row>
    <row r="1945" spans="15:20" ht="26.25">
      <c r="O1945" s="386"/>
      <c r="P1945" s="356"/>
      <c r="Q1945" s="380"/>
      <c r="T1945" s="62" ph="1"/>
    </row>
    <row r="1946" spans="15:20">
      <c r="O1946" s="386"/>
      <c r="P1946" s="356"/>
      <c r="Q1946" s="380"/>
    </row>
    <row r="1947" spans="15:20" ht="26.25">
      <c r="O1947" s="386"/>
      <c r="P1947" s="356"/>
      <c r="Q1947" s="380"/>
      <c r="T1947" s="62" ph="1"/>
    </row>
    <row r="1948" spans="15:20" ht="26.25">
      <c r="O1948" s="386"/>
      <c r="P1948" s="356"/>
      <c r="Q1948" s="380"/>
      <c r="T1948" s="62" ph="1"/>
    </row>
    <row r="1949" spans="15:20" ht="26.25">
      <c r="O1949" s="386"/>
      <c r="P1949" s="356"/>
      <c r="Q1949" s="380"/>
      <c r="T1949" s="62" ph="1"/>
    </row>
    <row r="1950" spans="15:20" ht="26.25">
      <c r="O1950" s="386"/>
      <c r="P1950" s="356"/>
      <c r="Q1950" s="380"/>
      <c r="T1950" s="62" ph="1"/>
    </row>
    <row r="1951" spans="15:20" ht="26.25">
      <c r="O1951" s="386"/>
      <c r="P1951" s="356"/>
      <c r="Q1951" s="380"/>
      <c r="T1951" s="62" ph="1"/>
    </row>
    <row r="1952" spans="15:20" ht="26.25">
      <c r="O1952" s="386"/>
      <c r="P1952" s="356"/>
      <c r="Q1952" s="380"/>
      <c r="T1952" s="62" ph="1"/>
    </row>
    <row r="1953" spans="15:20" ht="26.25">
      <c r="O1953" s="386"/>
      <c r="P1953" s="356"/>
      <c r="Q1953" s="380"/>
      <c r="T1953" s="62" ph="1"/>
    </row>
    <row r="1954" spans="15:20" ht="26.25">
      <c r="O1954" s="386"/>
      <c r="P1954" s="356"/>
      <c r="Q1954" s="380"/>
      <c r="T1954" s="62" ph="1"/>
    </row>
    <row r="1955" spans="15:20">
      <c r="O1955" s="386"/>
      <c r="P1955" s="356"/>
      <c r="Q1955" s="380"/>
    </row>
    <row r="1956" spans="15:20" ht="26.25">
      <c r="O1956" s="386"/>
      <c r="P1956" s="356"/>
      <c r="Q1956" s="380"/>
      <c r="T1956" s="62" ph="1"/>
    </row>
    <row r="1957" spans="15:20" ht="26.25">
      <c r="O1957" s="386"/>
      <c r="P1957" s="356"/>
      <c r="Q1957" s="380"/>
      <c r="T1957" s="62" ph="1"/>
    </row>
    <row r="1958" spans="15:20" ht="26.25">
      <c r="O1958" s="386"/>
      <c r="P1958" s="356"/>
      <c r="Q1958" s="380"/>
      <c r="T1958" s="62" ph="1"/>
    </row>
    <row r="1959" spans="15:20" ht="26.25">
      <c r="O1959" s="386"/>
      <c r="P1959" s="356"/>
      <c r="Q1959" s="380"/>
      <c r="T1959" s="62" ph="1"/>
    </row>
    <row r="1960" spans="15:20" ht="26.25">
      <c r="O1960" s="386"/>
      <c r="P1960" s="356"/>
      <c r="Q1960" s="380"/>
      <c r="T1960" s="62" ph="1"/>
    </row>
    <row r="1961" spans="15:20" ht="26.25">
      <c r="O1961" s="386"/>
      <c r="P1961" s="356"/>
      <c r="Q1961" s="380"/>
      <c r="T1961" s="62" ph="1"/>
    </row>
    <row r="1962" spans="15:20" ht="26.25">
      <c r="O1962" s="386"/>
      <c r="P1962" s="356"/>
      <c r="Q1962" s="380"/>
      <c r="T1962" s="62" ph="1"/>
    </row>
    <row r="1963" spans="15:20" ht="26.25">
      <c r="O1963" s="386"/>
      <c r="P1963" s="356"/>
      <c r="Q1963" s="380"/>
      <c r="T1963" s="62" ph="1"/>
    </row>
    <row r="1964" spans="15:20" ht="26.25">
      <c r="O1964" s="386"/>
      <c r="P1964" s="356"/>
      <c r="Q1964" s="380"/>
      <c r="T1964" s="62" ph="1"/>
    </row>
    <row r="1965" spans="15:20" ht="26.25">
      <c r="O1965" s="386"/>
      <c r="P1965" s="356"/>
      <c r="Q1965" s="380"/>
      <c r="T1965" s="62" ph="1"/>
    </row>
    <row r="1966" spans="15:20" ht="26.25">
      <c r="O1966" s="386"/>
      <c r="P1966" s="356"/>
      <c r="Q1966" s="380"/>
      <c r="T1966" s="62" ph="1"/>
    </row>
    <row r="1967" spans="15:20">
      <c r="O1967" s="386"/>
      <c r="P1967" s="356"/>
      <c r="Q1967" s="380"/>
    </row>
    <row r="1968" spans="15:20" ht="26.25">
      <c r="O1968" s="386"/>
      <c r="P1968" s="356"/>
      <c r="Q1968" s="380"/>
      <c r="T1968" s="62" ph="1"/>
    </row>
    <row r="1969" spans="15:20" ht="26.25">
      <c r="O1969" s="386"/>
      <c r="P1969" s="356"/>
      <c r="Q1969" s="380"/>
      <c r="T1969" s="62" ph="1"/>
    </row>
    <row r="1970" spans="15:20" ht="26.25">
      <c r="O1970" s="386"/>
      <c r="P1970" s="356"/>
      <c r="Q1970" s="380"/>
      <c r="T1970" s="62" ph="1"/>
    </row>
    <row r="1971" spans="15:20" ht="26.25">
      <c r="O1971" s="386"/>
      <c r="P1971" s="356"/>
      <c r="Q1971" s="380"/>
      <c r="T1971" s="62" ph="1"/>
    </row>
    <row r="1972" spans="15:20" ht="26.25">
      <c r="O1972" s="386"/>
      <c r="P1972" s="356"/>
      <c r="Q1972" s="380"/>
      <c r="T1972" s="62" ph="1"/>
    </row>
    <row r="1973" spans="15:20" ht="26.25">
      <c r="O1973" s="386"/>
      <c r="P1973" s="356"/>
      <c r="Q1973" s="380"/>
      <c r="T1973" s="62" ph="1"/>
    </row>
    <row r="1974" spans="15:20" ht="26.25">
      <c r="O1974" s="386"/>
      <c r="P1974" s="356"/>
      <c r="Q1974" s="380"/>
      <c r="T1974" s="62" ph="1"/>
    </row>
    <row r="1975" spans="15:20" ht="26.25">
      <c r="O1975" s="386"/>
      <c r="P1975" s="356"/>
      <c r="Q1975" s="380"/>
      <c r="T1975" s="62" ph="1"/>
    </row>
    <row r="1976" spans="15:20">
      <c r="O1976" s="386"/>
      <c r="P1976" s="356"/>
      <c r="Q1976" s="380"/>
    </row>
    <row r="1977" spans="15:20" ht="26.25">
      <c r="O1977" s="386"/>
      <c r="P1977" s="356"/>
      <c r="Q1977" s="380"/>
      <c r="T1977" s="62" ph="1"/>
    </row>
    <row r="1978" spans="15:20" ht="26.25">
      <c r="O1978" s="386"/>
      <c r="P1978" s="356"/>
      <c r="Q1978" s="380"/>
      <c r="T1978" s="62" ph="1"/>
    </row>
    <row r="1979" spans="15:20" ht="26.25">
      <c r="O1979" s="386"/>
      <c r="P1979" s="356"/>
      <c r="Q1979" s="380"/>
      <c r="T1979" s="62" ph="1"/>
    </row>
    <row r="1980" spans="15:20" ht="26.25">
      <c r="O1980" s="386"/>
      <c r="P1980" s="356"/>
      <c r="Q1980" s="380"/>
      <c r="T1980" s="62" ph="1"/>
    </row>
    <row r="1981" spans="15:20" ht="26.25">
      <c r="O1981" s="386"/>
      <c r="P1981" s="356"/>
      <c r="Q1981" s="380"/>
      <c r="T1981" s="62" ph="1"/>
    </row>
    <row r="1982" spans="15:20" ht="26.25">
      <c r="O1982" s="386"/>
      <c r="P1982" s="356"/>
      <c r="Q1982" s="380"/>
      <c r="T1982" s="62" ph="1"/>
    </row>
    <row r="1983" spans="15:20" ht="26.25">
      <c r="O1983" s="386"/>
      <c r="P1983" s="356"/>
      <c r="Q1983" s="380"/>
      <c r="T1983" s="62" ph="1"/>
    </row>
    <row r="1984" spans="15:20" ht="26.25">
      <c r="O1984" s="386"/>
      <c r="P1984" s="356"/>
      <c r="Q1984" s="380"/>
      <c r="T1984" s="62" ph="1"/>
    </row>
    <row r="1985" spans="15:20" ht="26.25">
      <c r="O1985" s="386"/>
      <c r="P1985" s="356"/>
      <c r="Q1985" s="380"/>
      <c r="T1985" s="62" ph="1"/>
    </row>
    <row r="1986" spans="15:20" ht="26.25">
      <c r="O1986" s="386"/>
      <c r="P1986" s="356"/>
      <c r="Q1986" s="380"/>
      <c r="T1986" s="62" ph="1"/>
    </row>
    <row r="1987" spans="15:20" ht="26.25">
      <c r="O1987" s="386"/>
      <c r="P1987" s="356"/>
      <c r="Q1987" s="380"/>
      <c r="T1987" s="62" ph="1"/>
    </row>
    <row r="1988" spans="15:20" ht="26.25">
      <c r="O1988" s="386"/>
      <c r="P1988" s="356"/>
      <c r="Q1988" s="380"/>
      <c r="T1988" s="62" ph="1"/>
    </row>
    <row r="1989" spans="15:20" ht="26.25">
      <c r="O1989" s="386"/>
      <c r="P1989" s="356"/>
      <c r="Q1989" s="380"/>
      <c r="T1989" s="62" ph="1"/>
    </row>
    <row r="1990" spans="15:20" ht="26.25">
      <c r="O1990" s="386"/>
      <c r="P1990" s="356"/>
      <c r="Q1990" s="380"/>
      <c r="T1990" s="62" ph="1"/>
    </row>
    <row r="1991" spans="15:20" ht="26.25">
      <c r="O1991" s="386"/>
      <c r="P1991" s="356"/>
      <c r="Q1991" s="380"/>
      <c r="T1991" s="62" ph="1"/>
    </row>
    <row r="1992" spans="15:20" ht="26.25">
      <c r="O1992" s="386"/>
      <c r="P1992" s="356"/>
      <c r="Q1992" s="380"/>
      <c r="T1992" s="62" ph="1"/>
    </row>
    <row r="1993" spans="15:20" ht="26.25">
      <c r="O1993" s="386"/>
      <c r="P1993" s="356"/>
      <c r="Q1993" s="380"/>
      <c r="T1993" s="62" ph="1"/>
    </row>
    <row r="1994" spans="15:20" ht="26.25">
      <c r="O1994" s="386"/>
      <c r="P1994" s="356"/>
      <c r="Q1994" s="380"/>
      <c r="T1994" s="62" ph="1"/>
    </row>
    <row r="1995" spans="15:20" ht="26.25">
      <c r="O1995" s="386"/>
      <c r="P1995" s="356"/>
      <c r="Q1995" s="380"/>
      <c r="T1995" s="62" ph="1"/>
    </row>
    <row r="1996" spans="15:20" ht="26.25">
      <c r="O1996" s="386"/>
      <c r="P1996" s="356"/>
      <c r="Q1996" s="380"/>
      <c r="T1996" s="62" ph="1"/>
    </row>
    <row r="1997" spans="15:20" ht="26.25">
      <c r="O1997" s="386"/>
      <c r="P1997" s="356"/>
      <c r="Q1997" s="380"/>
      <c r="T1997" s="62" ph="1"/>
    </row>
    <row r="1998" spans="15:20" ht="26.25">
      <c r="O1998" s="386"/>
      <c r="P1998" s="356"/>
      <c r="Q1998" s="380"/>
      <c r="T1998" s="62" ph="1"/>
    </row>
    <row r="1999" spans="15:20" ht="26.25">
      <c r="O1999" s="386"/>
      <c r="P1999" s="356"/>
      <c r="Q1999" s="380"/>
      <c r="T1999" s="62" ph="1"/>
    </row>
    <row r="2000" spans="15:20" ht="26.25">
      <c r="O2000" s="386"/>
      <c r="P2000" s="356"/>
      <c r="Q2000" s="380"/>
      <c r="T2000" s="62" ph="1"/>
    </row>
    <row r="2001" spans="15:20" ht="26.25">
      <c r="O2001" s="386"/>
      <c r="P2001" s="356"/>
      <c r="Q2001" s="380"/>
      <c r="T2001" s="62" ph="1"/>
    </row>
    <row r="2002" spans="15:20" ht="26.25">
      <c r="O2002" s="386"/>
      <c r="P2002" s="356"/>
      <c r="Q2002" s="380"/>
      <c r="T2002" s="62" ph="1"/>
    </row>
    <row r="2003" spans="15:20" ht="26.25">
      <c r="O2003" s="386"/>
      <c r="P2003" s="356"/>
      <c r="Q2003" s="380"/>
      <c r="T2003" s="62" ph="1"/>
    </row>
    <row r="2004" spans="15:20" ht="26.25">
      <c r="O2004" s="386"/>
      <c r="P2004" s="356"/>
      <c r="Q2004" s="380"/>
      <c r="T2004" s="62" ph="1"/>
    </row>
    <row r="2005" spans="15:20" ht="26.25">
      <c r="O2005" s="386"/>
      <c r="P2005" s="356"/>
      <c r="Q2005" s="380"/>
      <c r="T2005" s="62" ph="1"/>
    </row>
    <row r="2006" spans="15:20" ht="26.25">
      <c r="O2006" s="386"/>
      <c r="P2006" s="356"/>
      <c r="Q2006" s="380"/>
      <c r="T2006" s="62" ph="1"/>
    </row>
    <row r="2007" spans="15:20" ht="26.25">
      <c r="O2007" s="386"/>
      <c r="P2007" s="356"/>
      <c r="Q2007" s="380"/>
      <c r="T2007" s="62" ph="1"/>
    </row>
    <row r="2008" spans="15:20" ht="26.25">
      <c r="O2008" s="386"/>
      <c r="P2008" s="356"/>
      <c r="Q2008" s="380"/>
      <c r="T2008" s="62" ph="1"/>
    </row>
    <row r="2009" spans="15:20" ht="26.25">
      <c r="O2009" s="386"/>
      <c r="P2009" s="356"/>
      <c r="Q2009" s="380"/>
      <c r="T2009" s="62" ph="1"/>
    </row>
    <row r="2010" spans="15:20" ht="26.25">
      <c r="O2010" s="386"/>
      <c r="P2010" s="356"/>
      <c r="Q2010" s="380"/>
      <c r="T2010" s="62" ph="1"/>
    </row>
    <row r="2011" spans="15:20" ht="26.25">
      <c r="O2011" s="386"/>
      <c r="P2011" s="356"/>
      <c r="Q2011" s="380"/>
      <c r="T2011" s="62" ph="1"/>
    </row>
    <row r="2012" spans="15:20" ht="26.25">
      <c r="O2012" s="386"/>
      <c r="P2012" s="356"/>
      <c r="Q2012" s="380"/>
      <c r="T2012" s="62" ph="1"/>
    </row>
    <row r="2013" spans="15:20" ht="26.25">
      <c r="O2013" s="386"/>
      <c r="P2013" s="356"/>
      <c r="Q2013" s="380"/>
      <c r="T2013" s="62" ph="1"/>
    </row>
    <row r="2014" spans="15:20" ht="26.25">
      <c r="O2014" s="386"/>
      <c r="P2014" s="356"/>
      <c r="Q2014" s="380"/>
      <c r="T2014" s="62" ph="1"/>
    </row>
    <row r="2015" spans="15:20" ht="26.25">
      <c r="O2015" s="386"/>
      <c r="P2015" s="356"/>
      <c r="Q2015" s="380"/>
      <c r="T2015" s="62" ph="1"/>
    </row>
    <row r="2016" spans="15:20" ht="26.25">
      <c r="O2016" s="386"/>
      <c r="P2016" s="356"/>
      <c r="Q2016" s="380"/>
      <c r="T2016" s="62" ph="1"/>
    </row>
    <row r="2017" spans="15:20" ht="26.25">
      <c r="O2017" s="386"/>
      <c r="P2017" s="356"/>
      <c r="Q2017" s="380"/>
      <c r="T2017" s="62" ph="1"/>
    </row>
    <row r="2018" spans="15:20" ht="26.25">
      <c r="O2018" s="386"/>
      <c r="P2018" s="356"/>
      <c r="Q2018" s="380"/>
      <c r="T2018" s="62" ph="1"/>
    </row>
    <row r="2019" spans="15:20" ht="26.25">
      <c r="O2019" s="386"/>
      <c r="P2019" s="356"/>
      <c r="Q2019" s="380"/>
      <c r="T2019" s="62" ph="1"/>
    </row>
    <row r="2020" spans="15:20" ht="26.25">
      <c r="O2020" s="386"/>
      <c r="P2020" s="356"/>
      <c r="Q2020" s="380"/>
      <c r="T2020" s="62" ph="1"/>
    </row>
    <row r="2021" spans="15:20" ht="26.25">
      <c r="O2021" s="386"/>
      <c r="P2021" s="356"/>
      <c r="Q2021" s="380"/>
      <c r="T2021" s="62" ph="1"/>
    </row>
    <row r="2022" spans="15:20" ht="26.25">
      <c r="O2022" s="386"/>
      <c r="P2022" s="356"/>
      <c r="Q2022" s="380"/>
      <c r="T2022" s="62" ph="1"/>
    </row>
    <row r="2023" spans="15:20" ht="26.25">
      <c r="O2023" s="386"/>
      <c r="P2023" s="356"/>
      <c r="Q2023" s="380"/>
      <c r="T2023" s="62" ph="1"/>
    </row>
    <row r="2024" spans="15:20" ht="26.25">
      <c r="O2024" s="386"/>
      <c r="P2024" s="356"/>
      <c r="Q2024" s="380"/>
      <c r="T2024" s="62" ph="1"/>
    </row>
    <row r="2025" spans="15:20" ht="26.25">
      <c r="O2025" s="386"/>
      <c r="P2025" s="356"/>
      <c r="Q2025" s="380"/>
      <c r="T2025" s="62" ph="1"/>
    </row>
    <row r="2026" spans="15:20" ht="26.25">
      <c r="O2026" s="386"/>
      <c r="P2026" s="356"/>
      <c r="Q2026" s="380"/>
      <c r="T2026" s="62" ph="1"/>
    </row>
    <row r="2027" spans="15:20" ht="26.25">
      <c r="O2027" s="386"/>
      <c r="P2027" s="356"/>
      <c r="Q2027" s="380"/>
      <c r="T2027" s="62" ph="1"/>
    </row>
    <row r="2028" spans="15:20" ht="26.25">
      <c r="O2028" s="386"/>
      <c r="P2028" s="356"/>
      <c r="Q2028" s="380"/>
      <c r="T2028" s="62" ph="1"/>
    </row>
    <row r="2029" spans="15:20" ht="26.25">
      <c r="O2029" s="386"/>
      <c r="P2029" s="356"/>
      <c r="Q2029" s="380"/>
      <c r="T2029" s="62" ph="1"/>
    </row>
    <row r="2030" spans="15:20" ht="26.25">
      <c r="O2030" s="386"/>
      <c r="P2030" s="356"/>
      <c r="Q2030" s="380"/>
      <c r="T2030" s="62" ph="1"/>
    </row>
    <row r="2031" spans="15:20" ht="26.25">
      <c r="O2031" s="386"/>
      <c r="P2031" s="356"/>
      <c r="Q2031" s="380"/>
      <c r="T2031" s="62" ph="1"/>
    </row>
    <row r="2032" spans="15:20" ht="26.25">
      <c r="O2032" s="386"/>
      <c r="P2032" s="356"/>
      <c r="Q2032" s="380"/>
      <c r="T2032" s="62" ph="1"/>
    </row>
    <row r="2033" spans="15:20" ht="26.25">
      <c r="O2033" s="386"/>
      <c r="P2033" s="356"/>
      <c r="Q2033" s="380"/>
      <c r="T2033" s="62" ph="1"/>
    </row>
    <row r="2034" spans="15:20" ht="26.25">
      <c r="O2034" s="386"/>
      <c r="P2034" s="356"/>
      <c r="Q2034" s="380"/>
      <c r="T2034" s="62" ph="1"/>
    </row>
    <row r="2035" spans="15:20" ht="26.25">
      <c r="O2035" s="386"/>
      <c r="P2035" s="356"/>
      <c r="Q2035" s="380"/>
      <c r="T2035" s="62" ph="1"/>
    </row>
    <row r="2036" spans="15:20" ht="26.25">
      <c r="O2036" s="386"/>
      <c r="P2036" s="356"/>
      <c r="Q2036" s="380"/>
      <c r="T2036" s="62" ph="1"/>
    </row>
    <row r="2037" spans="15:20" ht="26.25">
      <c r="O2037" s="386"/>
      <c r="P2037" s="356"/>
      <c r="Q2037" s="380"/>
      <c r="T2037" s="62" ph="1"/>
    </row>
    <row r="2038" spans="15:20" ht="26.25">
      <c r="O2038" s="386"/>
      <c r="P2038" s="356"/>
      <c r="Q2038" s="380"/>
      <c r="T2038" s="62" ph="1"/>
    </row>
    <row r="2039" spans="15:20" ht="26.25">
      <c r="O2039" s="386"/>
      <c r="P2039" s="356"/>
      <c r="Q2039" s="380"/>
      <c r="T2039" s="62" ph="1"/>
    </row>
    <row r="2040" spans="15:20" ht="26.25">
      <c r="O2040" s="386"/>
      <c r="P2040" s="356"/>
      <c r="Q2040" s="380"/>
      <c r="T2040" s="62" ph="1"/>
    </row>
    <row r="2041" spans="15:20" ht="26.25">
      <c r="O2041" s="386"/>
      <c r="P2041" s="356"/>
      <c r="Q2041" s="380"/>
      <c r="T2041" s="62" ph="1"/>
    </row>
    <row r="2042" spans="15:20" ht="26.25">
      <c r="O2042" s="386"/>
      <c r="P2042" s="356"/>
      <c r="Q2042" s="380"/>
      <c r="T2042" s="62" ph="1"/>
    </row>
    <row r="2043" spans="15:20" ht="26.25">
      <c r="O2043" s="386"/>
      <c r="P2043" s="356"/>
      <c r="Q2043" s="380"/>
      <c r="T2043" s="62" ph="1"/>
    </row>
    <row r="2044" spans="15:20" ht="26.25">
      <c r="O2044" s="386"/>
      <c r="P2044" s="356"/>
      <c r="Q2044" s="380"/>
      <c r="T2044" s="62" ph="1"/>
    </row>
    <row r="2045" spans="15:20" ht="26.25">
      <c r="O2045" s="386"/>
      <c r="P2045" s="356"/>
      <c r="Q2045" s="380"/>
      <c r="T2045" s="62" ph="1"/>
    </row>
    <row r="2046" spans="15:20" ht="26.25">
      <c r="O2046" s="386"/>
      <c r="P2046" s="356"/>
      <c r="Q2046" s="380"/>
      <c r="T2046" s="62" ph="1"/>
    </row>
    <row r="2047" spans="15:20" ht="26.25">
      <c r="O2047" s="386"/>
      <c r="P2047" s="356"/>
      <c r="Q2047" s="380"/>
      <c r="T2047" s="62" ph="1"/>
    </row>
    <row r="2048" spans="15:20" ht="26.25">
      <c r="O2048" s="386"/>
      <c r="P2048" s="356"/>
      <c r="Q2048" s="380"/>
      <c r="T2048" s="62" ph="1"/>
    </row>
    <row r="2049" spans="15:20" ht="26.25">
      <c r="O2049" s="386"/>
      <c r="P2049" s="356"/>
      <c r="Q2049" s="380"/>
      <c r="T2049" s="62" ph="1"/>
    </row>
    <row r="2050" spans="15:20" ht="26.25">
      <c r="O2050" s="386"/>
      <c r="P2050" s="356"/>
      <c r="Q2050" s="380"/>
      <c r="T2050" s="62" ph="1"/>
    </row>
    <row r="2051" spans="15:20" ht="26.25">
      <c r="O2051" s="386"/>
      <c r="P2051" s="356"/>
      <c r="Q2051" s="380"/>
      <c r="T2051" s="62" ph="1"/>
    </row>
    <row r="2052" spans="15:20" ht="26.25">
      <c r="O2052" s="386"/>
      <c r="P2052" s="356"/>
      <c r="Q2052" s="380"/>
      <c r="T2052" s="62" ph="1"/>
    </row>
    <row r="2053" spans="15:20" ht="26.25">
      <c r="O2053" s="386"/>
      <c r="P2053" s="356"/>
      <c r="Q2053" s="380"/>
      <c r="T2053" s="62" ph="1"/>
    </row>
    <row r="2054" spans="15:20" ht="26.25">
      <c r="O2054" s="386"/>
      <c r="P2054" s="356"/>
      <c r="Q2054" s="380"/>
      <c r="T2054" s="62" ph="1"/>
    </row>
    <row r="2055" spans="15:20" ht="26.25">
      <c r="O2055" s="386"/>
      <c r="P2055" s="356"/>
      <c r="Q2055" s="380"/>
      <c r="T2055" s="62" ph="1"/>
    </row>
    <row r="2056" spans="15:20" ht="26.25">
      <c r="O2056" s="386"/>
      <c r="P2056" s="356"/>
      <c r="Q2056" s="380"/>
      <c r="T2056" s="62" ph="1"/>
    </row>
    <row r="2057" spans="15:20" ht="26.25">
      <c r="O2057" s="386"/>
      <c r="P2057" s="356"/>
      <c r="Q2057" s="380"/>
      <c r="T2057" s="62" ph="1"/>
    </row>
    <row r="2058" spans="15:20" ht="26.25">
      <c r="O2058" s="386"/>
      <c r="P2058" s="356"/>
      <c r="Q2058" s="380"/>
      <c r="T2058" s="62" ph="1"/>
    </row>
    <row r="2059" spans="15:20" ht="26.25">
      <c r="O2059" s="386"/>
      <c r="P2059" s="356"/>
      <c r="Q2059" s="380"/>
      <c r="T2059" s="62" ph="1"/>
    </row>
    <row r="2060" spans="15:20" ht="26.25">
      <c r="O2060" s="386"/>
      <c r="P2060" s="356"/>
      <c r="Q2060" s="380"/>
      <c r="T2060" s="62" ph="1"/>
    </row>
    <row r="2061" spans="15:20" ht="26.25">
      <c r="O2061" s="386"/>
      <c r="P2061" s="356"/>
      <c r="Q2061" s="380"/>
      <c r="T2061" s="62" ph="1"/>
    </row>
    <row r="2062" spans="15:20" ht="26.25">
      <c r="O2062" s="386"/>
      <c r="P2062" s="356"/>
      <c r="Q2062" s="380"/>
      <c r="T2062" s="62" ph="1"/>
    </row>
    <row r="2063" spans="15:20" ht="26.25">
      <c r="O2063" s="386"/>
      <c r="P2063" s="356"/>
      <c r="Q2063" s="380"/>
      <c r="T2063" s="62" ph="1"/>
    </row>
    <row r="2064" spans="15:20" ht="26.25">
      <c r="O2064" s="386"/>
      <c r="P2064" s="356"/>
      <c r="Q2064" s="380"/>
      <c r="T2064" s="62" ph="1"/>
    </row>
    <row r="2065" spans="15:20" ht="26.25">
      <c r="O2065" s="386"/>
      <c r="P2065" s="356"/>
      <c r="Q2065" s="380"/>
      <c r="T2065" s="62" ph="1"/>
    </row>
    <row r="2066" spans="15:20" ht="26.25">
      <c r="O2066" s="386"/>
      <c r="P2066" s="356"/>
      <c r="Q2066" s="380"/>
      <c r="T2066" s="62" ph="1"/>
    </row>
    <row r="2067" spans="15:20" ht="26.25">
      <c r="O2067" s="386"/>
      <c r="P2067" s="356"/>
      <c r="Q2067" s="380"/>
      <c r="T2067" s="62" ph="1"/>
    </row>
    <row r="2068" spans="15:20" ht="26.25">
      <c r="O2068" s="386"/>
      <c r="P2068" s="356"/>
      <c r="Q2068" s="380"/>
      <c r="T2068" s="62" ph="1"/>
    </row>
    <row r="2069" spans="15:20" ht="26.25">
      <c r="O2069" s="386"/>
      <c r="P2069" s="356"/>
      <c r="Q2069" s="380"/>
      <c r="T2069" s="62" ph="1"/>
    </row>
    <row r="2070" spans="15:20" ht="26.25">
      <c r="O2070" s="386"/>
      <c r="P2070" s="356"/>
      <c r="Q2070" s="380"/>
      <c r="T2070" s="62" ph="1"/>
    </row>
    <row r="2071" spans="15:20" ht="26.25">
      <c r="O2071" s="386"/>
      <c r="P2071" s="356"/>
      <c r="Q2071" s="380"/>
      <c r="T2071" s="62" ph="1"/>
    </row>
    <row r="2072" spans="15:20" ht="26.25">
      <c r="O2072" s="386"/>
      <c r="P2072" s="356"/>
      <c r="Q2072" s="380"/>
      <c r="T2072" s="62" ph="1"/>
    </row>
    <row r="2073" spans="15:20" ht="26.25">
      <c r="O2073" s="386"/>
      <c r="P2073" s="356"/>
      <c r="Q2073" s="380"/>
      <c r="T2073" s="62" ph="1"/>
    </row>
    <row r="2074" spans="15:20" ht="26.25">
      <c r="O2074" s="386"/>
      <c r="P2074" s="356"/>
      <c r="Q2074" s="380"/>
      <c r="T2074" s="62" ph="1"/>
    </row>
    <row r="2075" spans="15:20" ht="26.25">
      <c r="O2075" s="386"/>
      <c r="P2075" s="356"/>
      <c r="Q2075" s="380"/>
      <c r="T2075" s="62" ph="1"/>
    </row>
    <row r="2076" spans="15:20" ht="26.25">
      <c r="O2076" s="386"/>
      <c r="P2076" s="356"/>
      <c r="Q2076" s="380"/>
      <c r="T2076" s="62" ph="1"/>
    </row>
    <row r="2077" spans="15:20" ht="26.25">
      <c r="O2077" s="386"/>
      <c r="P2077" s="356"/>
      <c r="Q2077" s="380"/>
      <c r="T2077" s="62" ph="1"/>
    </row>
    <row r="2078" spans="15:20" ht="26.25">
      <c r="O2078" s="386"/>
      <c r="P2078" s="356"/>
      <c r="Q2078" s="380"/>
      <c r="T2078" s="62" ph="1"/>
    </row>
    <row r="2079" spans="15:20" ht="26.25">
      <c r="O2079" s="386"/>
      <c r="P2079" s="356"/>
      <c r="Q2079" s="380"/>
      <c r="T2079" s="62" ph="1"/>
    </row>
    <row r="2080" spans="15:20" ht="26.25">
      <c r="O2080" s="386"/>
      <c r="P2080" s="356"/>
      <c r="Q2080" s="380"/>
      <c r="T2080" s="62" ph="1"/>
    </row>
    <row r="2081" spans="15:20" ht="26.25">
      <c r="O2081" s="386"/>
      <c r="P2081" s="356"/>
      <c r="Q2081" s="380"/>
      <c r="T2081" s="62" ph="1"/>
    </row>
    <row r="2082" spans="15:20" ht="26.25">
      <c r="O2082" s="386"/>
      <c r="P2082" s="356"/>
      <c r="Q2082" s="380"/>
      <c r="T2082" s="62" ph="1"/>
    </row>
    <row r="2083" spans="15:20" ht="26.25">
      <c r="O2083" s="386"/>
      <c r="P2083" s="356"/>
      <c r="Q2083" s="380"/>
      <c r="T2083" s="62" ph="1"/>
    </row>
    <row r="2084" spans="15:20" ht="26.25">
      <c r="O2084" s="386"/>
      <c r="P2084" s="356"/>
      <c r="Q2084" s="380"/>
      <c r="T2084" s="62" ph="1"/>
    </row>
    <row r="2085" spans="15:20" ht="26.25">
      <c r="O2085" s="386"/>
      <c r="P2085" s="356"/>
      <c r="Q2085" s="380"/>
      <c r="T2085" s="62" ph="1"/>
    </row>
    <row r="2086" spans="15:20" ht="26.25">
      <c r="O2086" s="386"/>
      <c r="P2086" s="356"/>
      <c r="Q2086" s="380"/>
      <c r="T2086" s="62" ph="1"/>
    </row>
    <row r="2087" spans="15:20" ht="26.25">
      <c r="O2087" s="386"/>
      <c r="P2087" s="356"/>
      <c r="Q2087" s="380"/>
      <c r="T2087" s="62" ph="1"/>
    </row>
    <row r="2088" spans="15:20" ht="26.25">
      <c r="O2088" s="386"/>
      <c r="P2088" s="356"/>
      <c r="Q2088" s="380"/>
      <c r="T2088" s="62" ph="1"/>
    </row>
    <row r="2089" spans="15:20" ht="26.25">
      <c r="O2089" s="386"/>
      <c r="P2089" s="356"/>
      <c r="Q2089" s="380"/>
      <c r="T2089" s="62" ph="1"/>
    </row>
    <row r="2090" spans="15:20" ht="26.25">
      <c r="O2090" s="386"/>
      <c r="P2090" s="356"/>
      <c r="Q2090" s="380"/>
      <c r="T2090" s="62" ph="1"/>
    </row>
    <row r="2091" spans="15:20" ht="26.25">
      <c r="O2091" s="386"/>
      <c r="P2091" s="356"/>
      <c r="Q2091" s="380"/>
      <c r="T2091" s="62" ph="1"/>
    </row>
    <row r="2092" spans="15:20" ht="26.25">
      <c r="O2092" s="386"/>
      <c r="P2092" s="356"/>
      <c r="Q2092" s="380"/>
      <c r="T2092" s="62" ph="1"/>
    </row>
    <row r="2093" spans="15:20" ht="26.25">
      <c r="O2093" s="386"/>
      <c r="P2093" s="356"/>
      <c r="Q2093" s="380"/>
      <c r="T2093" s="62" ph="1"/>
    </row>
    <row r="2094" spans="15:20" ht="26.25">
      <c r="O2094" s="386"/>
      <c r="P2094" s="356"/>
      <c r="Q2094" s="380"/>
      <c r="T2094" s="62" ph="1"/>
    </row>
    <row r="2095" spans="15:20" ht="26.25">
      <c r="O2095" s="386"/>
      <c r="P2095" s="356"/>
      <c r="Q2095" s="380"/>
      <c r="T2095" s="62" ph="1"/>
    </row>
    <row r="2096" spans="15:20" ht="26.25">
      <c r="O2096" s="386"/>
      <c r="P2096" s="356"/>
      <c r="Q2096" s="380"/>
      <c r="T2096" s="62" ph="1"/>
    </row>
    <row r="2097" spans="15:20" ht="26.25">
      <c r="O2097" s="386"/>
      <c r="P2097" s="356"/>
      <c r="Q2097" s="380"/>
      <c r="T2097" s="62" ph="1"/>
    </row>
    <row r="2098" spans="15:20" ht="26.25">
      <c r="O2098" s="386"/>
      <c r="P2098" s="356"/>
      <c r="Q2098" s="380"/>
      <c r="T2098" s="62" ph="1"/>
    </row>
    <row r="2099" spans="15:20" ht="26.25">
      <c r="O2099" s="386"/>
      <c r="P2099" s="356"/>
      <c r="Q2099" s="380"/>
      <c r="T2099" s="62" ph="1"/>
    </row>
    <row r="2100" spans="15:20" ht="26.25">
      <c r="O2100" s="386"/>
      <c r="P2100" s="356"/>
      <c r="Q2100" s="380"/>
      <c r="T2100" s="62" ph="1"/>
    </row>
    <row r="2101" spans="15:20" ht="26.25">
      <c r="O2101" s="386"/>
      <c r="P2101" s="356"/>
      <c r="Q2101" s="380"/>
      <c r="T2101" s="62" ph="1"/>
    </row>
    <row r="2102" spans="15:20" ht="26.25">
      <c r="O2102" s="386"/>
      <c r="P2102" s="356"/>
      <c r="Q2102" s="380"/>
      <c r="T2102" s="62" ph="1"/>
    </row>
    <row r="2103" spans="15:20" ht="26.25">
      <c r="O2103" s="386"/>
      <c r="P2103" s="356"/>
      <c r="Q2103" s="380"/>
      <c r="T2103" s="62" ph="1"/>
    </row>
    <row r="2104" spans="15:20" ht="26.25">
      <c r="O2104" s="386"/>
      <c r="P2104" s="356"/>
      <c r="Q2104" s="380"/>
      <c r="T2104" s="62" ph="1"/>
    </row>
    <row r="2105" spans="15:20" ht="26.25">
      <c r="O2105" s="386"/>
      <c r="P2105" s="356"/>
      <c r="Q2105" s="380"/>
      <c r="T2105" s="62" ph="1"/>
    </row>
    <row r="2106" spans="15:20" ht="26.25">
      <c r="O2106" s="386"/>
      <c r="P2106" s="356"/>
      <c r="Q2106" s="380"/>
      <c r="T2106" s="62" ph="1"/>
    </row>
    <row r="2107" spans="15:20" ht="26.25">
      <c r="O2107" s="386"/>
      <c r="P2107" s="356"/>
      <c r="Q2107" s="380"/>
      <c r="T2107" s="62" ph="1"/>
    </row>
    <row r="2108" spans="15:20" ht="26.25">
      <c r="O2108" s="386"/>
      <c r="P2108" s="356"/>
      <c r="Q2108" s="380"/>
      <c r="T2108" s="62" ph="1"/>
    </row>
    <row r="2109" spans="15:20" ht="26.25">
      <c r="O2109" s="386"/>
      <c r="P2109" s="356"/>
      <c r="Q2109" s="380"/>
      <c r="T2109" s="62" ph="1"/>
    </row>
    <row r="2110" spans="15:20" ht="26.25">
      <c r="O2110" s="386"/>
      <c r="P2110" s="356"/>
      <c r="Q2110" s="380"/>
      <c r="T2110" s="62" ph="1"/>
    </row>
    <row r="2111" spans="15:20" ht="26.25">
      <c r="O2111" s="386"/>
      <c r="P2111" s="356"/>
      <c r="Q2111" s="380"/>
      <c r="T2111" s="62" ph="1"/>
    </row>
    <row r="2112" spans="15:20" ht="26.25">
      <c r="O2112" s="386"/>
      <c r="P2112" s="356"/>
      <c r="Q2112" s="380"/>
      <c r="T2112" s="62" ph="1"/>
    </row>
    <row r="2113" spans="15:20" ht="26.25">
      <c r="O2113" s="386"/>
      <c r="P2113" s="356"/>
      <c r="Q2113" s="380"/>
      <c r="T2113" s="62" ph="1"/>
    </row>
    <row r="2114" spans="15:20" ht="26.25">
      <c r="O2114" s="386"/>
      <c r="P2114" s="356"/>
      <c r="Q2114" s="380"/>
      <c r="T2114" s="62" ph="1"/>
    </row>
    <row r="2115" spans="15:20" ht="26.25">
      <c r="O2115" s="386"/>
      <c r="P2115" s="356"/>
      <c r="Q2115" s="380"/>
      <c r="T2115" s="62" ph="1"/>
    </row>
    <row r="2116" spans="15:20" ht="26.25">
      <c r="O2116" s="386"/>
      <c r="P2116" s="356"/>
      <c r="Q2116" s="380"/>
      <c r="T2116" s="62" ph="1"/>
    </row>
    <row r="2117" spans="15:20" ht="26.25">
      <c r="O2117" s="386"/>
      <c r="P2117" s="356"/>
      <c r="Q2117" s="380"/>
      <c r="T2117" s="62" ph="1"/>
    </row>
    <row r="2118" spans="15:20" ht="26.25">
      <c r="O2118" s="386"/>
      <c r="P2118" s="356"/>
      <c r="Q2118" s="380"/>
      <c r="T2118" s="62" ph="1"/>
    </row>
    <row r="2119" spans="15:20" ht="26.25">
      <c r="O2119" s="386"/>
      <c r="P2119" s="356"/>
      <c r="Q2119" s="380"/>
      <c r="T2119" s="62" ph="1"/>
    </row>
    <row r="2120" spans="15:20" ht="26.25">
      <c r="O2120" s="386"/>
      <c r="P2120" s="356"/>
      <c r="Q2120" s="380"/>
      <c r="T2120" s="62" ph="1"/>
    </row>
    <row r="2121" spans="15:20" ht="26.25">
      <c r="O2121" s="386"/>
      <c r="P2121" s="356"/>
      <c r="Q2121" s="380"/>
      <c r="T2121" s="62" ph="1"/>
    </row>
    <row r="2122" spans="15:20" ht="26.25">
      <c r="O2122" s="386"/>
      <c r="P2122" s="356"/>
      <c r="Q2122" s="380"/>
      <c r="T2122" s="62" ph="1"/>
    </row>
    <row r="2123" spans="15:20" ht="26.25">
      <c r="O2123" s="386"/>
      <c r="P2123" s="356"/>
      <c r="Q2123" s="380"/>
      <c r="T2123" s="62" ph="1"/>
    </row>
    <row r="2124" spans="15:20" ht="26.25">
      <c r="O2124" s="386"/>
      <c r="P2124" s="356"/>
      <c r="Q2124" s="380"/>
      <c r="T2124" s="62" ph="1"/>
    </row>
    <row r="2125" spans="15:20" ht="26.25">
      <c r="O2125" s="386"/>
      <c r="P2125" s="356"/>
      <c r="Q2125" s="380"/>
      <c r="T2125" s="62" ph="1"/>
    </row>
    <row r="2126" spans="15:20" ht="26.25">
      <c r="O2126" s="386"/>
      <c r="P2126" s="356"/>
      <c r="Q2126" s="380"/>
      <c r="T2126" s="62" ph="1"/>
    </row>
    <row r="2127" spans="15:20" ht="26.25">
      <c r="O2127" s="386"/>
      <c r="P2127" s="356"/>
      <c r="Q2127" s="380"/>
      <c r="T2127" s="62" ph="1"/>
    </row>
    <row r="2128" spans="15:20" ht="26.25">
      <c r="O2128" s="386"/>
      <c r="P2128" s="356"/>
      <c r="Q2128" s="380"/>
      <c r="T2128" s="62" ph="1"/>
    </row>
    <row r="2129" spans="15:20" ht="26.25">
      <c r="O2129" s="386"/>
      <c r="P2129" s="356"/>
      <c r="Q2129" s="380"/>
      <c r="T2129" s="62" ph="1"/>
    </row>
    <row r="2130" spans="15:20" ht="26.25">
      <c r="O2130" s="386"/>
      <c r="P2130" s="356"/>
      <c r="Q2130" s="380"/>
      <c r="T2130" s="62" ph="1"/>
    </row>
    <row r="2131" spans="15:20" ht="26.25">
      <c r="O2131" s="386"/>
      <c r="P2131" s="356"/>
      <c r="Q2131" s="380"/>
      <c r="T2131" s="62" ph="1"/>
    </row>
    <row r="2132" spans="15:20" ht="26.25">
      <c r="O2132" s="386"/>
      <c r="P2132" s="356"/>
      <c r="Q2132" s="380"/>
      <c r="T2132" s="62" ph="1"/>
    </row>
    <row r="2133" spans="15:20" ht="26.25">
      <c r="O2133" s="386"/>
      <c r="P2133" s="356"/>
      <c r="Q2133" s="380"/>
      <c r="T2133" s="62" ph="1"/>
    </row>
    <row r="2134" spans="15:20" ht="26.25">
      <c r="O2134" s="386"/>
      <c r="P2134" s="356"/>
      <c r="Q2134" s="380"/>
      <c r="T2134" s="62" ph="1"/>
    </row>
    <row r="2135" spans="15:20" ht="26.25">
      <c r="O2135" s="386"/>
      <c r="P2135" s="356"/>
      <c r="Q2135" s="380"/>
      <c r="T2135" s="62" ph="1"/>
    </row>
    <row r="2136" spans="15:20" ht="26.25">
      <c r="O2136" s="386"/>
      <c r="P2136" s="356"/>
      <c r="Q2136" s="380"/>
      <c r="T2136" s="62" ph="1"/>
    </row>
    <row r="2137" spans="15:20" ht="26.25">
      <c r="O2137" s="386"/>
      <c r="P2137" s="356"/>
      <c r="Q2137" s="380"/>
      <c r="T2137" s="62" ph="1"/>
    </row>
    <row r="2138" spans="15:20" ht="26.25">
      <c r="O2138" s="386"/>
      <c r="P2138" s="356"/>
      <c r="Q2138" s="380"/>
      <c r="T2138" s="62" ph="1"/>
    </row>
    <row r="2139" spans="15:20" ht="26.25">
      <c r="O2139" s="386"/>
      <c r="P2139" s="356"/>
      <c r="Q2139" s="380"/>
      <c r="T2139" s="62" ph="1"/>
    </row>
    <row r="2140" spans="15:20" ht="26.25">
      <c r="O2140" s="386"/>
      <c r="P2140" s="356"/>
      <c r="Q2140" s="380"/>
      <c r="T2140" s="62" ph="1"/>
    </row>
    <row r="2141" spans="15:20" ht="26.25">
      <c r="O2141" s="386"/>
      <c r="P2141" s="356"/>
      <c r="Q2141" s="380"/>
      <c r="T2141" s="62" ph="1"/>
    </row>
    <row r="2142" spans="15:20" ht="26.25">
      <c r="O2142" s="386"/>
      <c r="P2142" s="356"/>
      <c r="Q2142" s="380"/>
      <c r="T2142" s="62" ph="1"/>
    </row>
    <row r="2143" spans="15:20" ht="26.25">
      <c r="O2143" s="386"/>
      <c r="P2143" s="356"/>
      <c r="Q2143" s="380"/>
      <c r="T2143" s="62" ph="1"/>
    </row>
    <row r="2144" spans="15:20" ht="26.25">
      <c r="O2144" s="386"/>
      <c r="P2144" s="356"/>
      <c r="Q2144" s="380"/>
      <c r="T2144" s="62" ph="1"/>
    </row>
    <row r="2145" spans="15:20" ht="26.25">
      <c r="O2145" s="386"/>
      <c r="P2145" s="356"/>
      <c r="Q2145" s="380"/>
      <c r="T2145" s="62" ph="1"/>
    </row>
    <row r="2146" spans="15:20" ht="26.25">
      <c r="O2146" s="386"/>
      <c r="P2146" s="356"/>
      <c r="Q2146" s="380"/>
      <c r="T2146" s="62" ph="1"/>
    </row>
    <row r="2147" spans="15:20" ht="26.25">
      <c r="O2147" s="386"/>
      <c r="P2147" s="356"/>
      <c r="Q2147" s="380"/>
      <c r="T2147" s="62" ph="1"/>
    </row>
    <row r="2148" spans="15:20" ht="26.25">
      <c r="O2148" s="386"/>
      <c r="P2148" s="356"/>
      <c r="Q2148" s="380"/>
      <c r="T2148" s="62" ph="1"/>
    </row>
    <row r="2149" spans="15:20" ht="26.25">
      <c r="O2149" s="386"/>
      <c r="P2149" s="356"/>
      <c r="Q2149" s="380"/>
      <c r="T2149" s="62" ph="1"/>
    </row>
    <row r="2150" spans="15:20" ht="26.25">
      <c r="O2150" s="386"/>
      <c r="P2150" s="356"/>
      <c r="Q2150" s="380"/>
      <c r="T2150" s="62" ph="1"/>
    </row>
    <row r="2151" spans="15:20" ht="26.25">
      <c r="O2151" s="386"/>
      <c r="P2151" s="356"/>
      <c r="Q2151" s="380"/>
      <c r="T2151" s="62" ph="1"/>
    </row>
    <row r="2152" spans="15:20" ht="26.25">
      <c r="O2152" s="386"/>
      <c r="P2152" s="356"/>
      <c r="Q2152" s="380"/>
      <c r="T2152" s="62" ph="1"/>
    </row>
    <row r="2153" spans="15:20" ht="26.25">
      <c r="O2153" s="386"/>
      <c r="P2153" s="356"/>
      <c r="Q2153" s="380"/>
      <c r="T2153" s="62" ph="1"/>
    </row>
    <row r="2154" spans="15:20" ht="26.25">
      <c r="O2154" s="386"/>
      <c r="P2154" s="356"/>
      <c r="Q2154" s="380"/>
      <c r="T2154" s="62" ph="1"/>
    </row>
    <row r="2155" spans="15:20" ht="26.25">
      <c r="O2155" s="386"/>
      <c r="P2155" s="356"/>
      <c r="Q2155" s="380"/>
      <c r="T2155" s="62" ph="1"/>
    </row>
    <row r="2156" spans="15:20" ht="26.25">
      <c r="O2156" s="386"/>
      <c r="P2156" s="356"/>
      <c r="Q2156" s="380"/>
      <c r="T2156" s="62" ph="1"/>
    </row>
    <row r="2157" spans="15:20" ht="26.25">
      <c r="O2157" s="386"/>
      <c r="P2157" s="356"/>
      <c r="Q2157" s="380"/>
      <c r="T2157" s="62" ph="1"/>
    </row>
    <row r="2158" spans="15:20" ht="26.25">
      <c r="O2158" s="386"/>
      <c r="P2158" s="356"/>
      <c r="Q2158" s="380"/>
      <c r="T2158" s="62" ph="1"/>
    </row>
    <row r="2159" spans="15:20" ht="26.25">
      <c r="O2159" s="386"/>
      <c r="P2159" s="356"/>
      <c r="Q2159" s="380"/>
      <c r="T2159" s="62" ph="1"/>
    </row>
    <row r="2160" spans="15:20" ht="26.25">
      <c r="O2160" s="386"/>
      <c r="P2160" s="356"/>
      <c r="Q2160" s="380"/>
      <c r="T2160" s="62" ph="1"/>
    </row>
    <row r="2161" spans="15:20" ht="26.25">
      <c r="O2161" s="386"/>
      <c r="P2161" s="356"/>
      <c r="Q2161" s="380"/>
      <c r="T2161" s="62" ph="1"/>
    </row>
    <row r="2162" spans="15:20" ht="26.25">
      <c r="O2162" s="386"/>
      <c r="P2162" s="356"/>
      <c r="Q2162" s="380"/>
      <c r="T2162" s="62" ph="1"/>
    </row>
    <row r="2163" spans="15:20" ht="26.25">
      <c r="O2163" s="386"/>
      <c r="P2163" s="356"/>
      <c r="Q2163" s="380"/>
      <c r="T2163" s="62" ph="1"/>
    </row>
    <row r="2164" spans="15:20" ht="26.25">
      <c r="O2164" s="386"/>
      <c r="P2164" s="356"/>
      <c r="Q2164" s="380"/>
      <c r="T2164" s="62" ph="1"/>
    </row>
    <row r="2165" spans="15:20" ht="26.25">
      <c r="O2165" s="386"/>
      <c r="P2165" s="356"/>
      <c r="Q2165" s="380"/>
      <c r="T2165" s="62" ph="1"/>
    </row>
    <row r="2166" spans="15:20" ht="26.25">
      <c r="O2166" s="386"/>
      <c r="P2166" s="356"/>
      <c r="Q2166" s="380"/>
      <c r="T2166" s="62" ph="1"/>
    </row>
    <row r="2167" spans="15:20" ht="26.25">
      <c r="O2167" s="386"/>
      <c r="P2167" s="356"/>
      <c r="Q2167" s="380"/>
      <c r="T2167" s="62" ph="1"/>
    </row>
    <row r="2168" spans="15:20" ht="26.25">
      <c r="O2168" s="386"/>
      <c r="P2168" s="356"/>
      <c r="Q2168" s="380"/>
      <c r="T2168" s="62" ph="1"/>
    </row>
    <row r="2169" spans="15:20" ht="26.25">
      <c r="O2169" s="386"/>
      <c r="P2169" s="356"/>
      <c r="Q2169" s="380"/>
      <c r="T2169" s="62" ph="1"/>
    </row>
    <row r="2170" spans="15:20" ht="26.25">
      <c r="O2170" s="386"/>
      <c r="P2170" s="356"/>
      <c r="Q2170" s="380"/>
      <c r="T2170" s="62" ph="1"/>
    </row>
    <row r="2171" spans="15:20" ht="26.25">
      <c r="O2171" s="386"/>
      <c r="P2171" s="356"/>
      <c r="Q2171" s="380"/>
      <c r="T2171" s="62" ph="1"/>
    </row>
    <row r="2172" spans="15:20" ht="26.25">
      <c r="O2172" s="386"/>
      <c r="P2172" s="356"/>
      <c r="Q2172" s="380"/>
      <c r="T2172" s="62" ph="1"/>
    </row>
    <row r="2173" spans="15:20" ht="26.25">
      <c r="O2173" s="386"/>
      <c r="P2173" s="356"/>
      <c r="Q2173" s="380"/>
      <c r="T2173" s="62" ph="1"/>
    </row>
    <row r="2174" spans="15:20" ht="26.25">
      <c r="O2174" s="386"/>
      <c r="P2174" s="356"/>
      <c r="Q2174" s="380"/>
      <c r="T2174" s="62" ph="1"/>
    </row>
    <row r="2175" spans="15:20" ht="26.25">
      <c r="O2175" s="386"/>
      <c r="P2175" s="356"/>
      <c r="Q2175" s="380"/>
      <c r="T2175" s="62" ph="1"/>
    </row>
    <row r="2176" spans="15:20" ht="26.25">
      <c r="O2176" s="386"/>
      <c r="P2176" s="356"/>
      <c r="Q2176" s="380"/>
      <c r="T2176" s="62" ph="1"/>
    </row>
    <row r="2177" spans="15:20" ht="26.25">
      <c r="O2177" s="386"/>
      <c r="P2177" s="356"/>
      <c r="Q2177" s="380"/>
      <c r="T2177" s="62" ph="1"/>
    </row>
    <row r="2178" spans="15:20" ht="26.25">
      <c r="O2178" s="386"/>
      <c r="P2178" s="356"/>
      <c r="Q2178" s="380"/>
      <c r="T2178" s="62" ph="1"/>
    </row>
    <row r="2179" spans="15:20" ht="26.25">
      <c r="O2179" s="386"/>
      <c r="P2179" s="356"/>
      <c r="Q2179" s="380"/>
      <c r="T2179" s="62" ph="1"/>
    </row>
    <row r="2180" spans="15:20" ht="26.25">
      <c r="O2180" s="386"/>
      <c r="P2180" s="356"/>
      <c r="Q2180" s="380"/>
      <c r="T2180" s="62" ph="1"/>
    </row>
    <row r="2181" spans="15:20" ht="26.25">
      <c r="O2181" s="386"/>
      <c r="P2181" s="356"/>
      <c r="Q2181" s="380"/>
      <c r="T2181" s="62" ph="1"/>
    </row>
    <row r="2182" spans="15:20" ht="26.25">
      <c r="O2182" s="386"/>
      <c r="P2182" s="356"/>
      <c r="Q2182" s="380"/>
      <c r="T2182" s="62" ph="1"/>
    </row>
    <row r="2183" spans="15:20" ht="26.25">
      <c r="O2183" s="386"/>
      <c r="P2183" s="356"/>
      <c r="Q2183" s="380"/>
      <c r="T2183" s="62" ph="1"/>
    </row>
    <row r="2184" spans="15:20" ht="26.25">
      <c r="O2184" s="386"/>
      <c r="P2184" s="356"/>
      <c r="Q2184" s="380"/>
      <c r="T2184" s="62" ph="1"/>
    </row>
    <row r="2185" spans="15:20" ht="26.25">
      <c r="O2185" s="386"/>
      <c r="P2185" s="356"/>
      <c r="Q2185" s="380"/>
      <c r="T2185" s="62" ph="1"/>
    </row>
    <row r="2186" spans="15:20" ht="26.25">
      <c r="O2186" s="386"/>
      <c r="P2186" s="356"/>
      <c r="Q2186" s="380"/>
      <c r="T2186" s="62" ph="1"/>
    </row>
    <row r="2187" spans="15:20" ht="26.25">
      <c r="O2187" s="386"/>
      <c r="P2187" s="356"/>
      <c r="Q2187" s="380"/>
      <c r="T2187" s="62" ph="1"/>
    </row>
    <row r="2188" spans="15:20" ht="26.25">
      <c r="O2188" s="386"/>
      <c r="P2188" s="356"/>
      <c r="Q2188" s="380"/>
      <c r="T2188" s="62" ph="1"/>
    </row>
    <row r="2189" spans="15:20" ht="26.25">
      <c r="O2189" s="386"/>
      <c r="P2189" s="356"/>
      <c r="Q2189" s="380"/>
      <c r="T2189" s="62" ph="1"/>
    </row>
    <row r="2190" spans="15:20" ht="26.25">
      <c r="O2190" s="386"/>
      <c r="P2190" s="356"/>
      <c r="Q2190" s="380"/>
      <c r="T2190" s="62" ph="1"/>
    </row>
    <row r="2191" spans="15:20" ht="26.25">
      <c r="O2191" s="386"/>
      <c r="P2191" s="356"/>
      <c r="Q2191" s="380"/>
      <c r="T2191" s="62" ph="1"/>
    </row>
    <row r="2192" spans="15:20" ht="26.25">
      <c r="O2192" s="386"/>
      <c r="P2192" s="356"/>
      <c r="Q2192" s="380"/>
      <c r="T2192" s="62" ph="1"/>
    </row>
    <row r="2193" spans="15:20" ht="26.25">
      <c r="O2193" s="386"/>
      <c r="P2193" s="356"/>
      <c r="Q2193" s="380"/>
      <c r="T2193" s="62" ph="1"/>
    </row>
    <row r="2194" spans="15:20" ht="26.25">
      <c r="O2194" s="386"/>
      <c r="P2194" s="356"/>
      <c r="Q2194" s="380"/>
      <c r="T2194" s="62" ph="1"/>
    </row>
    <row r="2195" spans="15:20" ht="26.25">
      <c r="O2195" s="386"/>
      <c r="P2195" s="356"/>
      <c r="Q2195" s="380"/>
      <c r="T2195" s="62" ph="1"/>
    </row>
    <row r="2196" spans="15:20" ht="26.25">
      <c r="O2196" s="386"/>
      <c r="P2196" s="356"/>
      <c r="Q2196" s="380"/>
      <c r="T2196" s="62" ph="1"/>
    </row>
    <row r="2197" spans="15:20" ht="26.25">
      <c r="O2197" s="386"/>
      <c r="P2197" s="356"/>
      <c r="Q2197" s="380"/>
      <c r="T2197" s="62" ph="1"/>
    </row>
    <row r="2198" spans="15:20" ht="26.25">
      <c r="O2198" s="386"/>
      <c r="P2198" s="356"/>
      <c r="Q2198" s="380"/>
      <c r="T2198" s="62" ph="1"/>
    </row>
    <row r="2199" spans="15:20" ht="26.25">
      <c r="O2199" s="386"/>
      <c r="P2199" s="356"/>
      <c r="Q2199" s="380"/>
      <c r="T2199" s="62" ph="1"/>
    </row>
    <row r="2200" spans="15:20" ht="26.25">
      <c r="O2200" s="386"/>
      <c r="P2200" s="356"/>
      <c r="Q2200" s="380"/>
      <c r="T2200" s="62" ph="1"/>
    </row>
    <row r="2201" spans="15:20" ht="26.25">
      <c r="O2201" s="386"/>
      <c r="P2201" s="356"/>
      <c r="Q2201" s="380"/>
      <c r="T2201" s="62" ph="1"/>
    </row>
    <row r="2202" spans="15:20" ht="26.25">
      <c r="O2202" s="386"/>
      <c r="P2202" s="356"/>
      <c r="Q2202" s="380"/>
      <c r="T2202" s="62" ph="1"/>
    </row>
    <row r="2203" spans="15:20" ht="26.25">
      <c r="O2203" s="386"/>
      <c r="P2203" s="356"/>
      <c r="Q2203" s="380"/>
      <c r="T2203" s="62" ph="1"/>
    </row>
    <row r="2204" spans="15:20" ht="26.25">
      <c r="O2204" s="386"/>
      <c r="P2204" s="356"/>
      <c r="Q2204" s="380"/>
      <c r="T2204" s="62" ph="1"/>
    </row>
    <row r="2205" spans="15:20" ht="26.25">
      <c r="O2205" s="386"/>
      <c r="P2205" s="356"/>
      <c r="Q2205" s="380"/>
      <c r="T2205" s="62" ph="1"/>
    </row>
    <row r="2206" spans="15:20" ht="26.25">
      <c r="O2206" s="386"/>
      <c r="P2206" s="356"/>
      <c r="Q2206" s="380"/>
      <c r="T2206" s="62" ph="1"/>
    </row>
    <row r="2207" spans="15:20" ht="26.25">
      <c r="O2207" s="386"/>
      <c r="P2207" s="356"/>
      <c r="Q2207" s="380"/>
      <c r="T2207" s="62" ph="1"/>
    </row>
    <row r="2208" spans="15:20" ht="26.25">
      <c r="O2208" s="386"/>
      <c r="P2208" s="356"/>
      <c r="Q2208" s="380"/>
      <c r="T2208" s="62" ph="1"/>
    </row>
    <row r="2209" spans="15:20" ht="26.25">
      <c r="O2209" s="386"/>
      <c r="P2209" s="356"/>
      <c r="Q2209" s="380"/>
      <c r="T2209" s="62" ph="1"/>
    </row>
    <row r="2210" spans="15:20" ht="26.25">
      <c r="O2210" s="386"/>
      <c r="P2210" s="356"/>
      <c r="Q2210" s="380"/>
      <c r="T2210" s="62" ph="1"/>
    </row>
    <row r="2211" spans="15:20" ht="26.25">
      <c r="O2211" s="386"/>
      <c r="P2211" s="356"/>
      <c r="Q2211" s="380"/>
      <c r="T2211" s="62" ph="1"/>
    </row>
    <row r="2212" spans="15:20" ht="26.25">
      <c r="O2212" s="386"/>
      <c r="P2212" s="356"/>
      <c r="Q2212" s="380"/>
      <c r="T2212" s="62" ph="1"/>
    </row>
    <row r="2213" spans="15:20" ht="26.25">
      <c r="O2213" s="386"/>
      <c r="P2213" s="356"/>
      <c r="Q2213" s="380"/>
      <c r="T2213" s="62" ph="1"/>
    </row>
    <row r="2214" spans="15:20" ht="26.25">
      <c r="O2214" s="386"/>
      <c r="P2214" s="356"/>
      <c r="Q2214" s="380"/>
      <c r="T2214" s="62" ph="1"/>
    </row>
    <row r="2215" spans="15:20" ht="26.25">
      <c r="O2215" s="386"/>
      <c r="P2215" s="356"/>
      <c r="Q2215" s="380"/>
      <c r="T2215" s="62" ph="1"/>
    </row>
    <row r="2216" spans="15:20" ht="26.25">
      <c r="O2216" s="386"/>
      <c r="P2216" s="356"/>
      <c r="Q2216" s="380"/>
      <c r="T2216" s="62" ph="1"/>
    </row>
    <row r="2217" spans="15:20" ht="26.25">
      <c r="O2217" s="386"/>
      <c r="P2217" s="356"/>
      <c r="Q2217" s="380"/>
      <c r="T2217" s="62" ph="1"/>
    </row>
    <row r="2218" spans="15:20" ht="26.25">
      <c r="O2218" s="386"/>
      <c r="P2218" s="356"/>
      <c r="Q2218" s="380"/>
      <c r="T2218" s="62" ph="1"/>
    </row>
    <row r="2219" spans="15:20" ht="26.25">
      <c r="O2219" s="386"/>
      <c r="P2219" s="356"/>
      <c r="Q2219" s="380"/>
      <c r="T2219" s="62" ph="1"/>
    </row>
    <row r="2220" spans="15:20" ht="26.25">
      <c r="O2220" s="386"/>
      <c r="P2220" s="356"/>
      <c r="Q2220" s="380"/>
      <c r="T2220" s="62" ph="1"/>
    </row>
    <row r="2221" spans="15:20" ht="26.25">
      <c r="O2221" s="386"/>
      <c r="P2221" s="356"/>
      <c r="Q2221" s="380"/>
      <c r="T2221" s="62" ph="1"/>
    </row>
    <row r="2222" spans="15:20" ht="26.25">
      <c r="O2222" s="386"/>
      <c r="P2222" s="356"/>
      <c r="Q2222" s="380"/>
      <c r="T2222" s="62" ph="1"/>
    </row>
    <row r="2223" spans="15:20" ht="26.25">
      <c r="O2223" s="386"/>
      <c r="P2223" s="356"/>
      <c r="Q2223" s="380"/>
      <c r="T2223" s="62" ph="1"/>
    </row>
    <row r="2224" spans="15:20" ht="26.25">
      <c r="O2224" s="386"/>
      <c r="P2224" s="356"/>
      <c r="Q2224" s="380"/>
      <c r="T2224" s="62" ph="1"/>
    </row>
    <row r="2225" spans="15:20" ht="26.25">
      <c r="O2225" s="386"/>
      <c r="P2225" s="356"/>
      <c r="Q2225" s="380"/>
      <c r="T2225" s="62" ph="1"/>
    </row>
    <row r="2226" spans="15:20" ht="26.25">
      <c r="O2226" s="386"/>
      <c r="P2226" s="356"/>
      <c r="Q2226" s="380"/>
      <c r="T2226" s="62" ph="1"/>
    </row>
    <row r="2227" spans="15:20" ht="26.25">
      <c r="O2227" s="386"/>
      <c r="P2227" s="356"/>
      <c r="Q2227" s="380"/>
      <c r="T2227" s="62" ph="1"/>
    </row>
    <row r="2228" spans="15:20" ht="26.25">
      <c r="O2228" s="386"/>
      <c r="P2228" s="356"/>
      <c r="Q2228" s="380"/>
      <c r="T2228" s="62" ph="1"/>
    </row>
    <row r="2229" spans="15:20" ht="26.25">
      <c r="O2229" s="386"/>
      <c r="P2229" s="356"/>
      <c r="Q2229" s="380"/>
      <c r="T2229" s="62" ph="1"/>
    </row>
    <row r="2230" spans="15:20" ht="26.25">
      <c r="O2230" s="386"/>
      <c r="P2230" s="356"/>
      <c r="Q2230" s="380"/>
      <c r="T2230" s="62" ph="1"/>
    </row>
    <row r="2231" spans="15:20" ht="26.25">
      <c r="O2231" s="386"/>
      <c r="P2231" s="356"/>
      <c r="Q2231" s="380"/>
      <c r="T2231" s="62" ph="1"/>
    </row>
    <row r="2232" spans="15:20" ht="26.25">
      <c r="O2232" s="386"/>
      <c r="P2232" s="356"/>
      <c r="Q2232" s="380"/>
      <c r="T2232" s="62" ph="1"/>
    </row>
    <row r="2233" spans="15:20" ht="26.25">
      <c r="O2233" s="386"/>
      <c r="P2233" s="356"/>
      <c r="Q2233" s="380"/>
      <c r="T2233" s="62" ph="1"/>
    </row>
    <row r="2234" spans="15:20" ht="26.25">
      <c r="O2234" s="386"/>
      <c r="P2234" s="356"/>
      <c r="Q2234" s="380"/>
      <c r="T2234" s="62" ph="1"/>
    </row>
    <row r="2235" spans="15:20" ht="26.25">
      <c r="O2235" s="386"/>
      <c r="P2235" s="356"/>
      <c r="Q2235" s="380"/>
      <c r="T2235" s="62" ph="1"/>
    </row>
    <row r="2236" spans="15:20" ht="26.25">
      <c r="O2236" s="386"/>
      <c r="P2236" s="356"/>
      <c r="Q2236" s="380"/>
      <c r="T2236" s="62" ph="1"/>
    </row>
    <row r="2237" spans="15:20" ht="26.25">
      <c r="O2237" s="386"/>
      <c r="P2237" s="356"/>
      <c r="Q2237" s="380"/>
      <c r="T2237" s="62" ph="1"/>
    </row>
    <row r="2238" spans="15:20" ht="26.25">
      <c r="O2238" s="386"/>
      <c r="P2238" s="356"/>
      <c r="Q2238" s="380"/>
      <c r="T2238" s="62" ph="1"/>
    </row>
    <row r="2239" spans="15:20" ht="26.25">
      <c r="O2239" s="386"/>
      <c r="P2239" s="356"/>
      <c r="Q2239" s="380"/>
      <c r="T2239" s="62" ph="1"/>
    </row>
    <row r="2240" spans="15:20" ht="26.25">
      <c r="O2240" s="386"/>
      <c r="P2240" s="356"/>
      <c r="Q2240" s="380"/>
      <c r="T2240" s="62" ph="1"/>
    </row>
    <row r="2241" spans="15:20" ht="26.25">
      <c r="O2241" s="386"/>
      <c r="P2241" s="356"/>
      <c r="Q2241" s="380"/>
      <c r="T2241" s="62" ph="1"/>
    </row>
    <row r="2242" spans="15:20" ht="26.25">
      <c r="O2242" s="386"/>
      <c r="P2242" s="356"/>
      <c r="Q2242" s="380"/>
      <c r="T2242" s="62" ph="1"/>
    </row>
    <row r="2243" spans="15:20" ht="26.25">
      <c r="O2243" s="386"/>
      <c r="P2243" s="356"/>
      <c r="Q2243" s="380"/>
      <c r="T2243" s="62" ph="1"/>
    </row>
    <row r="2244" spans="15:20" ht="26.25">
      <c r="O2244" s="386"/>
      <c r="P2244" s="356"/>
      <c r="Q2244" s="380"/>
      <c r="T2244" s="62" ph="1"/>
    </row>
    <row r="2245" spans="15:20" ht="26.25">
      <c r="O2245" s="386"/>
      <c r="P2245" s="356"/>
      <c r="Q2245" s="380"/>
      <c r="T2245" s="62" ph="1"/>
    </row>
    <row r="2246" spans="15:20" ht="26.25">
      <c r="O2246" s="386"/>
      <c r="P2246" s="356"/>
      <c r="Q2246" s="380"/>
      <c r="T2246" s="62" ph="1"/>
    </row>
    <row r="2247" spans="15:20" ht="26.25">
      <c r="O2247" s="386"/>
      <c r="P2247" s="356"/>
      <c r="Q2247" s="380"/>
      <c r="T2247" s="62" ph="1"/>
    </row>
    <row r="2248" spans="15:20" ht="26.25">
      <c r="O2248" s="386"/>
      <c r="P2248" s="356"/>
      <c r="Q2248" s="380"/>
      <c r="T2248" s="62" ph="1"/>
    </row>
    <row r="2249" spans="15:20" ht="26.25">
      <c r="O2249" s="386"/>
      <c r="P2249" s="356"/>
      <c r="Q2249" s="380"/>
      <c r="T2249" s="62" ph="1"/>
    </row>
    <row r="2250" spans="15:20" ht="26.25">
      <c r="O2250" s="386"/>
      <c r="P2250" s="356"/>
      <c r="Q2250" s="380"/>
      <c r="T2250" s="62" ph="1"/>
    </row>
    <row r="2251" spans="15:20" ht="26.25">
      <c r="O2251" s="386"/>
      <c r="P2251" s="356"/>
      <c r="Q2251" s="380"/>
      <c r="T2251" s="62" ph="1"/>
    </row>
    <row r="2252" spans="15:20" ht="26.25">
      <c r="O2252" s="386"/>
      <c r="P2252" s="356"/>
      <c r="Q2252" s="380"/>
      <c r="T2252" s="62" ph="1"/>
    </row>
    <row r="2253" spans="15:20" ht="26.25">
      <c r="O2253" s="386"/>
      <c r="P2253" s="356"/>
      <c r="Q2253" s="380"/>
      <c r="T2253" s="62" ph="1"/>
    </row>
    <row r="2254" spans="15:20" ht="26.25">
      <c r="O2254" s="386"/>
      <c r="P2254" s="356"/>
      <c r="Q2254" s="380"/>
      <c r="T2254" s="62" ph="1"/>
    </row>
    <row r="2255" spans="15:20" ht="26.25">
      <c r="O2255" s="386"/>
      <c r="P2255" s="356"/>
      <c r="Q2255" s="380"/>
      <c r="T2255" s="62" ph="1"/>
    </row>
    <row r="2256" spans="15:20" ht="26.25">
      <c r="O2256" s="386"/>
      <c r="P2256" s="356"/>
      <c r="Q2256" s="380"/>
      <c r="T2256" s="62" ph="1"/>
    </row>
    <row r="2257" spans="15:20" ht="26.25">
      <c r="O2257" s="386"/>
      <c r="P2257" s="356"/>
      <c r="Q2257" s="380"/>
      <c r="T2257" s="62" ph="1"/>
    </row>
    <row r="2258" spans="15:20" ht="26.25">
      <c r="O2258" s="386"/>
      <c r="P2258" s="356"/>
      <c r="Q2258" s="380"/>
      <c r="T2258" s="62" ph="1"/>
    </row>
    <row r="2259" spans="15:20" ht="26.25">
      <c r="O2259" s="386"/>
      <c r="P2259" s="356"/>
      <c r="Q2259" s="380"/>
      <c r="T2259" s="62" ph="1"/>
    </row>
    <row r="2260" spans="15:20" ht="26.25">
      <c r="O2260" s="386"/>
      <c r="P2260" s="356"/>
      <c r="Q2260" s="380"/>
      <c r="T2260" s="62" ph="1"/>
    </row>
    <row r="2261" spans="15:20" ht="26.25">
      <c r="O2261" s="386"/>
      <c r="P2261" s="356"/>
      <c r="Q2261" s="380"/>
      <c r="T2261" s="62" ph="1"/>
    </row>
    <row r="2262" spans="15:20" ht="26.25">
      <c r="O2262" s="386"/>
      <c r="P2262" s="356"/>
      <c r="Q2262" s="380"/>
      <c r="T2262" s="62" ph="1"/>
    </row>
    <row r="2263" spans="15:20" ht="26.25">
      <c r="O2263" s="386"/>
      <c r="P2263" s="356"/>
      <c r="Q2263" s="380"/>
      <c r="T2263" s="62" ph="1"/>
    </row>
    <row r="2264" spans="15:20" ht="26.25">
      <c r="O2264" s="386"/>
      <c r="P2264" s="356"/>
      <c r="Q2264" s="380"/>
      <c r="T2264" s="62" ph="1"/>
    </row>
    <row r="2265" spans="15:20" ht="26.25">
      <c r="O2265" s="386"/>
      <c r="P2265" s="356"/>
      <c r="Q2265" s="380"/>
      <c r="T2265" s="62" ph="1"/>
    </row>
    <row r="2266" spans="15:20" ht="26.25">
      <c r="O2266" s="386"/>
      <c r="P2266" s="356"/>
      <c r="Q2266" s="380"/>
      <c r="T2266" s="62" ph="1"/>
    </row>
    <row r="2267" spans="15:20" ht="26.25">
      <c r="O2267" s="386"/>
      <c r="P2267" s="356"/>
      <c r="Q2267" s="380"/>
      <c r="T2267" s="62" ph="1"/>
    </row>
    <row r="2268" spans="15:20" ht="26.25">
      <c r="O2268" s="386"/>
      <c r="P2268" s="356"/>
      <c r="Q2268" s="380"/>
      <c r="T2268" s="62" ph="1"/>
    </row>
    <row r="2269" spans="15:20" ht="26.25">
      <c r="O2269" s="386"/>
      <c r="P2269" s="356"/>
      <c r="Q2269" s="380"/>
      <c r="T2269" s="62" ph="1"/>
    </row>
    <row r="2270" spans="15:20" ht="26.25">
      <c r="O2270" s="386"/>
      <c r="P2270" s="356"/>
      <c r="Q2270" s="380"/>
      <c r="T2270" s="62" ph="1"/>
    </row>
    <row r="2271" spans="15:20" ht="26.25">
      <c r="O2271" s="386"/>
      <c r="P2271" s="356"/>
      <c r="Q2271" s="380"/>
      <c r="T2271" s="62" ph="1"/>
    </row>
    <row r="2272" spans="15:20" ht="26.25">
      <c r="O2272" s="386"/>
      <c r="P2272" s="356"/>
      <c r="Q2272" s="380"/>
      <c r="T2272" s="62" ph="1"/>
    </row>
    <row r="2273" spans="15:20" ht="26.25">
      <c r="O2273" s="386"/>
      <c r="P2273" s="356"/>
      <c r="Q2273" s="380"/>
      <c r="T2273" s="62" ph="1"/>
    </row>
    <row r="2274" spans="15:20" ht="26.25">
      <c r="O2274" s="386"/>
      <c r="P2274" s="356"/>
      <c r="Q2274" s="380"/>
      <c r="T2274" s="62" ph="1"/>
    </row>
    <row r="2275" spans="15:20" ht="26.25">
      <c r="O2275" s="386"/>
      <c r="P2275" s="356"/>
      <c r="Q2275" s="380"/>
      <c r="T2275" s="62" ph="1"/>
    </row>
    <row r="2276" spans="15:20" ht="26.25">
      <c r="O2276" s="386"/>
      <c r="P2276" s="356"/>
      <c r="Q2276" s="380"/>
      <c r="T2276" s="62" ph="1"/>
    </row>
    <row r="2277" spans="15:20" ht="26.25">
      <c r="O2277" s="386"/>
      <c r="P2277" s="356"/>
      <c r="Q2277" s="380"/>
      <c r="T2277" s="62" ph="1"/>
    </row>
    <row r="2278" spans="15:20" ht="26.25">
      <c r="O2278" s="386"/>
      <c r="P2278" s="356"/>
      <c r="Q2278" s="380"/>
      <c r="T2278" s="62" ph="1"/>
    </row>
    <row r="2279" spans="15:20" ht="26.25">
      <c r="O2279" s="386"/>
      <c r="P2279" s="356"/>
      <c r="Q2279" s="380"/>
      <c r="T2279" s="62" ph="1"/>
    </row>
    <row r="2280" spans="15:20" ht="26.25">
      <c r="O2280" s="386"/>
      <c r="P2280" s="356"/>
      <c r="Q2280" s="380"/>
      <c r="T2280" s="62" ph="1"/>
    </row>
    <row r="2281" spans="15:20" ht="26.25">
      <c r="O2281" s="386"/>
      <c r="P2281" s="356"/>
      <c r="Q2281" s="380"/>
      <c r="T2281" s="62" ph="1"/>
    </row>
    <row r="2282" spans="15:20" ht="26.25">
      <c r="O2282" s="386"/>
      <c r="P2282" s="356"/>
      <c r="Q2282" s="380"/>
      <c r="T2282" s="62" ph="1"/>
    </row>
    <row r="2283" spans="15:20" ht="26.25">
      <c r="O2283" s="386"/>
      <c r="P2283" s="356"/>
      <c r="Q2283" s="380"/>
      <c r="T2283" s="62" ph="1"/>
    </row>
    <row r="2284" spans="15:20" ht="26.25">
      <c r="O2284" s="386"/>
      <c r="P2284" s="356"/>
      <c r="Q2284" s="380"/>
      <c r="T2284" s="62" ph="1"/>
    </row>
    <row r="2285" spans="15:20" ht="26.25">
      <c r="O2285" s="386"/>
      <c r="P2285" s="356"/>
      <c r="Q2285" s="380"/>
      <c r="T2285" s="62" ph="1"/>
    </row>
    <row r="2286" spans="15:20" ht="26.25">
      <c r="O2286" s="386"/>
      <c r="P2286" s="356"/>
      <c r="Q2286" s="380"/>
      <c r="T2286" s="62" ph="1"/>
    </row>
    <row r="2287" spans="15:20" ht="26.25">
      <c r="O2287" s="386"/>
      <c r="P2287" s="356"/>
      <c r="Q2287" s="380"/>
      <c r="T2287" s="62" ph="1"/>
    </row>
    <row r="2288" spans="15:20" ht="26.25">
      <c r="O2288" s="386"/>
      <c r="P2288" s="356"/>
      <c r="Q2288" s="380"/>
      <c r="T2288" s="62" ph="1"/>
    </row>
    <row r="2289" spans="15:20" ht="26.25">
      <c r="O2289" s="386"/>
      <c r="P2289" s="356"/>
      <c r="Q2289" s="380"/>
      <c r="T2289" s="62" ph="1"/>
    </row>
    <row r="2290" spans="15:20" ht="26.25">
      <c r="O2290" s="386"/>
      <c r="P2290" s="356"/>
      <c r="Q2290" s="380"/>
      <c r="T2290" s="62" ph="1"/>
    </row>
    <row r="2291" spans="15:20" ht="26.25">
      <c r="O2291" s="386"/>
      <c r="P2291" s="356"/>
      <c r="Q2291" s="380"/>
      <c r="T2291" s="62" ph="1"/>
    </row>
    <row r="2292" spans="15:20" ht="26.25">
      <c r="O2292" s="386"/>
      <c r="P2292" s="356"/>
      <c r="Q2292" s="380"/>
      <c r="T2292" s="62" ph="1"/>
    </row>
    <row r="2293" spans="15:20" ht="26.25">
      <c r="O2293" s="386"/>
      <c r="P2293" s="356"/>
      <c r="Q2293" s="380"/>
      <c r="T2293" s="62" ph="1"/>
    </row>
    <row r="2294" spans="15:20" ht="26.25">
      <c r="O2294" s="386"/>
      <c r="P2294" s="356"/>
      <c r="Q2294" s="380"/>
      <c r="T2294" s="62" ph="1"/>
    </row>
    <row r="2295" spans="15:20" ht="26.25">
      <c r="O2295" s="386"/>
      <c r="P2295" s="356"/>
      <c r="Q2295" s="380"/>
      <c r="T2295" s="62" ph="1"/>
    </row>
    <row r="2296" spans="15:20" ht="26.25">
      <c r="O2296" s="386"/>
      <c r="P2296" s="356"/>
      <c r="Q2296" s="380"/>
      <c r="T2296" s="62" ph="1"/>
    </row>
    <row r="2297" spans="15:20" ht="26.25">
      <c r="O2297" s="386"/>
      <c r="P2297" s="356"/>
      <c r="Q2297" s="380"/>
      <c r="T2297" s="62" ph="1"/>
    </row>
    <row r="2298" spans="15:20" ht="26.25">
      <c r="O2298" s="386"/>
      <c r="P2298" s="356"/>
      <c r="Q2298" s="380"/>
      <c r="T2298" s="62" ph="1"/>
    </row>
    <row r="2299" spans="15:20" ht="26.25">
      <c r="O2299" s="386"/>
      <c r="P2299" s="356"/>
      <c r="Q2299" s="380"/>
      <c r="T2299" s="62" ph="1"/>
    </row>
    <row r="2300" spans="15:20" ht="26.25">
      <c r="O2300" s="386"/>
      <c r="P2300" s="356"/>
      <c r="Q2300" s="380"/>
      <c r="T2300" s="62" ph="1"/>
    </row>
    <row r="2301" spans="15:20" ht="26.25">
      <c r="O2301" s="386"/>
      <c r="P2301" s="356"/>
      <c r="Q2301" s="380"/>
      <c r="T2301" s="62" ph="1"/>
    </row>
    <row r="2302" spans="15:20" ht="26.25">
      <c r="O2302" s="386"/>
      <c r="P2302" s="356"/>
      <c r="Q2302" s="380"/>
      <c r="T2302" s="62" ph="1"/>
    </row>
    <row r="2303" spans="15:20" ht="26.25">
      <c r="O2303" s="386"/>
      <c r="P2303" s="356"/>
      <c r="Q2303" s="380"/>
      <c r="T2303" s="62" ph="1"/>
    </row>
    <row r="2304" spans="15:20" ht="26.25">
      <c r="T2304" s="62" ph="1"/>
    </row>
    <row r="2305" spans="20:20" ht="26.25">
      <c r="T2305" s="62" ph="1"/>
    </row>
    <row r="2306" spans="20:20" ht="26.25">
      <c r="T2306" s="62" ph="1"/>
    </row>
    <row r="2307" spans="20:20" ht="26.25">
      <c r="T2307" s="62" ph="1"/>
    </row>
    <row r="2308" spans="20:20" ht="26.25">
      <c r="T2308" s="62" ph="1"/>
    </row>
    <row r="2309" spans="20:20" ht="26.25">
      <c r="T2309" s="62" ph="1"/>
    </row>
    <row r="2310" spans="20:20" ht="26.25">
      <c r="T2310" s="62" ph="1"/>
    </row>
    <row r="2311" spans="20:20" ht="26.25">
      <c r="T2311" s="62" ph="1"/>
    </row>
    <row r="2312" spans="20:20" ht="26.25">
      <c r="T2312" s="62" ph="1"/>
    </row>
    <row r="2313" spans="20:20" ht="26.25">
      <c r="T2313" s="62" ph="1"/>
    </row>
    <row r="2314" spans="20:20" ht="26.25">
      <c r="T2314" s="62" ph="1"/>
    </row>
    <row r="2315" spans="20:20" ht="26.25">
      <c r="T2315" s="62" ph="1"/>
    </row>
    <row r="2316" spans="20:20" ht="26.25">
      <c r="T2316" s="62" ph="1"/>
    </row>
    <row r="2317" spans="20:20" ht="26.25">
      <c r="T2317" s="62" ph="1"/>
    </row>
    <row r="2318" spans="20:20" ht="26.25">
      <c r="T2318" s="62" ph="1"/>
    </row>
    <row r="2319" spans="20:20" ht="26.25">
      <c r="T2319" s="62" ph="1"/>
    </row>
    <row r="2320" spans="20:20" ht="26.25">
      <c r="T2320" s="62" ph="1"/>
    </row>
    <row r="2321" spans="20:20" ht="26.25">
      <c r="T2321" s="62" ph="1"/>
    </row>
    <row r="2322" spans="20:20" ht="26.25">
      <c r="T2322" s="62" ph="1"/>
    </row>
    <row r="2323" spans="20:20" ht="26.25">
      <c r="T2323" s="62" ph="1"/>
    </row>
    <row r="2324" spans="20:20" ht="26.25">
      <c r="T2324" s="62" ph="1"/>
    </row>
    <row r="2325" spans="20:20" ht="26.25">
      <c r="T2325" s="62" ph="1"/>
    </row>
    <row r="2326" spans="20:20" ht="26.25">
      <c r="T2326" s="62" ph="1"/>
    </row>
    <row r="2327" spans="20:20" ht="26.25">
      <c r="T2327" s="62" ph="1"/>
    </row>
    <row r="2328" spans="20:20" ht="26.25">
      <c r="T2328" s="62" ph="1"/>
    </row>
    <row r="2329" spans="20:20" ht="26.25">
      <c r="T2329" s="62" ph="1"/>
    </row>
    <row r="2330" spans="20:20" ht="26.25">
      <c r="T2330" s="62" ph="1"/>
    </row>
    <row r="2331" spans="20:20" ht="26.25">
      <c r="T2331" s="62" ph="1"/>
    </row>
    <row r="2332" spans="20:20" ht="26.25">
      <c r="T2332" s="62" ph="1"/>
    </row>
    <row r="2333" spans="20:20" ht="26.25">
      <c r="T2333" s="62" ph="1"/>
    </row>
    <row r="2334" spans="20:20" ht="26.25">
      <c r="T2334" s="62" ph="1"/>
    </row>
    <row r="2335" spans="20:20" ht="26.25">
      <c r="T2335" s="62" ph="1"/>
    </row>
    <row r="2336" spans="20:20" ht="26.25">
      <c r="T2336" s="62" ph="1"/>
    </row>
    <row r="2337" spans="20:20" ht="26.25">
      <c r="T2337" s="62" ph="1"/>
    </row>
    <row r="2338" spans="20:20" ht="26.25">
      <c r="T2338" s="62" ph="1"/>
    </row>
    <row r="2339" spans="20:20" ht="26.25">
      <c r="T2339" s="62" ph="1"/>
    </row>
    <row r="2340" spans="20:20" ht="26.25">
      <c r="T2340" s="62" ph="1"/>
    </row>
    <row r="2341" spans="20:20" ht="26.25">
      <c r="T2341" s="62" ph="1"/>
    </row>
    <row r="2342" spans="20:20" ht="26.25">
      <c r="T2342" s="62" ph="1"/>
    </row>
    <row r="2343" spans="20:20" ht="26.25">
      <c r="T2343" s="62" ph="1"/>
    </row>
    <row r="2344" spans="20:20" ht="26.25">
      <c r="T2344" s="62" ph="1"/>
    </row>
    <row r="2345" spans="20:20" ht="26.25">
      <c r="T2345" s="62" ph="1"/>
    </row>
    <row r="2346" spans="20:20" ht="26.25">
      <c r="T2346" s="62" ph="1"/>
    </row>
    <row r="2347" spans="20:20" ht="26.25">
      <c r="T2347" s="62" ph="1"/>
    </row>
    <row r="2348" spans="20:20" ht="26.25">
      <c r="T2348" s="62" ph="1"/>
    </row>
    <row r="2349" spans="20:20" ht="26.25">
      <c r="T2349" s="62" ph="1"/>
    </row>
    <row r="2350" spans="20:20" ht="26.25">
      <c r="T2350" s="62" ph="1"/>
    </row>
    <row r="2351" spans="20:20" ht="26.25">
      <c r="T2351" s="62" ph="1"/>
    </row>
    <row r="2352" spans="20:20" ht="26.25">
      <c r="T2352" s="62" ph="1"/>
    </row>
    <row r="2353" spans="20:20" ht="26.25">
      <c r="T2353" s="62" ph="1"/>
    </row>
    <row r="2354" spans="20:20" ht="26.25">
      <c r="T2354" s="62" ph="1"/>
    </row>
    <row r="2355" spans="20:20" ht="26.25">
      <c r="T2355" s="62" ph="1"/>
    </row>
    <row r="2356" spans="20:20" ht="26.25">
      <c r="T2356" s="62" ph="1"/>
    </row>
    <row r="2357" spans="20:20" ht="26.25">
      <c r="T2357" s="62" ph="1"/>
    </row>
    <row r="2358" spans="20:20" ht="26.25">
      <c r="T2358" s="62" ph="1"/>
    </row>
    <row r="2359" spans="20:20" ht="26.25">
      <c r="T2359" s="62" ph="1"/>
    </row>
    <row r="2360" spans="20:20" ht="26.25">
      <c r="T2360" s="62" ph="1"/>
    </row>
    <row r="2361" spans="20:20" ht="26.25">
      <c r="T2361" s="62" ph="1"/>
    </row>
    <row r="2362" spans="20:20" ht="26.25">
      <c r="T2362" s="62" ph="1"/>
    </row>
    <row r="2363" spans="20:20" ht="26.25">
      <c r="T2363" s="62" ph="1"/>
    </row>
    <row r="2364" spans="20:20" ht="26.25">
      <c r="T2364" s="62" ph="1"/>
    </row>
    <row r="2365" spans="20:20" ht="26.25">
      <c r="T2365" s="62" ph="1"/>
    </row>
    <row r="2366" spans="20:20" ht="26.25">
      <c r="T2366" s="62" ph="1"/>
    </row>
    <row r="2367" spans="20:20" ht="26.25">
      <c r="T2367" s="62" ph="1"/>
    </row>
    <row r="2368" spans="20:20" ht="26.25">
      <c r="T2368" s="62" ph="1"/>
    </row>
    <row r="2369" spans="20:20" ht="26.25">
      <c r="T2369" s="62" ph="1"/>
    </row>
    <row r="2370" spans="20:20" ht="26.25">
      <c r="T2370" s="62" ph="1"/>
    </row>
    <row r="2371" spans="20:20" ht="26.25">
      <c r="T2371" s="62" ph="1"/>
    </row>
    <row r="2372" spans="20:20" ht="26.25">
      <c r="T2372" s="62" ph="1"/>
    </row>
    <row r="2373" spans="20:20" ht="26.25">
      <c r="T2373" s="62" ph="1"/>
    </row>
    <row r="2374" spans="20:20" ht="26.25">
      <c r="T2374" s="62" ph="1"/>
    </row>
    <row r="2375" spans="20:20" ht="26.25">
      <c r="T2375" s="62" ph="1"/>
    </row>
    <row r="2376" spans="20:20" ht="26.25">
      <c r="T2376" s="62" ph="1"/>
    </row>
    <row r="2377" spans="20:20" ht="26.25">
      <c r="T2377" s="62" ph="1"/>
    </row>
    <row r="2378" spans="20:20" ht="26.25">
      <c r="T2378" s="62" ph="1"/>
    </row>
    <row r="2379" spans="20:20" ht="26.25">
      <c r="T2379" s="62" ph="1"/>
    </row>
    <row r="2380" spans="20:20" ht="26.25">
      <c r="T2380" s="62" ph="1"/>
    </row>
    <row r="2381" spans="20:20" ht="26.25">
      <c r="T2381" s="62" ph="1"/>
    </row>
    <row r="2382" spans="20:20" ht="26.25">
      <c r="T2382" s="62" ph="1"/>
    </row>
    <row r="2383" spans="20:20" ht="26.25">
      <c r="T2383" s="62" ph="1"/>
    </row>
    <row r="2384" spans="20:20" ht="26.25">
      <c r="T2384" s="62" ph="1"/>
    </row>
    <row r="2385" spans="20:20" ht="26.25">
      <c r="T2385" s="62" ph="1"/>
    </row>
    <row r="2386" spans="20:20" ht="26.25">
      <c r="T2386" s="62" ph="1"/>
    </row>
    <row r="2387" spans="20:20" ht="26.25">
      <c r="T2387" s="62" ph="1"/>
    </row>
    <row r="2388" spans="20:20" ht="26.25">
      <c r="T2388" s="62" ph="1"/>
    </row>
    <row r="2389" spans="20:20" ht="26.25">
      <c r="T2389" s="62" ph="1"/>
    </row>
    <row r="2390" spans="20:20" ht="26.25">
      <c r="T2390" s="62" ph="1"/>
    </row>
    <row r="2391" spans="20:20" ht="26.25">
      <c r="T2391" s="62" ph="1"/>
    </row>
    <row r="2392" spans="20:20" ht="26.25">
      <c r="T2392" s="62" ph="1"/>
    </row>
    <row r="2393" spans="20:20" ht="26.25">
      <c r="T2393" s="62" ph="1"/>
    </row>
    <row r="2394" spans="20:20" ht="26.25">
      <c r="T2394" s="62" ph="1"/>
    </row>
    <row r="2395" spans="20:20" ht="26.25">
      <c r="T2395" s="62" ph="1"/>
    </row>
    <row r="2396" spans="20:20" ht="26.25">
      <c r="T2396" s="62" ph="1"/>
    </row>
    <row r="2397" spans="20:20" ht="26.25">
      <c r="T2397" s="62" ph="1"/>
    </row>
    <row r="2398" spans="20:20" ht="26.25">
      <c r="T2398" s="62" ph="1"/>
    </row>
    <row r="2399" spans="20:20" ht="26.25">
      <c r="T2399" s="62" ph="1"/>
    </row>
    <row r="2400" spans="20:20" ht="26.25">
      <c r="T2400" s="62" ph="1"/>
    </row>
    <row r="2401" spans="20:20" ht="26.25">
      <c r="T2401" s="62" ph="1"/>
    </row>
    <row r="2402" spans="20:20" ht="26.25">
      <c r="T2402" s="62" ph="1"/>
    </row>
    <row r="2403" spans="20:20" ht="26.25">
      <c r="T2403" s="62" ph="1"/>
    </row>
    <row r="2404" spans="20:20" ht="26.25">
      <c r="T2404" s="62" ph="1"/>
    </row>
    <row r="2405" spans="20:20" ht="26.25">
      <c r="T2405" s="62" ph="1"/>
    </row>
    <row r="2406" spans="20:20" ht="26.25">
      <c r="T2406" s="62" ph="1"/>
    </row>
    <row r="2407" spans="20:20" ht="26.25">
      <c r="T2407" s="62" ph="1"/>
    </row>
    <row r="2408" spans="20:20" ht="26.25">
      <c r="T2408" s="62" ph="1"/>
    </row>
    <row r="2409" spans="20:20" ht="26.25">
      <c r="T2409" s="62" ph="1"/>
    </row>
    <row r="2410" spans="20:20" ht="26.25">
      <c r="T2410" s="62" ph="1"/>
    </row>
    <row r="2411" spans="20:20" ht="26.25">
      <c r="T2411" s="62" ph="1"/>
    </row>
    <row r="2412" spans="20:20" ht="26.25">
      <c r="T2412" s="62" ph="1"/>
    </row>
    <row r="2413" spans="20:20" ht="26.25">
      <c r="T2413" s="62" ph="1"/>
    </row>
    <row r="2414" spans="20:20" ht="26.25">
      <c r="T2414" s="62" ph="1"/>
    </row>
    <row r="2415" spans="20:20" ht="26.25">
      <c r="T2415" s="62" ph="1"/>
    </row>
    <row r="2416" spans="20:20" ht="26.25">
      <c r="T2416" s="62" ph="1"/>
    </row>
    <row r="2417" spans="20:20" ht="26.25">
      <c r="T2417" s="62" ph="1"/>
    </row>
    <row r="2418" spans="20:20" ht="26.25">
      <c r="T2418" s="62" ph="1"/>
    </row>
    <row r="2419" spans="20:20" ht="26.25">
      <c r="T2419" s="62" ph="1"/>
    </row>
    <row r="2420" spans="20:20" ht="26.25">
      <c r="T2420" s="62" ph="1"/>
    </row>
    <row r="2421" spans="20:20" ht="26.25">
      <c r="T2421" s="62" ph="1"/>
    </row>
    <row r="2422" spans="20:20" ht="26.25">
      <c r="T2422" s="62" ph="1"/>
    </row>
    <row r="2423" spans="20:20" ht="26.25">
      <c r="T2423" s="62" ph="1"/>
    </row>
    <row r="2424" spans="20:20" ht="26.25">
      <c r="T2424" s="62" ph="1"/>
    </row>
    <row r="2425" spans="20:20" ht="26.25">
      <c r="T2425" s="62" ph="1"/>
    </row>
    <row r="2426" spans="20:20" ht="26.25">
      <c r="T2426" s="62" ph="1"/>
    </row>
    <row r="2427" spans="20:20" ht="26.25">
      <c r="T2427" s="62" ph="1"/>
    </row>
    <row r="2428" spans="20:20" ht="26.25">
      <c r="T2428" s="62" ph="1"/>
    </row>
    <row r="2429" spans="20:20" ht="26.25">
      <c r="T2429" s="62" ph="1"/>
    </row>
    <row r="2430" spans="20:20" ht="26.25">
      <c r="T2430" s="62" ph="1"/>
    </row>
    <row r="2431" spans="20:20" ht="26.25">
      <c r="T2431" s="62" ph="1"/>
    </row>
    <row r="2432" spans="20:20" ht="26.25">
      <c r="T2432" s="62" ph="1"/>
    </row>
    <row r="2433" spans="20:20" ht="26.25">
      <c r="T2433" s="62" ph="1"/>
    </row>
    <row r="2434" spans="20:20" ht="26.25">
      <c r="T2434" s="62" ph="1"/>
    </row>
    <row r="2435" spans="20:20" ht="26.25">
      <c r="T2435" s="62" ph="1"/>
    </row>
    <row r="2436" spans="20:20" ht="26.25">
      <c r="T2436" s="62" ph="1"/>
    </row>
    <row r="2437" spans="20:20" ht="26.25">
      <c r="T2437" s="62" ph="1"/>
    </row>
    <row r="2438" spans="20:20" ht="26.25">
      <c r="T2438" s="62" ph="1"/>
    </row>
    <row r="2439" spans="20:20" ht="26.25">
      <c r="T2439" s="62" ph="1"/>
    </row>
    <row r="2440" spans="20:20" ht="26.25">
      <c r="T2440" s="62" ph="1"/>
    </row>
    <row r="2441" spans="20:20" ht="26.25">
      <c r="T2441" s="62" ph="1"/>
    </row>
    <row r="2442" spans="20:20" ht="26.25">
      <c r="T2442" s="62" ph="1"/>
    </row>
    <row r="2443" spans="20:20" ht="26.25">
      <c r="T2443" s="62" ph="1"/>
    </row>
    <row r="2444" spans="20:20" ht="26.25">
      <c r="T2444" s="62" ph="1"/>
    </row>
    <row r="2445" spans="20:20" ht="26.25">
      <c r="T2445" s="62" ph="1"/>
    </row>
    <row r="2446" spans="20:20" ht="26.25">
      <c r="T2446" s="62" ph="1"/>
    </row>
    <row r="2447" spans="20:20" ht="26.25">
      <c r="T2447" s="62" ph="1"/>
    </row>
    <row r="2448" spans="20:20" ht="26.25">
      <c r="T2448" s="62" ph="1"/>
    </row>
    <row r="2449" spans="20:20" ht="26.25">
      <c r="T2449" s="62" ph="1"/>
    </row>
    <row r="2450" spans="20:20" ht="26.25">
      <c r="T2450" s="62" ph="1"/>
    </row>
    <row r="2451" spans="20:20" ht="26.25">
      <c r="T2451" s="62" ph="1"/>
    </row>
    <row r="2452" spans="20:20" ht="26.25">
      <c r="T2452" s="62" ph="1"/>
    </row>
    <row r="2453" spans="20:20" ht="26.25">
      <c r="T2453" s="62" ph="1"/>
    </row>
    <row r="2454" spans="20:20" ht="26.25">
      <c r="T2454" s="62" ph="1"/>
    </row>
    <row r="2455" spans="20:20" ht="26.25">
      <c r="T2455" s="62" ph="1"/>
    </row>
    <row r="2456" spans="20:20" ht="26.25">
      <c r="T2456" s="62" ph="1"/>
    </row>
    <row r="2457" spans="20:20" ht="26.25">
      <c r="T2457" s="62" ph="1"/>
    </row>
    <row r="2458" spans="20:20" ht="26.25">
      <c r="T2458" s="62" ph="1"/>
    </row>
    <row r="2459" spans="20:20" ht="26.25">
      <c r="T2459" s="62" ph="1"/>
    </row>
    <row r="2460" spans="20:20" ht="26.25">
      <c r="T2460" s="62" ph="1"/>
    </row>
    <row r="2461" spans="20:20" ht="26.25">
      <c r="T2461" s="62" ph="1"/>
    </row>
    <row r="2462" spans="20:20" ht="26.25">
      <c r="T2462" s="62" ph="1"/>
    </row>
    <row r="2463" spans="20:20" ht="26.25">
      <c r="T2463" s="62" ph="1"/>
    </row>
    <row r="2464" spans="20:20" ht="26.25">
      <c r="T2464" s="62" ph="1"/>
    </row>
    <row r="2465" spans="20:20" ht="26.25">
      <c r="T2465" s="62" ph="1"/>
    </row>
    <row r="2466" spans="20:20" ht="26.25">
      <c r="T2466" s="62" ph="1"/>
    </row>
    <row r="2467" spans="20:20" ht="26.25">
      <c r="T2467" s="62" ph="1"/>
    </row>
    <row r="2468" spans="20:20" ht="26.25">
      <c r="T2468" s="62" ph="1"/>
    </row>
    <row r="2469" spans="20:20" ht="26.25">
      <c r="T2469" s="62" ph="1"/>
    </row>
    <row r="2470" spans="20:20" ht="26.25">
      <c r="T2470" s="62" ph="1"/>
    </row>
    <row r="2471" spans="20:20" ht="26.25">
      <c r="T2471" s="62" ph="1"/>
    </row>
    <row r="2472" spans="20:20" ht="26.25">
      <c r="T2472" s="62" ph="1"/>
    </row>
    <row r="2473" spans="20:20" ht="26.25">
      <c r="T2473" s="62" ph="1"/>
    </row>
    <row r="2474" spans="20:20" ht="26.25">
      <c r="T2474" s="62" ph="1"/>
    </row>
    <row r="2475" spans="20:20" ht="26.25">
      <c r="T2475" s="62" ph="1"/>
    </row>
    <row r="2476" spans="20:20" ht="26.25">
      <c r="T2476" s="62" ph="1"/>
    </row>
    <row r="2477" spans="20:20" ht="26.25">
      <c r="T2477" s="62" ph="1"/>
    </row>
    <row r="2478" spans="20:20" ht="26.25">
      <c r="T2478" s="62" ph="1"/>
    </row>
    <row r="2479" spans="20:20" ht="26.25">
      <c r="T2479" s="62" ph="1"/>
    </row>
    <row r="2480" spans="20:20" ht="26.25">
      <c r="T2480" s="62" ph="1"/>
    </row>
    <row r="2481" spans="20:20" ht="26.25">
      <c r="T2481" s="62" ph="1"/>
    </row>
    <row r="2482" spans="20:20" ht="26.25">
      <c r="T2482" s="62" ph="1"/>
    </row>
    <row r="2483" spans="20:20" ht="26.25">
      <c r="T2483" s="62" ph="1"/>
    </row>
    <row r="2484" spans="20:20" ht="26.25">
      <c r="T2484" s="62" ph="1"/>
    </row>
    <row r="2485" spans="20:20" ht="26.25">
      <c r="T2485" s="62" ph="1"/>
    </row>
    <row r="2486" spans="20:20" ht="26.25">
      <c r="T2486" s="62" ph="1"/>
    </row>
    <row r="2487" spans="20:20" ht="26.25">
      <c r="T2487" s="62" ph="1"/>
    </row>
    <row r="2488" spans="20:20" ht="26.25">
      <c r="T2488" s="62" ph="1"/>
    </row>
    <row r="2489" spans="20:20" ht="26.25">
      <c r="T2489" s="62" ph="1"/>
    </row>
    <row r="2490" spans="20:20" ht="26.25">
      <c r="T2490" s="62" ph="1"/>
    </row>
    <row r="2491" spans="20:20" ht="26.25">
      <c r="T2491" s="62" ph="1"/>
    </row>
    <row r="2492" spans="20:20" ht="26.25">
      <c r="T2492" s="62" ph="1"/>
    </row>
    <row r="2493" spans="20:20" ht="26.25">
      <c r="T2493" s="62" ph="1"/>
    </row>
    <row r="2494" spans="20:20" ht="26.25">
      <c r="T2494" s="62" ph="1"/>
    </row>
    <row r="2495" spans="20:20" ht="26.25">
      <c r="T2495" s="62" ph="1"/>
    </row>
    <row r="2496" spans="20:20" ht="26.25">
      <c r="T2496" s="62" ph="1"/>
    </row>
    <row r="2497" spans="20:20" ht="26.25">
      <c r="T2497" s="62" ph="1"/>
    </row>
    <row r="2498" spans="20:20" ht="26.25">
      <c r="T2498" s="62" ph="1"/>
    </row>
    <row r="2499" spans="20:20" ht="26.25">
      <c r="T2499" s="62" ph="1"/>
    </row>
    <row r="2500" spans="20:20" ht="26.25">
      <c r="T2500" s="62" ph="1"/>
    </row>
    <row r="2501" spans="20:20" ht="26.25">
      <c r="T2501" s="62" ph="1"/>
    </row>
    <row r="2502" spans="20:20" ht="26.25">
      <c r="T2502" s="62" ph="1"/>
    </row>
    <row r="2503" spans="20:20" ht="26.25">
      <c r="T2503" s="62" ph="1"/>
    </row>
    <row r="2504" spans="20:20" ht="26.25">
      <c r="T2504" s="62" ph="1"/>
    </row>
    <row r="2505" spans="20:20" ht="26.25">
      <c r="T2505" s="62" ph="1"/>
    </row>
    <row r="2506" spans="20:20" ht="26.25">
      <c r="T2506" s="62" ph="1"/>
    </row>
    <row r="2507" spans="20:20" ht="26.25">
      <c r="T2507" s="62" ph="1"/>
    </row>
    <row r="2508" spans="20:20" ht="26.25">
      <c r="T2508" s="62" ph="1"/>
    </row>
    <row r="2509" spans="20:20" ht="26.25">
      <c r="T2509" s="62" ph="1"/>
    </row>
    <row r="2510" spans="20:20" ht="26.25">
      <c r="T2510" s="62" ph="1"/>
    </row>
    <row r="2511" spans="20:20" ht="26.25">
      <c r="T2511" s="62" ph="1"/>
    </row>
    <row r="2512" spans="20:20" ht="26.25">
      <c r="T2512" s="62" ph="1"/>
    </row>
    <row r="2513" spans="20:20" ht="26.25">
      <c r="T2513" s="62" ph="1"/>
    </row>
    <row r="2514" spans="20:20" ht="26.25">
      <c r="T2514" s="62" ph="1"/>
    </row>
    <row r="2515" spans="20:20" ht="26.25">
      <c r="T2515" s="62" ph="1"/>
    </row>
    <row r="2516" spans="20:20" ht="26.25">
      <c r="T2516" s="62" ph="1"/>
    </row>
    <row r="2517" spans="20:20" ht="26.25">
      <c r="T2517" s="62" ph="1"/>
    </row>
    <row r="2518" spans="20:20" ht="26.25">
      <c r="T2518" s="62" ph="1"/>
    </row>
    <row r="2519" spans="20:20" ht="26.25">
      <c r="T2519" s="62" ph="1"/>
    </row>
    <row r="2520" spans="20:20" ht="26.25">
      <c r="T2520" s="62" ph="1"/>
    </row>
    <row r="2521" spans="20:20" ht="26.25">
      <c r="T2521" s="62" ph="1"/>
    </row>
    <row r="2522" spans="20:20" ht="26.25">
      <c r="T2522" s="62" ph="1"/>
    </row>
    <row r="2523" spans="20:20" ht="26.25">
      <c r="T2523" s="62" ph="1"/>
    </row>
    <row r="2524" spans="20:20" ht="26.25">
      <c r="T2524" s="62" ph="1"/>
    </row>
    <row r="2525" spans="20:20" ht="26.25">
      <c r="T2525" s="62" ph="1"/>
    </row>
    <row r="2526" spans="20:20" ht="26.25">
      <c r="T2526" s="62" ph="1"/>
    </row>
    <row r="2527" spans="20:20" ht="26.25">
      <c r="T2527" s="62" ph="1"/>
    </row>
    <row r="2528" spans="20:20" ht="26.25">
      <c r="T2528" s="62" ph="1"/>
    </row>
    <row r="2529" spans="20:20" ht="26.25">
      <c r="T2529" s="62" ph="1"/>
    </row>
    <row r="2530" spans="20:20" ht="26.25">
      <c r="T2530" s="62" ph="1"/>
    </row>
    <row r="2531" spans="20:20" ht="26.25">
      <c r="T2531" s="62" ph="1"/>
    </row>
    <row r="2532" spans="20:20" ht="26.25">
      <c r="T2532" s="62" ph="1"/>
    </row>
    <row r="2533" spans="20:20" ht="26.25">
      <c r="T2533" s="62" ph="1"/>
    </row>
    <row r="2534" spans="20:20" ht="26.25">
      <c r="T2534" s="62" ph="1"/>
    </row>
    <row r="2535" spans="20:20" ht="26.25">
      <c r="T2535" s="62" ph="1"/>
    </row>
    <row r="2536" spans="20:20" ht="26.25">
      <c r="T2536" s="62" ph="1"/>
    </row>
    <row r="2537" spans="20:20" ht="26.25">
      <c r="T2537" s="62" ph="1"/>
    </row>
    <row r="2538" spans="20:20" ht="26.25">
      <c r="T2538" s="62" ph="1"/>
    </row>
    <row r="2539" spans="20:20" ht="26.25">
      <c r="T2539" s="62" ph="1"/>
    </row>
    <row r="2540" spans="20:20" ht="26.25">
      <c r="T2540" s="62" ph="1"/>
    </row>
    <row r="2541" spans="20:20" ht="26.25">
      <c r="T2541" s="62" ph="1"/>
    </row>
    <row r="2542" spans="20:20" ht="26.25">
      <c r="T2542" s="62" ph="1"/>
    </row>
    <row r="2543" spans="20:20" ht="26.25">
      <c r="T2543" s="62" ph="1"/>
    </row>
    <row r="2544" spans="20:20" ht="26.25">
      <c r="T2544" s="62" ph="1"/>
    </row>
    <row r="2545" spans="20:20" ht="26.25">
      <c r="T2545" s="62" ph="1"/>
    </row>
    <row r="2546" spans="20:20" ht="26.25">
      <c r="T2546" s="62" ph="1"/>
    </row>
    <row r="2547" spans="20:20" ht="26.25">
      <c r="T2547" s="62" ph="1"/>
    </row>
    <row r="2548" spans="20:20" ht="26.25">
      <c r="T2548" s="62" ph="1"/>
    </row>
    <row r="2549" spans="20:20" ht="26.25">
      <c r="T2549" s="62" ph="1"/>
    </row>
    <row r="2550" spans="20:20" ht="26.25">
      <c r="T2550" s="62" ph="1"/>
    </row>
    <row r="2551" spans="20:20" ht="26.25">
      <c r="T2551" s="62" ph="1"/>
    </row>
    <row r="2552" spans="20:20" ht="26.25">
      <c r="T2552" s="62" ph="1"/>
    </row>
    <row r="2553" spans="20:20" ht="26.25">
      <c r="T2553" s="62" ph="1"/>
    </row>
    <row r="2554" spans="20:20" ht="26.25">
      <c r="T2554" s="62" ph="1"/>
    </row>
    <row r="2555" spans="20:20" ht="26.25">
      <c r="T2555" s="62" ph="1"/>
    </row>
    <row r="2556" spans="20:20" ht="26.25">
      <c r="T2556" s="62" ph="1"/>
    </row>
    <row r="2557" spans="20:20" ht="26.25">
      <c r="T2557" s="62" ph="1"/>
    </row>
    <row r="2558" spans="20:20" ht="26.25">
      <c r="T2558" s="62" ph="1"/>
    </row>
    <row r="2559" spans="20:20" ht="26.25">
      <c r="T2559" s="62" ph="1"/>
    </row>
    <row r="2560" spans="20:20" ht="26.25">
      <c r="T2560" s="62" ph="1"/>
    </row>
    <row r="2561" spans="20:20" ht="26.25">
      <c r="T2561" s="62" ph="1"/>
    </row>
    <row r="2562" spans="20:20" ht="26.25">
      <c r="T2562" s="62" ph="1"/>
    </row>
    <row r="2563" spans="20:20" ht="26.25">
      <c r="T2563" s="62" ph="1"/>
    </row>
    <row r="2564" spans="20:20" ht="26.25">
      <c r="T2564" s="62" ph="1"/>
    </row>
    <row r="2565" spans="20:20" ht="26.25">
      <c r="T2565" s="62" ph="1"/>
    </row>
    <row r="2566" spans="20:20" ht="26.25">
      <c r="T2566" s="62" ph="1"/>
    </row>
    <row r="2567" spans="20:20" ht="26.25">
      <c r="T2567" s="62" ph="1"/>
    </row>
    <row r="2568" spans="20:20" ht="26.25">
      <c r="T2568" s="62" ph="1"/>
    </row>
    <row r="2569" spans="20:20" ht="26.25">
      <c r="T2569" s="62" ph="1"/>
    </row>
    <row r="2570" spans="20:20" ht="26.25">
      <c r="T2570" s="62" ph="1"/>
    </row>
    <row r="2571" spans="20:20" ht="26.25">
      <c r="T2571" s="62" ph="1"/>
    </row>
    <row r="2572" spans="20:20" ht="26.25">
      <c r="T2572" s="62" ph="1"/>
    </row>
    <row r="2573" spans="20:20" ht="26.25">
      <c r="T2573" s="62" ph="1"/>
    </row>
    <row r="2574" spans="20:20" ht="26.25">
      <c r="T2574" s="62" ph="1"/>
    </row>
    <row r="2575" spans="20:20" ht="26.25">
      <c r="T2575" s="62" ph="1"/>
    </row>
    <row r="2576" spans="20:20" ht="26.25">
      <c r="T2576" s="62" ph="1"/>
    </row>
    <row r="2577" spans="20:20" ht="26.25">
      <c r="T2577" s="62" ph="1"/>
    </row>
    <row r="2578" spans="20:20" ht="26.25">
      <c r="T2578" s="62" ph="1"/>
    </row>
    <row r="2579" spans="20:20" ht="26.25">
      <c r="T2579" s="62" ph="1"/>
    </row>
    <row r="2580" spans="20:20" ht="26.25">
      <c r="T2580" s="62" ph="1"/>
    </row>
    <row r="2581" spans="20:20" ht="26.25">
      <c r="T2581" s="62" ph="1"/>
    </row>
    <row r="2582" spans="20:20" ht="26.25">
      <c r="T2582" s="62" ph="1"/>
    </row>
    <row r="2583" spans="20:20" ht="26.25">
      <c r="T2583" s="62" ph="1"/>
    </row>
    <row r="2584" spans="20:20" ht="26.25">
      <c r="T2584" s="62" ph="1"/>
    </row>
    <row r="2585" spans="20:20" ht="26.25">
      <c r="T2585" s="62" ph="1"/>
    </row>
    <row r="2586" spans="20:20" ht="26.25">
      <c r="T2586" s="62" ph="1"/>
    </row>
    <row r="2587" spans="20:20" ht="26.25">
      <c r="T2587" s="62" ph="1"/>
    </row>
    <row r="2588" spans="20:20" ht="26.25">
      <c r="T2588" s="62" ph="1"/>
    </row>
    <row r="2589" spans="20:20" ht="26.25">
      <c r="T2589" s="62" ph="1"/>
    </row>
    <row r="2590" spans="20:20" ht="26.25">
      <c r="T2590" s="62" ph="1"/>
    </row>
    <row r="2591" spans="20:20" ht="26.25">
      <c r="T2591" s="62" ph="1"/>
    </row>
    <row r="2592" spans="20:20" ht="26.25">
      <c r="T2592" s="62" ph="1"/>
    </row>
    <row r="2593" spans="20:20" ht="26.25">
      <c r="T2593" s="62" ph="1"/>
    </row>
    <row r="2594" spans="20:20" ht="26.25">
      <c r="T2594" s="62" ph="1"/>
    </row>
    <row r="2595" spans="20:20" ht="26.25">
      <c r="T2595" s="62" ph="1"/>
    </row>
    <row r="2596" spans="20:20" ht="26.25">
      <c r="T2596" s="62" ph="1"/>
    </row>
    <row r="2597" spans="20:20" ht="26.25">
      <c r="T2597" s="62" ph="1"/>
    </row>
    <row r="2598" spans="20:20" ht="26.25">
      <c r="T2598" s="62" ph="1"/>
    </row>
    <row r="2599" spans="20:20" ht="26.25">
      <c r="T2599" s="62" ph="1"/>
    </row>
    <row r="2600" spans="20:20" ht="26.25">
      <c r="T2600" s="62" ph="1"/>
    </row>
    <row r="2601" spans="20:20" ht="26.25">
      <c r="T2601" s="62" ph="1"/>
    </row>
    <row r="2602" spans="20:20" ht="26.25">
      <c r="T2602" s="62" ph="1"/>
    </row>
    <row r="2603" spans="20:20" ht="26.25">
      <c r="T2603" s="62" ph="1"/>
    </row>
    <row r="2604" spans="20:20" ht="26.25">
      <c r="T2604" s="62" ph="1"/>
    </row>
    <row r="2605" spans="20:20" ht="26.25">
      <c r="T2605" s="62" ph="1"/>
    </row>
    <row r="2606" spans="20:20" ht="26.25">
      <c r="T2606" s="62" ph="1"/>
    </row>
    <row r="2607" spans="20:20" ht="26.25">
      <c r="T2607" s="62" ph="1"/>
    </row>
    <row r="2608" spans="20:20" ht="26.25">
      <c r="T2608" s="62" ph="1"/>
    </row>
    <row r="2609" spans="20:20" ht="26.25">
      <c r="T2609" s="62" ph="1"/>
    </row>
    <row r="2610" spans="20:20" ht="26.25">
      <c r="T2610" s="62" ph="1"/>
    </row>
    <row r="2611" spans="20:20" ht="26.25">
      <c r="T2611" s="62" ph="1"/>
    </row>
    <row r="2612" spans="20:20" ht="26.25">
      <c r="T2612" s="62" ph="1"/>
    </row>
    <row r="2613" spans="20:20" ht="26.25">
      <c r="T2613" s="62" ph="1"/>
    </row>
    <row r="2614" spans="20:20" ht="26.25">
      <c r="T2614" s="62" ph="1"/>
    </row>
    <row r="2615" spans="20:20" ht="26.25">
      <c r="T2615" s="62" ph="1"/>
    </row>
    <row r="2616" spans="20:20" ht="26.25">
      <c r="T2616" s="62" ph="1"/>
    </row>
    <row r="2617" spans="20:20" ht="26.25">
      <c r="T2617" s="62" ph="1"/>
    </row>
    <row r="2618" spans="20:20" ht="26.25">
      <c r="T2618" s="62" ph="1"/>
    </row>
    <row r="2619" spans="20:20" ht="26.25">
      <c r="T2619" s="62" ph="1"/>
    </row>
    <row r="2620" spans="20:20" ht="26.25">
      <c r="T2620" s="62" ph="1"/>
    </row>
    <row r="2621" spans="20:20" ht="26.25">
      <c r="T2621" s="62" ph="1"/>
    </row>
    <row r="2622" spans="20:20" ht="26.25">
      <c r="T2622" s="62" ph="1"/>
    </row>
    <row r="2623" spans="20:20" ht="26.25">
      <c r="T2623" s="62" ph="1"/>
    </row>
    <row r="2624" spans="20:20" ht="26.25">
      <c r="T2624" s="62" ph="1"/>
    </row>
    <row r="2625" spans="20:20" ht="26.25">
      <c r="T2625" s="62" ph="1"/>
    </row>
    <row r="2626" spans="20:20" ht="26.25">
      <c r="T2626" s="62" ph="1"/>
    </row>
    <row r="2627" spans="20:20" ht="26.25">
      <c r="T2627" s="62" ph="1"/>
    </row>
    <row r="2628" spans="20:20" ht="26.25">
      <c r="T2628" s="62" ph="1"/>
    </row>
    <row r="2629" spans="20:20" ht="26.25">
      <c r="T2629" s="62" ph="1"/>
    </row>
    <row r="2630" spans="20:20" ht="26.25">
      <c r="T2630" s="62" ph="1"/>
    </row>
    <row r="2631" spans="20:20" ht="26.25">
      <c r="T2631" s="62" ph="1"/>
    </row>
    <row r="2632" spans="20:20" ht="26.25">
      <c r="T2632" s="62" ph="1"/>
    </row>
    <row r="2633" spans="20:20" ht="26.25">
      <c r="T2633" s="62" ph="1"/>
    </row>
    <row r="2634" spans="20:20" ht="26.25">
      <c r="T2634" s="62" ph="1"/>
    </row>
    <row r="2635" spans="20:20" ht="26.25">
      <c r="T2635" s="62" ph="1"/>
    </row>
    <row r="2636" spans="20:20" ht="26.25">
      <c r="T2636" s="62" ph="1"/>
    </row>
    <row r="2637" spans="20:20" ht="26.25">
      <c r="T2637" s="62" ph="1"/>
    </row>
    <row r="2638" spans="20:20" ht="26.25">
      <c r="T2638" s="62" ph="1"/>
    </row>
    <row r="2639" spans="20:20" ht="26.25">
      <c r="T2639" s="62" ph="1"/>
    </row>
    <row r="2640" spans="20:20" ht="26.25">
      <c r="T2640" s="62" ph="1"/>
    </row>
    <row r="2641" spans="20:20" ht="26.25">
      <c r="T2641" s="62" ph="1"/>
    </row>
    <row r="2642" spans="20:20" ht="26.25">
      <c r="T2642" s="62" ph="1"/>
    </row>
    <row r="2643" spans="20:20" ht="26.25">
      <c r="T2643" s="62" ph="1"/>
    </row>
    <row r="2644" spans="20:20" ht="26.25">
      <c r="T2644" s="62" ph="1"/>
    </row>
    <row r="2645" spans="20:20" ht="26.25">
      <c r="T2645" s="62" ph="1"/>
    </row>
    <row r="2646" spans="20:20" ht="26.25">
      <c r="T2646" s="62" ph="1"/>
    </row>
    <row r="2647" spans="20:20" ht="26.25">
      <c r="T2647" s="62" ph="1"/>
    </row>
    <row r="2648" spans="20:20" ht="26.25">
      <c r="T2648" s="62" ph="1"/>
    </row>
    <row r="2649" spans="20:20" ht="26.25">
      <c r="T2649" s="62" ph="1"/>
    </row>
    <row r="2650" spans="20:20" ht="26.25">
      <c r="T2650" s="62" ph="1"/>
    </row>
    <row r="2651" spans="20:20" ht="26.25">
      <c r="T2651" s="62" ph="1"/>
    </row>
    <row r="2652" spans="20:20" ht="26.25">
      <c r="T2652" s="62" ph="1"/>
    </row>
    <row r="2653" spans="20:20" ht="26.25">
      <c r="T2653" s="62" ph="1"/>
    </row>
    <row r="2654" spans="20:20" ht="26.25">
      <c r="T2654" s="62" ph="1"/>
    </row>
    <row r="2655" spans="20:20" ht="26.25">
      <c r="T2655" s="62" ph="1"/>
    </row>
    <row r="2656" spans="20:20" ht="26.25">
      <c r="T2656" s="62" ph="1"/>
    </row>
    <row r="2657" spans="20:20" ht="26.25">
      <c r="T2657" s="62" ph="1"/>
    </row>
    <row r="2658" spans="20:20" ht="26.25">
      <c r="T2658" s="62" ph="1"/>
    </row>
    <row r="2659" spans="20:20" ht="26.25">
      <c r="T2659" s="62" ph="1"/>
    </row>
    <row r="2660" spans="20:20" ht="26.25">
      <c r="T2660" s="62" ph="1"/>
    </row>
    <row r="2661" spans="20:20" ht="26.25">
      <c r="T2661" s="62" ph="1"/>
    </row>
    <row r="2662" spans="20:20" ht="26.25">
      <c r="T2662" s="62" ph="1"/>
    </row>
    <row r="2663" spans="20:20" ht="26.25">
      <c r="T2663" s="62" ph="1"/>
    </row>
    <row r="2664" spans="20:20" ht="26.25">
      <c r="T2664" s="62" ph="1"/>
    </row>
    <row r="2665" spans="20:20" ht="26.25">
      <c r="T2665" s="62" ph="1"/>
    </row>
    <row r="2666" spans="20:20" ht="26.25">
      <c r="T2666" s="62" ph="1"/>
    </row>
    <row r="2667" spans="20:20" ht="26.25">
      <c r="T2667" s="62" ph="1"/>
    </row>
    <row r="2668" spans="20:20" ht="26.25">
      <c r="T2668" s="62" ph="1"/>
    </row>
    <row r="2669" spans="20:20" ht="26.25">
      <c r="T2669" s="62" ph="1"/>
    </row>
    <row r="2670" spans="20:20" ht="26.25">
      <c r="T2670" s="62" ph="1"/>
    </row>
    <row r="2671" spans="20:20" ht="26.25">
      <c r="T2671" s="62" ph="1"/>
    </row>
    <row r="2672" spans="20:20" ht="26.25">
      <c r="T2672" s="62" ph="1"/>
    </row>
    <row r="2673" spans="20:20" ht="26.25">
      <c r="T2673" s="62" ph="1"/>
    </row>
    <row r="2674" spans="20:20" ht="26.25">
      <c r="T2674" s="62" ph="1"/>
    </row>
    <row r="2675" spans="20:20" ht="26.25">
      <c r="T2675" s="62" ph="1"/>
    </row>
    <row r="2676" spans="20:20" ht="26.25">
      <c r="T2676" s="62" ph="1"/>
    </row>
    <row r="2677" spans="20:20" ht="26.25">
      <c r="T2677" s="62" ph="1"/>
    </row>
    <row r="2678" spans="20:20" ht="26.25">
      <c r="T2678" s="62" ph="1"/>
    </row>
    <row r="2679" spans="20:20" ht="26.25">
      <c r="T2679" s="62" ph="1"/>
    </row>
    <row r="2680" spans="20:20" ht="26.25">
      <c r="T2680" s="62" ph="1"/>
    </row>
    <row r="2681" spans="20:20" ht="26.25">
      <c r="T2681" s="62" ph="1"/>
    </row>
    <row r="2682" spans="20:20" ht="26.25">
      <c r="T2682" s="62" ph="1"/>
    </row>
    <row r="2683" spans="20:20" ht="26.25">
      <c r="T2683" s="62" ph="1"/>
    </row>
    <row r="2684" spans="20:20" ht="26.25">
      <c r="T2684" s="62" ph="1"/>
    </row>
    <row r="2685" spans="20:20" ht="26.25">
      <c r="T2685" s="62" ph="1"/>
    </row>
    <row r="2686" spans="20:20" ht="26.25">
      <c r="T2686" s="62" ph="1"/>
    </row>
    <row r="2687" spans="20:20" ht="26.25">
      <c r="T2687" s="62" ph="1"/>
    </row>
    <row r="2688" spans="20:20" ht="26.25">
      <c r="T2688" s="62" ph="1"/>
    </row>
    <row r="2689" spans="20:20" ht="26.25">
      <c r="T2689" s="62" ph="1"/>
    </row>
    <row r="2690" spans="20:20" ht="26.25">
      <c r="T2690" s="62" ph="1"/>
    </row>
    <row r="2691" spans="20:20" ht="26.25">
      <c r="T2691" s="62" ph="1"/>
    </row>
    <row r="2692" spans="20:20" ht="26.25">
      <c r="T2692" s="62" ph="1"/>
    </row>
    <row r="2693" spans="20:20" ht="26.25">
      <c r="T2693" s="62" ph="1"/>
    </row>
    <row r="2694" spans="20:20" ht="26.25">
      <c r="T2694" s="62" ph="1"/>
    </row>
    <row r="2695" spans="20:20" ht="26.25">
      <c r="T2695" s="62" ph="1"/>
    </row>
    <row r="2696" spans="20:20" ht="26.25">
      <c r="T2696" s="62" ph="1"/>
    </row>
    <row r="2697" spans="20:20" ht="26.25">
      <c r="T2697" s="62" ph="1"/>
    </row>
    <row r="2698" spans="20:20" ht="26.25">
      <c r="T2698" s="62" ph="1"/>
    </row>
    <row r="2699" spans="20:20" ht="26.25">
      <c r="T2699" s="62" ph="1"/>
    </row>
    <row r="2700" spans="20:20" ht="26.25">
      <c r="T2700" s="62" ph="1"/>
    </row>
    <row r="2701" spans="20:20" ht="26.25">
      <c r="T2701" s="62" ph="1"/>
    </row>
    <row r="2702" spans="20:20" ht="26.25">
      <c r="T2702" s="62" ph="1"/>
    </row>
    <row r="2703" spans="20:20" ht="26.25">
      <c r="T2703" s="62" ph="1"/>
    </row>
    <row r="2704" spans="20:20" ht="26.25">
      <c r="T2704" s="62" ph="1"/>
    </row>
    <row r="2705" spans="20:20" ht="26.25">
      <c r="T2705" s="62" ph="1"/>
    </row>
    <row r="2706" spans="20:20" ht="26.25">
      <c r="T2706" s="62" ph="1"/>
    </row>
    <row r="2707" spans="20:20" ht="26.25">
      <c r="T2707" s="62" ph="1"/>
    </row>
    <row r="2708" spans="20:20" ht="26.25">
      <c r="T2708" s="62" ph="1"/>
    </row>
    <row r="2709" spans="20:20" ht="26.25">
      <c r="T2709" s="62" ph="1"/>
    </row>
    <row r="2710" spans="20:20" ht="26.25">
      <c r="T2710" s="62" ph="1"/>
    </row>
    <row r="2711" spans="20:20" ht="26.25">
      <c r="T2711" s="62" ph="1"/>
    </row>
    <row r="2712" spans="20:20" ht="26.25">
      <c r="T2712" s="62" ph="1"/>
    </row>
    <row r="2713" spans="20:20" ht="26.25">
      <c r="T2713" s="62" ph="1"/>
    </row>
    <row r="2714" spans="20:20" ht="26.25">
      <c r="T2714" s="62" ph="1"/>
    </row>
    <row r="2715" spans="20:20" ht="26.25">
      <c r="T2715" s="62" ph="1"/>
    </row>
    <row r="2716" spans="20:20" ht="26.25">
      <c r="T2716" s="62" ph="1"/>
    </row>
    <row r="2717" spans="20:20" ht="26.25">
      <c r="T2717" s="62" ph="1"/>
    </row>
    <row r="2718" spans="20:20" ht="26.25">
      <c r="T2718" s="62" ph="1"/>
    </row>
    <row r="2719" spans="20:20" ht="26.25">
      <c r="T2719" s="62" ph="1"/>
    </row>
    <row r="2720" spans="20:20" ht="26.25">
      <c r="T2720" s="62" ph="1"/>
    </row>
    <row r="2721" spans="20:20" ht="26.25">
      <c r="T2721" s="62" ph="1"/>
    </row>
    <row r="2722" spans="20:20" ht="26.25">
      <c r="T2722" s="62" ph="1"/>
    </row>
    <row r="2723" spans="20:20" ht="26.25">
      <c r="T2723" s="62" ph="1"/>
    </row>
    <row r="2724" spans="20:20" ht="26.25">
      <c r="T2724" s="62" ph="1"/>
    </row>
    <row r="2725" spans="20:20" ht="26.25">
      <c r="T2725" s="62" ph="1"/>
    </row>
    <row r="2726" spans="20:20" ht="26.25">
      <c r="T2726" s="62" ph="1"/>
    </row>
    <row r="2727" spans="20:20" ht="26.25">
      <c r="T2727" s="62" ph="1"/>
    </row>
    <row r="2728" spans="20:20" ht="26.25">
      <c r="T2728" s="62" ph="1"/>
    </row>
    <row r="2729" spans="20:20" ht="26.25">
      <c r="T2729" s="62" ph="1"/>
    </row>
    <row r="2730" spans="20:20" ht="26.25">
      <c r="T2730" s="62" ph="1"/>
    </row>
    <row r="2731" spans="20:20" ht="26.25">
      <c r="T2731" s="62" ph="1"/>
    </row>
    <row r="2732" spans="20:20" ht="26.25">
      <c r="T2732" s="62" ph="1"/>
    </row>
    <row r="2733" spans="20:20" ht="26.25">
      <c r="T2733" s="62" ph="1"/>
    </row>
    <row r="2734" spans="20:20" ht="26.25">
      <c r="T2734" s="62" ph="1"/>
    </row>
    <row r="2735" spans="20:20" ht="26.25">
      <c r="T2735" s="62" ph="1"/>
    </row>
    <row r="2736" spans="20:20" ht="26.25">
      <c r="T2736" s="62" ph="1"/>
    </row>
    <row r="2737" spans="20:20" ht="26.25">
      <c r="T2737" s="62" ph="1"/>
    </row>
    <row r="2738" spans="20:20" ht="26.25">
      <c r="T2738" s="62" ph="1"/>
    </row>
    <row r="2739" spans="20:20" ht="26.25">
      <c r="T2739" s="62" ph="1"/>
    </row>
    <row r="2740" spans="20:20" ht="26.25">
      <c r="T2740" s="62" ph="1"/>
    </row>
    <row r="2741" spans="20:20" ht="26.25">
      <c r="T2741" s="62" ph="1"/>
    </row>
    <row r="2742" spans="20:20" ht="26.25">
      <c r="T2742" s="62" ph="1"/>
    </row>
    <row r="2743" spans="20:20" ht="26.25">
      <c r="T2743" s="62" ph="1"/>
    </row>
    <row r="2744" spans="20:20" ht="26.25">
      <c r="T2744" s="62" ph="1"/>
    </row>
    <row r="2745" spans="20:20" ht="26.25">
      <c r="T2745" s="62" ph="1"/>
    </row>
    <row r="2746" spans="20:20" ht="26.25">
      <c r="T2746" s="62" ph="1"/>
    </row>
    <row r="2747" spans="20:20" ht="26.25">
      <c r="T2747" s="62" ph="1"/>
    </row>
    <row r="2748" spans="20:20" ht="26.25">
      <c r="T2748" s="62" ph="1"/>
    </row>
    <row r="2749" spans="20:20" ht="26.25">
      <c r="T2749" s="62" ph="1"/>
    </row>
    <row r="2750" spans="20:20" ht="26.25">
      <c r="T2750" s="62" ph="1"/>
    </row>
    <row r="2751" spans="20:20" ht="26.25">
      <c r="T2751" s="62" ph="1"/>
    </row>
    <row r="2752" spans="20:20" ht="26.25">
      <c r="T2752" s="62" ph="1"/>
    </row>
    <row r="2753" spans="20:20" ht="26.25">
      <c r="T2753" s="62" ph="1"/>
    </row>
    <row r="2754" spans="20:20" ht="26.25">
      <c r="T2754" s="62" ph="1"/>
    </row>
    <row r="2755" spans="20:20" ht="26.25">
      <c r="T2755" s="62" ph="1"/>
    </row>
    <row r="2756" spans="20:20" ht="26.25">
      <c r="T2756" s="62" ph="1"/>
    </row>
    <row r="2757" spans="20:20" ht="26.25">
      <c r="T2757" s="62" ph="1"/>
    </row>
    <row r="2758" spans="20:20" ht="26.25">
      <c r="T2758" s="62" ph="1"/>
    </row>
    <row r="2759" spans="20:20" ht="26.25">
      <c r="T2759" s="62" ph="1"/>
    </row>
    <row r="2760" spans="20:20" ht="26.25">
      <c r="T2760" s="62" ph="1"/>
    </row>
    <row r="2761" spans="20:20" ht="26.25">
      <c r="T2761" s="62" ph="1"/>
    </row>
    <row r="2762" spans="20:20" ht="26.25">
      <c r="T2762" s="62" ph="1"/>
    </row>
    <row r="2763" spans="20:20" ht="26.25">
      <c r="T2763" s="62" ph="1"/>
    </row>
    <row r="2764" spans="20:20" ht="26.25">
      <c r="T2764" s="62" ph="1"/>
    </row>
    <row r="2765" spans="20:20" ht="26.25">
      <c r="T2765" s="62" ph="1"/>
    </row>
    <row r="2766" spans="20:20" ht="26.25">
      <c r="T2766" s="62" ph="1"/>
    </row>
    <row r="2767" spans="20:20" ht="26.25">
      <c r="T2767" s="62" ph="1"/>
    </row>
    <row r="2768" spans="20:20" ht="26.25">
      <c r="T2768" s="62" ph="1"/>
    </row>
    <row r="2769" spans="20:20" ht="26.25">
      <c r="T2769" s="62" ph="1"/>
    </row>
    <row r="2770" spans="20:20" ht="26.25">
      <c r="T2770" s="62" ph="1"/>
    </row>
    <row r="2771" spans="20:20" ht="26.25">
      <c r="T2771" s="62" ph="1"/>
    </row>
    <row r="2772" spans="20:20" ht="26.25">
      <c r="T2772" s="62" ph="1"/>
    </row>
    <row r="2773" spans="20:20" ht="26.25">
      <c r="T2773" s="62" ph="1"/>
    </row>
    <row r="2774" spans="20:20" ht="26.25">
      <c r="T2774" s="62" ph="1"/>
    </row>
    <row r="2775" spans="20:20" ht="26.25">
      <c r="T2775" s="62" ph="1"/>
    </row>
    <row r="2776" spans="20:20" ht="26.25">
      <c r="T2776" s="62" ph="1"/>
    </row>
    <row r="2777" spans="20:20" ht="26.25">
      <c r="T2777" s="62" ph="1"/>
    </row>
    <row r="2778" spans="20:20" ht="26.25">
      <c r="T2778" s="62" ph="1"/>
    </row>
    <row r="2779" spans="20:20" ht="26.25">
      <c r="T2779" s="62" ph="1"/>
    </row>
    <row r="2780" spans="20:20" ht="26.25">
      <c r="T2780" s="62" ph="1"/>
    </row>
    <row r="2781" spans="20:20" ht="26.25">
      <c r="T2781" s="62" ph="1"/>
    </row>
    <row r="2782" spans="20:20" ht="26.25">
      <c r="T2782" s="62" ph="1"/>
    </row>
    <row r="2783" spans="20:20" ht="26.25">
      <c r="T2783" s="62" ph="1"/>
    </row>
    <row r="2784" spans="20:20" ht="26.25">
      <c r="T2784" s="62" ph="1"/>
    </row>
    <row r="2785" spans="20:20" ht="26.25">
      <c r="T2785" s="62" ph="1"/>
    </row>
    <row r="2786" spans="20:20" ht="26.25">
      <c r="T2786" s="62" ph="1"/>
    </row>
    <row r="2787" spans="20:20" ht="26.25">
      <c r="T2787" s="62" ph="1"/>
    </row>
    <row r="2788" spans="20:20" ht="26.25">
      <c r="T2788" s="62" ph="1"/>
    </row>
    <row r="2789" spans="20:20" ht="26.25">
      <c r="T2789" s="62" ph="1"/>
    </row>
    <row r="2790" spans="20:20" ht="26.25">
      <c r="T2790" s="62" ph="1"/>
    </row>
    <row r="2791" spans="20:20" ht="26.25">
      <c r="T2791" s="62" ph="1"/>
    </row>
    <row r="2792" spans="20:20" ht="26.25">
      <c r="T2792" s="62" ph="1"/>
    </row>
    <row r="2793" spans="20:20" ht="26.25">
      <c r="T2793" s="62" ph="1"/>
    </row>
    <row r="2794" spans="20:20" ht="26.25">
      <c r="T2794" s="62" ph="1"/>
    </row>
    <row r="2795" spans="20:20" ht="26.25">
      <c r="T2795" s="62" ph="1"/>
    </row>
    <row r="2796" spans="20:20" ht="26.25">
      <c r="T2796" s="62" ph="1"/>
    </row>
    <row r="2797" spans="20:20" ht="26.25">
      <c r="T2797" s="62" ph="1"/>
    </row>
    <row r="2798" spans="20:20" ht="26.25">
      <c r="T2798" s="62" ph="1"/>
    </row>
    <row r="2799" spans="20:20" ht="26.25">
      <c r="T2799" s="62" ph="1"/>
    </row>
    <row r="2800" spans="20:20" ht="26.25">
      <c r="T2800" s="62" ph="1"/>
    </row>
    <row r="2801" spans="20:20" ht="26.25">
      <c r="T2801" s="62" ph="1"/>
    </row>
    <row r="2802" spans="20:20" ht="26.25">
      <c r="T2802" s="62" ph="1"/>
    </row>
    <row r="2803" spans="20:20" ht="26.25">
      <c r="T2803" s="62" ph="1"/>
    </row>
    <row r="2804" spans="20:20" ht="26.25">
      <c r="T2804" s="62" ph="1"/>
    </row>
    <row r="2805" spans="20:20" ht="26.25">
      <c r="T2805" s="62" ph="1"/>
    </row>
    <row r="2806" spans="20:20" ht="26.25">
      <c r="T2806" s="62" ph="1"/>
    </row>
    <row r="2807" spans="20:20" ht="26.25">
      <c r="T2807" s="62" ph="1"/>
    </row>
    <row r="2808" spans="20:20" ht="26.25">
      <c r="T2808" s="62" ph="1"/>
    </row>
    <row r="2809" spans="20:20" ht="26.25">
      <c r="T2809" s="62" ph="1"/>
    </row>
    <row r="2810" spans="20:20" ht="26.25">
      <c r="T2810" s="62" ph="1"/>
    </row>
    <row r="2811" spans="20:20" ht="26.25">
      <c r="T2811" s="62" ph="1"/>
    </row>
    <row r="2812" spans="20:20" ht="26.25">
      <c r="T2812" s="62" ph="1"/>
    </row>
    <row r="2813" spans="20:20" ht="26.25">
      <c r="T2813" s="62" ph="1"/>
    </row>
    <row r="2814" spans="20:20" ht="26.25">
      <c r="T2814" s="62" ph="1"/>
    </row>
    <row r="2815" spans="20:20" ht="26.25">
      <c r="T2815" s="62" ph="1"/>
    </row>
    <row r="2816" spans="20:20" ht="26.25">
      <c r="T2816" s="62" ph="1"/>
    </row>
    <row r="2817" spans="20:20" ht="26.25">
      <c r="T2817" s="62" ph="1"/>
    </row>
    <row r="2818" spans="20:20" ht="26.25">
      <c r="T2818" s="62" ph="1"/>
    </row>
    <row r="2819" spans="20:20" ht="26.25">
      <c r="T2819" s="62" ph="1"/>
    </row>
    <row r="2820" spans="20:20" ht="26.25">
      <c r="T2820" s="62" ph="1"/>
    </row>
    <row r="2821" spans="20:20" ht="26.25">
      <c r="T2821" s="62" ph="1"/>
    </row>
    <row r="2822" spans="20:20" ht="26.25">
      <c r="T2822" s="62" ph="1"/>
    </row>
    <row r="2823" spans="20:20" ht="26.25">
      <c r="T2823" s="62" ph="1"/>
    </row>
    <row r="2824" spans="20:20" ht="26.25">
      <c r="T2824" s="62" ph="1"/>
    </row>
    <row r="2825" spans="20:20" ht="26.25">
      <c r="T2825" s="62" ph="1"/>
    </row>
    <row r="2826" spans="20:20" ht="26.25">
      <c r="T2826" s="62" ph="1"/>
    </row>
    <row r="2827" spans="20:20" ht="26.25">
      <c r="T2827" s="62" ph="1"/>
    </row>
    <row r="2828" spans="20:20" ht="26.25">
      <c r="T2828" s="62" ph="1"/>
    </row>
    <row r="2829" spans="20:20" ht="26.25">
      <c r="T2829" s="62" ph="1"/>
    </row>
    <row r="2830" spans="20:20" ht="26.25">
      <c r="T2830" s="62" ph="1"/>
    </row>
    <row r="2831" spans="20:20" ht="26.25">
      <c r="T2831" s="62" ph="1"/>
    </row>
    <row r="2832" spans="20:20" ht="26.25">
      <c r="T2832" s="62" ph="1"/>
    </row>
    <row r="2833" spans="20:20" ht="26.25">
      <c r="T2833" s="62" ph="1"/>
    </row>
    <row r="2834" spans="20:20" ht="26.25">
      <c r="T2834" s="62" ph="1"/>
    </row>
    <row r="2835" spans="20:20" ht="26.25">
      <c r="T2835" s="62" ph="1"/>
    </row>
    <row r="2836" spans="20:20" ht="26.25">
      <c r="T2836" s="62" ph="1"/>
    </row>
    <row r="2837" spans="20:20" ht="26.25">
      <c r="T2837" s="62" ph="1"/>
    </row>
    <row r="2838" spans="20:20" ht="26.25">
      <c r="T2838" s="62" ph="1"/>
    </row>
    <row r="2839" spans="20:20" ht="26.25">
      <c r="T2839" s="62" ph="1"/>
    </row>
    <row r="2840" spans="20:20" ht="26.25">
      <c r="T2840" s="62" ph="1"/>
    </row>
    <row r="2841" spans="20:20" ht="26.25">
      <c r="T2841" s="62" ph="1"/>
    </row>
    <row r="2842" spans="20:20" ht="26.25">
      <c r="T2842" s="62" ph="1"/>
    </row>
    <row r="2843" spans="20:20" ht="26.25">
      <c r="T2843" s="62" ph="1"/>
    </row>
    <row r="2844" spans="20:20" ht="26.25">
      <c r="T2844" s="62" ph="1"/>
    </row>
    <row r="2845" spans="20:20" ht="26.25">
      <c r="T2845" s="62" ph="1"/>
    </row>
    <row r="2846" spans="20:20" ht="26.25">
      <c r="T2846" s="62" ph="1"/>
    </row>
    <row r="2847" spans="20:20" ht="26.25">
      <c r="T2847" s="62" ph="1"/>
    </row>
    <row r="2848" spans="20:20" ht="26.25">
      <c r="T2848" s="62" ph="1"/>
    </row>
    <row r="2849" spans="20:20" ht="26.25">
      <c r="T2849" s="62" ph="1"/>
    </row>
    <row r="2850" spans="20:20" ht="26.25">
      <c r="T2850" s="62" ph="1"/>
    </row>
    <row r="2851" spans="20:20" ht="26.25">
      <c r="T2851" s="62" ph="1"/>
    </row>
    <row r="2852" spans="20:20" ht="26.25">
      <c r="T2852" s="62" ph="1"/>
    </row>
    <row r="2853" spans="20:20" ht="26.25">
      <c r="T2853" s="62" ph="1"/>
    </row>
    <row r="2854" spans="20:20" ht="26.25">
      <c r="T2854" s="62" ph="1"/>
    </row>
    <row r="2855" spans="20:20" ht="26.25">
      <c r="T2855" s="62" ph="1"/>
    </row>
    <row r="2856" spans="20:20" ht="26.25">
      <c r="T2856" s="62" ph="1"/>
    </row>
    <row r="2857" spans="20:20" ht="26.25">
      <c r="T2857" s="62" ph="1"/>
    </row>
    <row r="2858" spans="20:20" ht="26.25">
      <c r="T2858" s="62" ph="1"/>
    </row>
    <row r="2859" spans="20:20" ht="26.25">
      <c r="T2859" s="62" ph="1"/>
    </row>
    <row r="2860" spans="20:20" ht="26.25">
      <c r="T2860" s="62" ph="1"/>
    </row>
    <row r="2861" spans="20:20" ht="26.25">
      <c r="T2861" s="62" ph="1"/>
    </row>
    <row r="2862" spans="20:20" ht="26.25">
      <c r="T2862" s="62" ph="1"/>
    </row>
    <row r="2863" spans="20:20" ht="26.25">
      <c r="T2863" s="62" ph="1"/>
    </row>
    <row r="2864" spans="20:20" ht="26.25">
      <c r="T2864" s="62" ph="1"/>
    </row>
    <row r="2865" spans="20:20" ht="26.25">
      <c r="T2865" s="62" ph="1"/>
    </row>
    <row r="2866" spans="20:20" ht="26.25">
      <c r="T2866" s="62" ph="1"/>
    </row>
    <row r="2867" spans="20:20" ht="26.25">
      <c r="T2867" s="62" ph="1"/>
    </row>
    <row r="2868" spans="20:20" ht="26.25">
      <c r="T2868" s="62" ph="1"/>
    </row>
    <row r="2869" spans="20:20" ht="26.25">
      <c r="T2869" s="62" ph="1"/>
    </row>
    <row r="2870" spans="20:20" ht="26.25">
      <c r="T2870" s="62" ph="1"/>
    </row>
    <row r="2871" spans="20:20" ht="26.25">
      <c r="T2871" s="62" ph="1"/>
    </row>
    <row r="2872" spans="20:20" ht="26.25">
      <c r="T2872" s="62" ph="1"/>
    </row>
    <row r="2873" spans="20:20" ht="26.25">
      <c r="T2873" s="62" ph="1"/>
    </row>
    <row r="2874" spans="20:20" ht="26.25">
      <c r="T2874" s="62" ph="1"/>
    </row>
    <row r="2875" spans="20:20" ht="26.25">
      <c r="T2875" s="62" ph="1"/>
    </row>
    <row r="2876" spans="20:20" ht="26.25">
      <c r="T2876" s="62" ph="1"/>
    </row>
    <row r="2877" spans="20:20" ht="26.25">
      <c r="T2877" s="62" ph="1"/>
    </row>
    <row r="2878" spans="20:20" ht="26.25">
      <c r="T2878" s="62" ph="1"/>
    </row>
    <row r="2879" spans="20:20" ht="26.25">
      <c r="T2879" s="62" ph="1"/>
    </row>
    <row r="2880" spans="20:20" ht="26.25">
      <c r="T2880" s="62" ph="1"/>
    </row>
    <row r="2881" spans="20:20" ht="26.25">
      <c r="T2881" s="62" ph="1"/>
    </row>
    <row r="2882" spans="20:20" ht="26.25">
      <c r="T2882" s="62" ph="1"/>
    </row>
    <row r="2883" spans="20:20" ht="26.25">
      <c r="T2883" s="62" ph="1"/>
    </row>
    <row r="2884" spans="20:20" ht="26.25">
      <c r="T2884" s="62" ph="1"/>
    </row>
    <row r="2885" spans="20:20" ht="26.25">
      <c r="T2885" s="62" ph="1"/>
    </row>
    <row r="2886" spans="20:20" ht="26.25">
      <c r="T2886" s="62" ph="1"/>
    </row>
    <row r="2887" spans="20:20" ht="26.25">
      <c r="T2887" s="62" ph="1"/>
    </row>
    <row r="2888" spans="20:20" ht="26.25">
      <c r="T2888" s="62" ph="1"/>
    </row>
    <row r="2889" spans="20:20" ht="26.25">
      <c r="T2889" s="62" ph="1"/>
    </row>
    <row r="2890" spans="20:20" ht="26.25">
      <c r="T2890" s="62" ph="1"/>
    </row>
    <row r="2891" spans="20:20" ht="26.25">
      <c r="T2891" s="62" ph="1"/>
    </row>
    <row r="2892" spans="20:20" ht="26.25">
      <c r="T2892" s="62" ph="1"/>
    </row>
    <row r="2893" spans="20:20" ht="26.25">
      <c r="T2893" s="62" ph="1"/>
    </row>
    <row r="2894" spans="20:20" ht="26.25">
      <c r="T2894" s="62" ph="1"/>
    </row>
    <row r="2895" spans="20:20" ht="26.25">
      <c r="T2895" s="62" ph="1"/>
    </row>
    <row r="2896" spans="20:20" ht="26.25">
      <c r="T2896" s="62" ph="1"/>
    </row>
    <row r="2897" spans="20:20" ht="26.25">
      <c r="T2897" s="62" ph="1"/>
    </row>
    <row r="2898" spans="20:20" ht="26.25">
      <c r="T2898" s="62" ph="1"/>
    </row>
    <row r="2899" spans="20:20" ht="26.25">
      <c r="T2899" s="62" ph="1"/>
    </row>
    <row r="2900" spans="20:20" ht="26.25">
      <c r="T2900" s="62" ph="1"/>
    </row>
    <row r="2901" spans="20:20" ht="26.25">
      <c r="T2901" s="62" ph="1"/>
    </row>
    <row r="2902" spans="20:20" ht="26.25">
      <c r="T2902" s="62" ph="1"/>
    </row>
    <row r="2903" spans="20:20" ht="26.25">
      <c r="T2903" s="62" ph="1"/>
    </row>
    <row r="2904" spans="20:20" ht="26.25">
      <c r="T2904" s="62" ph="1"/>
    </row>
    <row r="2905" spans="20:20" ht="26.25">
      <c r="T2905" s="62" ph="1"/>
    </row>
    <row r="2906" spans="20:20" ht="26.25">
      <c r="T2906" s="62" ph="1"/>
    </row>
    <row r="2907" spans="20:20" ht="26.25">
      <c r="T2907" s="62" ph="1"/>
    </row>
    <row r="2908" spans="20:20" ht="26.25">
      <c r="T2908" s="62" ph="1"/>
    </row>
    <row r="2909" spans="20:20" ht="26.25">
      <c r="T2909" s="62" ph="1"/>
    </row>
    <row r="2910" spans="20:20" ht="26.25">
      <c r="T2910" s="62" ph="1"/>
    </row>
    <row r="2911" spans="20:20" ht="26.25">
      <c r="T2911" s="62" ph="1"/>
    </row>
    <row r="2912" spans="20:20" ht="26.25">
      <c r="T2912" s="62" ph="1"/>
    </row>
    <row r="2913" spans="20:20" ht="26.25">
      <c r="T2913" s="62" ph="1"/>
    </row>
    <row r="2914" spans="20:20" ht="26.25">
      <c r="T2914" s="62" ph="1"/>
    </row>
    <row r="2915" spans="20:20" ht="26.25">
      <c r="T2915" s="62" ph="1"/>
    </row>
    <row r="2916" spans="20:20" ht="26.25">
      <c r="T2916" s="62" ph="1"/>
    </row>
    <row r="2917" spans="20:20" ht="26.25">
      <c r="T2917" s="62" ph="1"/>
    </row>
    <row r="2918" spans="20:20" ht="26.25">
      <c r="T2918" s="62" ph="1"/>
    </row>
    <row r="2919" spans="20:20" ht="26.25">
      <c r="T2919" s="62" ph="1"/>
    </row>
    <row r="2920" spans="20:20" ht="26.25">
      <c r="T2920" s="62" ph="1"/>
    </row>
    <row r="2921" spans="20:20" ht="26.25">
      <c r="T2921" s="62" ph="1"/>
    </row>
    <row r="2922" spans="20:20" ht="26.25">
      <c r="T2922" s="62" ph="1"/>
    </row>
    <row r="2923" spans="20:20" ht="26.25">
      <c r="T2923" s="62" ph="1"/>
    </row>
    <row r="2924" spans="20:20" ht="26.25">
      <c r="T2924" s="62" ph="1"/>
    </row>
    <row r="2925" spans="20:20" ht="26.25">
      <c r="T2925" s="62" ph="1"/>
    </row>
    <row r="2926" spans="20:20" ht="26.25">
      <c r="T2926" s="62" ph="1"/>
    </row>
    <row r="2927" spans="20:20" ht="26.25">
      <c r="T2927" s="62" ph="1"/>
    </row>
    <row r="2928" spans="20:20" ht="26.25">
      <c r="T2928" s="62" ph="1"/>
    </row>
    <row r="2929" spans="20:20" ht="26.25">
      <c r="T2929" s="62" ph="1"/>
    </row>
    <row r="2930" spans="20:20" ht="26.25">
      <c r="T2930" s="62" ph="1"/>
    </row>
    <row r="2931" spans="20:20" ht="26.25">
      <c r="T2931" s="62" ph="1"/>
    </row>
    <row r="2932" spans="20:20" ht="26.25">
      <c r="T2932" s="62" ph="1"/>
    </row>
    <row r="2933" spans="20:20" ht="26.25">
      <c r="T2933" s="62" ph="1"/>
    </row>
    <row r="2934" spans="20:20" ht="26.25">
      <c r="T2934" s="62" ph="1"/>
    </row>
    <row r="2935" spans="20:20" ht="26.25">
      <c r="T2935" s="62" ph="1"/>
    </row>
    <row r="2936" spans="20:20" ht="26.25">
      <c r="T2936" s="62" ph="1"/>
    </row>
    <row r="2937" spans="20:20" ht="26.25">
      <c r="T2937" s="62" ph="1"/>
    </row>
    <row r="2938" spans="20:20" ht="26.25">
      <c r="T2938" s="62" ph="1"/>
    </row>
    <row r="2939" spans="20:20" ht="26.25">
      <c r="T2939" s="62" ph="1"/>
    </row>
    <row r="2940" spans="20:20" ht="26.25">
      <c r="T2940" s="62" ph="1"/>
    </row>
    <row r="2941" spans="20:20" ht="26.25">
      <c r="T2941" s="62" ph="1"/>
    </row>
    <row r="2942" spans="20:20" ht="26.25">
      <c r="T2942" s="62" ph="1"/>
    </row>
    <row r="2943" spans="20:20" ht="26.25">
      <c r="T2943" s="62" ph="1"/>
    </row>
    <row r="2944" spans="20:20" ht="26.25">
      <c r="T2944" s="62" ph="1"/>
    </row>
    <row r="2945" spans="20:20" ht="26.25">
      <c r="T2945" s="62" ph="1"/>
    </row>
    <row r="2946" spans="20:20" ht="26.25">
      <c r="T2946" s="62" ph="1"/>
    </row>
    <row r="2947" spans="20:20" ht="26.25">
      <c r="T2947" s="62" ph="1"/>
    </row>
    <row r="2948" spans="20:20" ht="26.25">
      <c r="T2948" s="62" ph="1"/>
    </row>
    <row r="2949" spans="20:20" ht="26.25">
      <c r="T2949" s="62" ph="1"/>
    </row>
    <row r="2950" spans="20:20" ht="26.25">
      <c r="T2950" s="62" ph="1"/>
    </row>
    <row r="2951" spans="20:20" ht="26.25">
      <c r="T2951" s="62" ph="1"/>
    </row>
    <row r="2952" spans="20:20" ht="26.25">
      <c r="T2952" s="62" ph="1"/>
    </row>
    <row r="2953" spans="20:20" ht="26.25">
      <c r="T2953" s="62" ph="1"/>
    </row>
    <row r="2954" spans="20:20" ht="26.25">
      <c r="T2954" s="62" ph="1"/>
    </row>
    <row r="2955" spans="20:20" ht="26.25">
      <c r="T2955" s="62" ph="1"/>
    </row>
    <row r="2956" spans="20:20" ht="26.25">
      <c r="T2956" s="62" ph="1"/>
    </row>
    <row r="2957" spans="20:20" ht="26.25">
      <c r="T2957" s="62" ph="1"/>
    </row>
    <row r="2958" spans="20:20" ht="26.25">
      <c r="T2958" s="62" ph="1"/>
    </row>
    <row r="2959" spans="20:20" ht="26.25">
      <c r="T2959" s="62" ph="1"/>
    </row>
    <row r="2960" spans="20:20" ht="26.25">
      <c r="T2960" s="62" ph="1"/>
    </row>
    <row r="2961" spans="20:20" ht="26.25">
      <c r="T2961" s="62" ph="1"/>
    </row>
    <row r="2962" spans="20:20" ht="26.25">
      <c r="T2962" s="62" ph="1"/>
    </row>
    <row r="2963" spans="20:20" ht="26.25">
      <c r="T2963" s="62" ph="1"/>
    </row>
    <row r="2964" spans="20:20" ht="26.25">
      <c r="T2964" s="62" ph="1"/>
    </row>
    <row r="2965" spans="20:20" ht="26.25">
      <c r="T2965" s="62" ph="1"/>
    </row>
    <row r="2966" spans="20:20" ht="26.25">
      <c r="T2966" s="62" ph="1"/>
    </row>
    <row r="2967" spans="20:20" ht="26.25">
      <c r="T2967" s="62" ph="1"/>
    </row>
    <row r="2968" spans="20:20" ht="26.25">
      <c r="T2968" s="62" ph="1"/>
    </row>
    <row r="2969" spans="20:20" ht="26.25">
      <c r="T2969" s="62" ph="1"/>
    </row>
    <row r="2970" spans="20:20" ht="26.25">
      <c r="T2970" s="62" ph="1"/>
    </row>
    <row r="2971" spans="20:20" ht="26.25">
      <c r="T2971" s="62" ph="1"/>
    </row>
    <row r="2972" spans="20:20" ht="26.25">
      <c r="T2972" s="62" ph="1"/>
    </row>
    <row r="2973" spans="20:20" ht="26.25">
      <c r="T2973" s="62" ph="1"/>
    </row>
    <row r="2974" spans="20:20" ht="26.25">
      <c r="T2974" s="62" ph="1"/>
    </row>
    <row r="2975" spans="20:20" ht="26.25">
      <c r="T2975" s="62" ph="1"/>
    </row>
    <row r="2976" spans="20:20" ht="26.25">
      <c r="T2976" s="62" ph="1"/>
    </row>
    <row r="2977" spans="20:20" ht="26.25">
      <c r="T2977" s="62" ph="1"/>
    </row>
    <row r="2978" spans="20:20" ht="26.25">
      <c r="T2978" s="62" ph="1"/>
    </row>
    <row r="2979" spans="20:20" ht="26.25">
      <c r="T2979" s="62" ph="1"/>
    </row>
    <row r="2980" spans="20:20" ht="26.25">
      <c r="T2980" s="62" ph="1"/>
    </row>
    <row r="2981" spans="20:20" ht="26.25">
      <c r="T2981" s="62" ph="1"/>
    </row>
    <row r="2982" spans="20:20" ht="26.25">
      <c r="T2982" s="62" ph="1"/>
    </row>
    <row r="2983" spans="20:20" ht="26.25">
      <c r="T2983" s="62" ph="1"/>
    </row>
    <row r="2984" spans="20:20" ht="26.25">
      <c r="T2984" s="62" ph="1"/>
    </row>
    <row r="2985" spans="20:20" ht="26.25">
      <c r="T2985" s="62" ph="1"/>
    </row>
    <row r="2986" spans="20:20" ht="26.25">
      <c r="T2986" s="62" ph="1"/>
    </row>
    <row r="2987" spans="20:20" ht="26.25">
      <c r="T2987" s="62" ph="1"/>
    </row>
    <row r="2988" spans="20:20" ht="26.25">
      <c r="T2988" s="62" ph="1"/>
    </row>
    <row r="2989" spans="20:20" ht="26.25">
      <c r="T2989" s="62" ph="1"/>
    </row>
    <row r="2990" spans="20:20" ht="26.25">
      <c r="T2990" s="62" ph="1"/>
    </row>
    <row r="2991" spans="20:20" ht="26.25">
      <c r="T2991" s="62" ph="1"/>
    </row>
    <row r="2992" spans="20:20" ht="26.25">
      <c r="T2992" s="62" ph="1"/>
    </row>
    <row r="2993" spans="20:20" ht="26.25">
      <c r="T2993" s="62" ph="1"/>
    </row>
    <row r="2994" spans="20:20" ht="26.25">
      <c r="T2994" s="62" ph="1"/>
    </row>
    <row r="2995" spans="20:20" ht="26.25">
      <c r="T2995" s="62" ph="1"/>
    </row>
    <row r="2996" spans="20:20" ht="26.25">
      <c r="T2996" s="62" ph="1"/>
    </row>
    <row r="2997" spans="20:20" ht="26.25">
      <c r="T2997" s="62" ph="1"/>
    </row>
    <row r="2998" spans="20:20" ht="26.25">
      <c r="T2998" s="62" ph="1"/>
    </row>
    <row r="2999" spans="20:20" ht="26.25">
      <c r="T2999" s="62" ph="1"/>
    </row>
    <row r="3000" spans="20:20" ht="26.25">
      <c r="T3000" s="62" ph="1"/>
    </row>
    <row r="3001" spans="20:20" ht="26.25">
      <c r="T3001" s="62" ph="1"/>
    </row>
    <row r="3002" spans="20:20" ht="26.25">
      <c r="T3002" s="62" ph="1"/>
    </row>
    <row r="3003" spans="20:20" ht="26.25">
      <c r="T3003" s="62" ph="1"/>
    </row>
    <row r="3004" spans="20:20" ht="26.25">
      <c r="T3004" s="62" ph="1"/>
    </row>
    <row r="3005" spans="20:20" ht="26.25">
      <c r="T3005" s="62" ph="1"/>
    </row>
    <row r="3006" spans="20:20" ht="26.25">
      <c r="T3006" s="62" ph="1"/>
    </row>
    <row r="3007" spans="20:20" ht="26.25">
      <c r="T3007" s="62" ph="1"/>
    </row>
    <row r="3008" spans="20:20" ht="26.25">
      <c r="T3008" s="62" ph="1"/>
    </row>
    <row r="3009" spans="20:20" ht="26.25">
      <c r="T3009" s="62" ph="1"/>
    </row>
    <row r="3010" spans="20:20" ht="26.25">
      <c r="T3010" s="62" ph="1"/>
    </row>
    <row r="3011" spans="20:20" ht="26.25">
      <c r="T3011" s="62" ph="1"/>
    </row>
    <row r="3012" spans="20:20" ht="26.25">
      <c r="T3012" s="62" ph="1"/>
    </row>
    <row r="3013" spans="20:20" ht="26.25">
      <c r="T3013" s="62" ph="1"/>
    </row>
    <row r="3014" spans="20:20" ht="26.25">
      <c r="T3014" s="62" ph="1"/>
    </row>
    <row r="3015" spans="20:20" ht="26.25">
      <c r="T3015" s="62" ph="1"/>
    </row>
    <row r="3016" spans="20:20" ht="26.25">
      <c r="T3016" s="62" ph="1"/>
    </row>
    <row r="3017" spans="20:20" ht="26.25">
      <c r="T3017" s="62" ph="1"/>
    </row>
    <row r="3018" spans="20:20" ht="26.25">
      <c r="T3018" s="62" ph="1"/>
    </row>
    <row r="3019" spans="20:20" ht="26.25">
      <c r="T3019" s="62" ph="1"/>
    </row>
    <row r="3020" spans="20:20" ht="26.25">
      <c r="T3020" s="62" ph="1"/>
    </row>
    <row r="3021" spans="20:20" ht="26.25">
      <c r="T3021" s="62" ph="1"/>
    </row>
    <row r="3022" spans="20:20" ht="26.25">
      <c r="T3022" s="62" ph="1"/>
    </row>
    <row r="3023" spans="20:20" ht="26.25">
      <c r="T3023" s="62" ph="1"/>
    </row>
    <row r="3024" spans="20:20" ht="26.25">
      <c r="T3024" s="62" ph="1"/>
    </row>
    <row r="3025" spans="20:20" ht="26.25">
      <c r="T3025" s="62" ph="1"/>
    </row>
    <row r="3026" spans="20:20" ht="26.25">
      <c r="T3026" s="62" ph="1"/>
    </row>
    <row r="3027" spans="20:20" ht="26.25">
      <c r="T3027" s="62" ph="1"/>
    </row>
    <row r="3028" spans="20:20" ht="26.25">
      <c r="T3028" s="62" ph="1"/>
    </row>
    <row r="3029" spans="20:20" ht="26.25">
      <c r="T3029" s="62" ph="1"/>
    </row>
    <row r="3030" spans="20:20" ht="26.25">
      <c r="T3030" s="62" ph="1"/>
    </row>
    <row r="3031" spans="20:20" ht="26.25">
      <c r="T3031" s="62" ph="1"/>
    </row>
    <row r="3032" spans="20:20" ht="26.25">
      <c r="T3032" s="62" ph="1"/>
    </row>
    <row r="3033" spans="20:20" ht="26.25">
      <c r="T3033" s="62" ph="1"/>
    </row>
    <row r="3034" spans="20:20" ht="26.25">
      <c r="T3034" s="62" ph="1"/>
    </row>
    <row r="3035" spans="20:20" ht="26.25">
      <c r="T3035" s="62" ph="1"/>
    </row>
    <row r="3036" spans="20:20" ht="26.25">
      <c r="T3036" s="62" ph="1"/>
    </row>
    <row r="3037" spans="20:20" ht="26.25">
      <c r="T3037" s="62" ph="1"/>
    </row>
    <row r="3038" spans="20:20" ht="26.25">
      <c r="T3038" s="62" ph="1"/>
    </row>
    <row r="3039" spans="20:20" ht="26.25">
      <c r="T3039" s="62" ph="1"/>
    </row>
    <row r="3040" spans="20:20" ht="26.25">
      <c r="T3040" s="62" ph="1"/>
    </row>
    <row r="3041" spans="20:20" ht="26.25">
      <c r="T3041" s="62" ph="1"/>
    </row>
    <row r="3042" spans="20:20" ht="26.25">
      <c r="T3042" s="62" ph="1"/>
    </row>
    <row r="3043" spans="20:20" ht="26.25">
      <c r="T3043" s="62" ph="1"/>
    </row>
    <row r="3044" spans="20:20" ht="26.25">
      <c r="T3044" s="62" ph="1"/>
    </row>
    <row r="3045" spans="20:20" ht="26.25">
      <c r="T3045" s="62" ph="1"/>
    </row>
    <row r="3046" spans="20:20" ht="26.25">
      <c r="T3046" s="62" ph="1"/>
    </row>
    <row r="3047" spans="20:20" ht="26.25">
      <c r="T3047" s="62" ph="1"/>
    </row>
    <row r="3048" spans="20:20" ht="26.25">
      <c r="T3048" s="62" ph="1"/>
    </row>
    <row r="3049" spans="20:20" ht="26.25">
      <c r="T3049" s="62" ph="1"/>
    </row>
    <row r="3050" spans="20:20" ht="26.25">
      <c r="T3050" s="62" ph="1"/>
    </row>
    <row r="3051" spans="20:20" ht="26.25">
      <c r="T3051" s="62" ph="1"/>
    </row>
    <row r="3052" spans="20:20" ht="26.25">
      <c r="T3052" s="62" ph="1"/>
    </row>
    <row r="3053" spans="20:20" ht="26.25">
      <c r="T3053" s="62" ph="1"/>
    </row>
    <row r="3054" spans="20:20" ht="26.25">
      <c r="T3054" s="62" ph="1"/>
    </row>
    <row r="3055" spans="20:20" ht="26.25">
      <c r="T3055" s="62" ph="1"/>
    </row>
    <row r="3056" spans="20:20" ht="26.25">
      <c r="T3056" s="62" ph="1"/>
    </row>
    <row r="3057" spans="20:20" ht="26.25">
      <c r="T3057" s="62" ph="1"/>
    </row>
    <row r="3058" spans="20:20" ht="26.25">
      <c r="T3058" s="62" ph="1"/>
    </row>
    <row r="3059" spans="20:20" ht="26.25">
      <c r="T3059" s="62" ph="1"/>
    </row>
    <row r="3060" spans="20:20" ht="26.25">
      <c r="T3060" s="62" ph="1"/>
    </row>
    <row r="3061" spans="20:20" ht="26.25">
      <c r="T3061" s="62" ph="1"/>
    </row>
    <row r="3062" spans="20:20" ht="26.25">
      <c r="T3062" s="62" ph="1"/>
    </row>
    <row r="3063" spans="20:20" ht="26.25">
      <c r="T3063" s="62" ph="1"/>
    </row>
    <row r="3064" spans="20:20" ht="26.25">
      <c r="T3064" s="62" ph="1"/>
    </row>
    <row r="3065" spans="20:20" ht="26.25">
      <c r="T3065" s="62" ph="1"/>
    </row>
    <row r="3066" spans="20:20" ht="26.25">
      <c r="T3066" s="62" ph="1"/>
    </row>
    <row r="3067" spans="20:20" ht="26.25">
      <c r="T3067" s="62" ph="1"/>
    </row>
    <row r="3068" spans="20:20" ht="26.25">
      <c r="T3068" s="62" ph="1"/>
    </row>
    <row r="3069" spans="20:20" ht="26.25">
      <c r="T3069" s="62" ph="1"/>
    </row>
    <row r="3070" spans="20:20" ht="26.25">
      <c r="T3070" s="62" ph="1"/>
    </row>
    <row r="3071" spans="20:20" ht="26.25">
      <c r="T3071" s="62" ph="1"/>
    </row>
    <row r="3072" spans="20:20" ht="26.25">
      <c r="T3072" s="62" ph="1"/>
    </row>
    <row r="3073" spans="20:20" ht="26.25">
      <c r="T3073" s="62" ph="1"/>
    </row>
    <row r="3074" spans="20:20" ht="26.25">
      <c r="T3074" s="62" ph="1"/>
    </row>
    <row r="3075" spans="20:20" ht="26.25">
      <c r="T3075" s="62" ph="1"/>
    </row>
    <row r="3076" spans="20:20" ht="26.25">
      <c r="T3076" s="62" ph="1"/>
    </row>
    <row r="3077" spans="20:20" ht="26.25">
      <c r="T3077" s="62" ph="1"/>
    </row>
    <row r="3078" spans="20:20" ht="26.25">
      <c r="T3078" s="62" ph="1"/>
    </row>
    <row r="3079" spans="20:20" ht="26.25">
      <c r="T3079" s="62" ph="1"/>
    </row>
    <row r="3080" spans="20:20" ht="26.25">
      <c r="T3080" s="62" ph="1"/>
    </row>
    <row r="3081" spans="20:20" ht="26.25">
      <c r="T3081" s="62" ph="1"/>
    </row>
    <row r="3082" spans="20:20" ht="26.25">
      <c r="T3082" s="62" ph="1"/>
    </row>
    <row r="3083" spans="20:20" ht="26.25">
      <c r="T3083" s="62" ph="1"/>
    </row>
    <row r="3084" spans="20:20" ht="26.25">
      <c r="T3084" s="62" ph="1"/>
    </row>
    <row r="3085" spans="20:20" ht="26.25">
      <c r="T3085" s="62" ph="1"/>
    </row>
    <row r="3086" spans="20:20" ht="26.25">
      <c r="T3086" s="62" ph="1"/>
    </row>
    <row r="3087" spans="20:20" ht="26.25">
      <c r="T3087" s="62" ph="1"/>
    </row>
    <row r="3088" spans="20:20" ht="26.25">
      <c r="T3088" s="62" ph="1"/>
    </row>
    <row r="3089" spans="20:20" ht="26.25">
      <c r="T3089" s="62" ph="1"/>
    </row>
    <row r="3090" spans="20:20" ht="26.25">
      <c r="T3090" s="62" ph="1"/>
    </row>
    <row r="3091" spans="20:20" ht="26.25">
      <c r="T3091" s="62" ph="1"/>
    </row>
    <row r="3092" spans="20:20" ht="26.25">
      <c r="T3092" s="62" ph="1"/>
    </row>
    <row r="3093" spans="20:20" ht="26.25">
      <c r="T3093" s="62" ph="1"/>
    </row>
    <row r="3094" spans="20:20" ht="26.25">
      <c r="T3094" s="62" ph="1"/>
    </row>
    <row r="3095" spans="20:20" ht="26.25">
      <c r="T3095" s="62" ph="1"/>
    </row>
    <row r="3096" spans="20:20" ht="26.25">
      <c r="T3096" s="62" ph="1"/>
    </row>
    <row r="3097" spans="20:20" ht="26.25">
      <c r="T3097" s="62" ph="1"/>
    </row>
    <row r="3098" spans="20:20" ht="26.25">
      <c r="T3098" s="62" ph="1"/>
    </row>
    <row r="3099" spans="20:20" ht="26.25">
      <c r="T3099" s="62" ph="1"/>
    </row>
    <row r="3100" spans="20:20" ht="26.25">
      <c r="T3100" s="62" ph="1"/>
    </row>
    <row r="3101" spans="20:20" ht="26.25">
      <c r="T3101" s="62" ph="1"/>
    </row>
    <row r="3102" spans="20:20" ht="26.25">
      <c r="T3102" s="62" ph="1"/>
    </row>
    <row r="3103" spans="20:20" ht="26.25">
      <c r="T3103" s="62" ph="1"/>
    </row>
    <row r="3104" spans="20:20" ht="26.25">
      <c r="T3104" s="62" ph="1"/>
    </row>
    <row r="3105" spans="20:20" ht="26.25">
      <c r="T3105" s="62" ph="1"/>
    </row>
    <row r="3106" spans="20:20" ht="26.25">
      <c r="T3106" s="62" ph="1"/>
    </row>
    <row r="3107" spans="20:20" ht="26.25">
      <c r="T3107" s="62" ph="1"/>
    </row>
    <row r="3108" spans="20:20" ht="26.25">
      <c r="T3108" s="62" ph="1"/>
    </row>
    <row r="3109" spans="20:20" ht="26.25">
      <c r="T3109" s="62" ph="1"/>
    </row>
    <row r="3110" spans="20:20" ht="26.25">
      <c r="T3110" s="62" ph="1"/>
    </row>
    <row r="3111" spans="20:20" ht="26.25">
      <c r="T3111" s="62" ph="1"/>
    </row>
    <row r="3112" spans="20:20" ht="26.25">
      <c r="T3112" s="62" ph="1"/>
    </row>
    <row r="3113" spans="20:20" ht="26.25">
      <c r="T3113" s="62" ph="1"/>
    </row>
    <row r="3114" spans="20:20" ht="26.25">
      <c r="T3114" s="62" ph="1"/>
    </row>
    <row r="3115" spans="20:20" ht="26.25">
      <c r="T3115" s="62" ph="1"/>
    </row>
    <row r="3116" spans="20:20" ht="26.25">
      <c r="T3116" s="62" ph="1"/>
    </row>
    <row r="3117" spans="20:20" ht="26.25">
      <c r="T3117" s="62" ph="1"/>
    </row>
    <row r="3118" spans="20:20" ht="26.25">
      <c r="T3118" s="62" ph="1"/>
    </row>
    <row r="3119" spans="20:20" ht="26.25">
      <c r="T3119" s="62" ph="1"/>
    </row>
    <row r="3120" spans="20:20" ht="26.25">
      <c r="T3120" s="62" ph="1"/>
    </row>
    <row r="3121" spans="20:20" ht="26.25">
      <c r="T3121" s="62" ph="1"/>
    </row>
    <row r="3122" spans="20:20" ht="26.25">
      <c r="T3122" s="62" ph="1"/>
    </row>
    <row r="3123" spans="20:20" ht="26.25">
      <c r="T3123" s="62" ph="1"/>
    </row>
    <row r="3124" spans="20:20" ht="26.25">
      <c r="T3124" s="62" ph="1"/>
    </row>
    <row r="3125" spans="20:20" ht="26.25">
      <c r="T3125" s="62" ph="1"/>
    </row>
    <row r="3126" spans="20:20" ht="26.25">
      <c r="T3126" s="62" ph="1"/>
    </row>
    <row r="3127" spans="20:20" ht="26.25">
      <c r="T3127" s="62" ph="1"/>
    </row>
    <row r="3128" spans="20:20" ht="26.25">
      <c r="T3128" s="62" ph="1"/>
    </row>
    <row r="3129" spans="20:20" ht="26.25">
      <c r="T3129" s="62" ph="1"/>
    </row>
    <row r="3130" spans="20:20" ht="26.25">
      <c r="T3130" s="62" ph="1"/>
    </row>
    <row r="3131" spans="20:20" ht="26.25">
      <c r="T3131" s="62" ph="1"/>
    </row>
    <row r="3132" spans="20:20" ht="26.25">
      <c r="T3132" s="62" ph="1"/>
    </row>
    <row r="3133" spans="20:20" ht="26.25">
      <c r="T3133" s="62" ph="1"/>
    </row>
    <row r="3134" spans="20:20" ht="26.25">
      <c r="T3134" s="62" ph="1"/>
    </row>
    <row r="3135" spans="20:20" ht="26.25">
      <c r="T3135" s="62" ph="1"/>
    </row>
    <row r="3136" spans="20:20" ht="26.25">
      <c r="T3136" s="62" ph="1"/>
    </row>
    <row r="3137" spans="20:20" ht="26.25">
      <c r="T3137" s="62" ph="1"/>
    </row>
    <row r="3138" spans="20:20" ht="26.25">
      <c r="T3138" s="62" ph="1"/>
    </row>
    <row r="3139" spans="20:20" ht="26.25">
      <c r="T3139" s="62" ph="1"/>
    </row>
    <row r="3140" spans="20:20" ht="26.25">
      <c r="T3140" s="62" ph="1"/>
    </row>
    <row r="3141" spans="20:20" ht="26.25">
      <c r="T3141" s="62" ph="1"/>
    </row>
    <row r="3142" spans="20:20" ht="26.25">
      <c r="T3142" s="62" ph="1"/>
    </row>
    <row r="3143" spans="20:20" ht="26.25">
      <c r="T3143" s="62" ph="1"/>
    </row>
    <row r="3144" spans="20:20" ht="26.25">
      <c r="T3144" s="62" ph="1"/>
    </row>
    <row r="3145" spans="20:20" ht="26.25">
      <c r="T3145" s="62" ph="1"/>
    </row>
    <row r="3146" spans="20:20" ht="26.25">
      <c r="T3146" s="62" ph="1"/>
    </row>
    <row r="3147" spans="20:20" ht="26.25">
      <c r="T3147" s="62" ph="1"/>
    </row>
    <row r="3148" spans="20:20" ht="26.25">
      <c r="T3148" s="62" ph="1"/>
    </row>
    <row r="3149" spans="20:20" ht="26.25">
      <c r="T3149" s="62" ph="1"/>
    </row>
    <row r="3150" spans="20:20" ht="26.25">
      <c r="T3150" s="62" ph="1"/>
    </row>
    <row r="3151" spans="20:20" ht="26.25">
      <c r="T3151" s="62" ph="1"/>
    </row>
    <row r="3152" spans="20:20" ht="26.25">
      <c r="T3152" s="62" ph="1"/>
    </row>
    <row r="3153" spans="20:20" ht="26.25">
      <c r="T3153" s="62" ph="1"/>
    </row>
    <row r="3154" spans="20:20" ht="26.25">
      <c r="T3154" s="62" ph="1"/>
    </row>
    <row r="3155" spans="20:20" ht="26.25">
      <c r="T3155" s="62" ph="1"/>
    </row>
    <row r="3156" spans="20:20" ht="26.25">
      <c r="T3156" s="62" ph="1"/>
    </row>
    <row r="3157" spans="20:20" ht="26.25">
      <c r="T3157" s="62" ph="1"/>
    </row>
    <row r="3158" spans="20:20" ht="26.25">
      <c r="T3158" s="62" ph="1"/>
    </row>
    <row r="3159" spans="20:20" ht="26.25">
      <c r="T3159" s="62" ph="1"/>
    </row>
    <row r="3160" spans="20:20" ht="26.25">
      <c r="T3160" s="62" ph="1"/>
    </row>
    <row r="3161" spans="20:20" ht="26.25">
      <c r="T3161" s="62" ph="1"/>
    </row>
    <row r="3162" spans="20:20" ht="26.25">
      <c r="T3162" s="62" ph="1"/>
    </row>
    <row r="3163" spans="20:20" ht="26.25">
      <c r="T3163" s="62" ph="1"/>
    </row>
    <row r="3164" spans="20:20" ht="26.25">
      <c r="T3164" s="62" ph="1"/>
    </row>
    <row r="3165" spans="20:20" ht="26.25">
      <c r="T3165" s="62" ph="1"/>
    </row>
    <row r="3166" spans="20:20" ht="26.25">
      <c r="T3166" s="62" ph="1"/>
    </row>
    <row r="3167" spans="20:20" ht="26.25">
      <c r="T3167" s="62" ph="1"/>
    </row>
    <row r="3168" spans="20:20" ht="26.25">
      <c r="T3168" s="62" ph="1"/>
    </row>
    <row r="3169" spans="20:20" ht="26.25">
      <c r="T3169" s="62" ph="1"/>
    </row>
    <row r="3170" spans="20:20" ht="26.25">
      <c r="T3170" s="62" ph="1"/>
    </row>
    <row r="3171" spans="20:20" ht="26.25">
      <c r="T3171" s="62" ph="1"/>
    </row>
    <row r="3172" spans="20:20" ht="26.25">
      <c r="T3172" s="62" ph="1"/>
    </row>
    <row r="3173" spans="20:20" ht="26.25">
      <c r="T3173" s="62" ph="1"/>
    </row>
    <row r="3174" spans="20:20" ht="26.25">
      <c r="T3174" s="62" ph="1"/>
    </row>
    <row r="3175" spans="20:20" ht="26.25">
      <c r="T3175" s="62" ph="1"/>
    </row>
    <row r="3176" spans="20:20" ht="26.25">
      <c r="T3176" s="62" ph="1"/>
    </row>
    <row r="3177" spans="20:20" ht="26.25">
      <c r="T3177" s="62" ph="1"/>
    </row>
    <row r="3178" spans="20:20" ht="26.25">
      <c r="T3178" s="62" ph="1"/>
    </row>
    <row r="3179" spans="20:20" ht="26.25">
      <c r="T3179" s="62" ph="1"/>
    </row>
    <row r="3180" spans="20:20" ht="26.25">
      <c r="T3180" s="62" ph="1"/>
    </row>
    <row r="3181" spans="20:20" ht="26.25">
      <c r="T3181" s="62" ph="1"/>
    </row>
    <row r="3182" spans="20:20" ht="26.25">
      <c r="T3182" s="62" ph="1"/>
    </row>
    <row r="3183" spans="20:20" ht="26.25">
      <c r="T3183" s="62" ph="1"/>
    </row>
    <row r="3184" spans="20:20" ht="26.25">
      <c r="T3184" s="62" ph="1"/>
    </row>
    <row r="3185" spans="20:20" ht="26.25">
      <c r="T3185" s="62" ph="1"/>
    </row>
    <row r="3186" spans="20:20" ht="26.25">
      <c r="T3186" s="62" ph="1"/>
    </row>
    <row r="3187" spans="20:20" ht="26.25">
      <c r="T3187" s="62" ph="1"/>
    </row>
    <row r="3188" spans="20:20" ht="26.25">
      <c r="T3188" s="62" ph="1"/>
    </row>
    <row r="3189" spans="20:20" ht="26.25">
      <c r="T3189" s="62" ph="1"/>
    </row>
    <row r="3190" spans="20:20" ht="26.25">
      <c r="T3190" s="62" ph="1"/>
    </row>
    <row r="3191" spans="20:20" ht="26.25">
      <c r="T3191" s="62" ph="1"/>
    </row>
    <row r="3192" spans="20:20" ht="26.25">
      <c r="T3192" s="62" ph="1"/>
    </row>
    <row r="3193" spans="20:20" ht="26.25">
      <c r="T3193" s="62" ph="1"/>
    </row>
    <row r="3194" spans="20:20" ht="26.25">
      <c r="T3194" s="62" ph="1"/>
    </row>
    <row r="3195" spans="20:20" ht="26.25">
      <c r="T3195" s="62" ph="1"/>
    </row>
    <row r="3196" spans="20:20" ht="26.25">
      <c r="T3196" s="62" ph="1"/>
    </row>
    <row r="3197" spans="20:20" ht="26.25">
      <c r="T3197" s="62" ph="1"/>
    </row>
    <row r="3198" spans="20:20" ht="26.25">
      <c r="T3198" s="62" ph="1"/>
    </row>
    <row r="3199" spans="20:20" ht="26.25">
      <c r="T3199" s="62" ph="1"/>
    </row>
    <row r="3200" spans="20:20" ht="26.25">
      <c r="T3200" s="62" ph="1"/>
    </row>
    <row r="3201" spans="20:20" ht="26.25">
      <c r="T3201" s="62" ph="1"/>
    </row>
    <row r="3202" spans="20:20" ht="26.25">
      <c r="T3202" s="62" ph="1"/>
    </row>
    <row r="3203" spans="20:20" ht="26.25">
      <c r="T3203" s="62" ph="1"/>
    </row>
    <row r="3204" spans="20:20" ht="26.25">
      <c r="T3204" s="62" ph="1"/>
    </row>
    <row r="3205" spans="20:20" ht="26.25">
      <c r="T3205" s="62" ph="1"/>
    </row>
    <row r="3206" spans="20:20" ht="26.25">
      <c r="T3206" s="62" ph="1"/>
    </row>
    <row r="3207" spans="20:20" ht="26.25">
      <c r="T3207" s="62" ph="1"/>
    </row>
    <row r="3208" spans="20:20" ht="26.25">
      <c r="T3208" s="62" ph="1"/>
    </row>
    <row r="3209" spans="20:20" ht="26.25">
      <c r="T3209" s="62" ph="1"/>
    </row>
    <row r="3210" spans="20:20" ht="26.25">
      <c r="T3210" s="62" ph="1"/>
    </row>
    <row r="3211" spans="20:20" ht="26.25">
      <c r="T3211" s="62" ph="1"/>
    </row>
    <row r="3212" spans="20:20" ht="26.25">
      <c r="T3212" s="62" ph="1"/>
    </row>
    <row r="3213" spans="20:20" ht="26.25">
      <c r="T3213" s="62" ph="1"/>
    </row>
    <row r="3214" spans="20:20" ht="26.25">
      <c r="T3214" s="62" ph="1"/>
    </row>
    <row r="3215" spans="20:20" ht="26.25">
      <c r="T3215" s="62" ph="1"/>
    </row>
    <row r="3216" spans="20:20" ht="26.25">
      <c r="T3216" s="62" ph="1"/>
    </row>
    <row r="3217" spans="20:20" ht="26.25">
      <c r="T3217" s="62" ph="1"/>
    </row>
    <row r="3218" spans="20:20" ht="26.25">
      <c r="T3218" s="62" ph="1"/>
    </row>
    <row r="3219" spans="20:20" ht="26.25">
      <c r="T3219" s="62" ph="1"/>
    </row>
    <row r="3220" spans="20:20" ht="26.25">
      <c r="T3220" s="62" ph="1"/>
    </row>
    <row r="3221" spans="20:20" ht="26.25">
      <c r="T3221" s="62" ph="1"/>
    </row>
    <row r="3222" spans="20:20" ht="26.25">
      <c r="T3222" s="62" ph="1"/>
    </row>
    <row r="3223" spans="20:20" ht="26.25">
      <c r="T3223" s="62" ph="1"/>
    </row>
    <row r="3224" spans="20:20" ht="26.25">
      <c r="T3224" s="62" ph="1"/>
    </row>
    <row r="3225" spans="20:20" ht="26.25">
      <c r="T3225" s="62" ph="1"/>
    </row>
    <row r="3226" spans="20:20" ht="26.25">
      <c r="T3226" s="62" ph="1"/>
    </row>
    <row r="3227" spans="20:20" ht="26.25">
      <c r="T3227" s="62" ph="1"/>
    </row>
    <row r="3228" spans="20:20" ht="26.25">
      <c r="T3228" s="62" ph="1"/>
    </row>
    <row r="3229" spans="20:20" ht="26.25">
      <c r="T3229" s="62" ph="1"/>
    </row>
    <row r="3230" spans="20:20" ht="26.25">
      <c r="T3230" s="62" ph="1"/>
    </row>
    <row r="3231" spans="20:20" ht="26.25">
      <c r="T3231" s="62" ph="1"/>
    </row>
    <row r="3232" spans="20:20" ht="26.25">
      <c r="T3232" s="62" ph="1"/>
    </row>
    <row r="3233" spans="20:20" ht="26.25">
      <c r="T3233" s="62" ph="1"/>
    </row>
    <row r="3234" spans="20:20" ht="26.25">
      <c r="T3234" s="62" ph="1"/>
    </row>
    <row r="3235" spans="20:20" ht="26.25">
      <c r="T3235" s="62" ph="1"/>
    </row>
    <row r="3236" spans="20:20" ht="26.25">
      <c r="T3236" s="62" ph="1"/>
    </row>
    <row r="3237" spans="20:20" ht="26.25">
      <c r="T3237" s="62" ph="1"/>
    </row>
    <row r="3238" spans="20:20" ht="26.25">
      <c r="T3238" s="62" ph="1"/>
    </row>
    <row r="3239" spans="20:20" ht="26.25">
      <c r="T3239" s="62" ph="1"/>
    </row>
    <row r="3240" spans="20:20" ht="26.25">
      <c r="T3240" s="62" ph="1"/>
    </row>
    <row r="3241" spans="20:20" ht="26.25">
      <c r="T3241" s="62" ph="1"/>
    </row>
    <row r="3242" spans="20:20" ht="26.25">
      <c r="T3242" s="62" ph="1"/>
    </row>
    <row r="3243" spans="20:20" ht="26.25">
      <c r="T3243" s="62" ph="1"/>
    </row>
    <row r="3244" spans="20:20" ht="26.25">
      <c r="T3244" s="62" ph="1"/>
    </row>
    <row r="3245" spans="20:20" ht="26.25">
      <c r="T3245" s="62" ph="1"/>
    </row>
    <row r="3246" spans="20:20" ht="26.25">
      <c r="T3246" s="62" ph="1"/>
    </row>
    <row r="3247" spans="20:20" ht="26.25">
      <c r="T3247" s="62" ph="1"/>
    </row>
    <row r="3248" spans="20:20" ht="26.25">
      <c r="T3248" s="62" ph="1"/>
    </row>
    <row r="3249" spans="20:20" ht="26.25">
      <c r="T3249" s="62" ph="1"/>
    </row>
    <row r="3250" spans="20:20" ht="26.25">
      <c r="T3250" s="62" ph="1"/>
    </row>
    <row r="3251" spans="20:20" ht="26.25">
      <c r="T3251" s="62" ph="1"/>
    </row>
    <row r="3252" spans="20:20" ht="26.25">
      <c r="T3252" s="62" ph="1"/>
    </row>
    <row r="3253" spans="20:20" ht="26.25">
      <c r="T3253" s="62" ph="1"/>
    </row>
    <row r="3254" spans="20:20" ht="26.25">
      <c r="T3254" s="62" ph="1"/>
    </row>
    <row r="3255" spans="20:20" ht="26.25">
      <c r="T3255" s="62" ph="1"/>
    </row>
    <row r="3256" spans="20:20" ht="26.25">
      <c r="T3256" s="62" ph="1"/>
    </row>
    <row r="3257" spans="20:20" ht="26.25">
      <c r="T3257" s="62" ph="1"/>
    </row>
    <row r="3258" spans="20:20" ht="26.25">
      <c r="T3258" s="62" ph="1"/>
    </row>
    <row r="3259" spans="20:20" ht="26.25">
      <c r="T3259" s="62" ph="1"/>
    </row>
    <row r="3260" spans="20:20" ht="26.25">
      <c r="T3260" s="62" ph="1"/>
    </row>
    <row r="3261" spans="20:20" ht="26.25">
      <c r="T3261" s="62" ph="1"/>
    </row>
    <row r="3262" spans="20:20" ht="26.25">
      <c r="T3262" s="62" ph="1"/>
    </row>
    <row r="3263" spans="20:20" ht="26.25">
      <c r="T3263" s="62" ph="1"/>
    </row>
    <row r="3264" spans="20:20" ht="26.25">
      <c r="T3264" s="62" ph="1"/>
    </row>
    <row r="3265" spans="20:20" ht="26.25">
      <c r="T3265" s="62" ph="1"/>
    </row>
    <row r="3266" spans="20:20" ht="26.25">
      <c r="T3266" s="62" ph="1"/>
    </row>
    <row r="3267" spans="20:20" ht="26.25">
      <c r="T3267" s="62" ph="1"/>
    </row>
    <row r="3268" spans="20:20" ht="26.25">
      <c r="T3268" s="62" ph="1"/>
    </row>
    <row r="3269" spans="20:20" ht="26.25">
      <c r="T3269" s="62" ph="1"/>
    </row>
    <row r="3270" spans="20:20" ht="26.25">
      <c r="T3270" s="62" ph="1"/>
    </row>
    <row r="3271" spans="20:20" ht="26.25">
      <c r="T3271" s="62" ph="1"/>
    </row>
    <row r="3272" spans="20:20" ht="26.25">
      <c r="T3272" s="62" ph="1"/>
    </row>
    <row r="3273" spans="20:20" ht="26.25">
      <c r="T3273" s="62" ph="1"/>
    </row>
    <row r="3274" spans="20:20" ht="26.25">
      <c r="T3274" s="62" ph="1"/>
    </row>
    <row r="3275" spans="20:20" ht="26.25">
      <c r="T3275" s="62" ph="1"/>
    </row>
    <row r="3276" spans="20:20" ht="26.25">
      <c r="T3276" s="62" ph="1"/>
    </row>
    <row r="3277" spans="20:20" ht="26.25">
      <c r="T3277" s="62" ph="1"/>
    </row>
    <row r="3278" spans="20:20" ht="26.25">
      <c r="T3278" s="62" ph="1"/>
    </row>
    <row r="3279" spans="20:20" ht="26.25">
      <c r="T3279" s="62" ph="1"/>
    </row>
    <row r="3280" spans="20:20" ht="26.25">
      <c r="T3280" s="62" ph="1"/>
    </row>
    <row r="3281" spans="20:20" ht="26.25">
      <c r="T3281" s="62" ph="1"/>
    </row>
    <row r="3282" spans="20:20" ht="26.25">
      <c r="T3282" s="62" ph="1"/>
    </row>
    <row r="3283" spans="20:20" ht="26.25">
      <c r="T3283" s="62" ph="1"/>
    </row>
    <row r="3284" spans="20:20" ht="26.25">
      <c r="T3284" s="62" ph="1"/>
    </row>
    <row r="3285" spans="20:20" ht="26.25">
      <c r="T3285" s="62" ph="1"/>
    </row>
    <row r="3286" spans="20:20" ht="26.25">
      <c r="T3286" s="62" ph="1"/>
    </row>
    <row r="3287" spans="20:20" ht="26.25">
      <c r="T3287" s="62" ph="1"/>
    </row>
    <row r="3288" spans="20:20" ht="26.25">
      <c r="T3288" s="62" ph="1"/>
    </row>
    <row r="3289" spans="20:20" ht="26.25">
      <c r="T3289" s="62" ph="1"/>
    </row>
    <row r="3290" spans="20:20" ht="26.25">
      <c r="T3290" s="62" ph="1"/>
    </row>
    <row r="3291" spans="20:20" ht="26.25">
      <c r="T3291" s="62" ph="1"/>
    </row>
    <row r="3292" spans="20:20" ht="26.25">
      <c r="T3292" s="62" ph="1"/>
    </row>
    <row r="3293" spans="20:20" ht="26.25">
      <c r="T3293" s="62" ph="1"/>
    </row>
    <row r="3294" spans="20:20" ht="26.25">
      <c r="T3294" s="62" ph="1"/>
    </row>
    <row r="3295" spans="20:20" ht="26.25">
      <c r="T3295" s="62" ph="1"/>
    </row>
    <row r="3296" spans="20:20" ht="26.25">
      <c r="T3296" s="62" ph="1"/>
    </row>
    <row r="3297" spans="20:20" ht="26.25">
      <c r="T3297" s="62" ph="1"/>
    </row>
    <row r="3298" spans="20:20" ht="26.25">
      <c r="T3298" s="62" ph="1"/>
    </row>
    <row r="3299" spans="20:20" ht="26.25">
      <c r="T3299" s="62" ph="1"/>
    </row>
    <row r="3300" spans="20:20" ht="26.25">
      <c r="T3300" s="62" ph="1"/>
    </row>
    <row r="3301" spans="20:20" ht="26.25">
      <c r="T3301" s="62" ph="1"/>
    </row>
    <row r="3302" spans="20:20" ht="26.25">
      <c r="T3302" s="62" ph="1"/>
    </row>
    <row r="3303" spans="20:20" ht="26.25">
      <c r="T3303" s="62" ph="1"/>
    </row>
    <row r="3304" spans="20:20" ht="26.25">
      <c r="T3304" s="62" ph="1"/>
    </row>
    <row r="3305" spans="20:20" ht="26.25">
      <c r="T3305" s="62" ph="1"/>
    </row>
    <row r="3306" spans="20:20" ht="26.25">
      <c r="T3306" s="62" ph="1"/>
    </row>
    <row r="3307" spans="20:20" ht="26.25">
      <c r="T3307" s="62" ph="1"/>
    </row>
    <row r="3308" spans="20:20" ht="26.25">
      <c r="T3308" s="62" ph="1"/>
    </row>
    <row r="3309" spans="20:20" ht="26.25">
      <c r="T3309" s="62" ph="1"/>
    </row>
    <row r="3310" spans="20:20" ht="26.25">
      <c r="T3310" s="62" ph="1"/>
    </row>
    <row r="3311" spans="20:20" ht="26.25">
      <c r="T3311" s="62" ph="1"/>
    </row>
    <row r="3312" spans="20:20" ht="26.25">
      <c r="T3312" s="62" ph="1"/>
    </row>
    <row r="3313" spans="20:20" ht="26.25">
      <c r="T3313" s="62" ph="1"/>
    </row>
    <row r="3314" spans="20:20" ht="26.25">
      <c r="T3314" s="62" ph="1"/>
    </row>
    <row r="3315" spans="20:20" ht="26.25">
      <c r="T3315" s="62" ph="1"/>
    </row>
    <row r="3316" spans="20:20" ht="26.25">
      <c r="T3316" s="62" ph="1"/>
    </row>
    <row r="3317" spans="20:20" ht="26.25">
      <c r="T3317" s="62" ph="1"/>
    </row>
    <row r="3318" spans="20:20" ht="26.25">
      <c r="T3318" s="62" ph="1"/>
    </row>
    <row r="3319" spans="20:20" ht="26.25">
      <c r="T3319" s="62" ph="1"/>
    </row>
    <row r="3320" spans="20:20" ht="26.25">
      <c r="T3320" s="62" ph="1"/>
    </row>
    <row r="3321" spans="20:20" ht="26.25">
      <c r="T3321" s="62" ph="1"/>
    </row>
    <row r="3322" spans="20:20" ht="26.25">
      <c r="T3322" s="62" ph="1"/>
    </row>
    <row r="3323" spans="20:20" ht="26.25">
      <c r="T3323" s="62" ph="1"/>
    </row>
    <row r="3324" spans="20:20" ht="26.25">
      <c r="T3324" s="62" ph="1"/>
    </row>
    <row r="3325" spans="20:20" ht="26.25">
      <c r="T3325" s="62" ph="1"/>
    </row>
    <row r="3326" spans="20:20" ht="26.25">
      <c r="T3326" s="62" ph="1"/>
    </row>
    <row r="3327" spans="20:20" ht="26.25">
      <c r="T3327" s="62" ph="1"/>
    </row>
    <row r="3328" spans="20:20" ht="26.25">
      <c r="T3328" s="62" ph="1"/>
    </row>
    <row r="3329" spans="20:20" ht="26.25">
      <c r="T3329" s="62" ph="1"/>
    </row>
    <row r="3330" spans="20:20" ht="26.25">
      <c r="T3330" s="62" ph="1"/>
    </row>
    <row r="3331" spans="20:20" ht="26.25">
      <c r="T3331" s="62" ph="1"/>
    </row>
    <row r="3332" spans="20:20" ht="26.25">
      <c r="T3332" s="62" ph="1"/>
    </row>
    <row r="3333" spans="20:20" ht="26.25">
      <c r="T3333" s="62" ph="1"/>
    </row>
    <row r="3334" spans="20:20" ht="26.25">
      <c r="T3334" s="62" ph="1"/>
    </row>
    <row r="3335" spans="20:20" ht="26.25">
      <c r="T3335" s="62" ph="1"/>
    </row>
    <row r="3336" spans="20:20" ht="26.25">
      <c r="T3336" s="62" ph="1"/>
    </row>
    <row r="3337" spans="20:20" ht="26.25">
      <c r="T3337" s="62" ph="1"/>
    </row>
    <row r="3338" spans="20:20" ht="26.25">
      <c r="T3338" s="62" ph="1"/>
    </row>
    <row r="3339" spans="20:20" ht="26.25">
      <c r="T3339" s="62" ph="1"/>
    </row>
    <row r="3340" spans="20:20" ht="26.25">
      <c r="T3340" s="62" ph="1"/>
    </row>
    <row r="3341" spans="20:20" ht="26.25">
      <c r="T3341" s="62" ph="1"/>
    </row>
    <row r="3342" spans="20:20" ht="26.25">
      <c r="T3342" s="62" ph="1"/>
    </row>
    <row r="3343" spans="20:20" ht="26.25">
      <c r="T3343" s="62" ph="1"/>
    </row>
    <row r="3344" spans="20:20" ht="26.25">
      <c r="T3344" s="62" ph="1"/>
    </row>
    <row r="3345" spans="20:20" ht="26.25">
      <c r="T3345" s="62" ph="1"/>
    </row>
    <row r="3346" spans="20:20" ht="26.25">
      <c r="T3346" s="62" ph="1"/>
    </row>
    <row r="3347" spans="20:20" ht="26.25">
      <c r="T3347" s="62" ph="1"/>
    </row>
    <row r="3348" spans="20:20" ht="26.25">
      <c r="T3348" s="62" ph="1"/>
    </row>
    <row r="3349" spans="20:20" ht="26.25">
      <c r="T3349" s="62" ph="1"/>
    </row>
    <row r="3350" spans="20:20" ht="26.25">
      <c r="T3350" s="62" ph="1"/>
    </row>
    <row r="3351" spans="20:20" ht="26.25">
      <c r="T3351" s="62" ph="1"/>
    </row>
    <row r="3352" spans="20:20" ht="26.25">
      <c r="T3352" s="62" ph="1"/>
    </row>
    <row r="3353" spans="20:20" ht="26.25">
      <c r="T3353" s="62" ph="1"/>
    </row>
    <row r="3354" spans="20:20" ht="26.25">
      <c r="T3354" s="62" ph="1"/>
    </row>
    <row r="3355" spans="20:20" ht="26.25">
      <c r="T3355" s="62" ph="1"/>
    </row>
    <row r="3356" spans="20:20" ht="26.25">
      <c r="T3356" s="62" ph="1"/>
    </row>
    <row r="3357" spans="20:20" ht="26.25">
      <c r="T3357" s="62" ph="1"/>
    </row>
    <row r="3358" spans="20:20" ht="26.25">
      <c r="T3358" s="62" ph="1"/>
    </row>
    <row r="3359" spans="20:20" ht="26.25">
      <c r="T3359" s="62" ph="1"/>
    </row>
    <row r="3360" spans="20:20" ht="26.25">
      <c r="T3360" s="62" ph="1"/>
    </row>
    <row r="3361" spans="20:20" ht="26.25">
      <c r="T3361" s="62" ph="1"/>
    </row>
    <row r="3362" spans="20:20" ht="26.25">
      <c r="T3362" s="62" ph="1"/>
    </row>
    <row r="3363" spans="20:20" ht="26.25">
      <c r="T3363" s="62" ph="1"/>
    </row>
    <row r="3364" spans="20:20" ht="26.25">
      <c r="T3364" s="62" ph="1"/>
    </row>
    <row r="3365" spans="20:20" ht="26.25">
      <c r="T3365" s="62" ph="1"/>
    </row>
    <row r="3366" spans="20:20" ht="26.25">
      <c r="T3366" s="62" ph="1"/>
    </row>
    <row r="3367" spans="20:20" ht="26.25">
      <c r="T3367" s="62" ph="1"/>
    </row>
    <row r="3368" spans="20:20" ht="26.25">
      <c r="T3368" s="62" ph="1"/>
    </row>
    <row r="3369" spans="20:20" ht="26.25">
      <c r="T3369" s="62" ph="1"/>
    </row>
    <row r="3370" spans="20:20" ht="26.25">
      <c r="T3370" s="62" ph="1"/>
    </row>
    <row r="3371" spans="20:20" ht="26.25">
      <c r="T3371" s="62" ph="1"/>
    </row>
    <row r="3372" spans="20:20" ht="26.25">
      <c r="T3372" s="62" ph="1"/>
    </row>
    <row r="3373" spans="20:20" ht="26.25">
      <c r="T3373" s="62" ph="1"/>
    </row>
    <row r="3374" spans="20:20" ht="26.25">
      <c r="T3374" s="62" ph="1"/>
    </row>
    <row r="3375" spans="20:20" ht="26.25">
      <c r="T3375" s="62" ph="1"/>
    </row>
    <row r="3376" spans="20:20" ht="26.25">
      <c r="T3376" s="62" ph="1"/>
    </row>
    <row r="3377" spans="20:20" ht="26.25">
      <c r="T3377" s="62" ph="1"/>
    </row>
    <row r="3378" spans="20:20" ht="26.25">
      <c r="T3378" s="62" ph="1"/>
    </row>
    <row r="3379" spans="20:20" ht="26.25">
      <c r="T3379" s="62" ph="1"/>
    </row>
    <row r="3380" spans="20:20" ht="26.25">
      <c r="T3380" s="62" ph="1"/>
    </row>
    <row r="3381" spans="20:20" ht="26.25">
      <c r="T3381" s="62" ph="1"/>
    </row>
    <row r="3382" spans="20:20" ht="26.25">
      <c r="T3382" s="62" ph="1"/>
    </row>
    <row r="3383" spans="20:20" ht="26.25">
      <c r="T3383" s="62" ph="1"/>
    </row>
    <row r="3384" spans="20:20" ht="26.25">
      <c r="T3384" s="62" ph="1"/>
    </row>
    <row r="3385" spans="20:20" ht="26.25">
      <c r="T3385" s="62" ph="1"/>
    </row>
    <row r="3386" spans="20:20" ht="26.25">
      <c r="T3386" s="62" ph="1"/>
    </row>
    <row r="3387" spans="20:20" ht="26.25">
      <c r="T3387" s="62" ph="1"/>
    </row>
    <row r="3388" spans="20:20" ht="26.25">
      <c r="T3388" s="62" ph="1"/>
    </row>
    <row r="3389" spans="20:20" ht="26.25">
      <c r="T3389" s="62" ph="1"/>
    </row>
    <row r="3390" spans="20:20" ht="26.25">
      <c r="T3390" s="62" ph="1"/>
    </row>
    <row r="3391" spans="20:20" ht="26.25">
      <c r="T3391" s="62" ph="1"/>
    </row>
    <row r="3392" spans="20:20" ht="26.25">
      <c r="T3392" s="62" ph="1"/>
    </row>
    <row r="3393" spans="20:20" ht="26.25">
      <c r="T3393" s="62" ph="1"/>
    </row>
    <row r="3394" spans="20:20" ht="26.25">
      <c r="T3394" s="62" ph="1"/>
    </row>
    <row r="3395" spans="20:20" ht="26.25">
      <c r="T3395" s="62" ph="1"/>
    </row>
    <row r="3396" spans="20:20" ht="26.25">
      <c r="T3396" s="62" ph="1"/>
    </row>
    <row r="3397" spans="20:20" ht="26.25">
      <c r="T3397" s="62" ph="1"/>
    </row>
    <row r="3398" spans="20:20" ht="26.25">
      <c r="T3398" s="62" ph="1"/>
    </row>
    <row r="3399" spans="20:20" ht="26.25">
      <c r="T3399" s="62" ph="1"/>
    </row>
    <row r="3400" spans="20:20" ht="26.25">
      <c r="T3400" s="62" ph="1"/>
    </row>
    <row r="3401" spans="20:20" ht="26.25">
      <c r="T3401" s="62" ph="1"/>
    </row>
    <row r="3402" spans="20:20" ht="26.25">
      <c r="T3402" s="62" ph="1"/>
    </row>
    <row r="3403" spans="20:20" ht="26.25">
      <c r="T3403" s="62" ph="1"/>
    </row>
    <row r="3404" spans="20:20" ht="26.25">
      <c r="T3404" s="62" ph="1"/>
    </row>
    <row r="3405" spans="20:20" ht="26.25">
      <c r="T3405" s="62" ph="1"/>
    </row>
    <row r="3406" spans="20:20" ht="26.25">
      <c r="T3406" s="62" ph="1"/>
    </row>
    <row r="3407" spans="20:20" ht="26.25">
      <c r="T3407" s="62" ph="1"/>
    </row>
    <row r="3408" spans="20:20" ht="26.25">
      <c r="T3408" s="62" ph="1"/>
    </row>
    <row r="3409" spans="20:20" ht="26.25">
      <c r="T3409" s="62" ph="1"/>
    </row>
    <row r="3410" spans="20:20" ht="26.25">
      <c r="T3410" s="62" ph="1"/>
    </row>
    <row r="3411" spans="20:20" ht="26.25">
      <c r="T3411" s="62" ph="1"/>
    </row>
    <row r="3412" spans="20:20" ht="26.25">
      <c r="T3412" s="62" ph="1"/>
    </row>
    <row r="3413" spans="20:20" ht="26.25">
      <c r="T3413" s="62" ph="1"/>
    </row>
    <row r="3414" spans="20:20" ht="26.25">
      <c r="T3414" s="62" ph="1"/>
    </row>
    <row r="3415" spans="20:20" ht="26.25">
      <c r="T3415" s="62" ph="1"/>
    </row>
    <row r="3416" spans="20:20" ht="26.25">
      <c r="T3416" s="62" ph="1"/>
    </row>
    <row r="3417" spans="20:20" ht="26.25">
      <c r="T3417" s="62" ph="1"/>
    </row>
    <row r="3418" spans="20:20" ht="26.25">
      <c r="T3418" s="62" ph="1"/>
    </row>
    <row r="3419" spans="20:20" ht="26.25">
      <c r="T3419" s="62" ph="1"/>
    </row>
    <row r="3420" spans="20:20" ht="26.25">
      <c r="T3420" s="62" ph="1"/>
    </row>
    <row r="3421" spans="20:20" ht="26.25">
      <c r="T3421" s="62" ph="1"/>
    </row>
    <row r="3422" spans="20:20" ht="26.25">
      <c r="T3422" s="62" ph="1"/>
    </row>
    <row r="3423" spans="20:20" ht="26.25">
      <c r="T3423" s="62" ph="1"/>
    </row>
    <row r="3424" spans="20:20" ht="26.25">
      <c r="T3424" s="62" ph="1"/>
    </row>
    <row r="3425" spans="20:20" ht="26.25">
      <c r="T3425" s="62" ph="1"/>
    </row>
    <row r="3426" spans="20:20" ht="26.25">
      <c r="T3426" s="62" ph="1"/>
    </row>
    <row r="3427" spans="20:20" ht="26.25">
      <c r="T3427" s="62" ph="1"/>
    </row>
    <row r="3428" spans="20:20" ht="26.25">
      <c r="T3428" s="62" ph="1"/>
    </row>
    <row r="3429" spans="20:20" ht="26.25">
      <c r="T3429" s="62" ph="1"/>
    </row>
    <row r="3430" spans="20:20" ht="26.25">
      <c r="T3430" s="62" ph="1"/>
    </row>
    <row r="3431" spans="20:20" ht="26.25">
      <c r="T3431" s="62" ph="1"/>
    </row>
    <row r="3432" spans="20:20" ht="26.25">
      <c r="T3432" s="62" ph="1"/>
    </row>
    <row r="3433" spans="20:20" ht="26.25">
      <c r="T3433" s="62" ph="1"/>
    </row>
    <row r="3434" spans="20:20" ht="26.25">
      <c r="T3434" s="62" ph="1"/>
    </row>
    <row r="3435" spans="20:20" ht="26.25">
      <c r="T3435" s="62" ph="1"/>
    </row>
    <row r="3436" spans="20:20" ht="26.25">
      <c r="T3436" s="62" ph="1"/>
    </row>
    <row r="3437" spans="20:20" ht="26.25">
      <c r="T3437" s="62" ph="1"/>
    </row>
    <row r="3438" spans="20:20" ht="26.25">
      <c r="T3438" s="62" ph="1"/>
    </row>
    <row r="3439" spans="20:20" ht="26.25">
      <c r="T3439" s="62" ph="1"/>
    </row>
    <row r="3440" spans="20:20" ht="26.25">
      <c r="T3440" s="62" ph="1"/>
    </row>
    <row r="3441" spans="20:20" ht="26.25">
      <c r="T3441" s="62" ph="1"/>
    </row>
    <row r="3442" spans="20:20" ht="26.25">
      <c r="T3442" s="62" ph="1"/>
    </row>
    <row r="3443" spans="20:20" ht="26.25">
      <c r="T3443" s="62" ph="1"/>
    </row>
    <row r="3444" spans="20:20" ht="26.25">
      <c r="T3444" s="62" ph="1"/>
    </row>
    <row r="3445" spans="20:20" ht="26.25">
      <c r="T3445" s="62" ph="1"/>
    </row>
    <row r="3446" spans="20:20" ht="26.25">
      <c r="T3446" s="62" ph="1"/>
    </row>
    <row r="3447" spans="20:20" ht="26.25">
      <c r="T3447" s="62" ph="1"/>
    </row>
    <row r="3448" spans="20:20" ht="26.25">
      <c r="T3448" s="62" ph="1"/>
    </row>
    <row r="3449" spans="20:20" ht="26.25">
      <c r="T3449" s="62" ph="1"/>
    </row>
    <row r="3450" spans="20:20" ht="26.25">
      <c r="T3450" s="62" ph="1"/>
    </row>
    <row r="3451" spans="20:20" ht="26.25">
      <c r="T3451" s="62" ph="1"/>
    </row>
    <row r="3452" spans="20:20" ht="26.25">
      <c r="T3452" s="62" ph="1"/>
    </row>
    <row r="3453" spans="20:20" ht="26.25">
      <c r="T3453" s="62" ph="1"/>
    </row>
    <row r="3454" spans="20:20" ht="26.25">
      <c r="T3454" s="62" ph="1"/>
    </row>
    <row r="3455" spans="20:20" ht="26.25">
      <c r="T3455" s="62" ph="1"/>
    </row>
    <row r="3456" spans="20:20" ht="26.25">
      <c r="T3456" s="62" ph="1"/>
    </row>
    <row r="3457" spans="20:20" ht="26.25">
      <c r="T3457" s="62" ph="1"/>
    </row>
    <row r="3458" spans="20:20" ht="26.25">
      <c r="T3458" s="62" ph="1"/>
    </row>
    <row r="3459" spans="20:20" ht="26.25">
      <c r="T3459" s="62" ph="1"/>
    </row>
    <row r="3460" spans="20:20" ht="26.25">
      <c r="T3460" s="62" ph="1"/>
    </row>
    <row r="3461" spans="20:20" ht="26.25">
      <c r="T3461" s="62" ph="1"/>
    </row>
    <row r="3462" spans="20:20" ht="26.25">
      <c r="T3462" s="62" ph="1"/>
    </row>
    <row r="3463" spans="20:20" ht="26.25">
      <c r="T3463" s="62" ph="1"/>
    </row>
    <row r="3464" spans="20:20" ht="26.25">
      <c r="T3464" s="62" ph="1"/>
    </row>
    <row r="3465" spans="20:20" ht="26.25">
      <c r="T3465" s="62" ph="1"/>
    </row>
    <row r="3466" spans="20:20" ht="26.25">
      <c r="T3466" s="62" ph="1"/>
    </row>
    <row r="3467" spans="20:20" ht="26.25">
      <c r="T3467" s="62" ph="1"/>
    </row>
    <row r="3468" spans="20:20" ht="26.25">
      <c r="T3468" s="62" ph="1"/>
    </row>
    <row r="3469" spans="20:20" ht="26.25">
      <c r="T3469" s="62" ph="1"/>
    </row>
    <row r="3470" spans="20:20" ht="26.25">
      <c r="T3470" s="62" ph="1"/>
    </row>
    <row r="3471" spans="20:20" ht="26.25">
      <c r="T3471" s="62" ph="1"/>
    </row>
    <row r="3472" spans="20:20" ht="26.25">
      <c r="T3472" s="62" ph="1"/>
    </row>
    <row r="3473" spans="20:20" ht="26.25">
      <c r="T3473" s="62" ph="1"/>
    </row>
    <row r="3474" spans="20:20" ht="26.25">
      <c r="T3474" s="62" ph="1"/>
    </row>
    <row r="3475" spans="20:20" ht="26.25">
      <c r="T3475" s="62" ph="1"/>
    </row>
    <row r="3476" spans="20:20" ht="26.25">
      <c r="T3476" s="62" ph="1"/>
    </row>
    <row r="3477" spans="20:20" ht="26.25">
      <c r="T3477" s="62" ph="1"/>
    </row>
    <row r="3478" spans="20:20" ht="26.25">
      <c r="T3478" s="62" ph="1"/>
    </row>
    <row r="3479" spans="20:20" ht="26.25">
      <c r="T3479" s="62" ph="1"/>
    </row>
    <row r="3480" spans="20:20" ht="26.25">
      <c r="T3480" s="62" ph="1"/>
    </row>
    <row r="3481" spans="20:20" ht="26.25">
      <c r="T3481" s="62" ph="1"/>
    </row>
    <row r="3482" spans="20:20" ht="26.25">
      <c r="T3482" s="62" ph="1"/>
    </row>
    <row r="3483" spans="20:20" ht="26.25">
      <c r="T3483" s="62" ph="1"/>
    </row>
    <row r="3484" spans="20:20" ht="26.25">
      <c r="T3484" s="62" ph="1"/>
    </row>
    <row r="3485" spans="20:20" ht="26.25">
      <c r="T3485" s="62" ph="1"/>
    </row>
    <row r="3486" spans="20:20" ht="26.25">
      <c r="T3486" s="62" ph="1"/>
    </row>
    <row r="3487" spans="20:20" ht="26.25">
      <c r="T3487" s="62" ph="1"/>
    </row>
    <row r="3488" spans="20:20" ht="26.25">
      <c r="T3488" s="62" ph="1"/>
    </row>
    <row r="3489" spans="20:20" ht="26.25">
      <c r="T3489" s="62" ph="1"/>
    </row>
    <row r="3490" spans="20:20" ht="26.25">
      <c r="T3490" s="62" ph="1"/>
    </row>
    <row r="3491" spans="20:20" ht="26.25">
      <c r="T3491" s="62" ph="1"/>
    </row>
    <row r="3492" spans="20:20" ht="26.25">
      <c r="T3492" s="62" ph="1"/>
    </row>
    <row r="3493" spans="20:20" ht="26.25">
      <c r="T3493" s="62" ph="1"/>
    </row>
    <row r="3494" spans="20:20" ht="26.25">
      <c r="T3494" s="62" ph="1"/>
    </row>
    <row r="3495" spans="20:20" ht="26.25">
      <c r="T3495" s="62" ph="1"/>
    </row>
    <row r="3496" spans="20:20" ht="26.25">
      <c r="T3496" s="62" ph="1"/>
    </row>
    <row r="3497" spans="20:20" ht="26.25">
      <c r="T3497" s="62" ph="1"/>
    </row>
    <row r="3498" spans="20:20" ht="26.25">
      <c r="T3498" s="62" ph="1"/>
    </row>
    <row r="3499" spans="20:20" ht="26.25">
      <c r="T3499" s="62" ph="1"/>
    </row>
    <row r="3500" spans="20:20" ht="26.25">
      <c r="T3500" s="62" ph="1"/>
    </row>
    <row r="3501" spans="20:20" ht="26.25">
      <c r="T3501" s="62" ph="1"/>
    </row>
    <row r="3502" spans="20:20" ht="26.25">
      <c r="T3502" s="62" ph="1"/>
    </row>
    <row r="3503" spans="20:20" ht="26.25">
      <c r="T3503" s="62" ph="1"/>
    </row>
    <row r="3504" spans="20:20" ht="26.25">
      <c r="T3504" s="62" ph="1"/>
    </row>
    <row r="3505" spans="20:20" ht="26.25">
      <c r="T3505" s="62" ph="1"/>
    </row>
    <row r="3506" spans="20:20" ht="26.25">
      <c r="T3506" s="62" ph="1"/>
    </row>
    <row r="3507" spans="20:20" ht="26.25">
      <c r="T3507" s="62" ph="1"/>
    </row>
    <row r="3508" spans="20:20" ht="26.25">
      <c r="T3508" s="62" ph="1"/>
    </row>
    <row r="3509" spans="20:20" ht="26.25">
      <c r="T3509" s="62" ph="1"/>
    </row>
    <row r="3510" spans="20:20" ht="26.25">
      <c r="T3510" s="62" ph="1"/>
    </row>
    <row r="3511" spans="20:20" ht="26.25">
      <c r="T3511" s="62" ph="1"/>
    </row>
    <row r="3512" spans="20:20" ht="26.25">
      <c r="T3512" s="62" ph="1"/>
    </row>
    <row r="3513" spans="20:20" ht="26.25">
      <c r="T3513" s="62" ph="1"/>
    </row>
    <row r="3514" spans="20:20" ht="26.25">
      <c r="T3514" s="62" ph="1"/>
    </row>
    <row r="3515" spans="20:20" ht="26.25">
      <c r="T3515" s="62" ph="1"/>
    </row>
    <row r="3516" spans="20:20" ht="26.25">
      <c r="T3516" s="62" ph="1"/>
    </row>
    <row r="3517" spans="20:20" ht="26.25">
      <c r="T3517" s="62" ph="1"/>
    </row>
    <row r="3518" spans="20:20" ht="26.25">
      <c r="T3518" s="62" ph="1"/>
    </row>
    <row r="3519" spans="20:20" ht="26.25">
      <c r="T3519" s="62" ph="1"/>
    </row>
    <row r="3520" spans="20:20" ht="26.25">
      <c r="T3520" s="62" ph="1"/>
    </row>
    <row r="3521" spans="20:20" ht="26.25">
      <c r="T3521" s="62" ph="1"/>
    </row>
    <row r="3522" spans="20:20" ht="26.25">
      <c r="T3522" s="62" ph="1"/>
    </row>
    <row r="3523" spans="20:20" ht="26.25">
      <c r="T3523" s="62" ph="1"/>
    </row>
    <row r="3524" spans="20:20" ht="26.25">
      <c r="T3524" s="62" ph="1"/>
    </row>
    <row r="3525" spans="20:20" ht="26.25">
      <c r="T3525" s="62" ph="1"/>
    </row>
    <row r="3526" spans="20:20" ht="26.25">
      <c r="T3526" s="62" ph="1"/>
    </row>
    <row r="3527" spans="20:20" ht="26.25">
      <c r="T3527" s="62" ph="1"/>
    </row>
    <row r="3528" spans="20:20" ht="26.25">
      <c r="T3528" s="62" ph="1"/>
    </row>
    <row r="3529" spans="20:20" ht="26.25">
      <c r="T3529" s="62" ph="1"/>
    </row>
    <row r="3530" spans="20:20" ht="26.25">
      <c r="T3530" s="62" ph="1"/>
    </row>
    <row r="3531" spans="20:20" ht="26.25">
      <c r="T3531" s="62" ph="1"/>
    </row>
    <row r="3532" spans="20:20" ht="26.25">
      <c r="T3532" s="62" ph="1"/>
    </row>
    <row r="3533" spans="20:20" ht="26.25">
      <c r="T3533" s="62" ph="1"/>
    </row>
    <row r="3534" spans="20:20" ht="26.25">
      <c r="T3534" s="62" ph="1"/>
    </row>
    <row r="3535" spans="20:20" ht="26.25">
      <c r="T3535" s="62" ph="1"/>
    </row>
    <row r="3536" spans="20:20" ht="26.25">
      <c r="T3536" s="62" ph="1"/>
    </row>
    <row r="3537" spans="20:20" ht="26.25">
      <c r="T3537" s="62" ph="1"/>
    </row>
    <row r="3538" spans="20:20" ht="26.25">
      <c r="T3538" s="62" ph="1"/>
    </row>
    <row r="3539" spans="20:20" ht="26.25">
      <c r="T3539" s="62" ph="1"/>
    </row>
    <row r="3540" spans="20:20" ht="26.25">
      <c r="T3540" s="62" ph="1"/>
    </row>
    <row r="3541" spans="20:20" ht="26.25">
      <c r="T3541" s="62" ph="1"/>
    </row>
    <row r="3542" spans="20:20" ht="26.25">
      <c r="T3542" s="62" ph="1"/>
    </row>
    <row r="3543" spans="20:20" ht="26.25">
      <c r="T3543" s="62" ph="1"/>
    </row>
    <row r="3544" spans="20:20" ht="26.25">
      <c r="T3544" s="62" ph="1"/>
    </row>
    <row r="3545" spans="20:20" ht="26.25">
      <c r="T3545" s="62" ph="1"/>
    </row>
    <row r="3546" spans="20:20" ht="26.25">
      <c r="T3546" s="62" ph="1"/>
    </row>
    <row r="3547" spans="20:20" ht="26.25">
      <c r="T3547" s="62" ph="1"/>
    </row>
    <row r="3548" spans="20:20" ht="26.25">
      <c r="T3548" s="62" ph="1"/>
    </row>
    <row r="3549" spans="20:20" ht="26.25">
      <c r="T3549" s="62" ph="1"/>
    </row>
    <row r="3550" spans="20:20" ht="26.25">
      <c r="T3550" s="62" ph="1"/>
    </row>
    <row r="3551" spans="20:20" ht="26.25">
      <c r="T3551" s="62" ph="1"/>
    </row>
    <row r="3552" spans="20:20" ht="26.25">
      <c r="T3552" s="62" ph="1"/>
    </row>
    <row r="3553" spans="20:20" ht="26.25">
      <c r="T3553" s="62" ph="1"/>
    </row>
    <row r="3554" spans="20:20" ht="26.25">
      <c r="T3554" s="62" ph="1"/>
    </row>
    <row r="3555" spans="20:20" ht="26.25">
      <c r="T3555" s="62" ph="1"/>
    </row>
    <row r="3556" spans="20:20" ht="26.25">
      <c r="T3556" s="62" ph="1"/>
    </row>
    <row r="3557" spans="20:20" ht="26.25">
      <c r="T3557" s="62" ph="1"/>
    </row>
    <row r="3558" spans="20:20" ht="26.25">
      <c r="T3558" s="62" ph="1"/>
    </row>
    <row r="3559" spans="20:20" ht="26.25">
      <c r="T3559" s="62" ph="1"/>
    </row>
    <row r="3560" spans="20:20" ht="26.25">
      <c r="T3560" s="62" ph="1"/>
    </row>
    <row r="3561" spans="20:20" ht="26.25">
      <c r="T3561" s="62" ph="1"/>
    </row>
    <row r="3562" spans="20:20" ht="26.25">
      <c r="T3562" s="62" ph="1"/>
    </row>
    <row r="3563" spans="20:20" ht="26.25">
      <c r="T3563" s="62" ph="1"/>
    </row>
    <row r="3564" spans="20:20" ht="26.25">
      <c r="T3564" s="62" ph="1"/>
    </row>
    <row r="3565" spans="20:20" ht="26.25">
      <c r="T3565" s="62" ph="1"/>
    </row>
    <row r="3566" spans="20:20" ht="26.25">
      <c r="T3566" s="62" ph="1"/>
    </row>
    <row r="3567" spans="20:20" ht="26.25">
      <c r="T3567" s="62" ph="1"/>
    </row>
    <row r="3568" spans="20:20" ht="26.25">
      <c r="T3568" s="62" ph="1"/>
    </row>
    <row r="3569" spans="20:20" ht="26.25">
      <c r="T3569" s="62" ph="1"/>
    </row>
    <row r="3570" spans="20:20" ht="26.25">
      <c r="T3570" s="62" ph="1"/>
    </row>
    <row r="3571" spans="20:20" ht="26.25">
      <c r="T3571" s="62" ph="1"/>
    </row>
    <row r="3572" spans="20:20" ht="26.25">
      <c r="T3572" s="62" ph="1"/>
    </row>
    <row r="3573" spans="20:20" ht="26.25">
      <c r="T3573" s="62" ph="1"/>
    </row>
    <row r="3574" spans="20:20" ht="26.25">
      <c r="T3574" s="62" ph="1"/>
    </row>
    <row r="3575" spans="20:20" ht="26.25">
      <c r="T3575" s="62" ph="1"/>
    </row>
    <row r="3576" spans="20:20" ht="26.25">
      <c r="T3576" s="62" ph="1"/>
    </row>
    <row r="3577" spans="20:20" ht="26.25">
      <c r="T3577" s="62" ph="1"/>
    </row>
    <row r="3578" spans="20:20" ht="26.25">
      <c r="T3578" s="62" ph="1"/>
    </row>
    <row r="3579" spans="20:20" ht="26.25">
      <c r="T3579" s="62" ph="1"/>
    </row>
    <row r="3580" spans="20:20" ht="26.25">
      <c r="T3580" s="62" ph="1"/>
    </row>
    <row r="3581" spans="20:20" ht="26.25">
      <c r="T3581" s="62" ph="1"/>
    </row>
    <row r="3582" spans="20:20" ht="26.25">
      <c r="T3582" s="62" ph="1"/>
    </row>
    <row r="3583" spans="20:20" ht="26.25">
      <c r="T3583" s="62" ph="1"/>
    </row>
    <row r="3584" spans="20:20" ht="26.25">
      <c r="T3584" s="62" ph="1"/>
    </row>
    <row r="3585" spans="20:20" ht="26.25">
      <c r="T3585" s="62" ph="1"/>
    </row>
    <row r="3586" spans="20:20" ht="26.25">
      <c r="T3586" s="62" ph="1"/>
    </row>
    <row r="3587" spans="20:20" ht="26.25">
      <c r="T3587" s="62" ph="1"/>
    </row>
    <row r="3588" spans="20:20" ht="26.25">
      <c r="T3588" s="62" ph="1"/>
    </row>
    <row r="3589" spans="20:20" ht="26.25">
      <c r="T3589" s="62" ph="1"/>
    </row>
    <row r="3590" spans="20:20" ht="26.25">
      <c r="T3590" s="62" ph="1"/>
    </row>
    <row r="3591" spans="20:20" ht="26.25">
      <c r="T3591" s="62" ph="1"/>
    </row>
    <row r="3592" spans="20:20" ht="26.25">
      <c r="T3592" s="62" ph="1"/>
    </row>
    <row r="3593" spans="20:20" ht="26.25">
      <c r="T3593" s="62" ph="1"/>
    </row>
    <row r="3594" spans="20:20" ht="26.25">
      <c r="T3594" s="62" ph="1"/>
    </row>
    <row r="3595" spans="20:20" ht="26.25">
      <c r="T3595" s="62" ph="1"/>
    </row>
    <row r="3596" spans="20:20" ht="26.25">
      <c r="T3596" s="62" ph="1"/>
    </row>
    <row r="3597" spans="20:20" ht="26.25">
      <c r="T3597" s="62" ph="1"/>
    </row>
    <row r="3598" spans="20:20" ht="26.25">
      <c r="T3598" s="62" ph="1"/>
    </row>
    <row r="3599" spans="20:20" ht="26.25">
      <c r="T3599" s="62" ph="1"/>
    </row>
    <row r="3600" spans="20:20" ht="26.25">
      <c r="T3600" s="62" ph="1"/>
    </row>
    <row r="3601" spans="20:20" ht="26.25">
      <c r="T3601" s="62" ph="1"/>
    </row>
    <row r="3602" spans="20:20" ht="26.25">
      <c r="T3602" s="62" ph="1"/>
    </row>
    <row r="3603" spans="20:20" ht="26.25">
      <c r="T3603" s="62" ph="1"/>
    </row>
    <row r="3604" spans="20:20" ht="26.25">
      <c r="T3604" s="62" ph="1"/>
    </row>
    <row r="3605" spans="20:20" ht="26.25">
      <c r="T3605" s="62" ph="1"/>
    </row>
    <row r="3606" spans="20:20" ht="26.25">
      <c r="T3606" s="62" ph="1"/>
    </row>
    <row r="3607" spans="20:20" ht="26.25">
      <c r="T3607" s="62" ph="1"/>
    </row>
    <row r="3608" spans="20:20" ht="26.25">
      <c r="T3608" s="62" ph="1"/>
    </row>
    <row r="3609" spans="20:20" ht="26.25">
      <c r="T3609" s="62" ph="1"/>
    </row>
    <row r="3610" spans="20:20" ht="26.25">
      <c r="T3610" s="62" ph="1"/>
    </row>
    <row r="3611" spans="20:20" ht="26.25">
      <c r="T3611" s="62" ph="1"/>
    </row>
    <row r="3612" spans="20:20" ht="26.25">
      <c r="T3612" s="62" ph="1"/>
    </row>
    <row r="3613" spans="20:20" ht="26.25">
      <c r="T3613" s="62" ph="1"/>
    </row>
    <row r="3614" spans="20:20" ht="26.25">
      <c r="T3614" s="62" ph="1"/>
    </row>
    <row r="3615" spans="20:20" ht="26.25">
      <c r="T3615" s="62" ph="1"/>
    </row>
    <row r="3616" spans="20:20" ht="26.25">
      <c r="T3616" s="62" ph="1"/>
    </row>
    <row r="3617" spans="20:20" ht="26.25">
      <c r="T3617" s="62" ph="1"/>
    </row>
    <row r="3618" spans="20:20" ht="26.25">
      <c r="T3618" s="62" ph="1"/>
    </row>
    <row r="3619" spans="20:20" ht="26.25">
      <c r="T3619" s="62" ph="1"/>
    </row>
    <row r="3620" spans="20:20" ht="26.25">
      <c r="T3620" s="62" ph="1"/>
    </row>
    <row r="3621" spans="20:20" ht="26.25">
      <c r="T3621" s="62" ph="1"/>
    </row>
    <row r="3622" spans="20:20" ht="26.25">
      <c r="T3622" s="62" ph="1"/>
    </row>
    <row r="3623" spans="20:20" ht="26.25">
      <c r="T3623" s="62" ph="1"/>
    </row>
    <row r="3624" spans="20:20" ht="26.25">
      <c r="T3624" s="62" ph="1"/>
    </row>
    <row r="3625" spans="20:20" ht="26.25">
      <c r="T3625" s="62" ph="1"/>
    </row>
    <row r="3626" spans="20:20" ht="26.25">
      <c r="T3626" s="62" ph="1"/>
    </row>
    <row r="3627" spans="20:20" ht="26.25">
      <c r="T3627" s="62" ph="1"/>
    </row>
    <row r="3628" spans="20:20" ht="26.25">
      <c r="T3628" s="62" ph="1"/>
    </row>
    <row r="3629" spans="20:20" ht="26.25">
      <c r="T3629" s="62" ph="1"/>
    </row>
    <row r="3630" spans="20:20" ht="26.25">
      <c r="T3630" s="62" ph="1"/>
    </row>
    <row r="3631" spans="20:20" ht="26.25">
      <c r="T3631" s="62" ph="1"/>
    </row>
    <row r="3632" spans="20:20" ht="26.25">
      <c r="T3632" s="62" ph="1"/>
    </row>
    <row r="3633" spans="20:20" ht="26.25">
      <c r="T3633" s="62" ph="1"/>
    </row>
    <row r="3634" spans="20:20" ht="26.25">
      <c r="T3634" s="62" ph="1"/>
    </row>
    <row r="3635" spans="20:20" ht="26.25">
      <c r="T3635" s="62" ph="1"/>
    </row>
    <row r="3636" spans="20:20" ht="26.25">
      <c r="T3636" s="62" ph="1"/>
    </row>
    <row r="3637" spans="20:20" ht="26.25">
      <c r="T3637" s="62" ph="1"/>
    </row>
    <row r="3638" spans="20:20" ht="26.25">
      <c r="T3638" s="62" ph="1"/>
    </row>
    <row r="3639" spans="20:20" ht="26.25">
      <c r="T3639" s="62" ph="1"/>
    </row>
    <row r="3640" spans="20:20" ht="26.25">
      <c r="T3640" s="62" ph="1"/>
    </row>
    <row r="3641" spans="20:20" ht="26.25">
      <c r="T3641" s="62" ph="1"/>
    </row>
    <row r="3642" spans="20:20" ht="26.25">
      <c r="T3642" s="62" ph="1"/>
    </row>
    <row r="3643" spans="20:20" ht="26.25">
      <c r="T3643" s="62" ph="1"/>
    </row>
    <row r="3644" spans="20:20" ht="26.25">
      <c r="T3644" s="62" ph="1"/>
    </row>
    <row r="3645" spans="20:20" ht="26.25">
      <c r="T3645" s="62" ph="1"/>
    </row>
    <row r="3646" spans="20:20" ht="26.25">
      <c r="T3646" s="62" ph="1"/>
    </row>
    <row r="3647" spans="20:20" ht="26.25">
      <c r="T3647" s="62" ph="1"/>
    </row>
    <row r="3648" spans="20:20" ht="26.25">
      <c r="T3648" s="62" ph="1"/>
    </row>
    <row r="3649" spans="20:20" ht="26.25">
      <c r="T3649" s="62" ph="1"/>
    </row>
    <row r="3650" spans="20:20" ht="26.25">
      <c r="T3650" s="62" ph="1"/>
    </row>
    <row r="3651" spans="20:20" ht="26.25">
      <c r="T3651" s="62" ph="1"/>
    </row>
    <row r="3652" spans="20:20" ht="26.25">
      <c r="T3652" s="62" ph="1"/>
    </row>
    <row r="3653" spans="20:20" ht="26.25">
      <c r="T3653" s="62" ph="1"/>
    </row>
    <row r="3654" spans="20:20" ht="26.25">
      <c r="T3654" s="62" ph="1"/>
    </row>
    <row r="3655" spans="20:20" ht="26.25">
      <c r="T3655" s="62" ph="1"/>
    </row>
    <row r="3656" spans="20:20" ht="26.25">
      <c r="T3656" s="62" ph="1"/>
    </row>
    <row r="3657" spans="20:20" ht="26.25">
      <c r="T3657" s="62" ph="1"/>
    </row>
    <row r="3658" spans="20:20" ht="26.25">
      <c r="T3658" s="62" ph="1"/>
    </row>
    <row r="3659" spans="20:20" ht="26.25">
      <c r="T3659" s="62" ph="1"/>
    </row>
    <row r="3660" spans="20:20" ht="26.25">
      <c r="T3660" s="62" ph="1"/>
    </row>
    <row r="3661" spans="20:20" ht="26.25">
      <c r="T3661" s="62" ph="1"/>
    </row>
    <row r="3662" spans="20:20" ht="26.25">
      <c r="T3662" s="62" ph="1"/>
    </row>
    <row r="3663" spans="20:20" ht="26.25">
      <c r="T3663" s="62" ph="1"/>
    </row>
    <row r="3664" spans="20:20" ht="26.25">
      <c r="T3664" s="62" ph="1"/>
    </row>
    <row r="3665" spans="20:20" ht="26.25">
      <c r="T3665" s="62" ph="1"/>
    </row>
    <row r="3666" spans="20:20" ht="26.25">
      <c r="T3666" s="62" ph="1"/>
    </row>
    <row r="3667" spans="20:20" ht="26.25">
      <c r="T3667" s="62" ph="1"/>
    </row>
    <row r="3668" spans="20:20" ht="26.25">
      <c r="T3668" s="62" ph="1"/>
    </row>
    <row r="3669" spans="20:20" ht="26.25">
      <c r="T3669" s="62" ph="1"/>
    </row>
    <row r="3670" spans="20:20" ht="26.25">
      <c r="T3670" s="62" ph="1"/>
    </row>
    <row r="3671" spans="20:20" ht="26.25">
      <c r="T3671" s="62" ph="1"/>
    </row>
    <row r="3672" spans="20:20" ht="26.25">
      <c r="T3672" s="62" ph="1"/>
    </row>
    <row r="3673" spans="20:20" ht="26.25">
      <c r="T3673" s="62" ph="1"/>
    </row>
    <row r="3674" spans="20:20" ht="26.25">
      <c r="T3674" s="62" ph="1"/>
    </row>
    <row r="3675" spans="20:20" ht="26.25">
      <c r="T3675" s="62" ph="1"/>
    </row>
    <row r="3676" spans="20:20" ht="26.25">
      <c r="T3676" s="62" ph="1"/>
    </row>
    <row r="3677" spans="20:20" ht="26.25">
      <c r="T3677" s="62" ph="1"/>
    </row>
    <row r="3678" spans="20:20" ht="26.25">
      <c r="T3678" s="62" ph="1"/>
    </row>
    <row r="3679" spans="20:20" ht="26.25">
      <c r="T3679" s="62" ph="1"/>
    </row>
    <row r="3680" spans="20:20" ht="26.25">
      <c r="T3680" s="62" ph="1"/>
    </row>
    <row r="3681" spans="20:20" ht="26.25">
      <c r="T3681" s="62" ph="1"/>
    </row>
    <row r="3682" spans="20:20" ht="26.25">
      <c r="T3682" s="62" ph="1"/>
    </row>
    <row r="3683" spans="20:20" ht="26.25">
      <c r="T3683" s="62" ph="1"/>
    </row>
    <row r="3684" spans="20:20" ht="26.25">
      <c r="T3684" s="62" ph="1"/>
    </row>
    <row r="3685" spans="20:20" ht="26.25">
      <c r="T3685" s="62" ph="1"/>
    </row>
    <row r="3686" spans="20:20" ht="26.25">
      <c r="T3686" s="62" ph="1"/>
    </row>
    <row r="3687" spans="20:20" ht="26.25">
      <c r="T3687" s="62" ph="1"/>
    </row>
    <row r="3688" spans="20:20" ht="26.25">
      <c r="T3688" s="62" ph="1"/>
    </row>
    <row r="3689" spans="20:20" ht="26.25">
      <c r="T3689" s="62" ph="1"/>
    </row>
    <row r="3690" spans="20:20" ht="26.25">
      <c r="T3690" s="62" ph="1"/>
    </row>
    <row r="3691" spans="20:20" ht="26.25">
      <c r="T3691" s="62" ph="1"/>
    </row>
    <row r="3692" spans="20:20" ht="26.25">
      <c r="T3692" s="62" ph="1"/>
    </row>
    <row r="3693" spans="20:20" ht="26.25">
      <c r="T3693" s="62" ph="1"/>
    </row>
    <row r="3694" spans="20:20" ht="26.25">
      <c r="T3694" s="62" ph="1"/>
    </row>
    <row r="3695" spans="20:20" ht="26.25">
      <c r="T3695" s="62" ph="1"/>
    </row>
    <row r="3696" spans="20:20" ht="26.25">
      <c r="T3696" s="62" ph="1"/>
    </row>
    <row r="3697" spans="20:20" ht="26.25">
      <c r="T3697" s="62" ph="1"/>
    </row>
    <row r="3698" spans="20:20" ht="26.25">
      <c r="T3698" s="62" ph="1"/>
    </row>
    <row r="3699" spans="20:20" ht="26.25">
      <c r="T3699" s="62" ph="1"/>
    </row>
    <row r="3700" spans="20:20" ht="26.25">
      <c r="T3700" s="62" ph="1"/>
    </row>
    <row r="3701" spans="20:20" ht="26.25">
      <c r="T3701" s="62" ph="1"/>
    </row>
    <row r="3702" spans="20:20" ht="26.25">
      <c r="T3702" s="62" ph="1"/>
    </row>
    <row r="3703" spans="20:20" ht="26.25">
      <c r="T3703" s="62" ph="1"/>
    </row>
    <row r="3704" spans="20:20" ht="26.25">
      <c r="T3704" s="62" ph="1"/>
    </row>
    <row r="3705" spans="20:20" ht="26.25">
      <c r="T3705" s="62" ph="1"/>
    </row>
    <row r="3706" spans="20:20" ht="26.25">
      <c r="T3706" s="62" ph="1"/>
    </row>
    <row r="3707" spans="20:20" ht="26.25">
      <c r="T3707" s="62" ph="1"/>
    </row>
    <row r="3708" spans="20:20" ht="26.25">
      <c r="T3708" s="62" ph="1"/>
    </row>
    <row r="3709" spans="20:20" ht="26.25">
      <c r="T3709" s="62" ph="1"/>
    </row>
    <row r="3710" spans="20:20" ht="26.25">
      <c r="T3710" s="62" ph="1"/>
    </row>
    <row r="3711" spans="20:20" ht="26.25">
      <c r="T3711" s="62" ph="1"/>
    </row>
    <row r="3712" spans="20:20" ht="26.25">
      <c r="T3712" s="62" ph="1"/>
    </row>
    <row r="3713" spans="20:20" ht="26.25">
      <c r="T3713" s="62" ph="1"/>
    </row>
    <row r="3714" spans="20:20" ht="26.25">
      <c r="T3714" s="62" ph="1"/>
    </row>
    <row r="3715" spans="20:20" ht="26.25">
      <c r="T3715" s="62" ph="1"/>
    </row>
    <row r="3716" spans="20:20" ht="26.25">
      <c r="T3716" s="62" ph="1"/>
    </row>
    <row r="3717" spans="20:20" ht="26.25">
      <c r="T3717" s="62" ph="1"/>
    </row>
    <row r="3718" spans="20:20" ht="26.25">
      <c r="T3718" s="62" ph="1"/>
    </row>
    <row r="3719" spans="20:20" ht="26.25">
      <c r="T3719" s="62" ph="1"/>
    </row>
    <row r="3720" spans="20:20" ht="26.25">
      <c r="T3720" s="62" ph="1"/>
    </row>
    <row r="3721" spans="20:20" ht="26.25">
      <c r="T3721" s="62" ph="1"/>
    </row>
    <row r="3722" spans="20:20" ht="26.25">
      <c r="T3722" s="62" ph="1"/>
    </row>
    <row r="3723" spans="20:20" ht="26.25">
      <c r="T3723" s="62" ph="1"/>
    </row>
    <row r="3724" spans="20:20" ht="26.25">
      <c r="T3724" s="62" ph="1"/>
    </row>
    <row r="3725" spans="20:20" ht="26.25">
      <c r="T3725" s="62" ph="1"/>
    </row>
    <row r="3726" spans="20:20" ht="26.25">
      <c r="T3726" s="62" ph="1"/>
    </row>
    <row r="3727" spans="20:20" ht="26.25">
      <c r="T3727" s="62" ph="1"/>
    </row>
    <row r="3728" spans="20:20" ht="26.25">
      <c r="T3728" s="62" ph="1"/>
    </row>
    <row r="3729" spans="20:20" ht="26.25">
      <c r="T3729" s="62" ph="1"/>
    </row>
    <row r="3730" spans="20:20" ht="26.25">
      <c r="T3730" s="62" ph="1"/>
    </row>
    <row r="3731" spans="20:20" ht="26.25">
      <c r="T3731" s="62" ph="1"/>
    </row>
    <row r="3732" spans="20:20" ht="26.25">
      <c r="T3732" s="62" ph="1"/>
    </row>
    <row r="3733" spans="20:20" ht="26.25">
      <c r="T3733" s="62" ph="1"/>
    </row>
    <row r="3734" spans="20:20" ht="26.25">
      <c r="T3734" s="62" ph="1"/>
    </row>
    <row r="3735" spans="20:20" ht="26.25">
      <c r="T3735" s="62" ph="1"/>
    </row>
    <row r="3736" spans="20:20" ht="26.25">
      <c r="T3736" s="62" ph="1"/>
    </row>
    <row r="3737" spans="20:20" ht="26.25">
      <c r="T3737" s="62" ph="1"/>
    </row>
    <row r="3738" spans="20:20" ht="26.25">
      <c r="T3738" s="62" ph="1"/>
    </row>
    <row r="3739" spans="20:20" ht="26.25">
      <c r="T3739" s="62" ph="1"/>
    </row>
    <row r="3740" spans="20:20" ht="26.25">
      <c r="T3740" s="62" ph="1"/>
    </row>
    <row r="3741" spans="20:20" ht="26.25">
      <c r="T3741" s="62" ph="1"/>
    </row>
    <row r="3742" spans="20:20" ht="26.25">
      <c r="T3742" s="62" ph="1"/>
    </row>
    <row r="3743" spans="20:20" ht="26.25">
      <c r="T3743" s="62" ph="1"/>
    </row>
    <row r="3744" spans="20:20" ht="26.25">
      <c r="T3744" s="62" ph="1"/>
    </row>
    <row r="3745" spans="20:20" ht="26.25">
      <c r="T3745" s="62" ph="1"/>
    </row>
    <row r="3746" spans="20:20" ht="26.25">
      <c r="T3746" s="62" ph="1"/>
    </row>
    <row r="3747" spans="20:20" ht="26.25">
      <c r="T3747" s="62" ph="1"/>
    </row>
    <row r="3748" spans="20:20" ht="26.25">
      <c r="T3748" s="62" ph="1"/>
    </row>
    <row r="3749" spans="20:20" ht="26.25">
      <c r="T3749" s="62" ph="1"/>
    </row>
    <row r="3750" spans="20:20" ht="26.25">
      <c r="T3750" s="62" ph="1"/>
    </row>
    <row r="3751" spans="20:20" ht="26.25">
      <c r="T3751" s="62" ph="1"/>
    </row>
    <row r="3752" spans="20:20" ht="26.25">
      <c r="T3752" s="62" ph="1"/>
    </row>
    <row r="3753" spans="20:20" ht="26.25">
      <c r="T3753" s="62" ph="1"/>
    </row>
    <row r="3754" spans="20:20" ht="26.25">
      <c r="T3754" s="62" ph="1"/>
    </row>
    <row r="3755" spans="20:20" ht="26.25">
      <c r="T3755" s="62" ph="1"/>
    </row>
    <row r="3756" spans="20:20" ht="26.25">
      <c r="T3756" s="62" ph="1"/>
    </row>
    <row r="3757" spans="20:20" ht="26.25">
      <c r="T3757" s="62" ph="1"/>
    </row>
    <row r="3758" spans="20:20" ht="26.25">
      <c r="T3758" s="62" ph="1"/>
    </row>
    <row r="3759" spans="20:20" ht="26.25">
      <c r="T3759" s="62" ph="1"/>
    </row>
    <row r="3760" spans="20:20" ht="26.25">
      <c r="T3760" s="62" ph="1"/>
    </row>
    <row r="3761" spans="20:20" ht="26.25">
      <c r="T3761" s="62" ph="1"/>
    </row>
    <row r="3762" spans="20:20" ht="26.25">
      <c r="T3762" s="62" ph="1"/>
    </row>
    <row r="3763" spans="20:20" ht="26.25">
      <c r="T3763" s="62" ph="1"/>
    </row>
    <row r="3764" spans="20:20" ht="26.25">
      <c r="T3764" s="62" ph="1"/>
    </row>
    <row r="3765" spans="20:20" ht="26.25">
      <c r="T3765" s="62" ph="1"/>
    </row>
    <row r="3766" spans="20:20" ht="26.25">
      <c r="T3766" s="62" ph="1"/>
    </row>
    <row r="3767" spans="20:20" ht="26.25">
      <c r="T3767" s="62" ph="1"/>
    </row>
    <row r="3768" spans="20:20" ht="26.25">
      <c r="T3768" s="62" ph="1"/>
    </row>
    <row r="3769" spans="20:20" ht="26.25">
      <c r="T3769" s="62" ph="1"/>
    </row>
    <row r="3770" spans="20:20" ht="26.25">
      <c r="T3770" s="62" ph="1"/>
    </row>
    <row r="3771" spans="20:20" ht="26.25">
      <c r="T3771" s="62" ph="1"/>
    </row>
    <row r="3772" spans="20:20" ht="26.25">
      <c r="T3772" s="62" ph="1"/>
    </row>
    <row r="3773" spans="20:20" ht="26.25">
      <c r="T3773" s="62" ph="1"/>
    </row>
    <row r="3774" spans="20:20" ht="26.25">
      <c r="T3774" s="62" ph="1"/>
    </row>
    <row r="3775" spans="20:20" ht="26.25">
      <c r="T3775" s="62" ph="1"/>
    </row>
    <row r="3776" spans="20:20" ht="26.25">
      <c r="T3776" s="62" ph="1"/>
    </row>
    <row r="3777" spans="20:20" ht="26.25">
      <c r="T3777" s="62" ph="1"/>
    </row>
    <row r="3778" spans="20:20" ht="26.25">
      <c r="T3778" s="62" ph="1"/>
    </row>
    <row r="3779" spans="20:20" ht="26.25">
      <c r="T3779" s="62" ph="1"/>
    </row>
    <row r="3780" spans="20:20" ht="26.25">
      <c r="T3780" s="62" ph="1"/>
    </row>
    <row r="3781" spans="20:20" ht="26.25">
      <c r="T3781" s="62" ph="1"/>
    </row>
    <row r="3782" spans="20:20" ht="26.25">
      <c r="T3782" s="62" ph="1"/>
    </row>
    <row r="3783" spans="20:20" ht="26.25">
      <c r="T3783" s="62" ph="1"/>
    </row>
    <row r="3784" spans="20:20" ht="26.25">
      <c r="T3784" s="62" ph="1"/>
    </row>
    <row r="3785" spans="20:20" ht="26.25">
      <c r="T3785" s="62" ph="1"/>
    </row>
    <row r="3786" spans="20:20" ht="26.25">
      <c r="T3786" s="62" ph="1"/>
    </row>
    <row r="3787" spans="20:20" ht="26.25">
      <c r="T3787" s="62" ph="1"/>
    </row>
    <row r="3788" spans="20:20" ht="26.25">
      <c r="T3788" s="62" ph="1"/>
    </row>
    <row r="3789" spans="20:20" ht="26.25">
      <c r="T3789" s="62" ph="1"/>
    </row>
    <row r="3790" spans="20:20" ht="26.25">
      <c r="T3790" s="62" ph="1"/>
    </row>
    <row r="3791" spans="20:20" ht="26.25">
      <c r="T3791" s="62" ph="1"/>
    </row>
    <row r="3792" spans="20:20" ht="26.25">
      <c r="T3792" s="62" ph="1"/>
    </row>
    <row r="3793" spans="20:20" ht="26.25">
      <c r="T3793" s="62" ph="1"/>
    </row>
    <row r="3794" spans="20:20" ht="26.25">
      <c r="T3794" s="62" ph="1"/>
    </row>
    <row r="3795" spans="20:20" ht="26.25">
      <c r="T3795" s="62" ph="1"/>
    </row>
    <row r="3796" spans="20:20" ht="26.25">
      <c r="T3796" s="62" ph="1"/>
    </row>
    <row r="3797" spans="20:20" ht="26.25">
      <c r="T3797" s="62" ph="1"/>
    </row>
    <row r="3798" spans="20:20" ht="26.25">
      <c r="T3798" s="62" ph="1"/>
    </row>
    <row r="3799" spans="20:20" ht="26.25">
      <c r="T3799" s="62" ph="1"/>
    </row>
    <row r="3800" spans="20:20" ht="26.25">
      <c r="T3800" s="62" ph="1"/>
    </row>
    <row r="3801" spans="20:20" ht="26.25">
      <c r="T3801" s="62" ph="1"/>
    </row>
    <row r="3802" spans="20:20" ht="26.25">
      <c r="T3802" s="62" ph="1"/>
    </row>
    <row r="3803" spans="20:20" ht="26.25">
      <c r="T3803" s="62" ph="1"/>
    </row>
    <row r="3804" spans="20:20" ht="26.25">
      <c r="T3804" s="62" ph="1"/>
    </row>
    <row r="3805" spans="20:20" ht="26.25">
      <c r="T3805" s="62" ph="1"/>
    </row>
    <row r="3806" spans="20:20" ht="26.25">
      <c r="T3806" s="62" ph="1"/>
    </row>
    <row r="3807" spans="20:20" ht="26.25">
      <c r="T3807" s="62" ph="1"/>
    </row>
    <row r="3808" spans="20:20" ht="26.25">
      <c r="T3808" s="62" ph="1"/>
    </row>
    <row r="3809" spans="20:20" ht="26.25">
      <c r="T3809" s="62" ph="1"/>
    </row>
    <row r="3810" spans="20:20" ht="26.25">
      <c r="T3810" s="62" ph="1"/>
    </row>
    <row r="3811" spans="20:20" ht="26.25">
      <c r="T3811" s="62" ph="1"/>
    </row>
    <row r="3812" spans="20:20" ht="26.25">
      <c r="T3812" s="62" ph="1"/>
    </row>
    <row r="3813" spans="20:20" ht="26.25">
      <c r="T3813" s="62" ph="1"/>
    </row>
    <row r="3814" spans="20:20" ht="26.25">
      <c r="T3814" s="62" ph="1"/>
    </row>
    <row r="3815" spans="20:20" ht="26.25">
      <c r="T3815" s="62" ph="1"/>
    </row>
    <row r="3816" spans="20:20" ht="26.25">
      <c r="T3816" s="62" ph="1"/>
    </row>
    <row r="3817" spans="20:20" ht="26.25">
      <c r="T3817" s="62" ph="1"/>
    </row>
    <row r="3818" spans="20:20" ht="26.25">
      <c r="T3818" s="62" ph="1"/>
    </row>
    <row r="3819" spans="20:20" ht="26.25">
      <c r="T3819" s="62" ph="1"/>
    </row>
    <row r="3820" spans="20:20" ht="26.25">
      <c r="T3820" s="62" ph="1"/>
    </row>
    <row r="3821" spans="20:20" ht="26.25">
      <c r="T3821" s="62" ph="1"/>
    </row>
    <row r="3822" spans="20:20" ht="26.25">
      <c r="T3822" s="62" ph="1"/>
    </row>
    <row r="3823" spans="20:20" ht="26.25">
      <c r="T3823" s="62" ph="1"/>
    </row>
    <row r="3824" spans="20:20" ht="26.25">
      <c r="T3824" s="62" ph="1"/>
    </row>
    <row r="3825" spans="20:20" ht="26.25">
      <c r="T3825" s="62" ph="1"/>
    </row>
    <row r="3826" spans="20:20" ht="26.25">
      <c r="T3826" s="62" ph="1"/>
    </row>
    <row r="3827" spans="20:20" ht="26.25">
      <c r="T3827" s="62" ph="1"/>
    </row>
    <row r="3828" spans="20:20" ht="26.25">
      <c r="T3828" s="62" ph="1"/>
    </row>
    <row r="3829" spans="20:20" ht="26.25">
      <c r="T3829" s="62" ph="1"/>
    </row>
    <row r="3830" spans="20:20" ht="26.25">
      <c r="T3830" s="62" ph="1"/>
    </row>
    <row r="3831" spans="20:20" ht="26.25">
      <c r="T3831" s="62" ph="1"/>
    </row>
    <row r="3832" spans="20:20" ht="26.25">
      <c r="T3832" s="62" ph="1"/>
    </row>
    <row r="3833" spans="20:20" ht="26.25">
      <c r="T3833" s="62" ph="1"/>
    </row>
    <row r="3834" spans="20:20" ht="26.25">
      <c r="T3834" s="62" ph="1"/>
    </row>
    <row r="3835" spans="20:20" ht="26.25">
      <c r="T3835" s="62" ph="1"/>
    </row>
    <row r="3836" spans="20:20" ht="26.25">
      <c r="T3836" s="62" ph="1"/>
    </row>
    <row r="3837" spans="20:20" ht="26.25">
      <c r="T3837" s="62" ph="1"/>
    </row>
    <row r="3838" spans="20:20" ht="26.25">
      <c r="T3838" s="62" ph="1"/>
    </row>
    <row r="3839" spans="20:20" ht="26.25">
      <c r="T3839" s="62" ph="1"/>
    </row>
    <row r="3840" spans="20:20" ht="26.25">
      <c r="T3840" s="62" ph="1"/>
    </row>
    <row r="3841" spans="20:20" ht="26.25">
      <c r="T3841" s="62" ph="1"/>
    </row>
    <row r="3842" spans="20:20" ht="26.25">
      <c r="T3842" s="62" ph="1"/>
    </row>
    <row r="3843" spans="20:20" ht="26.25">
      <c r="T3843" s="62" ph="1"/>
    </row>
    <row r="3844" spans="20:20" ht="26.25">
      <c r="T3844" s="62" ph="1"/>
    </row>
    <row r="3845" spans="20:20" ht="26.25">
      <c r="T3845" s="62" ph="1"/>
    </row>
    <row r="3846" spans="20:20" ht="26.25">
      <c r="T3846" s="62" ph="1"/>
    </row>
    <row r="3847" spans="20:20" ht="26.25">
      <c r="T3847" s="62" ph="1"/>
    </row>
    <row r="3848" spans="20:20" ht="26.25">
      <c r="T3848" s="62" ph="1"/>
    </row>
    <row r="3849" spans="20:20" ht="26.25">
      <c r="T3849" s="62" ph="1"/>
    </row>
    <row r="3850" spans="20:20" ht="26.25">
      <c r="T3850" s="62" ph="1"/>
    </row>
    <row r="3851" spans="20:20" ht="26.25">
      <c r="T3851" s="62" ph="1"/>
    </row>
    <row r="3852" spans="20:20" ht="26.25">
      <c r="T3852" s="62" ph="1"/>
    </row>
    <row r="3853" spans="20:20" ht="26.25">
      <c r="T3853" s="62" ph="1"/>
    </row>
    <row r="3854" spans="20:20" ht="26.25">
      <c r="T3854" s="62" ph="1"/>
    </row>
    <row r="3855" spans="20:20" ht="26.25">
      <c r="T3855" s="62" ph="1"/>
    </row>
    <row r="3856" spans="20:20" ht="26.25">
      <c r="T3856" s="62" ph="1"/>
    </row>
    <row r="3857" spans="20:20" ht="26.25">
      <c r="T3857" s="62" ph="1"/>
    </row>
    <row r="3858" spans="20:20" ht="26.25">
      <c r="T3858" s="62" ph="1"/>
    </row>
    <row r="3859" spans="20:20" ht="26.25">
      <c r="T3859" s="62" ph="1"/>
    </row>
    <row r="3860" spans="20:20" ht="26.25">
      <c r="T3860" s="62" ph="1"/>
    </row>
    <row r="3861" spans="20:20" ht="26.25">
      <c r="T3861" s="62" ph="1"/>
    </row>
    <row r="3862" spans="20:20" ht="26.25">
      <c r="T3862" s="62" ph="1"/>
    </row>
    <row r="3863" spans="20:20" ht="26.25">
      <c r="T3863" s="62" ph="1"/>
    </row>
    <row r="3864" spans="20:20" ht="26.25">
      <c r="T3864" s="62" ph="1"/>
    </row>
    <row r="3865" spans="20:20" ht="26.25">
      <c r="T3865" s="62" ph="1"/>
    </row>
    <row r="3866" spans="20:20" ht="26.25">
      <c r="T3866" s="62" ph="1"/>
    </row>
    <row r="3867" spans="20:20" ht="26.25">
      <c r="T3867" s="62" ph="1"/>
    </row>
    <row r="3868" spans="20:20" ht="26.25">
      <c r="T3868" s="62" ph="1"/>
    </row>
    <row r="3869" spans="20:20" ht="26.25">
      <c r="T3869" s="62" ph="1"/>
    </row>
    <row r="3870" spans="20:20" ht="26.25">
      <c r="T3870" s="62" ph="1"/>
    </row>
    <row r="3871" spans="20:20" ht="26.25">
      <c r="T3871" s="62" ph="1"/>
    </row>
    <row r="3872" spans="20:20" ht="26.25">
      <c r="T3872" s="62" ph="1"/>
    </row>
    <row r="3873" spans="20:20" ht="26.25">
      <c r="T3873" s="62" ph="1"/>
    </row>
    <row r="3874" spans="20:20" ht="26.25">
      <c r="T3874" s="62" ph="1"/>
    </row>
    <row r="3875" spans="20:20" ht="26.25">
      <c r="T3875" s="62" ph="1"/>
    </row>
    <row r="3876" spans="20:20" ht="26.25">
      <c r="T3876" s="62" ph="1"/>
    </row>
    <row r="3877" spans="20:20" ht="26.25">
      <c r="T3877" s="62" ph="1"/>
    </row>
    <row r="3878" spans="20:20" ht="26.25">
      <c r="T3878" s="62" ph="1"/>
    </row>
    <row r="3879" spans="20:20" ht="26.25">
      <c r="T3879" s="62" ph="1"/>
    </row>
    <row r="3880" spans="20:20" ht="26.25">
      <c r="T3880" s="62" ph="1"/>
    </row>
    <row r="3881" spans="20:20" ht="26.25">
      <c r="T3881" s="62" ph="1"/>
    </row>
    <row r="3882" spans="20:20" ht="26.25">
      <c r="T3882" s="62" ph="1"/>
    </row>
    <row r="3883" spans="20:20" ht="26.25">
      <c r="T3883" s="62" ph="1"/>
    </row>
    <row r="3884" spans="20:20" ht="26.25">
      <c r="T3884" s="62" ph="1"/>
    </row>
    <row r="3885" spans="20:20" ht="26.25">
      <c r="T3885" s="62" ph="1"/>
    </row>
    <row r="3886" spans="20:20" ht="26.25">
      <c r="T3886" s="62" ph="1"/>
    </row>
    <row r="3887" spans="20:20" ht="26.25">
      <c r="T3887" s="62" ph="1"/>
    </row>
    <row r="3888" spans="20:20" ht="26.25">
      <c r="T3888" s="62" ph="1"/>
    </row>
    <row r="3889" spans="20:20" ht="26.25">
      <c r="T3889" s="62" ph="1"/>
    </row>
    <row r="3890" spans="20:20" ht="26.25">
      <c r="T3890" s="62" ph="1"/>
    </row>
    <row r="3891" spans="20:20" ht="26.25">
      <c r="T3891" s="62" ph="1"/>
    </row>
    <row r="3892" spans="20:20" ht="26.25">
      <c r="T3892" s="62" ph="1"/>
    </row>
    <row r="3893" spans="20:20" ht="26.25">
      <c r="T3893" s="62" ph="1"/>
    </row>
    <row r="3894" spans="20:20" ht="26.25">
      <c r="T3894" s="62" ph="1"/>
    </row>
    <row r="3895" spans="20:20" ht="26.25">
      <c r="T3895" s="62" ph="1"/>
    </row>
    <row r="3896" spans="20:20" ht="26.25">
      <c r="T3896" s="62" ph="1"/>
    </row>
    <row r="3897" spans="20:20" ht="26.25">
      <c r="T3897" s="62" ph="1"/>
    </row>
    <row r="3898" spans="20:20" ht="26.25">
      <c r="T3898" s="62" ph="1"/>
    </row>
    <row r="3899" spans="20:20" ht="26.25">
      <c r="T3899" s="62" ph="1"/>
    </row>
    <row r="3900" spans="20:20" ht="26.25">
      <c r="T3900" s="62" ph="1"/>
    </row>
    <row r="3901" spans="20:20" ht="26.25">
      <c r="T3901" s="62" ph="1"/>
    </row>
    <row r="3902" spans="20:20" ht="26.25">
      <c r="T3902" s="62" ph="1"/>
    </row>
    <row r="3903" spans="20:20" ht="26.25">
      <c r="T3903" s="62" ph="1"/>
    </row>
    <row r="3904" spans="20:20" ht="26.25">
      <c r="T3904" s="62" ph="1"/>
    </row>
    <row r="3905" spans="20:20" ht="26.25">
      <c r="T3905" s="62" ph="1"/>
    </row>
    <row r="3906" spans="20:20" ht="26.25">
      <c r="T3906" s="62" ph="1"/>
    </row>
    <row r="3907" spans="20:20" ht="26.25">
      <c r="T3907" s="62" ph="1"/>
    </row>
    <row r="3908" spans="20:20" ht="26.25">
      <c r="T3908" s="62" ph="1"/>
    </row>
    <row r="3909" spans="20:20" ht="26.25">
      <c r="T3909" s="62" ph="1"/>
    </row>
    <row r="3910" spans="20:20" ht="26.25">
      <c r="T3910" s="62" ph="1"/>
    </row>
    <row r="3911" spans="20:20" ht="26.25">
      <c r="T3911" s="62" ph="1"/>
    </row>
    <row r="3912" spans="20:20" ht="26.25">
      <c r="T3912" s="62" ph="1"/>
    </row>
    <row r="3913" spans="20:20" ht="26.25">
      <c r="T3913" s="62" ph="1"/>
    </row>
    <row r="3914" spans="20:20" ht="26.25">
      <c r="T3914" s="62" ph="1"/>
    </row>
    <row r="3915" spans="20:20" ht="26.25">
      <c r="T3915" s="62" ph="1"/>
    </row>
    <row r="3916" spans="20:20" ht="26.25">
      <c r="T3916" s="62" ph="1"/>
    </row>
    <row r="3917" spans="20:20" ht="26.25">
      <c r="T3917" s="62" ph="1"/>
    </row>
    <row r="3918" spans="20:20" ht="26.25">
      <c r="T3918" s="62" ph="1"/>
    </row>
    <row r="3919" spans="20:20" ht="26.25">
      <c r="T3919" s="62" ph="1"/>
    </row>
    <row r="3920" spans="20:20" ht="26.25">
      <c r="T3920" s="62" ph="1"/>
    </row>
    <row r="3921" spans="20:20" ht="26.25">
      <c r="T3921" s="62" ph="1"/>
    </row>
    <row r="3922" spans="20:20" ht="26.25">
      <c r="T3922" s="62" ph="1"/>
    </row>
    <row r="3923" spans="20:20" ht="26.25">
      <c r="T3923" s="62" ph="1"/>
    </row>
    <row r="3924" spans="20:20" ht="26.25">
      <c r="T3924" s="62" ph="1"/>
    </row>
    <row r="3925" spans="20:20" ht="26.25">
      <c r="T3925" s="62" ph="1"/>
    </row>
    <row r="3926" spans="20:20" ht="26.25">
      <c r="T3926" s="62" ph="1"/>
    </row>
    <row r="3927" spans="20:20" ht="26.25">
      <c r="T3927" s="62" ph="1"/>
    </row>
    <row r="3928" spans="20:20" ht="26.25">
      <c r="T3928" s="62" ph="1"/>
    </row>
    <row r="3929" spans="20:20" ht="26.25">
      <c r="T3929" s="62" ph="1"/>
    </row>
    <row r="3930" spans="20:20" ht="26.25">
      <c r="T3930" s="62" ph="1"/>
    </row>
    <row r="3931" spans="20:20" ht="26.25">
      <c r="T3931" s="62" ph="1"/>
    </row>
    <row r="3932" spans="20:20" ht="26.25">
      <c r="T3932" s="62" ph="1"/>
    </row>
    <row r="3933" spans="20:20" ht="26.25">
      <c r="T3933" s="62" ph="1"/>
    </row>
    <row r="3934" spans="20:20" ht="26.25">
      <c r="T3934" s="62" ph="1"/>
    </row>
    <row r="3935" spans="20:20" ht="26.25">
      <c r="T3935" s="62" ph="1"/>
    </row>
    <row r="3936" spans="20:20" ht="26.25">
      <c r="T3936" s="62" ph="1"/>
    </row>
    <row r="3937" spans="20:20" ht="26.25">
      <c r="T3937" s="62" ph="1"/>
    </row>
    <row r="3938" spans="20:20" ht="26.25">
      <c r="T3938" s="62" ph="1"/>
    </row>
    <row r="3939" spans="20:20" ht="26.25">
      <c r="T3939" s="62" ph="1"/>
    </row>
    <row r="3940" spans="20:20" ht="26.25">
      <c r="T3940" s="62" ph="1"/>
    </row>
    <row r="3941" spans="20:20" ht="26.25">
      <c r="T3941" s="62" ph="1"/>
    </row>
    <row r="3942" spans="20:20" ht="26.25">
      <c r="T3942" s="62" ph="1"/>
    </row>
    <row r="3943" spans="20:20" ht="26.25">
      <c r="T3943" s="62" ph="1"/>
    </row>
    <row r="3944" spans="20:20" ht="26.25">
      <c r="T3944" s="62" ph="1"/>
    </row>
    <row r="3945" spans="20:20" ht="26.25">
      <c r="T3945" s="62" ph="1"/>
    </row>
    <row r="3946" spans="20:20" ht="26.25">
      <c r="T3946" s="62" ph="1"/>
    </row>
    <row r="3947" spans="20:20" ht="26.25">
      <c r="T3947" s="62" ph="1"/>
    </row>
    <row r="3948" spans="20:20" ht="26.25">
      <c r="T3948" s="62" ph="1"/>
    </row>
    <row r="3949" spans="20:20" ht="26.25">
      <c r="T3949" s="62" ph="1"/>
    </row>
    <row r="3950" spans="20:20" ht="26.25">
      <c r="T3950" s="62" ph="1"/>
    </row>
    <row r="3951" spans="20:20" ht="26.25">
      <c r="T3951" s="62" ph="1"/>
    </row>
    <row r="3952" spans="20:20" ht="26.25">
      <c r="T3952" s="62" ph="1"/>
    </row>
    <row r="3953" spans="20:20" ht="26.25">
      <c r="T3953" s="62" ph="1"/>
    </row>
    <row r="3954" spans="20:20" ht="26.25">
      <c r="T3954" s="62" ph="1"/>
    </row>
    <row r="3955" spans="20:20" ht="26.25">
      <c r="T3955" s="62" ph="1"/>
    </row>
    <row r="3956" spans="20:20" ht="26.25">
      <c r="T3956" s="62" ph="1"/>
    </row>
    <row r="3957" spans="20:20" ht="26.25">
      <c r="T3957" s="62" ph="1"/>
    </row>
    <row r="3958" spans="20:20" ht="26.25">
      <c r="T3958" s="62" ph="1"/>
    </row>
    <row r="3959" spans="20:20" ht="26.25">
      <c r="T3959" s="62" ph="1"/>
    </row>
    <row r="3960" spans="20:20" ht="26.25">
      <c r="T3960" s="62" ph="1"/>
    </row>
    <row r="3961" spans="20:20" ht="26.25">
      <c r="T3961" s="62" ph="1"/>
    </row>
    <row r="3962" spans="20:20" ht="26.25">
      <c r="T3962" s="62" ph="1"/>
    </row>
    <row r="3963" spans="20:20" ht="26.25">
      <c r="T3963" s="62" ph="1"/>
    </row>
    <row r="3964" spans="20:20" ht="26.25">
      <c r="T3964" s="62" ph="1"/>
    </row>
    <row r="3965" spans="20:20" ht="26.25">
      <c r="T3965" s="62" ph="1"/>
    </row>
    <row r="3966" spans="20:20" ht="26.25">
      <c r="T3966" s="62" ph="1"/>
    </row>
    <row r="3967" spans="20:20" ht="26.25">
      <c r="T3967" s="62" ph="1"/>
    </row>
    <row r="3968" spans="20:20" ht="26.25">
      <c r="T3968" s="62" ph="1"/>
    </row>
    <row r="3969" spans="20:20" ht="26.25">
      <c r="T3969" s="62" ph="1"/>
    </row>
    <row r="3970" spans="20:20" ht="26.25">
      <c r="T3970" s="62" ph="1"/>
    </row>
    <row r="3971" spans="20:20" ht="26.25">
      <c r="T3971" s="62" ph="1"/>
    </row>
    <row r="3972" spans="20:20" ht="26.25">
      <c r="T3972" s="62" ph="1"/>
    </row>
    <row r="3973" spans="20:20" ht="26.25">
      <c r="T3973" s="62" ph="1"/>
    </row>
    <row r="3974" spans="20:20" ht="26.25">
      <c r="T3974" s="62" ph="1"/>
    </row>
    <row r="3975" spans="20:20" ht="26.25">
      <c r="T3975" s="62" ph="1"/>
    </row>
    <row r="3976" spans="20:20" ht="26.25">
      <c r="T3976" s="62" ph="1"/>
    </row>
    <row r="3977" spans="20:20" ht="26.25">
      <c r="T3977" s="62" ph="1"/>
    </row>
    <row r="3978" spans="20:20" ht="26.25">
      <c r="T3978" s="62" ph="1"/>
    </row>
    <row r="3979" spans="20:20" ht="26.25">
      <c r="T3979" s="62" ph="1"/>
    </row>
    <row r="3980" spans="20:20" ht="26.25">
      <c r="T3980" s="62" ph="1"/>
    </row>
    <row r="3981" spans="20:20" ht="26.25">
      <c r="T3981" s="62" ph="1"/>
    </row>
    <row r="3982" spans="20:20" ht="26.25">
      <c r="T3982" s="62" ph="1"/>
    </row>
    <row r="3983" spans="20:20" ht="26.25">
      <c r="T3983" s="62" ph="1"/>
    </row>
    <row r="3984" spans="20:20" ht="26.25">
      <c r="T3984" s="62" ph="1"/>
    </row>
    <row r="3985" spans="20:20" ht="26.25">
      <c r="T3985" s="62" ph="1"/>
    </row>
    <row r="3986" spans="20:20" ht="26.25">
      <c r="T3986" s="62" ph="1"/>
    </row>
    <row r="3987" spans="20:20" ht="26.25">
      <c r="T3987" s="62" ph="1"/>
    </row>
    <row r="3988" spans="20:20" ht="26.25">
      <c r="T3988" s="62" ph="1"/>
    </row>
    <row r="3989" spans="20:20" ht="26.25">
      <c r="T3989" s="62" ph="1"/>
    </row>
    <row r="3990" spans="20:20" ht="26.25">
      <c r="T3990" s="62" ph="1"/>
    </row>
    <row r="3991" spans="20:20" ht="26.25">
      <c r="T3991" s="62" ph="1"/>
    </row>
    <row r="3992" spans="20:20" ht="26.25">
      <c r="T3992" s="62" ph="1"/>
    </row>
    <row r="3993" spans="20:20" ht="26.25">
      <c r="T3993" s="62" ph="1"/>
    </row>
    <row r="3994" spans="20:20" ht="26.25">
      <c r="T3994" s="62" ph="1"/>
    </row>
    <row r="3995" spans="20:20" ht="26.25">
      <c r="T3995" s="62" ph="1"/>
    </row>
    <row r="3996" spans="20:20" ht="26.25">
      <c r="T3996" s="62" ph="1"/>
    </row>
    <row r="3997" spans="20:20" ht="26.25">
      <c r="T3997" s="62" ph="1"/>
    </row>
    <row r="3998" spans="20:20" ht="26.25">
      <c r="T3998" s="62" ph="1"/>
    </row>
    <row r="3999" spans="20:20" ht="26.25">
      <c r="T3999" s="62" ph="1"/>
    </row>
    <row r="4000" spans="20:20" ht="26.25">
      <c r="T4000" s="62" ph="1"/>
    </row>
    <row r="4001" spans="20:20" ht="26.25">
      <c r="T4001" s="62" ph="1"/>
    </row>
    <row r="4002" spans="20:20" ht="26.25">
      <c r="T4002" s="62" ph="1"/>
    </row>
    <row r="4003" spans="20:20" ht="26.25">
      <c r="T4003" s="62" ph="1"/>
    </row>
    <row r="4004" spans="20:20" ht="26.25">
      <c r="T4004" s="62" ph="1"/>
    </row>
    <row r="4005" spans="20:20" ht="26.25">
      <c r="T4005" s="62" ph="1"/>
    </row>
    <row r="4006" spans="20:20" ht="26.25">
      <c r="T4006" s="62" ph="1"/>
    </row>
    <row r="4007" spans="20:20" ht="26.25">
      <c r="T4007" s="62" ph="1"/>
    </row>
    <row r="4008" spans="20:20" ht="26.25">
      <c r="T4008" s="62" ph="1"/>
    </row>
    <row r="4009" spans="20:20" ht="26.25">
      <c r="T4009" s="62" ph="1"/>
    </row>
    <row r="4010" spans="20:20" ht="26.25">
      <c r="T4010" s="62" ph="1"/>
    </row>
    <row r="4011" spans="20:20" ht="26.25">
      <c r="T4011" s="62" ph="1"/>
    </row>
    <row r="4012" spans="20:20" ht="26.25">
      <c r="T4012" s="62" ph="1"/>
    </row>
    <row r="4013" spans="20:20" ht="26.25">
      <c r="T4013" s="62" ph="1"/>
    </row>
    <row r="4014" spans="20:20" ht="26.25">
      <c r="T4014" s="62" ph="1"/>
    </row>
    <row r="4015" spans="20:20" ht="26.25">
      <c r="T4015" s="62" ph="1"/>
    </row>
    <row r="4016" spans="20:20" ht="26.25">
      <c r="T4016" s="62" ph="1"/>
    </row>
    <row r="4017" spans="20:20" ht="26.25">
      <c r="T4017" s="62" ph="1"/>
    </row>
    <row r="4018" spans="20:20" ht="26.25">
      <c r="T4018" s="62" ph="1"/>
    </row>
    <row r="4019" spans="20:20" ht="26.25">
      <c r="T4019" s="62" ph="1"/>
    </row>
    <row r="4020" spans="20:20" ht="26.25">
      <c r="T4020" s="62" ph="1"/>
    </row>
    <row r="4021" spans="20:20" ht="26.25">
      <c r="T4021" s="62" ph="1"/>
    </row>
    <row r="4022" spans="20:20" ht="26.25">
      <c r="T4022" s="62" ph="1"/>
    </row>
    <row r="4023" spans="20:20" ht="26.25">
      <c r="T4023" s="62" ph="1"/>
    </row>
    <row r="4024" spans="20:20" ht="26.25">
      <c r="T4024" s="62" ph="1"/>
    </row>
    <row r="4025" spans="20:20" ht="26.25">
      <c r="T4025" s="62" ph="1"/>
    </row>
    <row r="4026" spans="20:20" ht="26.25">
      <c r="T4026" s="62" ph="1"/>
    </row>
    <row r="4027" spans="20:20" ht="26.25">
      <c r="T4027" s="62" ph="1"/>
    </row>
    <row r="4028" spans="20:20" ht="26.25">
      <c r="T4028" s="62" ph="1"/>
    </row>
    <row r="4029" spans="20:20" ht="26.25">
      <c r="T4029" s="62" ph="1"/>
    </row>
    <row r="4030" spans="20:20" ht="26.25">
      <c r="T4030" s="62" ph="1"/>
    </row>
    <row r="4031" spans="20:20" ht="26.25">
      <c r="T4031" s="62" ph="1"/>
    </row>
    <row r="4032" spans="20:20" ht="26.25">
      <c r="T4032" s="62" ph="1"/>
    </row>
    <row r="4033" spans="20:20" ht="26.25">
      <c r="T4033" s="62" ph="1"/>
    </row>
    <row r="4034" spans="20:20" ht="26.25">
      <c r="T4034" s="62" ph="1"/>
    </row>
    <row r="4035" spans="20:20" ht="26.25">
      <c r="T4035" s="62" ph="1"/>
    </row>
    <row r="4036" spans="20:20" ht="26.25">
      <c r="T4036" s="62" ph="1"/>
    </row>
    <row r="4037" spans="20:20" ht="26.25">
      <c r="T4037" s="62" ph="1"/>
    </row>
    <row r="4038" spans="20:20" ht="26.25">
      <c r="T4038" s="62" ph="1"/>
    </row>
    <row r="4039" spans="20:20" ht="26.25">
      <c r="T4039" s="62" ph="1"/>
    </row>
    <row r="4040" spans="20:20" ht="26.25">
      <c r="T4040" s="62" ph="1"/>
    </row>
    <row r="4041" spans="20:20" ht="26.25">
      <c r="T4041" s="62" ph="1"/>
    </row>
    <row r="4042" spans="20:20" ht="26.25">
      <c r="T4042" s="62" ph="1"/>
    </row>
    <row r="4043" spans="20:20" ht="26.25">
      <c r="T4043" s="62" ph="1"/>
    </row>
    <row r="4044" spans="20:20" ht="26.25">
      <c r="T4044" s="62" ph="1"/>
    </row>
    <row r="4045" spans="20:20" ht="26.25">
      <c r="T4045" s="62" ph="1"/>
    </row>
    <row r="4046" spans="20:20" ht="26.25">
      <c r="T4046" s="62" ph="1"/>
    </row>
    <row r="4047" spans="20:20" ht="26.25">
      <c r="T4047" s="62" ph="1"/>
    </row>
    <row r="4048" spans="20:20" ht="26.25">
      <c r="T4048" s="62" ph="1"/>
    </row>
    <row r="4049" spans="20:20" ht="26.25">
      <c r="T4049" s="62" ph="1"/>
    </row>
    <row r="4050" spans="20:20" ht="26.25">
      <c r="T4050" s="62" ph="1"/>
    </row>
    <row r="4051" spans="20:20" ht="26.25">
      <c r="T4051" s="62" ph="1"/>
    </row>
    <row r="4052" spans="20:20" ht="26.25">
      <c r="T4052" s="62" ph="1"/>
    </row>
    <row r="4053" spans="20:20" ht="26.25">
      <c r="T4053" s="62" ph="1"/>
    </row>
    <row r="4054" spans="20:20" ht="26.25">
      <c r="T4054" s="62" ph="1"/>
    </row>
    <row r="4055" spans="20:20" ht="26.25">
      <c r="T4055" s="62" ph="1"/>
    </row>
    <row r="4056" spans="20:20" ht="26.25">
      <c r="T4056" s="62" ph="1"/>
    </row>
    <row r="4057" spans="20:20" ht="26.25">
      <c r="T4057" s="62" ph="1"/>
    </row>
    <row r="4058" spans="20:20" ht="26.25">
      <c r="T4058" s="62" ph="1"/>
    </row>
    <row r="4059" spans="20:20" ht="26.25">
      <c r="T4059" s="62" ph="1"/>
    </row>
    <row r="4060" spans="20:20" ht="26.25">
      <c r="T4060" s="62" ph="1"/>
    </row>
    <row r="4061" spans="20:20" ht="26.25">
      <c r="T4061" s="62" ph="1"/>
    </row>
    <row r="4062" spans="20:20" ht="26.25">
      <c r="T4062" s="62" ph="1"/>
    </row>
    <row r="4063" spans="20:20" ht="26.25">
      <c r="T4063" s="62" ph="1"/>
    </row>
    <row r="4064" spans="20:20" ht="26.25">
      <c r="T4064" s="62" ph="1"/>
    </row>
    <row r="4065" spans="20:20" ht="26.25">
      <c r="T4065" s="62" ph="1"/>
    </row>
    <row r="4066" spans="20:20" ht="26.25">
      <c r="T4066" s="62" ph="1"/>
    </row>
    <row r="4067" spans="20:20" ht="26.25">
      <c r="T4067" s="62" ph="1"/>
    </row>
    <row r="4068" spans="20:20" ht="26.25">
      <c r="T4068" s="62" ph="1"/>
    </row>
    <row r="4069" spans="20:20" ht="26.25">
      <c r="T4069" s="62" ph="1"/>
    </row>
    <row r="4070" spans="20:20" ht="26.25">
      <c r="T4070" s="62" ph="1"/>
    </row>
    <row r="4071" spans="20:20" ht="26.25">
      <c r="T4071" s="62" ph="1"/>
    </row>
    <row r="4072" spans="20:20" ht="26.25">
      <c r="T4072" s="62" ph="1"/>
    </row>
    <row r="4073" spans="20:20" ht="26.25">
      <c r="T4073" s="62" ph="1"/>
    </row>
    <row r="4074" spans="20:20" ht="26.25">
      <c r="T4074" s="62" ph="1"/>
    </row>
    <row r="4075" spans="20:20" ht="26.25">
      <c r="T4075" s="62" ph="1"/>
    </row>
    <row r="4076" spans="20:20" ht="26.25">
      <c r="T4076" s="62" ph="1"/>
    </row>
    <row r="4077" spans="20:20" ht="26.25">
      <c r="T4077" s="62" ph="1"/>
    </row>
    <row r="4078" spans="20:20" ht="26.25">
      <c r="T4078" s="62" ph="1"/>
    </row>
    <row r="4079" spans="20:20" ht="26.25">
      <c r="T4079" s="62" ph="1"/>
    </row>
    <row r="4080" spans="20:20" ht="26.25">
      <c r="T4080" s="62" ph="1"/>
    </row>
    <row r="4081" spans="20:20" ht="26.25">
      <c r="T4081" s="62" ph="1"/>
    </row>
    <row r="4082" spans="20:20" ht="26.25">
      <c r="T4082" s="62" ph="1"/>
    </row>
    <row r="4083" spans="20:20" ht="26.25">
      <c r="T4083" s="62" ph="1"/>
    </row>
    <row r="4084" spans="20:20" ht="26.25">
      <c r="T4084" s="62" ph="1"/>
    </row>
    <row r="4085" spans="20:20" ht="26.25">
      <c r="T4085" s="62" ph="1"/>
    </row>
    <row r="4086" spans="20:20" ht="26.25">
      <c r="T4086" s="62" ph="1"/>
    </row>
    <row r="4087" spans="20:20" ht="26.25">
      <c r="T4087" s="62" ph="1"/>
    </row>
    <row r="4088" spans="20:20" ht="26.25">
      <c r="T4088" s="62" ph="1"/>
    </row>
    <row r="4089" spans="20:20" ht="26.25">
      <c r="T4089" s="62" ph="1"/>
    </row>
    <row r="4090" spans="20:20" ht="26.25">
      <c r="T4090" s="62" ph="1"/>
    </row>
    <row r="4091" spans="20:20" ht="26.25">
      <c r="T4091" s="62" ph="1"/>
    </row>
    <row r="4092" spans="20:20" ht="26.25">
      <c r="T4092" s="62" ph="1"/>
    </row>
    <row r="4093" spans="20:20" ht="26.25">
      <c r="T4093" s="62" ph="1"/>
    </row>
    <row r="4094" spans="20:20" ht="26.25">
      <c r="T4094" s="62" ph="1"/>
    </row>
    <row r="4095" spans="20:20" ht="26.25">
      <c r="T4095" s="62" ph="1"/>
    </row>
    <row r="4096" spans="20:20" ht="26.25">
      <c r="T4096" s="62" ph="1"/>
    </row>
    <row r="4097" spans="20:20" ht="26.25">
      <c r="T4097" s="62" ph="1"/>
    </row>
    <row r="4098" spans="20:20" ht="26.25">
      <c r="T4098" s="62" ph="1"/>
    </row>
    <row r="4099" spans="20:20" ht="26.25">
      <c r="T4099" s="62" ph="1"/>
    </row>
    <row r="4100" spans="20:20" ht="26.25">
      <c r="T4100" s="62" ph="1"/>
    </row>
    <row r="4101" spans="20:20" ht="26.25">
      <c r="T4101" s="62" ph="1"/>
    </row>
    <row r="4102" spans="20:20" ht="26.25">
      <c r="T4102" s="62" ph="1"/>
    </row>
    <row r="4103" spans="20:20" ht="26.25">
      <c r="T4103" s="62" ph="1"/>
    </row>
    <row r="4104" spans="20:20" ht="26.25">
      <c r="T4104" s="62" ph="1"/>
    </row>
    <row r="4105" spans="20:20" ht="26.25">
      <c r="T4105" s="62" ph="1"/>
    </row>
    <row r="4106" spans="20:20" ht="26.25">
      <c r="T4106" s="62" ph="1"/>
    </row>
    <row r="4107" spans="20:20" ht="26.25">
      <c r="T4107" s="62" ph="1"/>
    </row>
    <row r="4108" spans="20:20" ht="26.25">
      <c r="T4108" s="62" ph="1"/>
    </row>
    <row r="4109" spans="20:20" ht="26.25">
      <c r="T4109" s="62" ph="1"/>
    </row>
    <row r="4110" spans="20:20" ht="26.25">
      <c r="T4110" s="62" ph="1"/>
    </row>
    <row r="4111" spans="20:20" ht="26.25">
      <c r="T4111" s="62" ph="1"/>
    </row>
    <row r="4112" spans="20:20" ht="26.25">
      <c r="T4112" s="62" ph="1"/>
    </row>
    <row r="4113" spans="20:20" ht="26.25">
      <c r="T4113" s="62" ph="1"/>
    </row>
    <row r="4114" spans="20:20" ht="26.25">
      <c r="T4114" s="62" ph="1"/>
    </row>
    <row r="4115" spans="20:20" ht="26.25">
      <c r="T4115" s="62" ph="1"/>
    </row>
    <row r="4116" spans="20:20" ht="26.25">
      <c r="T4116" s="62" ph="1"/>
    </row>
    <row r="4117" spans="20:20" ht="26.25">
      <c r="T4117" s="62" ph="1"/>
    </row>
    <row r="4118" spans="20:20" ht="26.25">
      <c r="T4118" s="62" ph="1"/>
    </row>
    <row r="4119" spans="20:20" ht="26.25">
      <c r="T4119" s="62" ph="1"/>
    </row>
    <row r="4120" spans="20:20" ht="26.25">
      <c r="T4120" s="62" ph="1"/>
    </row>
    <row r="4121" spans="20:20" ht="26.25">
      <c r="T4121" s="62" ph="1"/>
    </row>
    <row r="4122" spans="20:20" ht="26.25">
      <c r="T4122" s="62" ph="1"/>
    </row>
    <row r="4123" spans="20:20" ht="26.25">
      <c r="T4123" s="62" ph="1"/>
    </row>
    <row r="4124" spans="20:20" ht="26.25">
      <c r="T4124" s="62" ph="1"/>
    </row>
    <row r="4125" spans="20:20" ht="26.25">
      <c r="T4125" s="62" ph="1"/>
    </row>
    <row r="4126" spans="20:20" ht="26.25">
      <c r="T4126" s="62" ph="1"/>
    </row>
    <row r="4127" spans="20:20" ht="26.25">
      <c r="T4127" s="62" ph="1"/>
    </row>
    <row r="4128" spans="20:20" ht="26.25">
      <c r="T4128" s="62" ph="1"/>
    </row>
    <row r="4129" spans="20:20" ht="26.25">
      <c r="T4129" s="62" ph="1"/>
    </row>
    <row r="4130" spans="20:20" ht="26.25">
      <c r="T4130" s="62" ph="1"/>
    </row>
    <row r="4131" spans="20:20" ht="26.25">
      <c r="T4131" s="62" ph="1"/>
    </row>
    <row r="4132" spans="20:20" ht="26.25">
      <c r="T4132" s="62" ph="1"/>
    </row>
    <row r="4133" spans="20:20" ht="26.25">
      <c r="T4133" s="62" ph="1"/>
    </row>
    <row r="4134" spans="20:20" ht="26.25">
      <c r="T4134" s="62" ph="1"/>
    </row>
    <row r="4135" spans="20:20" ht="26.25">
      <c r="T4135" s="62" ph="1"/>
    </row>
    <row r="4136" spans="20:20" ht="26.25">
      <c r="T4136" s="62" ph="1"/>
    </row>
    <row r="4137" spans="20:20" ht="26.25">
      <c r="T4137" s="62" ph="1"/>
    </row>
    <row r="4138" spans="20:20" ht="26.25">
      <c r="T4138" s="62" ph="1"/>
    </row>
    <row r="4139" spans="20:20" ht="26.25">
      <c r="T4139" s="62" ph="1"/>
    </row>
    <row r="4140" spans="20:20" ht="26.25">
      <c r="T4140" s="62" ph="1"/>
    </row>
    <row r="4141" spans="20:20" ht="26.25">
      <c r="T4141" s="62" ph="1"/>
    </row>
    <row r="4142" spans="20:20" ht="26.25">
      <c r="T4142" s="62" ph="1"/>
    </row>
    <row r="4143" spans="20:20" ht="26.25">
      <c r="T4143" s="62" ph="1"/>
    </row>
    <row r="4144" spans="20:20" ht="26.25">
      <c r="T4144" s="62" ph="1"/>
    </row>
    <row r="4145" spans="20:20" ht="26.25">
      <c r="T4145" s="62" ph="1"/>
    </row>
    <row r="4146" spans="20:20" ht="26.25">
      <c r="T4146" s="62" ph="1"/>
    </row>
    <row r="4147" spans="20:20" ht="26.25">
      <c r="T4147" s="62" ph="1"/>
    </row>
    <row r="4148" spans="20:20" ht="26.25">
      <c r="T4148" s="62" ph="1"/>
    </row>
    <row r="4149" spans="20:20" ht="26.25">
      <c r="T4149" s="62" ph="1"/>
    </row>
    <row r="4150" spans="20:20" ht="26.25">
      <c r="T4150" s="62" ph="1"/>
    </row>
    <row r="4151" spans="20:20" ht="26.25">
      <c r="T4151" s="62" ph="1"/>
    </row>
    <row r="4152" spans="20:20" ht="26.25">
      <c r="T4152" s="62" ph="1"/>
    </row>
    <row r="4153" spans="20:20" ht="26.25">
      <c r="T4153" s="62" ph="1"/>
    </row>
    <row r="4154" spans="20:20" ht="26.25">
      <c r="T4154" s="62" ph="1"/>
    </row>
    <row r="4155" spans="20:20" ht="26.25">
      <c r="T4155" s="62" ph="1"/>
    </row>
    <row r="4156" spans="20:20" ht="26.25">
      <c r="T4156" s="62" ph="1"/>
    </row>
    <row r="4157" spans="20:20" ht="26.25">
      <c r="T4157" s="62" ph="1"/>
    </row>
    <row r="4158" spans="20:20" ht="26.25">
      <c r="T4158" s="62" ph="1"/>
    </row>
    <row r="4159" spans="20:20" ht="26.25">
      <c r="T4159" s="62" ph="1"/>
    </row>
    <row r="4160" spans="20:20" ht="26.25">
      <c r="T4160" s="62" ph="1"/>
    </row>
    <row r="4161" spans="20:20" ht="26.25">
      <c r="T4161" s="62" ph="1"/>
    </row>
    <row r="4162" spans="20:20" ht="26.25">
      <c r="T4162" s="62" ph="1"/>
    </row>
    <row r="4163" spans="20:20" ht="26.25">
      <c r="T4163" s="62" ph="1"/>
    </row>
    <row r="4164" spans="20:20" ht="26.25">
      <c r="T4164" s="62" ph="1"/>
    </row>
    <row r="4165" spans="20:20" ht="26.25">
      <c r="T4165" s="62" ph="1"/>
    </row>
    <row r="4166" spans="20:20" ht="26.25">
      <c r="T4166" s="62" ph="1"/>
    </row>
    <row r="4167" spans="20:20" ht="26.25">
      <c r="T4167" s="62" ph="1"/>
    </row>
    <row r="4168" spans="20:20" ht="26.25">
      <c r="T4168" s="62" ph="1"/>
    </row>
    <row r="4169" spans="20:20" ht="26.25">
      <c r="T4169" s="62" ph="1"/>
    </row>
    <row r="4170" spans="20:20" ht="26.25">
      <c r="T4170" s="62" ph="1"/>
    </row>
    <row r="4171" spans="20:20" ht="26.25">
      <c r="T4171" s="62" ph="1"/>
    </row>
    <row r="4172" spans="20:20" ht="26.25">
      <c r="T4172" s="62" ph="1"/>
    </row>
    <row r="4173" spans="20:20" ht="26.25">
      <c r="T4173" s="62" ph="1"/>
    </row>
    <row r="4174" spans="20:20" ht="26.25">
      <c r="T4174" s="62" ph="1"/>
    </row>
    <row r="4175" spans="20:20" ht="26.25">
      <c r="T4175" s="62" ph="1"/>
    </row>
    <row r="4176" spans="20:20" ht="26.25">
      <c r="T4176" s="62" ph="1"/>
    </row>
    <row r="4177" spans="20:20" ht="26.25">
      <c r="T4177" s="62" ph="1"/>
    </row>
    <row r="4178" spans="20:20" ht="26.25">
      <c r="T4178" s="62" ph="1"/>
    </row>
    <row r="4179" spans="20:20" ht="26.25">
      <c r="T4179" s="62" ph="1"/>
    </row>
    <row r="4180" spans="20:20" ht="26.25">
      <c r="T4180" s="62" ph="1"/>
    </row>
    <row r="4181" spans="20:20" ht="26.25">
      <c r="T4181" s="62" ph="1"/>
    </row>
    <row r="4182" spans="20:20" ht="26.25">
      <c r="T4182" s="62" ph="1"/>
    </row>
    <row r="4183" spans="20:20" ht="26.25">
      <c r="T4183" s="62" ph="1"/>
    </row>
    <row r="4184" spans="20:20" ht="26.25">
      <c r="T4184" s="62" ph="1"/>
    </row>
    <row r="4185" spans="20:20" ht="26.25">
      <c r="T4185" s="62" ph="1"/>
    </row>
    <row r="4186" spans="20:20" ht="26.25">
      <c r="T4186" s="62" ph="1"/>
    </row>
    <row r="4187" spans="20:20" ht="26.25">
      <c r="T4187" s="62" ph="1"/>
    </row>
    <row r="4188" spans="20:20" ht="26.25">
      <c r="T4188" s="62" ph="1"/>
    </row>
    <row r="4189" spans="20:20" ht="26.25">
      <c r="T4189" s="62" ph="1"/>
    </row>
    <row r="4190" spans="20:20" ht="26.25">
      <c r="T4190" s="62" ph="1"/>
    </row>
    <row r="4191" spans="20:20" ht="26.25">
      <c r="T4191" s="62" ph="1"/>
    </row>
    <row r="4192" spans="20:20" ht="26.25">
      <c r="T4192" s="62" ph="1"/>
    </row>
    <row r="4193" spans="20:20" ht="26.25">
      <c r="T4193" s="62" ph="1"/>
    </row>
    <row r="4194" spans="20:20" ht="26.25">
      <c r="T4194" s="62" ph="1"/>
    </row>
    <row r="4195" spans="20:20" ht="26.25">
      <c r="T4195" s="62" ph="1"/>
    </row>
    <row r="4196" spans="20:20" ht="26.25">
      <c r="T4196" s="62" ph="1"/>
    </row>
    <row r="4197" spans="20:20" ht="26.25">
      <c r="T4197" s="62" ph="1"/>
    </row>
    <row r="4198" spans="20:20" ht="26.25">
      <c r="T4198" s="62" ph="1"/>
    </row>
    <row r="4199" spans="20:20" ht="26.25">
      <c r="T4199" s="62" ph="1"/>
    </row>
    <row r="4200" spans="20:20" ht="26.25">
      <c r="T4200" s="62" ph="1"/>
    </row>
    <row r="4201" spans="20:20" ht="26.25">
      <c r="T4201" s="62" ph="1"/>
    </row>
    <row r="4202" spans="20:20" ht="26.25">
      <c r="T4202" s="62" ph="1"/>
    </row>
    <row r="4203" spans="20:20" ht="26.25">
      <c r="T4203" s="62" ph="1"/>
    </row>
    <row r="4204" spans="20:20" ht="26.25">
      <c r="T4204" s="62" ph="1"/>
    </row>
    <row r="4205" spans="20:20" ht="26.25">
      <c r="T4205" s="62" ph="1"/>
    </row>
    <row r="4206" spans="20:20" ht="26.25">
      <c r="T4206" s="62" ph="1"/>
    </row>
    <row r="4207" spans="20:20" ht="26.25">
      <c r="T4207" s="62" ph="1"/>
    </row>
    <row r="4208" spans="20:20" ht="26.25">
      <c r="T4208" s="62" ph="1"/>
    </row>
    <row r="4209" spans="20:20" ht="26.25">
      <c r="T4209" s="62" ph="1"/>
    </row>
    <row r="4210" spans="20:20" ht="26.25">
      <c r="T4210" s="62" ph="1"/>
    </row>
    <row r="4211" spans="20:20" ht="26.25">
      <c r="T4211" s="62" ph="1"/>
    </row>
    <row r="4212" spans="20:20" ht="26.25">
      <c r="T4212" s="62" ph="1"/>
    </row>
    <row r="4213" spans="20:20" ht="26.25">
      <c r="T4213" s="62" ph="1"/>
    </row>
    <row r="4214" spans="20:20" ht="26.25">
      <c r="T4214" s="62" ph="1"/>
    </row>
    <row r="4215" spans="20:20" ht="26.25">
      <c r="T4215" s="62" ph="1"/>
    </row>
    <row r="4216" spans="20:20" ht="26.25">
      <c r="T4216" s="62" ph="1"/>
    </row>
    <row r="4217" spans="20:20" ht="26.25">
      <c r="T4217" s="62" ph="1"/>
    </row>
    <row r="4218" spans="20:20" ht="26.25">
      <c r="T4218" s="62" ph="1"/>
    </row>
    <row r="4219" spans="20:20" ht="26.25">
      <c r="T4219" s="62" ph="1"/>
    </row>
    <row r="4220" spans="20:20" ht="26.25">
      <c r="T4220" s="62" ph="1"/>
    </row>
    <row r="4221" spans="20:20" ht="26.25">
      <c r="T4221" s="62" ph="1"/>
    </row>
    <row r="4222" spans="20:20" ht="26.25">
      <c r="T4222" s="62" ph="1"/>
    </row>
    <row r="4223" spans="20:20" ht="26.25">
      <c r="T4223" s="62" ph="1"/>
    </row>
    <row r="4224" spans="20:20" ht="26.25">
      <c r="T4224" s="62" ph="1"/>
    </row>
    <row r="4225" spans="20:20" ht="26.25">
      <c r="T4225" s="62" ph="1"/>
    </row>
    <row r="4226" spans="20:20" ht="26.25">
      <c r="T4226" s="62" ph="1"/>
    </row>
    <row r="4227" spans="20:20" ht="26.25">
      <c r="T4227" s="62" ph="1"/>
    </row>
    <row r="4228" spans="20:20" ht="26.25">
      <c r="T4228" s="62" ph="1"/>
    </row>
    <row r="4229" spans="20:20" ht="26.25">
      <c r="T4229" s="62" ph="1"/>
    </row>
    <row r="4230" spans="20:20" ht="26.25">
      <c r="T4230" s="62" ph="1"/>
    </row>
    <row r="4231" spans="20:20" ht="26.25">
      <c r="T4231" s="62" ph="1"/>
    </row>
    <row r="4232" spans="20:20" ht="26.25">
      <c r="T4232" s="62" ph="1"/>
    </row>
    <row r="4233" spans="20:20" ht="26.25">
      <c r="T4233" s="62" ph="1"/>
    </row>
    <row r="4234" spans="20:20" ht="26.25">
      <c r="T4234" s="62" ph="1"/>
    </row>
    <row r="4235" spans="20:20" ht="26.25">
      <c r="T4235" s="62" ph="1"/>
    </row>
    <row r="4236" spans="20:20" ht="26.25">
      <c r="T4236" s="62" ph="1"/>
    </row>
    <row r="4237" spans="20:20" ht="26.25">
      <c r="T4237" s="62" ph="1"/>
    </row>
    <row r="4238" spans="20:20" ht="26.25">
      <c r="T4238" s="62" ph="1"/>
    </row>
    <row r="4239" spans="20:20" ht="26.25">
      <c r="T4239" s="62" ph="1"/>
    </row>
    <row r="4240" spans="20:20" ht="26.25">
      <c r="T4240" s="62" ph="1"/>
    </row>
    <row r="4241" spans="20:20" ht="26.25">
      <c r="T4241" s="62" ph="1"/>
    </row>
    <row r="4242" spans="20:20" ht="26.25">
      <c r="T4242" s="62" ph="1"/>
    </row>
    <row r="4243" spans="20:20" ht="26.25">
      <c r="T4243" s="62" ph="1"/>
    </row>
    <row r="4244" spans="20:20" ht="26.25">
      <c r="T4244" s="62" ph="1"/>
    </row>
    <row r="4245" spans="20:20" ht="26.25">
      <c r="T4245" s="62" ph="1"/>
    </row>
    <row r="4246" spans="20:20" ht="26.25">
      <c r="T4246" s="62" ph="1"/>
    </row>
    <row r="4247" spans="20:20" ht="26.25">
      <c r="T4247" s="62" ph="1"/>
    </row>
    <row r="4248" spans="20:20" ht="26.25">
      <c r="T4248" s="62" ph="1"/>
    </row>
    <row r="4249" spans="20:20" ht="26.25">
      <c r="T4249" s="62" ph="1"/>
    </row>
    <row r="4250" spans="20:20" ht="26.25">
      <c r="T4250" s="62" ph="1"/>
    </row>
    <row r="4251" spans="20:20" ht="26.25">
      <c r="T4251" s="62" ph="1"/>
    </row>
    <row r="4252" spans="20:20" ht="26.25">
      <c r="T4252" s="62" ph="1"/>
    </row>
    <row r="4253" spans="20:20" ht="26.25">
      <c r="T4253" s="62" ph="1"/>
    </row>
    <row r="4254" spans="20:20" ht="26.25">
      <c r="T4254" s="62" ph="1"/>
    </row>
    <row r="4255" spans="20:20" ht="26.25">
      <c r="T4255" s="62" ph="1"/>
    </row>
    <row r="4256" spans="20:20" ht="26.25">
      <c r="T4256" s="62" ph="1"/>
    </row>
    <row r="4257" spans="20:20" ht="26.25">
      <c r="T4257" s="62" ph="1"/>
    </row>
    <row r="4258" spans="20:20" ht="26.25">
      <c r="T4258" s="62" ph="1"/>
    </row>
    <row r="4259" spans="20:20" ht="26.25">
      <c r="T4259" s="62" ph="1"/>
    </row>
    <row r="4260" spans="20:20" ht="26.25">
      <c r="T4260" s="62" ph="1"/>
    </row>
    <row r="4261" spans="20:20" ht="26.25">
      <c r="T4261" s="62" ph="1"/>
    </row>
    <row r="4262" spans="20:20" ht="26.25">
      <c r="T4262" s="62" ph="1"/>
    </row>
    <row r="4263" spans="20:20" ht="26.25">
      <c r="T4263" s="62" ph="1"/>
    </row>
    <row r="4264" spans="20:20" ht="26.25">
      <c r="T4264" s="62" ph="1"/>
    </row>
    <row r="4265" spans="20:20" ht="26.25">
      <c r="T4265" s="62" ph="1"/>
    </row>
    <row r="4266" spans="20:20" ht="26.25">
      <c r="T4266" s="62" ph="1"/>
    </row>
    <row r="4267" spans="20:20" ht="26.25">
      <c r="T4267" s="62" ph="1"/>
    </row>
    <row r="4268" spans="20:20" ht="26.25">
      <c r="T4268" s="62" ph="1"/>
    </row>
    <row r="4269" spans="20:20" ht="26.25">
      <c r="T4269" s="62" ph="1"/>
    </row>
    <row r="4270" spans="20:20" ht="26.25">
      <c r="T4270" s="62" ph="1"/>
    </row>
    <row r="4271" spans="20:20" ht="26.25">
      <c r="T4271" s="62" ph="1"/>
    </row>
    <row r="4272" spans="20:20" ht="26.25">
      <c r="T4272" s="62" ph="1"/>
    </row>
    <row r="4273" spans="20:20" ht="26.25">
      <c r="T4273" s="62" ph="1"/>
    </row>
    <row r="4274" spans="20:20" ht="26.25">
      <c r="T4274" s="62" ph="1"/>
    </row>
    <row r="4275" spans="20:20" ht="26.25">
      <c r="T4275" s="62" ph="1"/>
    </row>
    <row r="4276" spans="20:20" ht="26.25">
      <c r="T4276" s="62" ph="1"/>
    </row>
    <row r="4277" spans="20:20" ht="26.25">
      <c r="T4277" s="62" ph="1"/>
    </row>
    <row r="4278" spans="20:20" ht="26.25">
      <c r="T4278" s="62" ph="1"/>
    </row>
    <row r="4279" spans="20:20" ht="26.25">
      <c r="T4279" s="62" ph="1"/>
    </row>
    <row r="4280" spans="20:20" ht="26.25">
      <c r="T4280" s="62" ph="1"/>
    </row>
    <row r="4281" spans="20:20" ht="26.25">
      <c r="T4281" s="62" ph="1"/>
    </row>
    <row r="4282" spans="20:20" ht="26.25">
      <c r="T4282" s="62" ph="1"/>
    </row>
    <row r="4283" spans="20:20" ht="26.25">
      <c r="T4283" s="62" ph="1"/>
    </row>
    <row r="4284" spans="20:20" ht="26.25">
      <c r="T4284" s="62" ph="1"/>
    </row>
    <row r="4285" spans="20:20" ht="26.25">
      <c r="T4285" s="62" ph="1"/>
    </row>
    <row r="4286" spans="20:20" ht="26.25">
      <c r="T4286" s="62" ph="1"/>
    </row>
    <row r="4287" spans="20:20" ht="26.25">
      <c r="T4287" s="62" ph="1"/>
    </row>
    <row r="4288" spans="20:20" ht="26.25">
      <c r="T4288" s="62" ph="1"/>
    </row>
    <row r="4289" spans="20:20" ht="26.25">
      <c r="T4289" s="62" ph="1"/>
    </row>
    <row r="4290" spans="20:20" ht="26.25">
      <c r="T4290" s="62" ph="1"/>
    </row>
    <row r="4291" spans="20:20" ht="26.25">
      <c r="T4291" s="62" ph="1"/>
    </row>
    <row r="4292" spans="20:20" ht="26.25">
      <c r="T4292" s="62" ph="1"/>
    </row>
    <row r="4293" spans="20:20" ht="26.25">
      <c r="T4293" s="62" ph="1"/>
    </row>
    <row r="4294" spans="20:20" ht="26.25">
      <c r="T4294" s="62" ph="1"/>
    </row>
    <row r="4295" spans="20:20" ht="26.25">
      <c r="T4295" s="62" ph="1"/>
    </row>
    <row r="4296" spans="20:20" ht="26.25">
      <c r="T4296" s="62" ph="1"/>
    </row>
    <row r="4297" spans="20:20" ht="26.25">
      <c r="T4297" s="62" ph="1"/>
    </row>
    <row r="4298" spans="20:20" ht="26.25">
      <c r="T4298" s="62" ph="1"/>
    </row>
    <row r="4299" spans="20:20" ht="26.25">
      <c r="T4299" s="62" ph="1"/>
    </row>
    <row r="4300" spans="20:20" ht="26.25">
      <c r="T4300" s="62" ph="1"/>
    </row>
    <row r="4301" spans="20:20" ht="26.25">
      <c r="T4301" s="62" ph="1"/>
    </row>
    <row r="4302" spans="20:20" ht="26.25">
      <c r="T4302" s="62" ph="1"/>
    </row>
    <row r="4303" spans="20:20" ht="26.25">
      <c r="T4303" s="62" ph="1"/>
    </row>
    <row r="4304" spans="20:20" ht="26.25">
      <c r="T4304" s="62" ph="1"/>
    </row>
    <row r="4305" spans="20:20" ht="26.25">
      <c r="T4305" s="62" ph="1"/>
    </row>
    <row r="4306" spans="20:20" ht="26.25">
      <c r="T4306" s="62" ph="1"/>
    </row>
    <row r="4307" spans="20:20" ht="26.25">
      <c r="T4307" s="62" ph="1"/>
    </row>
    <row r="4308" spans="20:20" ht="26.25">
      <c r="T4308" s="62" ph="1"/>
    </row>
    <row r="4309" spans="20:20" ht="26.25">
      <c r="T4309" s="62" ph="1"/>
    </row>
    <row r="4310" spans="20:20" ht="26.25">
      <c r="T4310" s="62" ph="1"/>
    </row>
    <row r="4311" spans="20:20" ht="26.25">
      <c r="T4311" s="62" ph="1"/>
    </row>
    <row r="4312" spans="20:20" ht="26.25">
      <c r="T4312" s="62" ph="1"/>
    </row>
    <row r="4313" spans="20:20" ht="26.25">
      <c r="T4313" s="62" ph="1"/>
    </row>
    <row r="4314" spans="20:20" ht="26.25">
      <c r="T4314" s="62" ph="1"/>
    </row>
    <row r="4315" spans="20:20" ht="26.25">
      <c r="T4315" s="62" ph="1"/>
    </row>
    <row r="4316" spans="20:20" ht="26.25">
      <c r="T4316" s="62" ph="1"/>
    </row>
    <row r="4317" spans="20:20" ht="26.25">
      <c r="T4317" s="62" ph="1"/>
    </row>
    <row r="4318" spans="20:20" ht="26.25">
      <c r="T4318" s="62" ph="1"/>
    </row>
    <row r="4319" spans="20:20" ht="26.25">
      <c r="T4319" s="62" ph="1"/>
    </row>
    <row r="4320" spans="20:20" ht="26.25">
      <c r="T4320" s="62" ph="1"/>
    </row>
    <row r="4321" spans="20:20" ht="26.25">
      <c r="T4321" s="62" ph="1"/>
    </row>
    <row r="4322" spans="20:20" ht="26.25">
      <c r="T4322" s="62" ph="1"/>
    </row>
    <row r="4323" spans="20:20" ht="26.25">
      <c r="T4323" s="62" ph="1"/>
    </row>
    <row r="4324" spans="20:20" ht="26.25">
      <c r="T4324" s="62" ph="1"/>
    </row>
    <row r="4325" spans="20:20" ht="26.25">
      <c r="T4325" s="62" ph="1"/>
    </row>
    <row r="4326" spans="20:20" ht="26.25">
      <c r="T4326" s="62" ph="1"/>
    </row>
    <row r="4327" spans="20:20" ht="26.25">
      <c r="T4327" s="62" ph="1"/>
    </row>
    <row r="4328" spans="20:20" ht="26.25">
      <c r="T4328" s="62" ph="1"/>
    </row>
    <row r="4329" spans="20:20" ht="26.25">
      <c r="T4329" s="62" ph="1"/>
    </row>
    <row r="4330" spans="20:20" ht="26.25">
      <c r="T4330" s="62" ph="1"/>
    </row>
    <row r="4331" spans="20:20" ht="26.25">
      <c r="T4331" s="62" ph="1"/>
    </row>
    <row r="4332" spans="20:20" ht="26.25">
      <c r="T4332" s="62" ph="1"/>
    </row>
    <row r="4333" spans="20:20" ht="26.25">
      <c r="T4333" s="62" ph="1"/>
    </row>
    <row r="4334" spans="20:20" ht="26.25">
      <c r="T4334" s="62" ph="1"/>
    </row>
    <row r="4335" spans="20:20" ht="26.25">
      <c r="T4335" s="62" ph="1"/>
    </row>
    <row r="4336" spans="20:20" ht="26.25">
      <c r="T4336" s="62" ph="1"/>
    </row>
    <row r="4337" spans="20:20" ht="26.25">
      <c r="T4337" s="62" ph="1"/>
    </row>
    <row r="4338" spans="20:20" ht="26.25">
      <c r="T4338" s="62" ph="1"/>
    </row>
    <row r="4339" spans="20:20" ht="26.25">
      <c r="T4339" s="62" ph="1"/>
    </row>
    <row r="4340" spans="20:20" ht="26.25">
      <c r="T4340" s="62" ph="1"/>
    </row>
    <row r="4341" spans="20:20" ht="26.25">
      <c r="T4341" s="62" ph="1"/>
    </row>
    <row r="4342" spans="20:20" ht="26.25">
      <c r="T4342" s="62" ph="1"/>
    </row>
    <row r="4343" spans="20:20" ht="26.25">
      <c r="T4343" s="62" ph="1"/>
    </row>
    <row r="4344" spans="20:20" ht="26.25">
      <c r="T4344" s="62" ph="1"/>
    </row>
    <row r="4345" spans="20:20" ht="26.25">
      <c r="T4345" s="62" ph="1"/>
    </row>
    <row r="4346" spans="20:20" ht="26.25">
      <c r="T4346" s="62" ph="1"/>
    </row>
    <row r="4347" spans="20:20" ht="26.25">
      <c r="T4347" s="62" ph="1"/>
    </row>
    <row r="4348" spans="20:20" ht="26.25">
      <c r="T4348" s="62" ph="1"/>
    </row>
    <row r="4349" spans="20:20" ht="26.25">
      <c r="T4349" s="62" ph="1"/>
    </row>
    <row r="4350" spans="20:20" ht="26.25">
      <c r="T4350" s="62" ph="1"/>
    </row>
    <row r="4351" spans="20:20" ht="26.25">
      <c r="T4351" s="62" ph="1"/>
    </row>
    <row r="4352" spans="20:20" ht="26.25">
      <c r="T4352" s="62" ph="1"/>
    </row>
    <row r="4353" spans="20:20" ht="26.25">
      <c r="T4353" s="62" ph="1"/>
    </row>
    <row r="4354" spans="20:20" ht="26.25">
      <c r="T4354" s="62" ph="1"/>
    </row>
    <row r="4355" spans="20:20" ht="26.25">
      <c r="T4355" s="62" ph="1"/>
    </row>
    <row r="4356" spans="20:20" ht="26.25">
      <c r="T4356" s="62" ph="1"/>
    </row>
    <row r="4357" spans="20:20" ht="26.25">
      <c r="T4357" s="62" ph="1"/>
    </row>
    <row r="4358" spans="20:20" ht="26.25">
      <c r="T4358" s="62" ph="1"/>
    </row>
    <row r="4359" spans="20:20" ht="26.25">
      <c r="T4359" s="62" ph="1"/>
    </row>
    <row r="4360" spans="20:20" ht="26.25">
      <c r="T4360" s="62" ph="1"/>
    </row>
    <row r="4361" spans="20:20" ht="26.25">
      <c r="T4361" s="62" ph="1"/>
    </row>
    <row r="4362" spans="20:20" ht="26.25">
      <c r="T4362" s="62" ph="1"/>
    </row>
    <row r="4363" spans="20:20" ht="26.25">
      <c r="T4363" s="62" ph="1"/>
    </row>
    <row r="4364" spans="20:20" ht="26.25">
      <c r="T4364" s="62" ph="1"/>
    </row>
    <row r="4365" spans="20:20" ht="26.25">
      <c r="T4365" s="62" ph="1"/>
    </row>
    <row r="4366" spans="20:20" ht="26.25">
      <c r="T4366" s="62" ph="1"/>
    </row>
    <row r="4367" spans="20:20" ht="26.25">
      <c r="T4367" s="62" ph="1"/>
    </row>
    <row r="4368" spans="20:20" ht="26.25">
      <c r="T4368" s="62" ph="1"/>
    </row>
    <row r="4369" spans="20:20" ht="26.25">
      <c r="T4369" s="62" ph="1"/>
    </row>
    <row r="4370" spans="20:20" ht="26.25">
      <c r="T4370" s="62" ph="1"/>
    </row>
    <row r="4371" spans="20:20" ht="26.25">
      <c r="T4371" s="62" ph="1"/>
    </row>
    <row r="4372" spans="20:20" ht="26.25">
      <c r="T4372" s="62" ph="1"/>
    </row>
    <row r="4373" spans="20:20" ht="26.25">
      <c r="T4373" s="62" ph="1"/>
    </row>
    <row r="4374" spans="20:20" ht="26.25">
      <c r="T4374" s="62" ph="1"/>
    </row>
    <row r="4375" spans="20:20" ht="26.25">
      <c r="T4375" s="62" ph="1"/>
    </row>
    <row r="4376" spans="20:20" ht="26.25">
      <c r="T4376" s="62" ph="1"/>
    </row>
    <row r="4377" spans="20:20" ht="26.25">
      <c r="T4377" s="62" ph="1"/>
    </row>
    <row r="4378" spans="20:20" ht="26.25">
      <c r="T4378" s="62" ph="1"/>
    </row>
    <row r="4379" spans="20:20" ht="26.25">
      <c r="T4379" s="62" ph="1"/>
    </row>
    <row r="4380" spans="20:20" ht="26.25">
      <c r="T4380" s="62" ph="1"/>
    </row>
    <row r="4381" spans="20:20" ht="26.25">
      <c r="T4381" s="62" ph="1"/>
    </row>
    <row r="4382" spans="20:20" ht="26.25">
      <c r="T4382" s="62" ph="1"/>
    </row>
    <row r="4383" spans="20:20" ht="26.25">
      <c r="T4383" s="62" ph="1"/>
    </row>
    <row r="4384" spans="20:20" ht="26.25">
      <c r="T4384" s="62" ph="1"/>
    </row>
    <row r="4385" spans="20:20" ht="26.25">
      <c r="T4385" s="62" ph="1"/>
    </row>
    <row r="4386" spans="20:20" ht="26.25">
      <c r="T4386" s="62" ph="1"/>
    </row>
    <row r="4387" spans="20:20" ht="26.25">
      <c r="T4387" s="62" ph="1"/>
    </row>
    <row r="4388" spans="20:20" ht="26.25">
      <c r="T4388" s="62" ph="1"/>
    </row>
    <row r="4389" spans="20:20" ht="26.25">
      <c r="T4389" s="62" ph="1"/>
    </row>
    <row r="4390" spans="20:20" ht="26.25">
      <c r="T4390" s="62" ph="1"/>
    </row>
    <row r="4391" spans="20:20" ht="26.25">
      <c r="T4391" s="62" ph="1"/>
    </row>
    <row r="4392" spans="20:20" ht="26.25">
      <c r="T4392" s="62" ph="1"/>
    </row>
    <row r="4393" spans="20:20" ht="26.25">
      <c r="T4393" s="62" ph="1"/>
    </row>
    <row r="4394" spans="20:20" ht="26.25">
      <c r="T4394" s="62" ph="1"/>
    </row>
    <row r="4395" spans="20:20" ht="26.25">
      <c r="T4395" s="62" ph="1"/>
    </row>
    <row r="4396" spans="20:20" ht="26.25">
      <c r="T4396" s="62" ph="1"/>
    </row>
    <row r="4397" spans="20:20" ht="26.25">
      <c r="T4397" s="62" ph="1"/>
    </row>
    <row r="4398" spans="20:20" ht="26.25">
      <c r="T4398" s="62" ph="1"/>
    </row>
    <row r="4399" spans="20:20" ht="26.25">
      <c r="T4399" s="62" ph="1"/>
    </row>
    <row r="4400" spans="20:20" ht="26.25">
      <c r="T4400" s="62" ph="1"/>
    </row>
    <row r="4401" spans="20:20" ht="26.25">
      <c r="T4401" s="62" ph="1"/>
    </row>
    <row r="4402" spans="20:20" ht="26.25">
      <c r="T4402" s="62" ph="1"/>
    </row>
    <row r="4403" spans="20:20" ht="26.25">
      <c r="T4403" s="62" ph="1"/>
    </row>
    <row r="4404" spans="20:20" ht="26.25">
      <c r="T4404" s="62" ph="1"/>
    </row>
    <row r="4405" spans="20:20" ht="26.25">
      <c r="T4405" s="62" ph="1"/>
    </row>
    <row r="4406" spans="20:20" ht="26.25">
      <c r="T4406" s="62" ph="1"/>
    </row>
    <row r="4407" spans="20:20" ht="26.25">
      <c r="T4407" s="62" ph="1"/>
    </row>
    <row r="4408" spans="20:20" ht="26.25">
      <c r="T4408" s="62" ph="1"/>
    </row>
    <row r="4409" spans="20:20" ht="26.25">
      <c r="T4409" s="62" ph="1"/>
    </row>
    <row r="4410" spans="20:20" ht="26.25">
      <c r="T4410" s="62" ph="1"/>
    </row>
    <row r="4411" spans="20:20" ht="26.25">
      <c r="T4411" s="62" ph="1"/>
    </row>
    <row r="4412" spans="20:20" ht="26.25">
      <c r="T4412" s="62" ph="1"/>
    </row>
    <row r="4413" spans="20:20" ht="26.25">
      <c r="T4413" s="62" ph="1"/>
    </row>
    <row r="4414" spans="20:20" ht="26.25">
      <c r="T4414" s="62" ph="1"/>
    </row>
    <row r="4415" spans="20:20" ht="26.25">
      <c r="T4415" s="62" ph="1"/>
    </row>
    <row r="4416" spans="20:20" ht="26.25">
      <c r="T4416" s="62" ph="1"/>
    </row>
    <row r="4417" spans="20:20" ht="26.25">
      <c r="T4417" s="62" ph="1"/>
    </row>
    <row r="4418" spans="20:20" ht="26.25">
      <c r="T4418" s="62" ph="1"/>
    </row>
    <row r="4419" spans="20:20" ht="26.25">
      <c r="T4419" s="62" ph="1"/>
    </row>
    <row r="4420" spans="20:20" ht="26.25">
      <c r="T4420" s="62" ph="1"/>
    </row>
    <row r="4421" spans="20:20" ht="26.25">
      <c r="T4421" s="62" ph="1"/>
    </row>
    <row r="4422" spans="20:20" ht="26.25">
      <c r="T4422" s="62" ph="1"/>
    </row>
    <row r="4423" spans="20:20" ht="26.25">
      <c r="T4423" s="62" ph="1"/>
    </row>
    <row r="4424" spans="20:20" ht="26.25">
      <c r="T4424" s="62" ph="1"/>
    </row>
    <row r="4425" spans="20:20" ht="26.25">
      <c r="T4425" s="62" ph="1"/>
    </row>
    <row r="4426" spans="20:20" ht="26.25">
      <c r="T4426" s="62" ph="1"/>
    </row>
    <row r="4427" spans="20:20" ht="26.25">
      <c r="T4427" s="62" ph="1"/>
    </row>
    <row r="4428" spans="20:20" ht="26.25">
      <c r="T4428" s="62" ph="1"/>
    </row>
    <row r="4429" spans="20:20" ht="26.25">
      <c r="T4429" s="62" ph="1"/>
    </row>
    <row r="4430" spans="20:20" ht="26.25">
      <c r="T4430" s="62" ph="1"/>
    </row>
    <row r="4431" spans="20:20" ht="26.25">
      <c r="T4431" s="62" ph="1"/>
    </row>
    <row r="4432" spans="20:20" ht="26.25">
      <c r="T4432" s="62" ph="1"/>
    </row>
    <row r="4433" spans="20:20" ht="26.25">
      <c r="T4433" s="62" ph="1"/>
    </row>
    <row r="4434" spans="20:20" ht="26.25">
      <c r="T4434" s="62" ph="1"/>
    </row>
    <row r="4435" spans="20:20" ht="26.25">
      <c r="T4435" s="62" ph="1"/>
    </row>
    <row r="4436" spans="20:20" ht="26.25">
      <c r="T4436" s="62" ph="1"/>
    </row>
    <row r="4437" spans="20:20" ht="26.25">
      <c r="T4437" s="62" ph="1"/>
    </row>
    <row r="4438" spans="20:20" ht="26.25">
      <c r="T4438" s="62" ph="1"/>
    </row>
    <row r="4439" spans="20:20" ht="26.25">
      <c r="T4439" s="62" ph="1"/>
    </row>
    <row r="4440" spans="20:20" ht="26.25">
      <c r="T4440" s="62" ph="1"/>
    </row>
    <row r="4441" spans="20:20" ht="26.25">
      <c r="T4441" s="62" ph="1"/>
    </row>
    <row r="4442" spans="20:20" ht="26.25">
      <c r="T4442" s="62" ph="1"/>
    </row>
    <row r="4443" spans="20:20" ht="26.25">
      <c r="T4443" s="62" ph="1"/>
    </row>
    <row r="4444" spans="20:20" ht="26.25">
      <c r="T4444" s="62" ph="1"/>
    </row>
    <row r="4445" spans="20:20" ht="26.25">
      <c r="T4445" s="62" ph="1"/>
    </row>
    <row r="4446" spans="20:20" ht="26.25">
      <c r="T4446" s="62" ph="1"/>
    </row>
    <row r="4447" spans="20:20" ht="26.25">
      <c r="T4447" s="62" ph="1"/>
    </row>
    <row r="4448" spans="20:20" ht="26.25">
      <c r="T4448" s="62" ph="1"/>
    </row>
    <row r="4449" spans="20:20" ht="26.25">
      <c r="T4449" s="62" ph="1"/>
    </row>
    <row r="4450" spans="20:20" ht="26.25">
      <c r="T4450" s="62" ph="1"/>
    </row>
    <row r="4451" spans="20:20" ht="26.25">
      <c r="T4451" s="62" ph="1"/>
    </row>
    <row r="4452" spans="20:20" ht="26.25">
      <c r="T4452" s="62" ph="1"/>
    </row>
    <row r="4453" spans="20:20" ht="26.25">
      <c r="T4453" s="62" ph="1"/>
    </row>
    <row r="4454" spans="20:20" ht="26.25">
      <c r="T4454" s="62" ph="1"/>
    </row>
    <row r="4455" spans="20:20" ht="26.25">
      <c r="T4455" s="62" ph="1"/>
    </row>
    <row r="4456" spans="20:20" ht="26.25">
      <c r="T4456" s="62" ph="1"/>
    </row>
    <row r="4457" spans="20:20" ht="26.25">
      <c r="T4457" s="62" ph="1"/>
    </row>
    <row r="4458" spans="20:20" ht="26.25">
      <c r="T4458" s="62" ph="1"/>
    </row>
    <row r="4459" spans="20:20" ht="26.25">
      <c r="T4459" s="62" ph="1"/>
    </row>
    <row r="4460" spans="20:20" ht="26.25">
      <c r="T4460" s="62" ph="1"/>
    </row>
    <row r="4461" spans="20:20" ht="26.25">
      <c r="T4461" s="62" ph="1"/>
    </row>
    <row r="4462" spans="20:20" ht="26.25">
      <c r="T4462" s="62" ph="1"/>
    </row>
    <row r="4463" spans="20:20" ht="26.25">
      <c r="T4463" s="62" ph="1"/>
    </row>
    <row r="4464" spans="20:20" ht="26.25">
      <c r="T4464" s="62" ph="1"/>
    </row>
    <row r="4465" spans="20:20" ht="26.25">
      <c r="T4465" s="62" ph="1"/>
    </row>
    <row r="4466" spans="20:20" ht="26.25">
      <c r="T4466" s="62" ph="1"/>
    </row>
    <row r="4467" spans="20:20" ht="26.25">
      <c r="T4467" s="62" ph="1"/>
    </row>
    <row r="4468" spans="20:20" ht="26.25">
      <c r="T4468" s="62" ph="1"/>
    </row>
    <row r="4469" spans="20:20" ht="26.25">
      <c r="T4469" s="62" ph="1"/>
    </row>
    <row r="4470" spans="20:20" ht="26.25">
      <c r="T4470" s="62" ph="1"/>
    </row>
    <row r="4471" spans="20:20" ht="26.25">
      <c r="T4471" s="62" ph="1"/>
    </row>
    <row r="4472" spans="20:20" ht="26.25">
      <c r="T4472" s="62" ph="1"/>
    </row>
    <row r="4473" spans="20:20" ht="26.25">
      <c r="T4473" s="62" ph="1"/>
    </row>
    <row r="4474" spans="20:20" ht="26.25">
      <c r="T4474" s="62" ph="1"/>
    </row>
    <row r="4475" spans="20:20" ht="26.25">
      <c r="T4475" s="62" ph="1"/>
    </row>
    <row r="4476" spans="20:20" ht="26.25">
      <c r="T4476" s="62" ph="1"/>
    </row>
    <row r="4477" spans="20:20" ht="26.25">
      <c r="T4477" s="62" ph="1"/>
    </row>
    <row r="4478" spans="20:20" ht="26.25">
      <c r="T4478" s="62" ph="1"/>
    </row>
    <row r="4479" spans="20:20" ht="26.25">
      <c r="T4479" s="62" ph="1"/>
    </row>
    <row r="4480" spans="20:20" ht="26.25">
      <c r="T4480" s="62" ph="1"/>
    </row>
    <row r="4481" spans="20:20" ht="26.25">
      <c r="T4481" s="62" ph="1"/>
    </row>
    <row r="4482" spans="20:20" ht="26.25">
      <c r="T4482" s="62" ph="1"/>
    </row>
    <row r="4483" spans="20:20" ht="26.25">
      <c r="T4483" s="62" ph="1"/>
    </row>
    <row r="4484" spans="20:20" ht="26.25">
      <c r="T4484" s="62" ph="1"/>
    </row>
    <row r="4485" spans="20:20" ht="26.25">
      <c r="T4485" s="62" ph="1"/>
    </row>
    <row r="4486" spans="20:20" ht="26.25">
      <c r="T4486" s="62" ph="1"/>
    </row>
    <row r="4487" spans="20:20" ht="26.25">
      <c r="T4487" s="62" ph="1"/>
    </row>
    <row r="4488" spans="20:20" ht="26.25">
      <c r="T4488" s="62" ph="1"/>
    </row>
    <row r="4489" spans="20:20" ht="26.25">
      <c r="T4489" s="62" ph="1"/>
    </row>
    <row r="4490" spans="20:20" ht="26.25">
      <c r="T4490" s="62" ph="1"/>
    </row>
    <row r="4491" spans="20:20" ht="26.25">
      <c r="T4491" s="62" ph="1"/>
    </row>
    <row r="4492" spans="20:20" ht="26.25">
      <c r="T4492" s="62" ph="1"/>
    </row>
    <row r="4493" spans="20:20" ht="26.25">
      <c r="T4493" s="62" ph="1"/>
    </row>
    <row r="4494" spans="20:20" ht="26.25">
      <c r="T4494" s="62" ph="1"/>
    </row>
    <row r="4495" spans="20:20" ht="26.25">
      <c r="T4495" s="62" ph="1"/>
    </row>
    <row r="4496" spans="20:20" ht="26.25">
      <c r="T4496" s="62" ph="1"/>
    </row>
    <row r="4497" spans="20:20" ht="26.25">
      <c r="T4497" s="62" ph="1"/>
    </row>
    <row r="4498" spans="20:20" ht="26.25">
      <c r="T4498" s="62" ph="1"/>
    </row>
    <row r="4499" spans="20:20" ht="26.25">
      <c r="T4499" s="62" ph="1"/>
    </row>
    <row r="4500" spans="20:20" ht="26.25">
      <c r="T4500" s="62" ph="1"/>
    </row>
    <row r="4501" spans="20:20" ht="26.25">
      <c r="T4501" s="62" ph="1"/>
    </row>
    <row r="4502" spans="20:20" ht="26.25">
      <c r="T4502" s="62" ph="1"/>
    </row>
    <row r="4503" spans="20:20" ht="26.25">
      <c r="T4503" s="62" ph="1"/>
    </row>
    <row r="4504" spans="20:20" ht="26.25">
      <c r="T4504" s="62" ph="1"/>
    </row>
    <row r="4505" spans="20:20" ht="26.25">
      <c r="T4505" s="62" ph="1"/>
    </row>
    <row r="4506" spans="20:20" ht="26.25">
      <c r="T4506" s="62" ph="1"/>
    </row>
    <row r="4507" spans="20:20" ht="26.25">
      <c r="T4507" s="62" ph="1"/>
    </row>
    <row r="4508" spans="20:20" ht="26.25">
      <c r="T4508" s="62" ph="1"/>
    </row>
    <row r="4509" spans="20:20" ht="26.25">
      <c r="T4509" s="62" ph="1"/>
    </row>
    <row r="4510" spans="20:20" ht="26.25">
      <c r="T4510" s="62" ph="1"/>
    </row>
    <row r="4511" spans="20:20" ht="26.25">
      <c r="T4511" s="62" ph="1"/>
    </row>
    <row r="4512" spans="20:20" ht="26.25">
      <c r="T4512" s="62" ph="1"/>
    </row>
    <row r="4513" spans="20:20" ht="26.25">
      <c r="T4513" s="62" ph="1"/>
    </row>
    <row r="4514" spans="20:20" ht="26.25">
      <c r="T4514" s="62" ph="1"/>
    </row>
    <row r="4515" spans="20:20" ht="26.25">
      <c r="T4515" s="62" ph="1"/>
    </row>
    <row r="4516" spans="20:20" ht="26.25">
      <c r="T4516" s="62" ph="1"/>
    </row>
    <row r="4517" spans="20:20" ht="26.25">
      <c r="T4517" s="62" ph="1"/>
    </row>
    <row r="4518" spans="20:20" ht="26.25">
      <c r="T4518" s="62" ph="1"/>
    </row>
    <row r="4519" spans="20:20" ht="26.25">
      <c r="T4519" s="62" ph="1"/>
    </row>
    <row r="4520" spans="20:20" ht="26.25">
      <c r="T4520" s="62" ph="1"/>
    </row>
    <row r="4521" spans="20:20" ht="26.25">
      <c r="T4521" s="62" ph="1"/>
    </row>
    <row r="4522" spans="20:20" ht="26.25">
      <c r="T4522" s="62" ph="1"/>
    </row>
    <row r="4523" spans="20:20" ht="26.25">
      <c r="T4523" s="62" ph="1"/>
    </row>
    <row r="4524" spans="20:20" ht="26.25">
      <c r="T4524" s="62" ph="1"/>
    </row>
    <row r="4525" spans="20:20" ht="26.25">
      <c r="T4525" s="62" ph="1"/>
    </row>
    <row r="4526" spans="20:20" ht="26.25">
      <c r="T4526" s="62" ph="1"/>
    </row>
    <row r="4527" spans="20:20" ht="26.25">
      <c r="T4527" s="62" ph="1"/>
    </row>
    <row r="4528" spans="20:20" ht="26.25">
      <c r="T4528" s="62" ph="1"/>
    </row>
    <row r="4529" spans="20:20" ht="26.25">
      <c r="T4529" s="62" ph="1"/>
    </row>
    <row r="4530" spans="20:20" ht="26.25">
      <c r="T4530" s="62" ph="1"/>
    </row>
    <row r="4531" spans="20:20" ht="26.25">
      <c r="T4531" s="62" ph="1"/>
    </row>
    <row r="4532" spans="20:20" ht="26.25">
      <c r="T4532" s="62" ph="1"/>
    </row>
    <row r="4533" spans="20:20" ht="26.25">
      <c r="T4533" s="62" ph="1"/>
    </row>
    <row r="4534" spans="20:20" ht="26.25">
      <c r="T4534" s="62" ph="1"/>
    </row>
    <row r="4535" spans="20:20" ht="26.25">
      <c r="T4535" s="62" ph="1"/>
    </row>
    <row r="4536" spans="20:20" ht="26.25">
      <c r="T4536" s="62" ph="1"/>
    </row>
    <row r="4537" spans="20:20" ht="26.25">
      <c r="T4537" s="62" ph="1"/>
    </row>
    <row r="4538" spans="20:20" ht="26.25">
      <c r="T4538" s="62" ph="1"/>
    </row>
    <row r="4539" spans="20:20" ht="26.25">
      <c r="T4539" s="62" ph="1"/>
    </row>
    <row r="4540" spans="20:20" ht="26.25">
      <c r="T4540" s="62" ph="1"/>
    </row>
    <row r="4541" spans="20:20" ht="26.25">
      <c r="T4541" s="62" ph="1"/>
    </row>
    <row r="4542" spans="20:20" ht="26.25">
      <c r="T4542" s="62" ph="1"/>
    </row>
    <row r="4543" spans="20:20" ht="26.25">
      <c r="T4543" s="62" ph="1"/>
    </row>
    <row r="4544" spans="20:20" ht="26.25">
      <c r="T4544" s="62" ph="1"/>
    </row>
    <row r="4545" spans="20:20" ht="26.25">
      <c r="T4545" s="62" ph="1"/>
    </row>
    <row r="4546" spans="20:20" ht="26.25">
      <c r="T4546" s="62" ph="1"/>
    </row>
    <row r="4547" spans="20:20" ht="26.25">
      <c r="T4547" s="62" ph="1"/>
    </row>
    <row r="4548" spans="20:20" ht="26.25">
      <c r="T4548" s="62" ph="1"/>
    </row>
    <row r="4549" spans="20:20" ht="26.25">
      <c r="T4549" s="62" ph="1"/>
    </row>
    <row r="4550" spans="20:20" ht="26.25">
      <c r="T4550" s="62" ph="1"/>
    </row>
    <row r="4551" spans="20:20" ht="26.25">
      <c r="T4551" s="62" ph="1"/>
    </row>
    <row r="4552" spans="20:20" ht="26.25">
      <c r="T4552" s="62" ph="1"/>
    </row>
    <row r="4553" spans="20:20" ht="26.25">
      <c r="T4553" s="62" ph="1"/>
    </row>
    <row r="4554" spans="20:20" ht="26.25">
      <c r="T4554" s="62" ph="1"/>
    </row>
    <row r="4555" spans="20:20" ht="26.25">
      <c r="T4555" s="62" ph="1"/>
    </row>
    <row r="4556" spans="20:20" ht="26.25">
      <c r="T4556" s="62" ph="1"/>
    </row>
    <row r="4557" spans="20:20" ht="26.25">
      <c r="T4557" s="62" ph="1"/>
    </row>
    <row r="4558" spans="20:20" ht="26.25">
      <c r="T4558" s="62" ph="1"/>
    </row>
    <row r="4559" spans="20:20" ht="26.25">
      <c r="T4559" s="62" ph="1"/>
    </row>
    <row r="4560" spans="20:20" ht="26.25">
      <c r="T4560" s="62" ph="1"/>
    </row>
    <row r="4561" spans="20:20" ht="26.25">
      <c r="T4561" s="62" ph="1"/>
    </row>
    <row r="4562" spans="20:20" ht="26.25">
      <c r="T4562" s="62" ph="1"/>
    </row>
    <row r="4563" spans="20:20" ht="26.25">
      <c r="T4563" s="62" ph="1"/>
    </row>
    <row r="4564" spans="20:20" ht="26.25">
      <c r="T4564" s="62" ph="1"/>
    </row>
    <row r="4565" spans="20:20" ht="26.25">
      <c r="T4565" s="62" ph="1"/>
    </row>
    <row r="4566" spans="20:20" ht="26.25">
      <c r="T4566" s="62" ph="1"/>
    </row>
    <row r="4567" spans="20:20" ht="26.25">
      <c r="T4567" s="62" ph="1"/>
    </row>
    <row r="4568" spans="20:20" ht="26.25">
      <c r="T4568" s="62" ph="1"/>
    </row>
    <row r="4569" spans="20:20" ht="26.25">
      <c r="T4569" s="62" ph="1"/>
    </row>
    <row r="4570" spans="20:20" ht="26.25">
      <c r="T4570" s="62" ph="1"/>
    </row>
    <row r="4571" spans="20:20" ht="26.25">
      <c r="T4571" s="62" ph="1"/>
    </row>
    <row r="4572" spans="20:20" ht="26.25">
      <c r="T4572" s="62" ph="1"/>
    </row>
    <row r="4573" spans="20:20" ht="26.25">
      <c r="T4573" s="62" ph="1"/>
    </row>
    <row r="4574" spans="20:20" ht="26.25">
      <c r="T4574" s="62" ph="1"/>
    </row>
    <row r="4575" spans="20:20" ht="26.25">
      <c r="T4575" s="62" ph="1"/>
    </row>
    <row r="4576" spans="20:20" ht="26.25">
      <c r="T4576" s="62" ph="1"/>
    </row>
    <row r="4577" spans="20:20" ht="26.25">
      <c r="T4577" s="62" ph="1"/>
    </row>
    <row r="4578" spans="20:20" ht="26.25">
      <c r="T4578" s="62" ph="1"/>
    </row>
    <row r="4579" spans="20:20" ht="26.25">
      <c r="T4579" s="62" ph="1"/>
    </row>
    <row r="4580" spans="20:20" ht="26.25">
      <c r="T4580" s="62" ph="1"/>
    </row>
    <row r="4581" spans="20:20" ht="26.25">
      <c r="T4581" s="62" ph="1"/>
    </row>
    <row r="4582" spans="20:20" ht="26.25">
      <c r="T4582" s="62" ph="1"/>
    </row>
    <row r="4583" spans="20:20" ht="26.25">
      <c r="T4583" s="62" ph="1"/>
    </row>
    <row r="4584" spans="20:20" ht="26.25">
      <c r="T4584" s="62" ph="1"/>
    </row>
    <row r="4585" spans="20:20" ht="26.25">
      <c r="T4585" s="62" ph="1"/>
    </row>
    <row r="4586" spans="20:20" ht="26.25">
      <c r="T4586" s="62" ph="1"/>
    </row>
    <row r="4587" spans="20:20" ht="26.25">
      <c r="T4587" s="62" ph="1"/>
    </row>
    <row r="4588" spans="20:20" ht="26.25">
      <c r="T4588" s="62" ph="1"/>
    </row>
    <row r="4589" spans="20:20" ht="26.25">
      <c r="T4589" s="62" ph="1"/>
    </row>
    <row r="4590" spans="20:20" ht="26.25">
      <c r="T4590" s="62" ph="1"/>
    </row>
    <row r="4591" spans="20:20" ht="26.25">
      <c r="T4591" s="62" ph="1"/>
    </row>
    <row r="4592" spans="20:20" ht="26.25">
      <c r="T4592" s="62" ph="1"/>
    </row>
    <row r="4593" spans="20:20" ht="26.25">
      <c r="T4593" s="62" ph="1"/>
    </row>
    <row r="4594" spans="20:20" ht="26.25">
      <c r="T4594" s="62" ph="1"/>
    </row>
    <row r="4595" spans="20:20" ht="26.25">
      <c r="T4595" s="62" ph="1"/>
    </row>
    <row r="4596" spans="20:20" ht="26.25">
      <c r="T4596" s="62" ph="1"/>
    </row>
    <row r="4597" spans="20:20" ht="26.25">
      <c r="T4597" s="62" ph="1"/>
    </row>
    <row r="4598" spans="20:20" ht="26.25">
      <c r="T4598" s="62" ph="1"/>
    </row>
    <row r="4599" spans="20:20" ht="26.25">
      <c r="T4599" s="62" ph="1"/>
    </row>
    <row r="4600" spans="20:20" ht="26.25">
      <c r="T4600" s="62" ph="1"/>
    </row>
    <row r="4601" spans="20:20" ht="26.25">
      <c r="T4601" s="62" ph="1"/>
    </row>
    <row r="4602" spans="20:20" ht="26.25">
      <c r="T4602" s="62" ph="1"/>
    </row>
    <row r="4603" spans="20:20" ht="26.25">
      <c r="T4603" s="62" ph="1"/>
    </row>
    <row r="4604" spans="20:20" ht="26.25">
      <c r="T4604" s="62" ph="1"/>
    </row>
    <row r="4605" spans="20:20" ht="26.25">
      <c r="T4605" s="62" ph="1"/>
    </row>
    <row r="4606" spans="20:20" ht="26.25">
      <c r="T4606" s="62" ph="1"/>
    </row>
    <row r="4607" spans="20:20" ht="26.25">
      <c r="T4607" s="62" ph="1"/>
    </row>
    <row r="4608" spans="20:20" ht="26.25">
      <c r="T4608" s="62" ph="1"/>
    </row>
    <row r="4609" spans="20:20" ht="26.25">
      <c r="T4609" s="62" ph="1"/>
    </row>
    <row r="4610" spans="20:20" ht="26.25">
      <c r="T4610" s="62" ph="1"/>
    </row>
    <row r="4611" spans="20:20" ht="26.25">
      <c r="T4611" s="62" ph="1"/>
    </row>
    <row r="4612" spans="20:20" ht="26.25">
      <c r="T4612" s="62" ph="1"/>
    </row>
    <row r="4613" spans="20:20" ht="26.25">
      <c r="T4613" s="62" ph="1"/>
    </row>
    <row r="4614" spans="20:20" ht="26.25">
      <c r="T4614" s="62" ph="1"/>
    </row>
    <row r="4615" spans="20:20" ht="26.25">
      <c r="T4615" s="62" ph="1"/>
    </row>
    <row r="4616" spans="20:20" ht="26.25">
      <c r="T4616" s="62" ph="1"/>
    </row>
    <row r="4617" spans="20:20" ht="26.25">
      <c r="T4617" s="62" ph="1"/>
    </row>
    <row r="4618" spans="20:20" ht="26.25">
      <c r="T4618" s="62" ph="1"/>
    </row>
    <row r="4619" spans="20:20" ht="26.25">
      <c r="T4619" s="62" ph="1"/>
    </row>
    <row r="4620" spans="20:20" ht="26.25">
      <c r="T4620" s="62" ph="1"/>
    </row>
    <row r="4621" spans="20:20" ht="26.25">
      <c r="T4621" s="62" ph="1"/>
    </row>
    <row r="4622" spans="20:20" ht="26.25">
      <c r="T4622" s="62" ph="1"/>
    </row>
    <row r="4623" spans="20:20" ht="26.25">
      <c r="T4623" s="62" ph="1"/>
    </row>
    <row r="4624" spans="20:20" ht="26.25">
      <c r="T4624" s="62" ph="1"/>
    </row>
    <row r="4625" spans="20:20" ht="26.25">
      <c r="T4625" s="62" ph="1"/>
    </row>
    <row r="4626" spans="20:20" ht="26.25">
      <c r="T4626" s="62" ph="1"/>
    </row>
    <row r="4627" spans="20:20" ht="26.25">
      <c r="T4627" s="62" ph="1"/>
    </row>
    <row r="4628" spans="20:20" ht="26.25">
      <c r="T4628" s="62" ph="1"/>
    </row>
    <row r="4629" spans="20:20" ht="26.25">
      <c r="T4629" s="62" ph="1"/>
    </row>
    <row r="4630" spans="20:20" ht="26.25">
      <c r="T4630" s="62" ph="1"/>
    </row>
    <row r="4631" spans="20:20" ht="26.25">
      <c r="T4631" s="62" ph="1"/>
    </row>
    <row r="4632" spans="20:20" ht="26.25">
      <c r="T4632" s="62" ph="1"/>
    </row>
    <row r="4633" spans="20:20" ht="26.25">
      <c r="T4633" s="62" ph="1"/>
    </row>
    <row r="4634" spans="20:20" ht="26.25">
      <c r="T4634" s="62" ph="1"/>
    </row>
    <row r="4635" spans="20:20" ht="26.25">
      <c r="T4635" s="62" ph="1"/>
    </row>
    <row r="4636" spans="20:20" ht="26.25">
      <c r="T4636" s="62" ph="1"/>
    </row>
    <row r="4637" spans="20:20" ht="26.25">
      <c r="T4637" s="62" ph="1"/>
    </row>
    <row r="4638" spans="20:20" ht="26.25">
      <c r="T4638" s="62" ph="1"/>
    </row>
    <row r="4639" spans="20:20" ht="26.25">
      <c r="T4639" s="62" ph="1"/>
    </row>
    <row r="4640" spans="20:20" ht="26.25">
      <c r="T4640" s="62" ph="1"/>
    </row>
    <row r="4641" spans="20:20" ht="26.25">
      <c r="T4641" s="62" ph="1"/>
    </row>
    <row r="4642" spans="20:20" ht="26.25">
      <c r="T4642" s="62" ph="1"/>
    </row>
    <row r="4643" spans="20:20" ht="26.25">
      <c r="T4643" s="62" ph="1"/>
    </row>
    <row r="4644" spans="20:20" ht="26.25">
      <c r="T4644" s="62" ph="1"/>
    </row>
    <row r="4645" spans="20:20" ht="26.25">
      <c r="T4645" s="62" ph="1"/>
    </row>
    <row r="4646" spans="20:20" ht="26.25">
      <c r="T4646" s="62" ph="1"/>
    </row>
    <row r="4647" spans="20:20" ht="26.25">
      <c r="T4647" s="62" ph="1"/>
    </row>
    <row r="4648" spans="20:20" ht="26.25">
      <c r="T4648" s="62" ph="1"/>
    </row>
    <row r="4649" spans="20:20" ht="26.25">
      <c r="T4649" s="62" ph="1"/>
    </row>
    <row r="4650" spans="20:20" ht="26.25">
      <c r="T4650" s="62" ph="1"/>
    </row>
    <row r="4651" spans="20:20" ht="26.25">
      <c r="T4651" s="62" ph="1"/>
    </row>
    <row r="4652" spans="20:20" ht="26.25">
      <c r="T4652" s="62" ph="1"/>
    </row>
    <row r="4653" spans="20:20" ht="26.25">
      <c r="T4653" s="62" ph="1"/>
    </row>
    <row r="4654" spans="20:20" ht="26.25">
      <c r="T4654" s="62" ph="1"/>
    </row>
    <row r="4655" spans="20:20" ht="26.25">
      <c r="T4655" s="62" ph="1"/>
    </row>
    <row r="4656" spans="20:20" ht="26.25">
      <c r="T4656" s="62" ph="1"/>
    </row>
    <row r="4657" spans="20:20" ht="26.25">
      <c r="T4657" s="62" ph="1"/>
    </row>
    <row r="4658" spans="20:20" ht="26.25">
      <c r="T4658" s="62" ph="1"/>
    </row>
    <row r="4659" spans="20:20" ht="26.25">
      <c r="T4659" s="62" ph="1"/>
    </row>
    <row r="4660" spans="20:20" ht="26.25">
      <c r="T4660" s="62" ph="1"/>
    </row>
    <row r="4661" spans="20:20" ht="26.25">
      <c r="T4661" s="62" ph="1"/>
    </row>
    <row r="4662" spans="20:20" ht="26.25">
      <c r="T4662" s="62" ph="1"/>
    </row>
    <row r="4663" spans="20:20" ht="26.25">
      <c r="T4663" s="62" ph="1"/>
    </row>
    <row r="4664" spans="20:20" ht="26.25">
      <c r="T4664" s="62" ph="1"/>
    </row>
    <row r="4665" spans="20:20" ht="26.25">
      <c r="T4665" s="62" ph="1"/>
    </row>
    <row r="4666" spans="20:20" ht="26.25">
      <c r="T4666" s="62" ph="1"/>
    </row>
    <row r="4667" spans="20:20" ht="26.25">
      <c r="T4667" s="62" ph="1"/>
    </row>
    <row r="4668" spans="20:20" ht="26.25">
      <c r="T4668" s="62" ph="1"/>
    </row>
    <row r="4669" spans="20:20" ht="26.25">
      <c r="T4669" s="62" ph="1"/>
    </row>
    <row r="4670" spans="20:20" ht="26.25">
      <c r="T4670" s="62" ph="1"/>
    </row>
    <row r="4671" spans="20:20" ht="26.25">
      <c r="T4671" s="62" ph="1"/>
    </row>
    <row r="4672" spans="20:20" ht="26.25">
      <c r="T4672" s="62" ph="1"/>
    </row>
    <row r="4673" spans="20:20" ht="26.25">
      <c r="T4673" s="62" ph="1"/>
    </row>
    <row r="4674" spans="20:20" ht="26.25">
      <c r="T4674" s="62" ph="1"/>
    </row>
    <row r="4675" spans="20:20" ht="26.25">
      <c r="T4675" s="62" ph="1"/>
    </row>
    <row r="4676" spans="20:20" ht="26.25">
      <c r="T4676" s="62" ph="1"/>
    </row>
    <row r="4677" spans="20:20" ht="26.25">
      <c r="T4677" s="62" ph="1"/>
    </row>
    <row r="4678" spans="20:20" ht="26.25">
      <c r="T4678" s="62" ph="1"/>
    </row>
    <row r="4679" spans="20:20" ht="26.25">
      <c r="T4679" s="62" ph="1"/>
    </row>
    <row r="4680" spans="20:20" ht="26.25">
      <c r="T4680" s="62" ph="1"/>
    </row>
    <row r="4681" spans="20:20" ht="26.25">
      <c r="T4681" s="62" ph="1"/>
    </row>
    <row r="4682" spans="20:20" ht="26.25">
      <c r="T4682" s="62" ph="1"/>
    </row>
    <row r="4683" spans="20:20" ht="26.25">
      <c r="T4683" s="62" ph="1"/>
    </row>
    <row r="4684" spans="20:20" ht="26.25">
      <c r="T4684" s="62" ph="1"/>
    </row>
    <row r="4685" spans="20:20" ht="26.25">
      <c r="T4685" s="62" ph="1"/>
    </row>
    <row r="4686" spans="20:20" ht="26.25">
      <c r="T4686" s="62" ph="1"/>
    </row>
    <row r="4687" spans="20:20" ht="26.25">
      <c r="T4687" s="62" ph="1"/>
    </row>
    <row r="4688" spans="20:20" ht="26.25">
      <c r="T4688" s="62" ph="1"/>
    </row>
    <row r="4689" spans="20:20" ht="26.25">
      <c r="T4689" s="62" ph="1"/>
    </row>
    <row r="4690" spans="20:20" ht="26.25">
      <c r="T4690" s="62" ph="1"/>
    </row>
    <row r="4691" spans="20:20" ht="26.25">
      <c r="T4691" s="62" ph="1"/>
    </row>
    <row r="4692" spans="20:20" ht="26.25">
      <c r="T4692" s="62" ph="1"/>
    </row>
    <row r="4693" spans="20:20" ht="26.25">
      <c r="T4693" s="62" ph="1"/>
    </row>
    <row r="4694" spans="20:20" ht="26.25">
      <c r="T4694" s="62" ph="1"/>
    </row>
    <row r="4695" spans="20:20" ht="26.25">
      <c r="T4695" s="62" ph="1"/>
    </row>
    <row r="4696" spans="20:20" ht="26.25">
      <c r="T4696" s="62" ph="1"/>
    </row>
    <row r="4697" spans="20:20" ht="26.25">
      <c r="T4697" s="62" ph="1"/>
    </row>
    <row r="4698" spans="20:20" ht="26.25">
      <c r="T4698" s="62" ph="1"/>
    </row>
    <row r="4699" spans="20:20" ht="26.25">
      <c r="T4699" s="62" ph="1"/>
    </row>
    <row r="4700" spans="20:20" ht="26.25">
      <c r="T4700" s="62" ph="1"/>
    </row>
    <row r="4701" spans="20:20" ht="26.25">
      <c r="T4701" s="62" ph="1"/>
    </row>
    <row r="4702" spans="20:20" ht="26.25">
      <c r="T4702" s="62" ph="1"/>
    </row>
    <row r="4703" spans="20:20" ht="26.25">
      <c r="T4703" s="62" ph="1"/>
    </row>
    <row r="4704" spans="20:20" ht="26.25">
      <c r="T4704" s="62" ph="1"/>
    </row>
    <row r="4705" spans="20:20" ht="26.25">
      <c r="T4705" s="62" ph="1"/>
    </row>
    <row r="4706" spans="20:20" ht="26.25">
      <c r="T4706" s="62" ph="1"/>
    </row>
    <row r="4707" spans="20:20" ht="26.25">
      <c r="T4707" s="62" ph="1"/>
    </row>
    <row r="4708" spans="20:20" ht="26.25">
      <c r="T4708" s="62" ph="1"/>
    </row>
    <row r="4709" spans="20:20" ht="26.25">
      <c r="T4709" s="62" ph="1"/>
    </row>
    <row r="4710" spans="20:20" ht="26.25">
      <c r="T4710" s="62" ph="1"/>
    </row>
    <row r="4711" spans="20:20" ht="26.25">
      <c r="T4711" s="62" ph="1"/>
    </row>
    <row r="4712" spans="20:20" ht="26.25">
      <c r="T4712" s="62" ph="1"/>
    </row>
    <row r="4713" spans="20:20" ht="26.25">
      <c r="T4713" s="62" ph="1"/>
    </row>
    <row r="4714" spans="20:20" ht="26.25">
      <c r="T4714" s="62" ph="1"/>
    </row>
    <row r="4715" spans="20:20" ht="26.25">
      <c r="T4715" s="62" ph="1"/>
    </row>
    <row r="4716" spans="20:20" ht="26.25">
      <c r="T4716" s="62" ph="1"/>
    </row>
    <row r="4717" spans="20:20" ht="26.25">
      <c r="T4717" s="62" ph="1"/>
    </row>
    <row r="4718" spans="20:20" ht="26.25">
      <c r="T4718" s="62" ph="1"/>
    </row>
    <row r="4719" spans="20:20" ht="26.25">
      <c r="T4719" s="62" ph="1"/>
    </row>
    <row r="4720" spans="20:20" ht="26.25">
      <c r="T4720" s="62" ph="1"/>
    </row>
    <row r="4721" spans="20:20" ht="26.25">
      <c r="T4721" s="62" ph="1"/>
    </row>
    <row r="4722" spans="20:20" ht="26.25">
      <c r="T4722" s="62" ph="1"/>
    </row>
    <row r="4723" spans="20:20" ht="26.25">
      <c r="T4723" s="62" ph="1"/>
    </row>
    <row r="4724" spans="20:20" ht="26.25">
      <c r="T4724" s="62" ph="1"/>
    </row>
    <row r="4725" spans="20:20" ht="26.25">
      <c r="T4725" s="62" ph="1"/>
    </row>
    <row r="4726" spans="20:20" ht="26.25">
      <c r="T4726" s="62" ph="1"/>
    </row>
    <row r="4727" spans="20:20" ht="26.25">
      <c r="T4727" s="62" ph="1"/>
    </row>
    <row r="4728" spans="20:20" ht="26.25">
      <c r="T4728" s="62" ph="1"/>
    </row>
    <row r="4729" spans="20:20" ht="26.25">
      <c r="T4729" s="62" ph="1"/>
    </row>
    <row r="4730" spans="20:20" ht="26.25">
      <c r="T4730" s="62" ph="1"/>
    </row>
    <row r="4731" spans="20:20" ht="26.25">
      <c r="T4731" s="62" ph="1"/>
    </row>
    <row r="4732" spans="20:20" ht="26.25">
      <c r="T4732" s="62" ph="1"/>
    </row>
    <row r="4733" spans="20:20" ht="26.25">
      <c r="T4733" s="62" ph="1"/>
    </row>
    <row r="4734" spans="20:20" ht="26.25">
      <c r="T4734" s="62" ph="1"/>
    </row>
    <row r="4735" spans="20:20" ht="26.25">
      <c r="T4735" s="62" ph="1"/>
    </row>
    <row r="4736" spans="20:20" ht="26.25">
      <c r="T4736" s="62" ph="1"/>
    </row>
    <row r="4737" spans="20:20" ht="26.25">
      <c r="T4737" s="62" ph="1"/>
    </row>
    <row r="4738" spans="20:20" ht="26.25">
      <c r="T4738" s="62" ph="1"/>
    </row>
    <row r="4739" spans="20:20" ht="26.25">
      <c r="T4739" s="62" ph="1"/>
    </row>
    <row r="4740" spans="20:20" ht="26.25">
      <c r="T4740" s="62" ph="1"/>
    </row>
    <row r="4741" spans="20:20" ht="26.25">
      <c r="T4741" s="62" ph="1"/>
    </row>
    <row r="4742" spans="20:20" ht="26.25">
      <c r="T4742" s="62" ph="1"/>
    </row>
    <row r="4743" spans="20:20" ht="26.25">
      <c r="T4743" s="62" ph="1"/>
    </row>
    <row r="4744" spans="20:20" ht="26.25">
      <c r="T4744" s="62" ph="1"/>
    </row>
    <row r="4745" spans="20:20" ht="26.25">
      <c r="T4745" s="62" ph="1"/>
    </row>
    <row r="4746" spans="20:20" ht="26.25">
      <c r="T4746" s="62" ph="1"/>
    </row>
    <row r="4747" spans="20:20" ht="26.25">
      <c r="T4747" s="62" ph="1"/>
    </row>
    <row r="4748" spans="20:20" ht="26.25">
      <c r="T4748" s="62" ph="1"/>
    </row>
    <row r="4749" spans="20:20" ht="26.25">
      <c r="T4749" s="62" ph="1"/>
    </row>
    <row r="4750" spans="20:20" ht="26.25">
      <c r="T4750" s="62" ph="1"/>
    </row>
    <row r="4751" spans="20:20" ht="26.25">
      <c r="T4751" s="62" ph="1"/>
    </row>
    <row r="4752" spans="20:20" ht="26.25">
      <c r="T4752" s="62" ph="1"/>
    </row>
    <row r="4753" spans="20:20" ht="26.25">
      <c r="T4753" s="62" ph="1"/>
    </row>
    <row r="4754" spans="20:20" ht="26.25">
      <c r="T4754" s="62" ph="1"/>
    </row>
    <row r="4755" spans="20:20" ht="26.25">
      <c r="T4755" s="62" ph="1"/>
    </row>
    <row r="4756" spans="20:20" ht="26.25">
      <c r="T4756" s="62" ph="1"/>
    </row>
    <row r="4757" spans="20:20" ht="26.25">
      <c r="T4757" s="62" ph="1"/>
    </row>
    <row r="4758" spans="20:20" ht="26.25">
      <c r="T4758" s="62" ph="1"/>
    </row>
    <row r="4759" spans="20:20" ht="26.25">
      <c r="T4759" s="62" ph="1"/>
    </row>
    <row r="4760" spans="20:20" ht="26.25">
      <c r="T4760" s="62" ph="1"/>
    </row>
    <row r="4761" spans="20:20" ht="26.25">
      <c r="T4761" s="62" ph="1"/>
    </row>
    <row r="4762" spans="20:20" ht="26.25">
      <c r="T4762" s="62" ph="1"/>
    </row>
    <row r="4763" spans="20:20" ht="26.25">
      <c r="T4763" s="62" ph="1"/>
    </row>
    <row r="4764" spans="20:20" ht="26.25">
      <c r="T4764" s="62" ph="1"/>
    </row>
    <row r="4765" spans="20:20" ht="26.25">
      <c r="T4765" s="62" ph="1"/>
    </row>
    <row r="4766" spans="20:20" ht="26.25">
      <c r="T4766" s="62" ph="1"/>
    </row>
    <row r="4767" spans="20:20" ht="26.25">
      <c r="T4767" s="62" ph="1"/>
    </row>
    <row r="4768" spans="20:20" ht="26.25">
      <c r="T4768" s="62" ph="1"/>
    </row>
    <row r="4769" spans="20:20" ht="26.25">
      <c r="T4769" s="62" ph="1"/>
    </row>
    <row r="4770" spans="20:20" ht="26.25">
      <c r="T4770" s="62" ph="1"/>
    </row>
    <row r="4771" spans="20:20" ht="26.25">
      <c r="T4771" s="62" ph="1"/>
    </row>
    <row r="4772" spans="20:20" ht="26.25">
      <c r="T4772" s="62" ph="1"/>
    </row>
    <row r="4773" spans="20:20" ht="26.25">
      <c r="T4773" s="62" ph="1"/>
    </row>
    <row r="4774" spans="20:20" ht="26.25">
      <c r="T4774" s="62" ph="1"/>
    </row>
    <row r="4775" spans="20:20" ht="26.25">
      <c r="T4775" s="62" ph="1"/>
    </row>
    <row r="4776" spans="20:20" ht="26.25">
      <c r="T4776" s="62" ph="1"/>
    </row>
    <row r="4777" spans="20:20" ht="26.25">
      <c r="T4777" s="62" ph="1"/>
    </row>
    <row r="4778" spans="20:20" ht="26.25">
      <c r="T4778" s="62" ph="1"/>
    </row>
    <row r="4779" spans="20:20" ht="26.25">
      <c r="T4779" s="62" ph="1"/>
    </row>
    <row r="4780" spans="20:20" ht="26.25">
      <c r="T4780" s="62" ph="1"/>
    </row>
    <row r="4781" spans="20:20" ht="26.25">
      <c r="T4781" s="62" ph="1"/>
    </row>
    <row r="4782" spans="20:20" ht="26.25">
      <c r="T4782" s="62" ph="1"/>
    </row>
    <row r="4783" spans="20:20" ht="26.25">
      <c r="T4783" s="62" ph="1"/>
    </row>
    <row r="4784" spans="20:20" ht="26.25">
      <c r="T4784" s="62" ph="1"/>
    </row>
    <row r="4785" spans="20:20" ht="26.25">
      <c r="T4785" s="62" ph="1"/>
    </row>
    <row r="4786" spans="20:20" ht="26.25">
      <c r="T4786" s="62" ph="1"/>
    </row>
    <row r="4787" spans="20:20" ht="26.25">
      <c r="T4787" s="62" ph="1"/>
    </row>
    <row r="4788" spans="20:20" ht="26.25">
      <c r="T4788" s="62" ph="1"/>
    </row>
    <row r="4789" spans="20:20" ht="26.25">
      <c r="T4789" s="62" ph="1"/>
    </row>
    <row r="4790" spans="20:20" ht="26.25">
      <c r="T4790" s="62" ph="1"/>
    </row>
    <row r="4791" spans="20:20" ht="26.25">
      <c r="T4791" s="62" ph="1"/>
    </row>
    <row r="4792" spans="20:20" ht="26.25">
      <c r="T4792" s="62" ph="1"/>
    </row>
    <row r="4793" spans="20:20" ht="26.25">
      <c r="T4793" s="62" ph="1"/>
    </row>
    <row r="4794" spans="20:20" ht="26.25">
      <c r="T4794" s="62" ph="1"/>
    </row>
    <row r="4795" spans="20:20" ht="26.25">
      <c r="T4795" s="62" ph="1"/>
    </row>
    <row r="4796" spans="20:20" ht="26.25">
      <c r="T4796" s="62" ph="1"/>
    </row>
    <row r="4797" spans="20:20" ht="26.25">
      <c r="T4797" s="62" ph="1"/>
    </row>
    <row r="4798" spans="20:20" ht="26.25">
      <c r="T4798" s="62" ph="1"/>
    </row>
    <row r="4799" spans="20:20" ht="26.25">
      <c r="T4799" s="62" ph="1"/>
    </row>
    <row r="4800" spans="20:20" ht="26.25">
      <c r="T4800" s="62" ph="1"/>
    </row>
    <row r="4801" spans="20:20" ht="26.25">
      <c r="T4801" s="62" ph="1"/>
    </row>
    <row r="4802" spans="20:20" ht="26.25">
      <c r="T4802" s="62" ph="1"/>
    </row>
    <row r="4803" spans="20:20" ht="26.25">
      <c r="T4803" s="62" ph="1"/>
    </row>
    <row r="4804" spans="20:20" ht="26.25">
      <c r="T4804" s="62" ph="1"/>
    </row>
    <row r="4805" spans="20:20" ht="26.25">
      <c r="T4805" s="62" ph="1"/>
    </row>
    <row r="4806" spans="20:20" ht="26.25">
      <c r="T4806" s="62" ph="1"/>
    </row>
    <row r="4807" spans="20:20" ht="26.25">
      <c r="T4807" s="62" ph="1"/>
    </row>
    <row r="4808" spans="20:20" ht="26.25">
      <c r="T4808" s="62" ph="1"/>
    </row>
    <row r="4809" spans="20:20" ht="26.25">
      <c r="T4809" s="62" ph="1"/>
    </row>
    <row r="4810" spans="20:20" ht="26.25">
      <c r="T4810" s="62" ph="1"/>
    </row>
    <row r="4811" spans="20:20" ht="26.25">
      <c r="T4811" s="62" ph="1"/>
    </row>
    <row r="4812" spans="20:20" ht="26.25">
      <c r="T4812" s="62" ph="1"/>
    </row>
    <row r="4813" spans="20:20" ht="26.25">
      <c r="T4813" s="62" ph="1"/>
    </row>
    <row r="4814" spans="20:20" ht="26.25">
      <c r="T4814" s="62" ph="1"/>
    </row>
    <row r="4815" spans="20:20" ht="26.25">
      <c r="T4815" s="62" ph="1"/>
    </row>
    <row r="4816" spans="20:20" ht="26.25">
      <c r="T4816" s="62" ph="1"/>
    </row>
    <row r="4817" spans="20:20" ht="26.25">
      <c r="T4817" s="62" ph="1"/>
    </row>
    <row r="4818" spans="20:20" ht="26.25">
      <c r="T4818" s="62" ph="1"/>
    </row>
    <row r="4819" spans="20:20" ht="26.25">
      <c r="T4819" s="62" ph="1"/>
    </row>
    <row r="4820" spans="20:20" ht="26.25">
      <c r="T4820" s="62" ph="1"/>
    </row>
    <row r="4821" spans="20:20" ht="26.25">
      <c r="T4821" s="62" ph="1"/>
    </row>
    <row r="4822" spans="20:20" ht="26.25">
      <c r="T4822" s="62" ph="1"/>
    </row>
    <row r="4823" spans="20:20" ht="26.25">
      <c r="T4823" s="62" ph="1"/>
    </row>
    <row r="4824" spans="20:20" ht="26.25">
      <c r="T4824" s="62" ph="1"/>
    </row>
    <row r="4825" spans="20:20" ht="26.25">
      <c r="T4825" s="62" ph="1"/>
    </row>
    <row r="4826" spans="20:20" ht="26.25">
      <c r="T4826" s="62" ph="1"/>
    </row>
    <row r="4827" spans="20:20" ht="26.25">
      <c r="T4827" s="62" ph="1"/>
    </row>
    <row r="4828" spans="20:20" ht="26.25">
      <c r="T4828" s="62" ph="1"/>
    </row>
    <row r="4829" spans="20:20" ht="26.25">
      <c r="T4829" s="62" ph="1"/>
    </row>
    <row r="4830" spans="20:20" ht="26.25">
      <c r="T4830" s="62" ph="1"/>
    </row>
    <row r="4831" spans="20:20" ht="26.25">
      <c r="T4831" s="62" ph="1"/>
    </row>
    <row r="4832" spans="20:20" ht="26.25">
      <c r="T4832" s="62" ph="1"/>
    </row>
    <row r="4833" spans="20:20" ht="26.25">
      <c r="T4833" s="62" ph="1"/>
    </row>
    <row r="4834" spans="20:20" ht="26.25">
      <c r="T4834" s="62" ph="1"/>
    </row>
    <row r="4835" spans="20:20" ht="26.25">
      <c r="T4835" s="62" ph="1"/>
    </row>
    <row r="4836" spans="20:20" ht="26.25">
      <c r="T4836" s="62" ph="1"/>
    </row>
    <row r="4837" spans="20:20" ht="26.25">
      <c r="T4837" s="62" ph="1"/>
    </row>
    <row r="4838" spans="20:20" ht="26.25">
      <c r="T4838" s="62" ph="1"/>
    </row>
    <row r="4839" spans="20:20" ht="26.25">
      <c r="T4839" s="62" ph="1"/>
    </row>
    <row r="4840" spans="20:20" ht="26.25">
      <c r="T4840" s="62" ph="1"/>
    </row>
    <row r="4841" spans="20:20" ht="26.25">
      <c r="T4841" s="62" ph="1"/>
    </row>
    <row r="4842" spans="20:20" ht="26.25">
      <c r="T4842" s="62" ph="1"/>
    </row>
    <row r="4843" spans="20:20" ht="26.25">
      <c r="T4843" s="62" ph="1"/>
    </row>
    <row r="4844" spans="20:20" ht="26.25">
      <c r="T4844" s="62" ph="1"/>
    </row>
    <row r="4845" spans="20:20" ht="26.25">
      <c r="T4845" s="62" ph="1"/>
    </row>
    <row r="4846" spans="20:20" ht="26.25">
      <c r="T4846" s="62" ph="1"/>
    </row>
    <row r="4847" spans="20:20" ht="26.25">
      <c r="T4847" s="62" ph="1"/>
    </row>
    <row r="4848" spans="20:20" ht="26.25">
      <c r="T4848" s="62" ph="1"/>
    </row>
    <row r="4849" spans="20:20" ht="26.25">
      <c r="T4849" s="62" ph="1"/>
    </row>
    <row r="4850" spans="20:20" ht="26.25">
      <c r="T4850" s="62" ph="1"/>
    </row>
    <row r="4851" spans="20:20" ht="26.25">
      <c r="T4851" s="62" ph="1"/>
    </row>
    <row r="4852" spans="20:20" ht="26.25">
      <c r="T4852" s="62" ph="1"/>
    </row>
    <row r="4853" spans="20:20" ht="26.25">
      <c r="T4853" s="62" ph="1"/>
    </row>
    <row r="4854" spans="20:20" ht="26.25">
      <c r="T4854" s="62" ph="1"/>
    </row>
    <row r="4855" spans="20:20" ht="26.25">
      <c r="T4855" s="62" ph="1"/>
    </row>
    <row r="4856" spans="20:20" ht="26.25">
      <c r="T4856" s="62" ph="1"/>
    </row>
    <row r="4857" spans="20:20" ht="26.25">
      <c r="T4857" s="62" ph="1"/>
    </row>
    <row r="4858" spans="20:20" ht="26.25">
      <c r="T4858" s="62" ph="1"/>
    </row>
    <row r="4859" spans="20:20" ht="26.25">
      <c r="T4859" s="62" ph="1"/>
    </row>
    <row r="4860" spans="20:20" ht="26.25">
      <c r="T4860" s="62" ph="1"/>
    </row>
    <row r="4861" spans="20:20" ht="26.25">
      <c r="T4861" s="62" ph="1"/>
    </row>
    <row r="4862" spans="20:20" ht="26.25">
      <c r="T4862" s="62" ph="1"/>
    </row>
    <row r="4863" spans="20:20" ht="26.25">
      <c r="T4863" s="62" ph="1"/>
    </row>
    <row r="4864" spans="20:20" ht="26.25">
      <c r="T4864" s="62" ph="1"/>
    </row>
    <row r="4865" spans="20:20" ht="26.25">
      <c r="T4865" s="62" ph="1"/>
    </row>
    <row r="4866" spans="20:20" ht="26.25">
      <c r="T4866" s="62" ph="1"/>
    </row>
    <row r="4867" spans="20:20" ht="26.25">
      <c r="T4867" s="62" ph="1"/>
    </row>
    <row r="4868" spans="20:20" ht="26.25">
      <c r="T4868" s="62" ph="1"/>
    </row>
    <row r="4869" spans="20:20" ht="26.25">
      <c r="T4869" s="62" ph="1"/>
    </row>
    <row r="4870" spans="20:20" ht="26.25">
      <c r="T4870" s="62" ph="1"/>
    </row>
    <row r="4871" spans="20:20" ht="26.25">
      <c r="T4871" s="62" ph="1"/>
    </row>
    <row r="4872" spans="20:20" ht="26.25">
      <c r="T4872" s="62" ph="1"/>
    </row>
    <row r="4873" spans="20:20" ht="26.25">
      <c r="T4873" s="62" ph="1"/>
    </row>
    <row r="4874" spans="20:20" ht="26.25">
      <c r="T4874" s="62" ph="1"/>
    </row>
    <row r="4875" spans="20:20" ht="26.25">
      <c r="T4875" s="62" ph="1"/>
    </row>
    <row r="4876" spans="20:20" ht="26.25">
      <c r="T4876" s="62" ph="1"/>
    </row>
    <row r="4877" spans="20:20" ht="26.25">
      <c r="T4877" s="62" ph="1"/>
    </row>
    <row r="4878" spans="20:20" ht="26.25">
      <c r="T4878" s="62" ph="1"/>
    </row>
    <row r="4879" spans="20:20" ht="26.25">
      <c r="T4879" s="62" ph="1"/>
    </row>
    <row r="4880" spans="20:20" ht="26.25">
      <c r="T4880" s="62" ph="1"/>
    </row>
    <row r="4881" spans="20:20" ht="26.25">
      <c r="T4881" s="62" ph="1"/>
    </row>
    <row r="4882" spans="20:20" ht="26.25">
      <c r="T4882" s="62" ph="1"/>
    </row>
    <row r="4883" spans="20:20" ht="26.25">
      <c r="T4883" s="62" ph="1"/>
    </row>
    <row r="4884" spans="20:20" ht="26.25">
      <c r="T4884" s="62" ph="1"/>
    </row>
    <row r="4885" spans="20:20" ht="26.25">
      <c r="T4885" s="62" ph="1"/>
    </row>
    <row r="4886" spans="20:20" ht="26.25">
      <c r="T4886" s="62" ph="1"/>
    </row>
    <row r="4887" spans="20:20" ht="26.25">
      <c r="T4887" s="62" ph="1"/>
    </row>
    <row r="4888" spans="20:20" ht="26.25">
      <c r="T4888" s="62" ph="1"/>
    </row>
    <row r="4889" spans="20:20" ht="26.25">
      <c r="T4889" s="62" ph="1"/>
    </row>
    <row r="4890" spans="20:20" ht="26.25">
      <c r="T4890" s="62" ph="1"/>
    </row>
    <row r="4891" spans="20:20" ht="26.25">
      <c r="T4891" s="62" ph="1"/>
    </row>
    <row r="4892" spans="20:20" ht="26.25">
      <c r="T4892" s="62" ph="1"/>
    </row>
    <row r="4893" spans="20:20" ht="26.25">
      <c r="T4893" s="62" ph="1"/>
    </row>
    <row r="4894" spans="20:20" ht="26.25">
      <c r="T4894" s="62" ph="1"/>
    </row>
    <row r="4895" spans="20:20" ht="26.25">
      <c r="T4895" s="62" ph="1"/>
    </row>
    <row r="4896" spans="20:20" ht="26.25">
      <c r="T4896" s="62" ph="1"/>
    </row>
    <row r="4897" spans="20:20" ht="26.25">
      <c r="T4897" s="62" ph="1"/>
    </row>
    <row r="4898" spans="20:20" ht="26.25">
      <c r="T4898" s="62" ph="1"/>
    </row>
    <row r="4899" spans="20:20" ht="26.25">
      <c r="T4899" s="62" ph="1"/>
    </row>
    <row r="4900" spans="20:20" ht="26.25">
      <c r="T4900" s="62" ph="1"/>
    </row>
    <row r="4901" spans="20:20" ht="26.25">
      <c r="T4901" s="62" ph="1"/>
    </row>
    <row r="4902" spans="20:20" ht="26.25">
      <c r="T4902" s="62" ph="1"/>
    </row>
    <row r="4903" spans="20:20" ht="26.25">
      <c r="T4903" s="62" ph="1"/>
    </row>
    <row r="4904" spans="20:20" ht="26.25">
      <c r="T4904" s="62" ph="1"/>
    </row>
    <row r="4905" spans="20:20" ht="26.25">
      <c r="T4905" s="62" ph="1"/>
    </row>
    <row r="4906" spans="20:20" ht="26.25">
      <c r="T4906" s="62" ph="1"/>
    </row>
    <row r="4907" spans="20:20" ht="26.25">
      <c r="T4907" s="62" ph="1"/>
    </row>
    <row r="4908" spans="20:20" ht="26.25">
      <c r="T4908" s="62" ph="1"/>
    </row>
    <row r="4909" spans="20:20" ht="26.25">
      <c r="T4909" s="62" ph="1"/>
    </row>
    <row r="4910" spans="20:20" ht="26.25">
      <c r="T4910" s="62" ph="1"/>
    </row>
    <row r="4911" spans="20:20" ht="26.25">
      <c r="T4911" s="62" ph="1"/>
    </row>
    <row r="4912" spans="20:20" ht="26.25">
      <c r="T4912" s="62" ph="1"/>
    </row>
    <row r="4913" spans="20:20" ht="26.25">
      <c r="T4913" s="62" ph="1"/>
    </row>
    <row r="4914" spans="20:20" ht="26.25">
      <c r="T4914" s="62" ph="1"/>
    </row>
    <row r="4915" spans="20:20" ht="26.25">
      <c r="T4915" s="62" ph="1"/>
    </row>
    <row r="4916" spans="20:20" ht="26.25">
      <c r="T4916" s="62" ph="1"/>
    </row>
    <row r="4917" spans="20:20" ht="26.25">
      <c r="T4917" s="62" ph="1"/>
    </row>
    <row r="4918" spans="20:20" ht="26.25">
      <c r="T4918" s="62" ph="1"/>
    </row>
    <row r="4919" spans="20:20" ht="26.25">
      <c r="T4919" s="62" ph="1"/>
    </row>
    <row r="4920" spans="20:20" ht="26.25">
      <c r="T4920" s="62" ph="1"/>
    </row>
    <row r="4921" spans="20:20" ht="26.25">
      <c r="T4921" s="62" ph="1"/>
    </row>
    <row r="4922" spans="20:20" ht="26.25">
      <c r="T4922" s="62" ph="1"/>
    </row>
    <row r="4923" spans="20:20" ht="26.25">
      <c r="T4923" s="62" ph="1"/>
    </row>
    <row r="4924" spans="20:20" ht="26.25">
      <c r="T4924" s="62" ph="1"/>
    </row>
    <row r="4925" spans="20:20" ht="26.25">
      <c r="T4925" s="62" ph="1"/>
    </row>
    <row r="4926" spans="20:20" ht="26.25">
      <c r="T4926" s="62" ph="1"/>
    </row>
    <row r="4927" spans="20:20" ht="26.25">
      <c r="T4927" s="62" ph="1"/>
    </row>
    <row r="4928" spans="20:20" ht="26.25">
      <c r="T4928" s="62" ph="1"/>
    </row>
    <row r="4929" spans="20:20" ht="26.25">
      <c r="T4929" s="62" ph="1"/>
    </row>
    <row r="4930" spans="20:20" ht="26.25">
      <c r="T4930" s="62" ph="1"/>
    </row>
    <row r="4931" spans="20:20" ht="26.25">
      <c r="T4931" s="62" ph="1"/>
    </row>
    <row r="4932" spans="20:20" ht="26.25">
      <c r="T4932" s="62" ph="1"/>
    </row>
    <row r="4933" spans="20:20" ht="26.25">
      <c r="T4933" s="62" ph="1"/>
    </row>
    <row r="4934" spans="20:20" ht="26.25">
      <c r="T4934" s="62" ph="1"/>
    </row>
    <row r="4935" spans="20:20" ht="26.25">
      <c r="T4935" s="62" ph="1"/>
    </row>
    <row r="4936" spans="20:20" ht="26.25">
      <c r="T4936" s="62" ph="1"/>
    </row>
    <row r="4937" spans="20:20" ht="26.25">
      <c r="T4937" s="62" ph="1"/>
    </row>
    <row r="4938" spans="20:20" ht="26.25">
      <c r="T4938" s="62" ph="1"/>
    </row>
    <row r="4939" spans="20:20" ht="26.25">
      <c r="T4939" s="62" ph="1"/>
    </row>
    <row r="4940" spans="20:20" ht="26.25">
      <c r="T4940" s="62" ph="1"/>
    </row>
    <row r="4941" spans="20:20" ht="26.25">
      <c r="T4941" s="62" ph="1"/>
    </row>
    <row r="4942" spans="20:20" ht="26.25">
      <c r="T4942" s="62" ph="1"/>
    </row>
    <row r="4943" spans="20:20" ht="26.25">
      <c r="T4943" s="62" ph="1"/>
    </row>
    <row r="4944" spans="20:20" ht="26.25">
      <c r="T4944" s="62" ph="1"/>
    </row>
    <row r="4945" spans="20:20" ht="26.25">
      <c r="T4945" s="62" ph="1"/>
    </row>
    <row r="4946" spans="20:20" ht="26.25">
      <c r="T4946" s="62" ph="1"/>
    </row>
    <row r="4947" spans="20:20" ht="26.25">
      <c r="T4947" s="62" ph="1"/>
    </row>
    <row r="4948" spans="20:20" ht="26.25">
      <c r="T4948" s="62" ph="1"/>
    </row>
    <row r="4949" spans="20:20" ht="26.25">
      <c r="T4949" s="62" ph="1"/>
    </row>
    <row r="4950" spans="20:20" ht="26.25">
      <c r="T4950" s="62" ph="1"/>
    </row>
    <row r="4951" spans="20:20" ht="26.25">
      <c r="T4951" s="62" ph="1"/>
    </row>
    <row r="4952" spans="20:20" ht="26.25">
      <c r="T4952" s="62" ph="1"/>
    </row>
    <row r="4953" spans="20:20" ht="26.25">
      <c r="T4953" s="62" ph="1"/>
    </row>
    <row r="4954" spans="20:20" ht="26.25">
      <c r="T4954" s="62" ph="1"/>
    </row>
    <row r="4955" spans="20:20" ht="26.25">
      <c r="T4955" s="62" ph="1"/>
    </row>
    <row r="4956" spans="20:20" ht="26.25">
      <c r="T4956" s="62" ph="1"/>
    </row>
    <row r="4957" spans="20:20" ht="26.25">
      <c r="T4957" s="62" ph="1"/>
    </row>
    <row r="4958" spans="20:20" ht="26.25">
      <c r="T4958" s="62" ph="1"/>
    </row>
    <row r="4959" spans="20:20" ht="26.25">
      <c r="T4959" s="62" ph="1"/>
    </row>
    <row r="4960" spans="20:20" ht="26.25">
      <c r="T4960" s="62" ph="1"/>
    </row>
    <row r="4961" spans="20:20" ht="26.25">
      <c r="T4961" s="62" ph="1"/>
    </row>
    <row r="4962" spans="20:20" ht="26.25">
      <c r="T4962" s="62" ph="1"/>
    </row>
    <row r="4963" spans="20:20" ht="26.25">
      <c r="T4963" s="62" ph="1"/>
    </row>
    <row r="4964" spans="20:20" ht="26.25">
      <c r="T4964" s="62" ph="1"/>
    </row>
    <row r="4965" spans="20:20" ht="26.25">
      <c r="T4965" s="62" ph="1"/>
    </row>
    <row r="4966" spans="20:20" ht="26.25">
      <c r="T4966" s="62" ph="1"/>
    </row>
    <row r="4967" spans="20:20" ht="26.25">
      <c r="T4967" s="62" ph="1"/>
    </row>
    <row r="4968" spans="20:20" ht="26.25">
      <c r="T4968" s="62" ph="1"/>
    </row>
    <row r="4969" spans="20:20" ht="26.25">
      <c r="T4969" s="62" ph="1"/>
    </row>
    <row r="4970" spans="20:20" ht="26.25">
      <c r="T4970" s="62" ph="1"/>
    </row>
    <row r="4971" spans="20:20" ht="26.25">
      <c r="T4971" s="62" ph="1"/>
    </row>
    <row r="4972" spans="20:20" ht="26.25">
      <c r="T4972" s="62" ph="1"/>
    </row>
    <row r="4973" spans="20:20" ht="26.25">
      <c r="T4973" s="62" ph="1"/>
    </row>
    <row r="4974" spans="20:20" ht="26.25">
      <c r="T4974" s="62" ph="1"/>
    </row>
    <row r="4975" spans="20:20" ht="26.25">
      <c r="T4975" s="62" ph="1"/>
    </row>
    <row r="4976" spans="20:20" ht="26.25">
      <c r="T4976" s="62" ph="1"/>
    </row>
    <row r="4977" spans="20:20" ht="26.25">
      <c r="T4977" s="62" ph="1"/>
    </row>
    <row r="4978" spans="20:20" ht="26.25">
      <c r="T4978" s="62" ph="1"/>
    </row>
    <row r="4979" spans="20:20" ht="26.25">
      <c r="T4979" s="62" ph="1"/>
    </row>
    <row r="4980" spans="20:20" ht="26.25">
      <c r="T4980" s="62" ph="1"/>
    </row>
    <row r="4981" spans="20:20" ht="26.25">
      <c r="T4981" s="62" ph="1"/>
    </row>
    <row r="4982" spans="20:20" ht="26.25">
      <c r="T4982" s="62" ph="1"/>
    </row>
    <row r="4983" spans="20:20" ht="26.25">
      <c r="T4983" s="62" ph="1"/>
    </row>
    <row r="4984" spans="20:20" ht="26.25">
      <c r="T4984" s="62" ph="1"/>
    </row>
    <row r="4985" spans="20:20" ht="26.25">
      <c r="T4985" s="62" ph="1"/>
    </row>
    <row r="4986" spans="20:20" ht="26.25">
      <c r="T4986" s="62" ph="1"/>
    </row>
    <row r="4987" spans="20:20" ht="26.25">
      <c r="T4987" s="62" ph="1"/>
    </row>
    <row r="4988" spans="20:20" ht="26.25">
      <c r="T4988" s="62" ph="1"/>
    </row>
    <row r="4989" spans="20:20" ht="26.25">
      <c r="T4989" s="62" ph="1"/>
    </row>
    <row r="4990" spans="20:20" ht="26.25">
      <c r="T4990" s="62" ph="1"/>
    </row>
    <row r="4991" spans="20:20" ht="26.25">
      <c r="T4991" s="62" ph="1"/>
    </row>
    <row r="4992" spans="20:20" ht="26.25">
      <c r="T4992" s="62" ph="1"/>
    </row>
    <row r="4993" spans="20:20" ht="26.25">
      <c r="T4993" s="62" ph="1"/>
    </row>
    <row r="4994" spans="20:20" ht="26.25">
      <c r="T4994" s="62" ph="1"/>
    </row>
    <row r="4995" spans="20:20" ht="26.25">
      <c r="T4995" s="62" ph="1"/>
    </row>
    <row r="4996" spans="20:20" ht="26.25">
      <c r="T4996" s="62" ph="1"/>
    </row>
    <row r="4997" spans="20:20" ht="26.25">
      <c r="T4997" s="62" ph="1"/>
    </row>
    <row r="4998" spans="20:20" ht="26.25">
      <c r="T4998" s="62" ph="1"/>
    </row>
    <row r="4999" spans="20:20" ht="26.25">
      <c r="T4999" s="62" ph="1"/>
    </row>
    <row r="5000" spans="20:20" ht="26.25">
      <c r="T5000" s="62" ph="1"/>
    </row>
    <row r="5001" spans="20:20" ht="26.25">
      <c r="T5001" s="62" ph="1"/>
    </row>
    <row r="5002" spans="20:20" ht="26.25">
      <c r="T5002" s="62" ph="1"/>
    </row>
    <row r="5003" spans="20:20" ht="26.25">
      <c r="T5003" s="62" ph="1"/>
    </row>
    <row r="5004" spans="20:20" ht="26.25">
      <c r="T5004" s="62" ph="1"/>
    </row>
    <row r="5005" spans="20:20" ht="26.25">
      <c r="T5005" s="62" ph="1"/>
    </row>
    <row r="5006" spans="20:20" ht="26.25">
      <c r="T5006" s="62" ph="1"/>
    </row>
    <row r="5007" spans="20:20" ht="26.25">
      <c r="T5007" s="62" ph="1"/>
    </row>
    <row r="5008" spans="20:20" ht="26.25">
      <c r="T5008" s="62" ph="1"/>
    </row>
    <row r="5009" spans="20:20" ht="26.25">
      <c r="T5009" s="62" ph="1"/>
    </row>
    <row r="5010" spans="20:20" ht="26.25">
      <c r="T5010" s="62" ph="1"/>
    </row>
    <row r="5011" spans="20:20" ht="26.25">
      <c r="T5011" s="62" ph="1"/>
    </row>
    <row r="5012" spans="20:20" ht="26.25">
      <c r="T5012" s="62" ph="1"/>
    </row>
    <row r="5013" spans="20:20" ht="26.25">
      <c r="T5013" s="62" ph="1"/>
    </row>
    <row r="5014" spans="20:20" ht="26.25">
      <c r="T5014" s="62" ph="1"/>
    </row>
    <row r="5015" spans="20:20" ht="26.25">
      <c r="T5015" s="62" ph="1"/>
    </row>
    <row r="5016" spans="20:20" ht="26.25">
      <c r="T5016" s="62" ph="1"/>
    </row>
    <row r="5017" spans="20:20" ht="26.25">
      <c r="T5017" s="62" ph="1"/>
    </row>
    <row r="5018" spans="20:20" ht="26.25">
      <c r="T5018" s="62" ph="1"/>
    </row>
    <row r="5019" spans="20:20" ht="26.25">
      <c r="T5019" s="62" ph="1"/>
    </row>
    <row r="5020" spans="20:20" ht="26.25">
      <c r="T5020" s="62" ph="1"/>
    </row>
    <row r="5021" spans="20:20" ht="26.25">
      <c r="T5021" s="62" ph="1"/>
    </row>
    <row r="5022" spans="20:20" ht="26.25">
      <c r="T5022" s="62" ph="1"/>
    </row>
    <row r="5023" spans="20:20" ht="26.25">
      <c r="T5023" s="62" ph="1"/>
    </row>
    <row r="5024" spans="20:20" ht="26.25">
      <c r="T5024" s="62" ph="1"/>
    </row>
    <row r="5025" spans="20:20" ht="26.25">
      <c r="T5025" s="62" ph="1"/>
    </row>
    <row r="5026" spans="20:20" ht="26.25">
      <c r="T5026" s="62" ph="1"/>
    </row>
    <row r="5027" spans="20:20" ht="26.25">
      <c r="T5027" s="62" ph="1"/>
    </row>
    <row r="5028" spans="20:20" ht="26.25">
      <c r="T5028" s="62" ph="1"/>
    </row>
    <row r="5029" spans="20:20" ht="26.25">
      <c r="T5029" s="62" ph="1"/>
    </row>
    <row r="5030" spans="20:20" ht="26.25">
      <c r="T5030" s="62" ph="1"/>
    </row>
    <row r="5031" spans="20:20" ht="26.25">
      <c r="T5031" s="62" ph="1"/>
    </row>
    <row r="5032" spans="20:20" ht="26.25">
      <c r="T5032" s="62" ph="1"/>
    </row>
    <row r="5033" spans="20:20" ht="26.25">
      <c r="T5033" s="62" ph="1"/>
    </row>
    <row r="5034" spans="20:20" ht="26.25">
      <c r="T5034" s="62" ph="1"/>
    </row>
    <row r="5035" spans="20:20" ht="26.25">
      <c r="T5035" s="62" ph="1"/>
    </row>
    <row r="5036" spans="20:20" ht="26.25">
      <c r="T5036" s="62" ph="1"/>
    </row>
    <row r="5037" spans="20:20" ht="26.25">
      <c r="T5037" s="62" ph="1"/>
    </row>
    <row r="5038" spans="20:20" ht="26.25">
      <c r="T5038" s="62" ph="1"/>
    </row>
    <row r="5039" spans="20:20" ht="26.25">
      <c r="T5039" s="62" ph="1"/>
    </row>
    <row r="5040" spans="20:20" ht="26.25">
      <c r="T5040" s="62" ph="1"/>
    </row>
    <row r="5041" spans="20:20" ht="26.25">
      <c r="T5041" s="62" ph="1"/>
    </row>
    <row r="5042" spans="20:20" ht="26.25">
      <c r="T5042" s="62" ph="1"/>
    </row>
    <row r="5043" spans="20:20" ht="26.25">
      <c r="T5043" s="62" ph="1"/>
    </row>
    <row r="5044" spans="20:20" ht="26.25">
      <c r="T5044" s="62" ph="1"/>
    </row>
    <row r="5045" spans="20:20" ht="26.25">
      <c r="T5045" s="62" ph="1"/>
    </row>
    <row r="5046" spans="20:20" ht="26.25">
      <c r="T5046" s="62" ph="1"/>
    </row>
    <row r="5047" spans="20:20" ht="26.25">
      <c r="T5047" s="62" ph="1"/>
    </row>
    <row r="5048" spans="20:20" ht="26.25">
      <c r="T5048" s="62" ph="1"/>
    </row>
    <row r="5049" spans="20:20" ht="26.25">
      <c r="T5049" s="62" ph="1"/>
    </row>
    <row r="5050" spans="20:20" ht="26.25">
      <c r="T5050" s="62" ph="1"/>
    </row>
    <row r="5051" spans="20:20" ht="26.25">
      <c r="T5051" s="62" ph="1"/>
    </row>
    <row r="5052" spans="20:20" ht="26.25">
      <c r="T5052" s="62" ph="1"/>
    </row>
    <row r="5053" spans="20:20" ht="26.25">
      <c r="T5053" s="62" ph="1"/>
    </row>
    <row r="5054" spans="20:20" ht="26.25">
      <c r="T5054" s="62" ph="1"/>
    </row>
    <row r="5055" spans="20:20" ht="26.25">
      <c r="T5055" s="62" ph="1"/>
    </row>
    <row r="5056" spans="20:20" ht="26.25">
      <c r="T5056" s="62" ph="1"/>
    </row>
    <row r="5057" spans="20:20" ht="26.25">
      <c r="T5057" s="62" ph="1"/>
    </row>
    <row r="5058" spans="20:20" ht="26.25">
      <c r="T5058" s="62" ph="1"/>
    </row>
    <row r="5059" spans="20:20" ht="26.25">
      <c r="T5059" s="62" ph="1"/>
    </row>
    <row r="5060" spans="20:20" ht="26.25">
      <c r="T5060" s="62" ph="1"/>
    </row>
    <row r="5061" spans="20:20" ht="26.25">
      <c r="T5061" s="62" ph="1"/>
    </row>
    <row r="5062" spans="20:20" ht="26.25">
      <c r="T5062" s="62" ph="1"/>
    </row>
    <row r="5063" spans="20:20" ht="26.25">
      <c r="T5063" s="62" ph="1"/>
    </row>
    <row r="5064" spans="20:20" ht="26.25">
      <c r="T5064" s="62" ph="1"/>
    </row>
    <row r="5065" spans="20:20" ht="26.25">
      <c r="T5065" s="62" ph="1"/>
    </row>
    <row r="5066" spans="20:20" ht="26.25">
      <c r="T5066" s="62" ph="1"/>
    </row>
    <row r="5067" spans="20:20" ht="26.25">
      <c r="T5067" s="62" ph="1"/>
    </row>
    <row r="5068" spans="20:20" ht="26.25">
      <c r="T5068" s="62" ph="1"/>
    </row>
    <row r="5069" spans="20:20" ht="26.25">
      <c r="T5069" s="62" ph="1"/>
    </row>
    <row r="5070" spans="20:20" ht="26.25">
      <c r="T5070" s="62" ph="1"/>
    </row>
    <row r="5071" spans="20:20" ht="26.25">
      <c r="T5071" s="62" ph="1"/>
    </row>
    <row r="5072" spans="20:20" ht="26.25">
      <c r="T5072" s="62" ph="1"/>
    </row>
    <row r="5073" spans="20:20" ht="26.25">
      <c r="T5073" s="62" ph="1"/>
    </row>
    <row r="5074" spans="20:20" ht="26.25">
      <c r="T5074" s="62" ph="1"/>
    </row>
    <row r="5075" spans="20:20" ht="26.25">
      <c r="T5075" s="62" ph="1"/>
    </row>
    <row r="5076" spans="20:20" ht="26.25">
      <c r="T5076" s="62" ph="1"/>
    </row>
    <row r="5077" spans="20:20" ht="26.25">
      <c r="T5077" s="62" ph="1"/>
    </row>
    <row r="5078" spans="20:20" ht="26.25">
      <c r="T5078" s="62" ph="1"/>
    </row>
    <row r="5079" spans="20:20" ht="26.25">
      <c r="T5079" s="62" ph="1"/>
    </row>
    <row r="5080" spans="20:20" ht="26.25">
      <c r="T5080" s="62" ph="1"/>
    </row>
    <row r="5081" spans="20:20" ht="26.25">
      <c r="T5081" s="62" ph="1"/>
    </row>
    <row r="5082" spans="20:20" ht="26.25">
      <c r="T5082" s="62" ph="1"/>
    </row>
    <row r="5083" spans="20:20" ht="26.25">
      <c r="T5083" s="62" ph="1"/>
    </row>
    <row r="5084" spans="20:20" ht="26.25">
      <c r="T5084" s="62" ph="1"/>
    </row>
    <row r="5085" spans="20:20" ht="26.25">
      <c r="T5085" s="62" ph="1"/>
    </row>
    <row r="5086" spans="20:20" ht="26.25">
      <c r="T5086" s="62" ph="1"/>
    </row>
    <row r="5087" spans="20:20" ht="26.25">
      <c r="T5087" s="62" ph="1"/>
    </row>
    <row r="5088" spans="20:20" ht="26.25">
      <c r="T5088" s="62" ph="1"/>
    </row>
    <row r="5089" spans="20:20" ht="26.25">
      <c r="T5089" s="62" ph="1"/>
    </row>
    <row r="5090" spans="20:20" ht="26.25">
      <c r="T5090" s="62" ph="1"/>
    </row>
    <row r="5091" spans="20:20" ht="26.25">
      <c r="T5091" s="62" ph="1"/>
    </row>
    <row r="5092" spans="20:20" ht="26.25">
      <c r="T5092" s="62" ph="1"/>
    </row>
    <row r="5093" spans="20:20" ht="26.25">
      <c r="T5093" s="62" ph="1"/>
    </row>
    <row r="5094" spans="20:20" ht="26.25">
      <c r="T5094" s="62" ph="1"/>
    </row>
    <row r="5095" spans="20:20" ht="26.25">
      <c r="T5095" s="62" ph="1"/>
    </row>
    <row r="5096" spans="20:20" ht="26.25">
      <c r="T5096" s="62" ph="1"/>
    </row>
    <row r="5097" spans="20:20" ht="26.25">
      <c r="T5097" s="62" ph="1"/>
    </row>
    <row r="5098" spans="20:20" ht="26.25">
      <c r="T5098" s="62" ph="1"/>
    </row>
    <row r="5099" spans="20:20" ht="26.25">
      <c r="T5099" s="62" ph="1"/>
    </row>
    <row r="5100" spans="20:20" ht="26.25">
      <c r="T5100" s="62" ph="1"/>
    </row>
    <row r="5101" spans="20:20" ht="26.25">
      <c r="T5101" s="62" ph="1"/>
    </row>
    <row r="5102" spans="20:20" ht="26.25">
      <c r="T5102" s="62" ph="1"/>
    </row>
    <row r="5103" spans="20:20" ht="26.25">
      <c r="T5103" s="62" ph="1"/>
    </row>
    <row r="5104" spans="20:20" ht="26.25">
      <c r="T5104" s="62" ph="1"/>
    </row>
    <row r="5105" spans="20:20" ht="26.25">
      <c r="T5105" s="62" ph="1"/>
    </row>
    <row r="5106" spans="20:20" ht="26.25">
      <c r="T5106" s="62" ph="1"/>
    </row>
    <row r="5107" spans="20:20" ht="26.25">
      <c r="T5107" s="62" ph="1"/>
    </row>
    <row r="5108" spans="20:20" ht="26.25">
      <c r="T5108" s="62" ph="1"/>
    </row>
    <row r="5109" spans="20:20" ht="26.25">
      <c r="T5109" s="62" ph="1"/>
    </row>
    <row r="5110" spans="20:20" ht="26.25">
      <c r="T5110" s="62" ph="1"/>
    </row>
    <row r="5111" spans="20:20" ht="26.25">
      <c r="T5111" s="62" ph="1"/>
    </row>
    <row r="5112" spans="20:20" ht="26.25">
      <c r="T5112" s="62" ph="1"/>
    </row>
    <row r="5113" spans="20:20" ht="26.25">
      <c r="T5113" s="62" ph="1"/>
    </row>
    <row r="5114" spans="20:20" ht="26.25">
      <c r="T5114" s="62" ph="1"/>
    </row>
    <row r="5115" spans="20:20" ht="26.25">
      <c r="T5115" s="62" ph="1"/>
    </row>
    <row r="5116" spans="20:20" ht="26.25">
      <c r="T5116" s="62" ph="1"/>
    </row>
    <row r="5117" spans="20:20" ht="26.25">
      <c r="T5117" s="62" ph="1"/>
    </row>
    <row r="5118" spans="20:20" ht="26.25">
      <c r="T5118" s="62" ph="1"/>
    </row>
    <row r="5119" spans="20:20" ht="26.25">
      <c r="T5119" s="62" ph="1"/>
    </row>
    <row r="5120" spans="20:20" ht="26.25">
      <c r="T5120" s="62" ph="1"/>
    </row>
    <row r="5121" spans="20:20" ht="26.25">
      <c r="T5121" s="62" ph="1"/>
    </row>
    <row r="5122" spans="20:20" ht="26.25">
      <c r="T5122" s="62" ph="1"/>
    </row>
    <row r="5123" spans="20:20" ht="26.25">
      <c r="T5123" s="62" ph="1"/>
    </row>
    <row r="5124" spans="20:20" ht="26.25">
      <c r="T5124" s="62" ph="1"/>
    </row>
    <row r="5125" spans="20:20" ht="26.25">
      <c r="T5125" s="62" ph="1"/>
    </row>
    <row r="5126" spans="20:20" ht="26.25">
      <c r="T5126" s="62" ph="1"/>
    </row>
    <row r="5127" spans="20:20" ht="26.25">
      <c r="T5127" s="62" ph="1"/>
    </row>
    <row r="5128" spans="20:20" ht="26.25">
      <c r="T5128" s="62" ph="1"/>
    </row>
    <row r="5129" spans="20:20" ht="26.25">
      <c r="T5129" s="62" ph="1"/>
    </row>
    <row r="5130" spans="20:20" ht="26.25">
      <c r="T5130" s="62" ph="1"/>
    </row>
    <row r="5131" spans="20:20" ht="26.25">
      <c r="T5131" s="62" ph="1"/>
    </row>
    <row r="5132" spans="20:20" ht="26.25">
      <c r="T5132" s="62" ph="1"/>
    </row>
    <row r="5133" spans="20:20" ht="26.25">
      <c r="T5133" s="62" ph="1"/>
    </row>
    <row r="5134" spans="20:20" ht="26.25">
      <c r="T5134" s="62" ph="1"/>
    </row>
    <row r="5135" spans="20:20" ht="26.25">
      <c r="T5135" s="62" ph="1"/>
    </row>
    <row r="5136" spans="20:20" ht="26.25">
      <c r="T5136" s="62" ph="1"/>
    </row>
    <row r="5137" spans="20:20" ht="26.25">
      <c r="T5137" s="62" ph="1"/>
    </row>
    <row r="5138" spans="20:20" ht="26.25">
      <c r="T5138" s="62" ph="1"/>
    </row>
    <row r="5139" spans="20:20" ht="26.25">
      <c r="T5139" s="62" ph="1"/>
    </row>
    <row r="5140" spans="20:20" ht="26.25">
      <c r="T5140" s="62" ph="1"/>
    </row>
    <row r="5141" spans="20:20" ht="26.25">
      <c r="T5141" s="62" ph="1"/>
    </row>
    <row r="5142" spans="20:20" ht="26.25">
      <c r="T5142" s="62" ph="1"/>
    </row>
    <row r="5143" spans="20:20" ht="26.25">
      <c r="T5143" s="62" ph="1"/>
    </row>
    <row r="5144" spans="20:20" ht="26.25">
      <c r="T5144" s="62" ph="1"/>
    </row>
    <row r="5145" spans="20:20" ht="26.25">
      <c r="T5145" s="62" ph="1"/>
    </row>
    <row r="5146" spans="20:20" ht="26.25">
      <c r="T5146" s="62" ph="1"/>
    </row>
    <row r="5147" spans="20:20" ht="26.25">
      <c r="T5147" s="62" ph="1"/>
    </row>
    <row r="5148" spans="20:20" ht="26.25">
      <c r="T5148" s="62" ph="1"/>
    </row>
    <row r="5149" spans="20:20" ht="26.25">
      <c r="T5149" s="62" ph="1"/>
    </row>
    <row r="5150" spans="20:20" ht="26.25">
      <c r="T5150" s="62" ph="1"/>
    </row>
    <row r="5151" spans="20:20" ht="26.25">
      <c r="T5151" s="62" ph="1"/>
    </row>
    <row r="5152" spans="20:20" ht="26.25">
      <c r="T5152" s="62" ph="1"/>
    </row>
    <row r="5153" spans="20:20" ht="26.25">
      <c r="T5153" s="62" ph="1"/>
    </row>
    <row r="5154" spans="20:20" ht="26.25">
      <c r="T5154" s="62" ph="1"/>
    </row>
    <row r="5155" spans="20:20" ht="26.25">
      <c r="T5155" s="62" ph="1"/>
    </row>
    <row r="5156" spans="20:20" ht="26.25">
      <c r="T5156" s="62" ph="1"/>
    </row>
    <row r="5157" spans="20:20" ht="26.25">
      <c r="T5157" s="62" ph="1"/>
    </row>
    <row r="5158" spans="20:20" ht="26.25">
      <c r="T5158" s="62" ph="1"/>
    </row>
    <row r="5159" spans="20:20" ht="26.25">
      <c r="T5159" s="62" ph="1"/>
    </row>
    <row r="5160" spans="20:20" ht="26.25">
      <c r="T5160" s="62" ph="1"/>
    </row>
    <row r="5161" spans="20:20" ht="26.25">
      <c r="T5161" s="62" ph="1"/>
    </row>
    <row r="5162" spans="20:20" ht="26.25">
      <c r="T5162" s="62" ph="1"/>
    </row>
    <row r="5163" spans="20:20" ht="26.25">
      <c r="T5163" s="62" ph="1"/>
    </row>
    <row r="5164" spans="20:20" ht="26.25">
      <c r="T5164" s="62" ph="1"/>
    </row>
    <row r="5165" spans="20:20" ht="26.25">
      <c r="T5165" s="62" ph="1"/>
    </row>
    <row r="5166" spans="20:20" ht="26.25">
      <c r="T5166" s="62" ph="1"/>
    </row>
    <row r="5167" spans="20:20" ht="26.25">
      <c r="T5167" s="62" ph="1"/>
    </row>
    <row r="5168" spans="20:20" ht="26.25">
      <c r="T5168" s="62" ph="1"/>
    </row>
    <row r="5169" spans="20:20" ht="26.25">
      <c r="T5169" s="62" ph="1"/>
    </row>
    <row r="5170" spans="20:20" ht="26.25">
      <c r="T5170" s="62" ph="1"/>
    </row>
    <row r="5171" spans="20:20" ht="26.25">
      <c r="T5171" s="62" ph="1"/>
    </row>
    <row r="5172" spans="20:20" ht="26.25">
      <c r="T5172" s="62" ph="1"/>
    </row>
    <row r="5173" spans="20:20" ht="26.25">
      <c r="T5173" s="62" ph="1"/>
    </row>
    <row r="5174" spans="20:20" ht="26.25">
      <c r="T5174" s="62" ph="1"/>
    </row>
    <row r="5175" spans="20:20" ht="26.25">
      <c r="T5175" s="62" ph="1"/>
    </row>
    <row r="5176" spans="20:20" ht="26.25">
      <c r="T5176" s="62" ph="1"/>
    </row>
    <row r="5177" spans="20:20" ht="26.25">
      <c r="T5177" s="62" ph="1"/>
    </row>
    <row r="5178" spans="20:20" ht="26.25">
      <c r="T5178" s="62" ph="1"/>
    </row>
    <row r="5179" spans="20:20" ht="26.25">
      <c r="T5179" s="62" ph="1"/>
    </row>
    <row r="5180" spans="20:20" ht="26.25">
      <c r="T5180" s="62" ph="1"/>
    </row>
    <row r="5181" spans="20:20" ht="26.25">
      <c r="T5181" s="62" ph="1"/>
    </row>
    <row r="5182" spans="20:20" ht="26.25">
      <c r="T5182" s="62" ph="1"/>
    </row>
    <row r="5183" spans="20:20" ht="26.25">
      <c r="T5183" s="62" ph="1"/>
    </row>
    <row r="5184" spans="20:20" ht="26.25">
      <c r="T5184" s="62" ph="1"/>
    </row>
    <row r="5185" spans="20:20" ht="26.25">
      <c r="T5185" s="62" ph="1"/>
    </row>
    <row r="5186" spans="20:20" ht="26.25">
      <c r="T5186" s="62" ph="1"/>
    </row>
    <row r="5187" spans="20:20" ht="26.25">
      <c r="T5187" s="62" ph="1"/>
    </row>
    <row r="5188" spans="20:20" ht="26.25">
      <c r="T5188" s="62" ph="1"/>
    </row>
    <row r="5189" spans="20:20" ht="26.25">
      <c r="T5189" s="62" ph="1"/>
    </row>
    <row r="5190" spans="20:20" ht="26.25">
      <c r="T5190" s="62" ph="1"/>
    </row>
    <row r="5191" spans="20:20" ht="26.25">
      <c r="T5191" s="62" ph="1"/>
    </row>
    <row r="5192" spans="20:20" ht="26.25">
      <c r="T5192" s="62" ph="1"/>
    </row>
    <row r="5193" spans="20:20" ht="26.25">
      <c r="T5193" s="62" ph="1"/>
    </row>
    <row r="5194" spans="20:20" ht="26.25">
      <c r="T5194" s="62" ph="1"/>
    </row>
    <row r="5195" spans="20:20" ht="26.25">
      <c r="T5195" s="62" ph="1"/>
    </row>
    <row r="5196" spans="20:20" ht="26.25">
      <c r="T5196" s="62" ph="1"/>
    </row>
    <row r="5197" spans="20:20" ht="26.25">
      <c r="T5197" s="62" ph="1"/>
    </row>
    <row r="5198" spans="20:20" ht="26.25">
      <c r="T5198" s="62" ph="1"/>
    </row>
    <row r="5199" spans="20:20" ht="26.25">
      <c r="T5199" s="62" ph="1"/>
    </row>
    <row r="5200" spans="20:20" ht="26.25">
      <c r="T5200" s="62" ph="1"/>
    </row>
    <row r="5201" spans="20:20" ht="26.25">
      <c r="T5201" s="62" ph="1"/>
    </row>
    <row r="5202" spans="20:20" ht="26.25">
      <c r="T5202" s="62" ph="1"/>
    </row>
    <row r="5203" spans="20:20" ht="26.25">
      <c r="T5203" s="62" ph="1"/>
    </row>
    <row r="5204" spans="20:20" ht="26.25">
      <c r="T5204" s="62" ph="1"/>
    </row>
    <row r="5205" spans="20:20" ht="26.25">
      <c r="T5205" s="62" ph="1"/>
    </row>
    <row r="5206" spans="20:20" ht="26.25">
      <c r="T5206" s="62" ph="1"/>
    </row>
    <row r="5207" spans="20:20" ht="26.25">
      <c r="T5207" s="62" ph="1"/>
    </row>
    <row r="5208" spans="20:20" ht="26.25">
      <c r="T5208" s="62" ph="1"/>
    </row>
    <row r="5209" spans="20:20" ht="26.25">
      <c r="T5209" s="62" ph="1"/>
    </row>
    <row r="5210" spans="20:20" ht="26.25">
      <c r="T5210" s="62" ph="1"/>
    </row>
    <row r="5211" spans="20:20" ht="26.25">
      <c r="T5211" s="62" ph="1"/>
    </row>
    <row r="5212" spans="20:20" ht="26.25">
      <c r="T5212" s="62" ph="1"/>
    </row>
    <row r="5213" spans="20:20" ht="26.25">
      <c r="T5213" s="62" ph="1"/>
    </row>
    <row r="5214" spans="20:20" ht="26.25">
      <c r="T5214" s="62" ph="1"/>
    </row>
    <row r="5215" spans="20:20" ht="26.25">
      <c r="T5215" s="62" ph="1"/>
    </row>
    <row r="5216" spans="20:20" ht="26.25">
      <c r="T5216" s="62" ph="1"/>
    </row>
    <row r="5217" spans="20:20" ht="26.25">
      <c r="T5217" s="62" ph="1"/>
    </row>
    <row r="5218" spans="20:20" ht="26.25">
      <c r="T5218" s="62" ph="1"/>
    </row>
    <row r="5219" spans="20:20" ht="26.25">
      <c r="T5219" s="62" ph="1"/>
    </row>
    <row r="5220" spans="20:20" ht="26.25">
      <c r="T5220" s="62" ph="1"/>
    </row>
    <row r="5221" spans="20:20" ht="26.25">
      <c r="T5221" s="62" ph="1"/>
    </row>
    <row r="5222" spans="20:20" ht="26.25">
      <c r="T5222" s="62" ph="1"/>
    </row>
    <row r="5223" spans="20:20" ht="26.25">
      <c r="T5223" s="62" ph="1"/>
    </row>
    <row r="5224" spans="20:20" ht="26.25">
      <c r="T5224" s="62" ph="1"/>
    </row>
    <row r="5225" spans="20:20" ht="26.25">
      <c r="T5225" s="62" ph="1"/>
    </row>
    <row r="5226" spans="20:20" ht="26.25">
      <c r="T5226" s="62" ph="1"/>
    </row>
    <row r="5227" spans="20:20" ht="26.25">
      <c r="T5227" s="62" ph="1"/>
    </row>
    <row r="5228" spans="20:20" ht="26.25">
      <c r="T5228" s="62" ph="1"/>
    </row>
    <row r="5229" spans="20:20" ht="26.25">
      <c r="T5229" s="62" ph="1"/>
    </row>
    <row r="5230" spans="20:20" ht="26.25">
      <c r="T5230" s="62" ph="1"/>
    </row>
    <row r="5231" spans="20:20" ht="26.25">
      <c r="T5231" s="62" ph="1"/>
    </row>
    <row r="5232" spans="20:20" ht="26.25">
      <c r="T5232" s="62" ph="1"/>
    </row>
    <row r="5233" spans="20:20" ht="26.25">
      <c r="T5233" s="62" ph="1"/>
    </row>
    <row r="5234" spans="20:20" ht="26.25">
      <c r="T5234" s="62" ph="1"/>
    </row>
    <row r="5235" spans="20:20" ht="26.25">
      <c r="T5235" s="62" ph="1"/>
    </row>
    <row r="5236" spans="20:20" ht="26.25">
      <c r="T5236" s="62" ph="1"/>
    </row>
    <row r="5237" spans="20:20" ht="26.25">
      <c r="T5237" s="62" ph="1"/>
    </row>
    <row r="5238" spans="20:20" ht="26.25">
      <c r="T5238" s="62" ph="1"/>
    </row>
    <row r="5239" spans="20:20" ht="26.25">
      <c r="T5239" s="62" ph="1"/>
    </row>
    <row r="5240" spans="20:20" ht="26.25">
      <c r="T5240" s="62" ph="1"/>
    </row>
    <row r="5241" spans="20:20" ht="26.25">
      <c r="T5241" s="62" ph="1"/>
    </row>
    <row r="5242" spans="20:20" ht="26.25">
      <c r="T5242" s="62" ph="1"/>
    </row>
    <row r="5243" spans="20:20" ht="26.25">
      <c r="T5243" s="62" ph="1"/>
    </row>
    <row r="5244" spans="20:20" ht="26.25">
      <c r="T5244" s="62" ph="1"/>
    </row>
    <row r="5245" spans="20:20" ht="26.25">
      <c r="T5245" s="62" ph="1"/>
    </row>
    <row r="5246" spans="20:20" ht="26.25">
      <c r="T5246" s="62" ph="1"/>
    </row>
    <row r="5247" spans="20:20" ht="26.25">
      <c r="T5247" s="62" ph="1"/>
    </row>
    <row r="5248" spans="20:20" ht="26.25">
      <c r="T5248" s="62" ph="1"/>
    </row>
    <row r="5249" spans="20:20" ht="26.25">
      <c r="T5249" s="62" ph="1"/>
    </row>
    <row r="5250" spans="20:20" ht="26.25">
      <c r="T5250" s="62" ph="1"/>
    </row>
    <row r="5251" spans="20:20" ht="26.25">
      <c r="T5251" s="62" ph="1"/>
    </row>
    <row r="5252" spans="20:20" ht="26.25">
      <c r="T5252" s="62" ph="1"/>
    </row>
    <row r="5253" spans="20:20" ht="26.25">
      <c r="T5253" s="62" ph="1"/>
    </row>
    <row r="5254" spans="20:20" ht="26.25">
      <c r="T5254" s="62" ph="1"/>
    </row>
    <row r="5255" spans="20:20" ht="26.25">
      <c r="T5255" s="62" ph="1"/>
    </row>
    <row r="5256" spans="20:20" ht="26.25">
      <c r="T5256" s="62" ph="1"/>
    </row>
    <row r="5257" spans="20:20" ht="26.25">
      <c r="T5257" s="62" ph="1"/>
    </row>
    <row r="5258" spans="20:20" ht="26.25">
      <c r="T5258" s="62" ph="1"/>
    </row>
    <row r="5259" spans="20:20" ht="26.25">
      <c r="T5259" s="62" ph="1"/>
    </row>
    <row r="5260" spans="20:20" ht="26.25">
      <c r="T5260" s="62" ph="1"/>
    </row>
    <row r="5261" spans="20:20" ht="26.25">
      <c r="T5261" s="62" ph="1"/>
    </row>
    <row r="5262" spans="20:20" ht="26.25">
      <c r="T5262" s="62" ph="1"/>
    </row>
    <row r="5263" spans="20:20" ht="26.25">
      <c r="T5263" s="62" ph="1"/>
    </row>
    <row r="5264" spans="20:20" ht="26.25">
      <c r="T5264" s="62" ph="1"/>
    </row>
    <row r="5265" spans="20:20" ht="26.25">
      <c r="T5265" s="62" ph="1"/>
    </row>
    <row r="5266" spans="20:20" ht="26.25">
      <c r="T5266" s="62" ph="1"/>
    </row>
    <row r="5267" spans="20:20" ht="26.25">
      <c r="T5267" s="62" ph="1"/>
    </row>
    <row r="5268" spans="20:20" ht="26.25">
      <c r="T5268" s="62" ph="1"/>
    </row>
    <row r="5269" spans="20:20" ht="26.25">
      <c r="T5269" s="62" ph="1"/>
    </row>
    <row r="5270" spans="20:20" ht="26.25">
      <c r="T5270" s="62" ph="1"/>
    </row>
    <row r="5271" spans="20:20" ht="26.25">
      <c r="T5271" s="62" ph="1"/>
    </row>
    <row r="5272" spans="20:20" ht="26.25">
      <c r="T5272" s="62" ph="1"/>
    </row>
    <row r="5273" spans="20:20" ht="26.25">
      <c r="T5273" s="62" ph="1"/>
    </row>
    <row r="5274" spans="20:20" ht="26.25">
      <c r="T5274" s="62" ph="1"/>
    </row>
    <row r="5275" spans="20:20" ht="26.25">
      <c r="T5275" s="62" ph="1"/>
    </row>
    <row r="5276" spans="20:20" ht="26.25">
      <c r="T5276" s="62" ph="1"/>
    </row>
    <row r="5277" spans="20:20" ht="26.25">
      <c r="T5277" s="62" ph="1"/>
    </row>
    <row r="5278" spans="20:20" ht="26.25">
      <c r="T5278" s="62" ph="1"/>
    </row>
    <row r="5279" spans="20:20" ht="26.25">
      <c r="T5279" s="62" ph="1"/>
    </row>
    <row r="5280" spans="20:20" ht="26.25">
      <c r="T5280" s="62" ph="1"/>
    </row>
    <row r="5281" spans="20:20" ht="26.25">
      <c r="T5281" s="62" ph="1"/>
    </row>
    <row r="5282" spans="20:20" ht="26.25">
      <c r="T5282" s="62" ph="1"/>
    </row>
    <row r="5283" spans="20:20" ht="26.25">
      <c r="T5283" s="62" ph="1"/>
    </row>
    <row r="5284" spans="20:20" ht="26.25">
      <c r="T5284" s="62" ph="1"/>
    </row>
    <row r="5285" spans="20:20" ht="26.25">
      <c r="T5285" s="62" ph="1"/>
    </row>
    <row r="5286" spans="20:20" ht="26.25">
      <c r="T5286" s="62" ph="1"/>
    </row>
    <row r="5287" spans="20:20" ht="26.25">
      <c r="T5287" s="62" ph="1"/>
    </row>
    <row r="5288" spans="20:20" ht="26.25">
      <c r="T5288" s="62" ph="1"/>
    </row>
    <row r="5289" spans="20:20" ht="26.25">
      <c r="T5289" s="62" ph="1"/>
    </row>
    <row r="5290" spans="20:20" ht="26.25">
      <c r="T5290" s="62" ph="1"/>
    </row>
    <row r="5291" spans="20:20" ht="26.25">
      <c r="T5291" s="62" ph="1"/>
    </row>
    <row r="5292" spans="20:20" ht="26.25">
      <c r="T5292" s="62" ph="1"/>
    </row>
    <row r="5293" spans="20:20" ht="26.25">
      <c r="T5293" s="62" ph="1"/>
    </row>
    <row r="5294" spans="20:20" ht="26.25">
      <c r="T5294" s="62" ph="1"/>
    </row>
    <row r="5295" spans="20:20" ht="26.25">
      <c r="T5295" s="62" ph="1"/>
    </row>
    <row r="5296" spans="20:20" ht="26.25">
      <c r="T5296" s="62" ph="1"/>
    </row>
    <row r="5297" spans="20:20" ht="26.25">
      <c r="T5297" s="62" ph="1"/>
    </row>
    <row r="5298" spans="20:20" ht="26.25">
      <c r="T5298" s="62" ph="1"/>
    </row>
    <row r="5299" spans="20:20" ht="26.25">
      <c r="T5299" s="62" ph="1"/>
    </row>
    <row r="5300" spans="20:20" ht="26.25">
      <c r="T5300" s="62" ph="1"/>
    </row>
    <row r="5301" spans="20:20" ht="26.25">
      <c r="T5301" s="62" ph="1"/>
    </row>
    <row r="5302" spans="20:20" ht="26.25">
      <c r="T5302" s="62" ph="1"/>
    </row>
    <row r="5303" spans="20:20" ht="26.25">
      <c r="T5303" s="62" ph="1"/>
    </row>
    <row r="5304" spans="20:20" ht="26.25">
      <c r="T5304" s="62" ph="1"/>
    </row>
    <row r="5305" spans="20:20" ht="26.25">
      <c r="T5305" s="62" ph="1"/>
    </row>
    <row r="5306" spans="20:20" ht="26.25">
      <c r="T5306" s="62" ph="1"/>
    </row>
    <row r="5307" spans="20:20" ht="26.25">
      <c r="T5307" s="62" ph="1"/>
    </row>
    <row r="5308" spans="20:20" ht="26.25">
      <c r="T5308" s="62" ph="1"/>
    </row>
    <row r="5309" spans="20:20" ht="26.25">
      <c r="T5309" s="62" ph="1"/>
    </row>
    <row r="5310" spans="20:20" ht="26.25">
      <c r="T5310" s="62" ph="1"/>
    </row>
    <row r="5311" spans="20:20" ht="26.25">
      <c r="T5311" s="62" ph="1"/>
    </row>
    <row r="5312" spans="20:20" ht="26.25">
      <c r="T5312" s="62" ph="1"/>
    </row>
    <row r="5313" spans="20:20" ht="26.25">
      <c r="T5313" s="62" ph="1"/>
    </row>
    <row r="5314" spans="20:20" ht="26.25">
      <c r="T5314" s="62" ph="1"/>
    </row>
    <row r="5315" spans="20:20" ht="26.25">
      <c r="T5315" s="62" ph="1"/>
    </row>
    <row r="5316" spans="20:20" ht="26.25">
      <c r="T5316" s="62" ph="1"/>
    </row>
    <row r="5317" spans="20:20" ht="26.25">
      <c r="T5317" s="62" ph="1"/>
    </row>
    <row r="5318" spans="20:20" ht="26.25">
      <c r="T5318" s="62" ph="1"/>
    </row>
    <row r="5319" spans="20:20" ht="26.25">
      <c r="T5319" s="62" ph="1"/>
    </row>
    <row r="5320" spans="20:20" ht="26.25">
      <c r="T5320" s="62" ph="1"/>
    </row>
    <row r="5321" spans="20:20" ht="26.25">
      <c r="T5321" s="62" ph="1"/>
    </row>
    <row r="5322" spans="20:20" ht="26.25">
      <c r="T5322" s="62" ph="1"/>
    </row>
    <row r="5323" spans="20:20" ht="26.25">
      <c r="T5323" s="62" ph="1"/>
    </row>
    <row r="5324" spans="20:20" ht="26.25">
      <c r="T5324" s="62" ph="1"/>
    </row>
    <row r="5325" spans="20:20" ht="26.25">
      <c r="T5325" s="62" ph="1"/>
    </row>
    <row r="5326" spans="20:20" ht="26.25">
      <c r="T5326" s="62" ph="1"/>
    </row>
    <row r="5327" spans="20:20" ht="26.25">
      <c r="T5327" s="62" ph="1"/>
    </row>
    <row r="5328" spans="20:20" ht="26.25">
      <c r="T5328" s="62" ph="1"/>
    </row>
    <row r="5329" spans="20:20" ht="26.25">
      <c r="T5329" s="62" ph="1"/>
    </row>
    <row r="5330" spans="20:20" ht="26.25">
      <c r="T5330" s="62" ph="1"/>
    </row>
    <row r="5331" spans="20:20" ht="26.25">
      <c r="T5331" s="62" ph="1"/>
    </row>
    <row r="5332" spans="20:20" ht="26.25">
      <c r="T5332" s="62" ph="1"/>
    </row>
    <row r="5333" spans="20:20" ht="26.25">
      <c r="T5333" s="62" ph="1"/>
    </row>
    <row r="5334" spans="20:20" ht="26.25">
      <c r="T5334" s="62" ph="1"/>
    </row>
    <row r="5335" spans="20:20" ht="26.25">
      <c r="T5335" s="62" ph="1"/>
    </row>
    <row r="5336" spans="20:20" ht="26.25">
      <c r="T5336" s="62" ph="1"/>
    </row>
    <row r="5337" spans="20:20" ht="26.25">
      <c r="T5337" s="62" ph="1"/>
    </row>
    <row r="5338" spans="20:20" ht="26.25">
      <c r="T5338" s="62" ph="1"/>
    </row>
    <row r="5339" spans="20:20" ht="26.25">
      <c r="T5339" s="62" ph="1"/>
    </row>
    <row r="5340" spans="20:20" ht="26.25">
      <c r="T5340" s="62" ph="1"/>
    </row>
    <row r="5341" spans="20:20" ht="26.25">
      <c r="T5341" s="62" ph="1"/>
    </row>
    <row r="5342" spans="20:20" ht="26.25">
      <c r="T5342" s="62" ph="1"/>
    </row>
    <row r="5343" spans="20:20" ht="26.25">
      <c r="T5343" s="62" ph="1"/>
    </row>
    <row r="5344" spans="20:20" ht="26.25">
      <c r="T5344" s="62" ph="1"/>
    </row>
    <row r="5345" spans="20:20" ht="26.25">
      <c r="T5345" s="62" ph="1"/>
    </row>
    <row r="5346" spans="20:20" ht="26.25">
      <c r="T5346" s="62" ph="1"/>
    </row>
    <row r="5347" spans="20:20" ht="26.25">
      <c r="T5347" s="62" ph="1"/>
    </row>
    <row r="5348" spans="20:20" ht="26.25">
      <c r="T5348" s="62" ph="1"/>
    </row>
    <row r="5349" spans="20:20" ht="26.25">
      <c r="T5349" s="62" ph="1"/>
    </row>
    <row r="5350" spans="20:20" ht="26.25">
      <c r="T5350" s="62" ph="1"/>
    </row>
    <row r="5351" spans="20:20" ht="26.25">
      <c r="T5351" s="62" ph="1"/>
    </row>
    <row r="5352" spans="20:20" ht="26.25">
      <c r="T5352" s="62" ph="1"/>
    </row>
    <row r="5353" spans="20:20" ht="26.25">
      <c r="T5353" s="62" ph="1"/>
    </row>
    <row r="5354" spans="20:20" ht="26.25">
      <c r="T5354" s="62" ph="1"/>
    </row>
    <row r="5355" spans="20:20" ht="26.25">
      <c r="T5355" s="62" ph="1"/>
    </row>
    <row r="5356" spans="20:20" ht="26.25">
      <c r="T5356" s="62" ph="1"/>
    </row>
    <row r="5357" spans="20:20" ht="26.25">
      <c r="T5357" s="62" ph="1"/>
    </row>
    <row r="5358" spans="20:20" ht="26.25">
      <c r="T5358" s="62" ph="1"/>
    </row>
    <row r="5359" spans="20:20" ht="26.25">
      <c r="T5359" s="62" ph="1"/>
    </row>
    <row r="5360" spans="20:20" ht="26.25">
      <c r="T5360" s="62" ph="1"/>
    </row>
    <row r="5361" spans="20:20" ht="26.25">
      <c r="T5361" s="62" ph="1"/>
    </row>
    <row r="5362" spans="20:20" ht="26.25">
      <c r="T5362" s="62" ph="1"/>
    </row>
    <row r="5363" spans="20:20" ht="26.25">
      <c r="T5363" s="62" ph="1"/>
    </row>
    <row r="5364" spans="20:20" ht="26.25">
      <c r="T5364" s="62" ph="1"/>
    </row>
    <row r="5365" spans="20:20" ht="26.25">
      <c r="T5365" s="62" ph="1"/>
    </row>
    <row r="5366" spans="20:20" ht="26.25">
      <c r="T5366" s="62" ph="1"/>
    </row>
    <row r="5367" spans="20:20" ht="26.25">
      <c r="T5367" s="62" ph="1"/>
    </row>
    <row r="5368" spans="20:20" ht="26.25">
      <c r="T5368" s="62" ph="1"/>
    </row>
    <row r="5369" spans="20:20" ht="26.25">
      <c r="T5369" s="62" ph="1"/>
    </row>
    <row r="5370" spans="20:20" ht="26.25">
      <c r="T5370" s="62" ph="1"/>
    </row>
    <row r="5371" spans="20:20" ht="26.25">
      <c r="T5371" s="62" ph="1"/>
    </row>
    <row r="5372" spans="20:20" ht="26.25">
      <c r="T5372" s="62" ph="1"/>
    </row>
    <row r="5373" spans="20:20" ht="26.25">
      <c r="T5373" s="62" ph="1"/>
    </row>
    <row r="5374" spans="20:20" ht="26.25">
      <c r="T5374" s="62" ph="1"/>
    </row>
    <row r="5375" spans="20:20" ht="26.25">
      <c r="T5375" s="62" ph="1"/>
    </row>
    <row r="5376" spans="20:20" ht="26.25">
      <c r="T5376" s="62" ph="1"/>
    </row>
    <row r="5377" spans="20:20" ht="26.25">
      <c r="T5377" s="62" ph="1"/>
    </row>
    <row r="5378" spans="20:20" ht="26.25">
      <c r="T5378" s="62" ph="1"/>
    </row>
    <row r="5379" spans="20:20" ht="26.25">
      <c r="T5379" s="62" ph="1"/>
    </row>
    <row r="5380" spans="20:20" ht="26.25">
      <c r="T5380" s="62" ph="1"/>
    </row>
    <row r="5381" spans="20:20" ht="26.25">
      <c r="T5381" s="62" ph="1"/>
    </row>
    <row r="5382" spans="20:20" ht="26.25">
      <c r="T5382" s="62" ph="1"/>
    </row>
    <row r="5383" spans="20:20" ht="26.25">
      <c r="T5383" s="62" ph="1"/>
    </row>
    <row r="5384" spans="20:20" ht="26.25">
      <c r="T5384" s="62" ph="1"/>
    </row>
    <row r="5385" spans="20:20" ht="26.25">
      <c r="T5385" s="62" ph="1"/>
    </row>
    <row r="5386" spans="20:20" ht="26.25">
      <c r="T5386" s="62" ph="1"/>
    </row>
    <row r="5387" spans="20:20" ht="26.25">
      <c r="T5387" s="62" ph="1"/>
    </row>
    <row r="5388" spans="20:20" ht="26.25">
      <c r="T5388" s="62" ph="1"/>
    </row>
    <row r="5389" spans="20:20" ht="26.25">
      <c r="T5389" s="62" ph="1"/>
    </row>
    <row r="5390" spans="20:20" ht="26.25">
      <c r="T5390" s="62" ph="1"/>
    </row>
    <row r="5391" spans="20:20" ht="26.25">
      <c r="T5391" s="62" ph="1"/>
    </row>
    <row r="5392" spans="20:20" ht="26.25">
      <c r="T5392" s="62" ph="1"/>
    </row>
    <row r="5393" spans="20:20" ht="26.25">
      <c r="T5393" s="62" ph="1"/>
    </row>
    <row r="5394" spans="20:20" ht="26.25">
      <c r="T5394" s="62" ph="1"/>
    </row>
    <row r="5395" spans="20:20" ht="26.25">
      <c r="T5395" s="62" ph="1"/>
    </row>
    <row r="5396" spans="20:20" ht="26.25">
      <c r="T5396" s="62" ph="1"/>
    </row>
    <row r="5397" spans="20:20" ht="26.25">
      <c r="T5397" s="62" ph="1"/>
    </row>
    <row r="5398" spans="20:20" ht="26.25">
      <c r="T5398" s="62" ph="1"/>
    </row>
    <row r="5399" spans="20:20" ht="26.25">
      <c r="T5399" s="62" ph="1"/>
    </row>
    <row r="5400" spans="20:20" ht="26.25">
      <c r="T5400" s="62" ph="1"/>
    </row>
    <row r="5401" spans="20:20" ht="26.25">
      <c r="T5401" s="62" ph="1"/>
    </row>
    <row r="5402" spans="20:20" ht="26.25">
      <c r="T5402" s="62" ph="1"/>
    </row>
    <row r="5403" spans="20:20" ht="26.25">
      <c r="T5403" s="62" ph="1"/>
    </row>
    <row r="5404" spans="20:20" ht="26.25">
      <c r="T5404" s="62" ph="1"/>
    </row>
    <row r="5405" spans="20:20" ht="26.25">
      <c r="T5405" s="62" ph="1"/>
    </row>
    <row r="5406" spans="20:20" ht="26.25">
      <c r="T5406" s="62" ph="1"/>
    </row>
    <row r="5407" spans="20:20" ht="26.25">
      <c r="T5407" s="62" ph="1"/>
    </row>
    <row r="5408" spans="20:20" ht="26.25">
      <c r="T5408" s="62" ph="1"/>
    </row>
    <row r="5409" spans="20:20" ht="26.25">
      <c r="T5409" s="62" ph="1"/>
    </row>
    <row r="5410" spans="20:20" ht="26.25">
      <c r="T5410" s="62" ph="1"/>
    </row>
    <row r="5411" spans="20:20" ht="26.25">
      <c r="T5411" s="62" ph="1"/>
    </row>
    <row r="5412" spans="20:20" ht="26.25">
      <c r="T5412" s="62" ph="1"/>
    </row>
    <row r="5413" spans="20:20" ht="26.25">
      <c r="T5413" s="62" ph="1"/>
    </row>
    <row r="5414" spans="20:20" ht="26.25">
      <c r="T5414" s="62" ph="1"/>
    </row>
    <row r="5415" spans="20:20" ht="26.25">
      <c r="T5415" s="62" ph="1"/>
    </row>
    <row r="5416" spans="20:20" ht="26.25">
      <c r="T5416" s="62" ph="1"/>
    </row>
    <row r="5417" spans="20:20" ht="26.25">
      <c r="T5417" s="62" ph="1"/>
    </row>
    <row r="5418" spans="20:20" ht="26.25">
      <c r="T5418" s="62" ph="1"/>
    </row>
    <row r="5419" spans="20:20" ht="26.25">
      <c r="T5419" s="62" ph="1"/>
    </row>
    <row r="5420" spans="20:20" ht="26.25">
      <c r="T5420" s="62" ph="1"/>
    </row>
    <row r="5421" spans="20:20" ht="26.25">
      <c r="T5421" s="62" ph="1"/>
    </row>
    <row r="5422" spans="20:20" ht="26.25">
      <c r="T5422" s="62" ph="1"/>
    </row>
    <row r="5423" spans="20:20" ht="26.25">
      <c r="T5423" s="62" ph="1"/>
    </row>
    <row r="5424" spans="20:20" ht="26.25">
      <c r="T5424" s="62" ph="1"/>
    </row>
    <row r="5425" spans="20:20" ht="26.25">
      <c r="T5425" s="62" ph="1"/>
    </row>
    <row r="5426" spans="20:20" ht="26.25">
      <c r="T5426" s="62" ph="1"/>
    </row>
    <row r="5427" spans="20:20" ht="26.25">
      <c r="T5427" s="62" ph="1"/>
    </row>
    <row r="5428" spans="20:20" ht="26.25">
      <c r="T5428" s="62" ph="1"/>
    </row>
    <row r="5429" spans="20:20" ht="26.25">
      <c r="T5429" s="62" ph="1"/>
    </row>
    <row r="5430" spans="20:20" ht="26.25">
      <c r="T5430" s="62" ph="1"/>
    </row>
    <row r="5431" spans="20:20" ht="26.25">
      <c r="T5431" s="62" ph="1"/>
    </row>
    <row r="5432" spans="20:20" ht="26.25">
      <c r="T5432" s="62" ph="1"/>
    </row>
    <row r="5433" spans="20:20" ht="26.25">
      <c r="T5433" s="62" ph="1"/>
    </row>
    <row r="5434" spans="20:20" ht="26.25">
      <c r="T5434" s="62" ph="1"/>
    </row>
    <row r="5435" spans="20:20" ht="26.25">
      <c r="T5435" s="62" ph="1"/>
    </row>
    <row r="5436" spans="20:20" ht="26.25">
      <c r="T5436" s="62" ph="1"/>
    </row>
    <row r="5437" spans="20:20" ht="26.25">
      <c r="T5437" s="62" ph="1"/>
    </row>
    <row r="5438" spans="20:20" ht="26.25">
      <c r="T5438" s="62" ph="1"/>
    </row>
    <row r="5439" spans="20:20" ht="26.25">
      <c r="T5439" s="62" ph="1"/>
    </row>
    <row r="5440" spans="20:20" ht="26.25">
      <c r="T5440" s="62" ph="1"/>
    </row>
    <row r="5441" spans="20:20" ht="26.25">
      <c r="T5441" s="62" ph="1"/>
    </row>
    <row r="5442" spans="20:20" ht="26.25">
      <c r="T5442" s="62" ph="1"/>
    </row>
    <row r="5443" spans="20:20" ht="26.25">
      <c r="T5443" s="62" ph="1"/>
    </row>
    <row r="5444" spans="20:20" ht="26.25">
      <c r="T5444" s="62" ph="1"/>
    </row>
    <row r="5445" spans="20:20" ht="26.25">
      <c r="T5445" s="62" ph="1"/>
    </row>
    <row r="5446" spans="20:20" ht="26.25">
      <c r="T5446" s="62" ph="1"/>
    </row>
    <row r="5447" spans="20:20" ht="26.25">
      <c r="T5447" s="62" ph="1"/>
    </row>
    <row r="5448" spans="20:20" ht="26.25">
      <c r="T5448" s="62" ph="1"/>
    </row>
    <row r="5449" spans="20:20" ht="26.25">
      <c r="T5449" s="62" ph="1"/>
    </row>
    <row r="5450" spans="20:20" ht="26.25">
      <c r="T5450" s="62" ph="1"/>
    </row>
    <row r="5451" spans="20:20" ht="26.25">
      <c r="T5451" s="62" ph="1"/>
    </row>
    <row r="5452" spans="20:20" ht="26.25">
      <c r="T5452" s="62" ph="1"/>
    </row>
    <row r="5453" spans="20:20" ht="26.25">
      <c r="T5453" s="62" ph="1"/>
    </row>
    <row r="5454" spans="20:20" ht="26.25">
      <c r="T5454" s="62" ph="1"/>
    </row>
    <row r="5455" spans="20:20" ht="26.25">
      <c r="T5455" s="62" ph="1"/>
    </row>
    <row r="5456" spans="20:20" ht="26.25">
      <c r="T5456" s="62" ph="1"/>
    </row>
    <row r="5457" spans="20:20" ht="26.25">
      <c r="T5457" s="62" ph="1"/>
    </row>
    <row r="5458" spans="20:20" ht="26.25">
      <c r="T5458" s="62" ph="1"/>
    </row>
    <row r="5459" spans="20:20" ht="26.25">
      <c r="T5459" s="62" ph="1"/>
    </row>
    <row r="5460" spans="20:20" ht="26.25">
      <c r="T5460" s="62" ph="1"/>
    </row>
    <row r="5461" spans="20:20" ht="26.25">
      <c r="T5461" s="62" ph="1"/>
    </row>
    <row r="5462" spans="20:20" ht="26.25">
      <c r="T5462" s="62" ph="1"/>
    </row>
    <row r="5463" spans="20:20" ht="26.25">
      <c r="T5463" s="62" ph="1"/>
    </row>
    <row r="5464" spans="20:20" ht="26.25">
      <c r="T5464" s="62" ph="1"/>
    </row>
    <row r="5465" spans="20:20" ht="26.25">
      <c r="T5465" s="62" ph="1"/>
    </row>
    <row r="5466" spans="20:20" ht="26.25">
      <c r="T5466" s="62" ph="1"/>
    </row>
    <row r="5467" spans="20:20" ht="26.25">
      <c r="T5467" s="62" ph="1"/>
    </row>
    <row r="5468" spans="20:20" ht="26.25">
      <c r="T5468" s="62" ph="1"/>
    </row>
    <row r="5469" spans="20:20" ht="26.25">
      <c r="T5469" s="62" ph="1"/>
    </row>
    <row r="5470" spans="20:20" ht="26.25">
      <c r="T5470" s="62" ph="1"/>
    </row>
    <row r="5471" spans="20:20" ht="26.25">
      <c r="T5471" s="62" ph="1"/>
    </row>
    <row r="5472" spans="20:20" ht="26.25">
      <c r="T5472" s="62" ph="1"/>
    </row>
    <row r="5473" spans="20:20" ht="26.25">
      <c r="T5473" s="62" ph="1"/>
    </row>
    <row r="5474" spans="20:20" ht="26.25">
      <c r="T5474" s="62" ph="1"/>
    </row>
    <row r="5475" spans="20:20" ht="26.25">
      <c r="T5475" s="62" ph="1"/>
    </row>
    <row r="5476" spans="20:20" ht="26.25">
      <c r="T5476" s="62" ph="1"/>
    </row>
    <row r="5477" spans="20:20" ht="26.25">
      <c r="T5477" s="62" ph="1"/>
    </row>
    <row r="5478" spans="20:20" ht="26.25">
      <c r="T5478" s="62" ph="1"/>
    </row>
    <row r="5479" spans="20:20" ht="26.25">
      <c r="T5479" s="62" ph="1"/>
    </row>
    <row r="5480" spans="20:20" ht="26.25">
      <c r="T5480" s="62" ph="1"/>
    </row>
    <row r="5481" spans="20:20" ht="26.25">
      <c r="T5481" s="62" ph="1"/>
    </row>
    <row r="5482" spans="20:20" ht="26.25">
      <c r="T5482" s="62" ph="1"/>
    </row>
    <row r="5483" spans="20:20" ht="26.25">
      <c r="T5483" s="62" ph="1"/>
    </row>
    <row r="5484" spans="20:20" ht="26.25">
      <c r="T5484" s="62" ph="1"/>
    </row>
    <row r="5485" spans="20:20" ht="26.25">
      <c r="T5485" s="62" ph="1"/>
    </row>
    <row r="5486" spans="20:20" ht="26.25">
      <c r="T5486" s="62" ph="1"/>
    </row>
    <row r="5487" spans="20:20" ht="26.25">
      <c r="T5487" s="62" ph="1"/>
    </row>
    <row r="5488" spans="20:20" ht="26.25">
      <c r="T5488" s="62" ph="1"/>
    </row>
    <row r="5489" spans="20:20" ht="26.25">
      <c r="T5489" s="62" ph="1"/>
    </row>
    <row r="5490" spans="20:20" ht="26.25">
      <c r="T5490" s="62" ph="1"/>
    </row>
    <row r="5491" spans="20:20" ht="26.25">
      <c r="T5491" s="62" ph="1"/>
    </row>
    <row r="5492" spans="20:20" ht="26.25">
      <c r="T5492" s="62" ph="1"/>
    </row>
    <row r="5493" spans="20:20" ht="26.25">
      <c r="T5493" s="62" ph="1"/>
    </row>
    <row r="5494" spans="20:20" ht="26.25">
      <c r="T5494" s="62" ph="1"/>
    </row>
    <row r="5495" spans="20:20" ht="26.25">
      <c r="T5495" s="62" ph="1"/>
    </row>
    <row r="5496" spans="20:20" ht="26.25">
      <c r="T5496" s="62" ph="1"/>
    </row>
    <row r="5497" spans="20:20" ht="26.25">
      <c r="T5497" s="62" ph="1"/>
    </row>
    <row r="5498" spans="20:20" ht="26.25">
      <c r="T5498" s="62" ph="1"/>
    </row>
    <row r="5499" spans="20:20" ht="26.25">
      <c r="T5499" s="62" ph="1"/>
    </row>
    <row r="5500" spans="20:20" ht="26.25">
      <c r="T5500" s="62" ph="1"/>
    </row>
    <row r="5501" spans="20:20" ht="26.25">
      <c r="T5501" s="62" ph="1"/>
    </row>
    <row r="5502" spans="20:20" ht="26.25">
      <c r="T5502" s="62" ph="1"/>
    </row>
    <row r="5503" spans="20:20" ht="26.25">
      <c r="T5503" s="62" ph="1"/>
    </row>
    <row r="5504" spans="20:20" ht="26.25">
      <c r="T5504" s="62" ph="1"/>
    </row>
    <row r="5505" spans="20:20" ht="26.25">
      <c r="T5505" s="62" ph="1"/>
    </row>
    <row r="5506" spans="20:20" ht="26.25">
      <c r="T5506" s="62" ph="1"/>
    </row>
    <row r="5507" spans="20:20" ht="26.25">
      <c r="T5507" s="62" ph="1"/>
    </row>
    <row r="5508" spans="20:20" ht="26.25">
      <c r="T5508" s="62" ph="1"/>
    </row>
    <row r="5509" spans="20:20" ht="26.25">
      <c r="T5509" s="62" ph="1"/>
    </row>
    <row r="5510" spans="20:20" ht="26.25">
      <c r="T5510" s="62" ph="1"/>
    </row>
    <row r="5511" spans="20:20" ht="26.25">
      <c r="T5511" s="62" ph="1"/>
    </row>
    <row r="5512" spans="20:20" ht="26.25">
      <c r="T5512" s="62" ph="1"/>
    </row>
    <row r="5513" spans="20:20" ht="26.25">
      <c r="T5513" s="62" ph="1"/>
    </row>
    <row r="5514" spans="20:20" ht="26.25">
      <c r="T5514" s="62" ph="1"/>
    </row>
    <row r="5515" spans="20:20" ht="26.25">
      <c r="T5515" s="62" ph="1"/>
    </row>
    <row r="5516" spans="20:20" ht="26.25">
      <c r="T5516" s="62" ph="1"/>
    </row>
    <row r="5517" spans="20:20" ht="26.25">
      <c r="T5517" s="62" ph="1"/>
    </row>
    <row r="5518" spans="20:20" ht="26.25">
      <c r="T5518" s="62" ph="1"/>
    </row>
    <row r="5519" spans="20:20" ht="26.25">
      <c r="T5519" s="62" ph="1"/>
    </row>
    <row r="5520" spans="20:20" ht="26.25">
      <c r="T5520" s="62" ph="1"/>
    </row>
    <row r="5521" spans="20:20" ht="26.25">
      <c r="T5521" s="62" ph="1"/>
    </row>
    <row r="5522" spans="20:20" ht="26.25">
      <c r="T5522" s="62" ph="1"/>
    </row>
    <row r="5523" spans="20:20" ht="26.25">
      <c r="T5523" s="62" ph="1"/>
    </row>
    <row r="5524" spans="20:20" ht="26.25">
      <c r="T5524" s="62" ph="1"/>
    </row>
    <row r="5525" spans="20:20" ht="26.25">
      <c r="T5525" s="62" ph="1"/>
    </row>
    <row r="5526" spans="20:20" ht="26.25">
      <c r="T5526" s="62" ph="1"/>
    </row>
    <row r="5527" spans="20:20" ht="26.25">
      <c r="T5527" s="62" ph="1"/>
    </row>
    <row r="5528" spans="20:20" ht="26.25">
      <c r="T5528" s="62" ph="1"/>
    </row>
    <row r="5529" spans="20:20" ht="26.25">
      <c r="T5529" s="62" ph="1"/>
    </row>
    <row r="5530" spans="20:20" ht="26.25">
      <c r="T5530" s="62" ph="1"/>
    </row>
    <row r="5531" spans="20:20" ht="26.25">
      <c r="T5531" s="62" ph="1"/>
    </row>
    <row r="5532" spans="20:20" ht="26.25">
      <c r="T5532" s="62" ph="1"/>
    </row>
    <row r="5533" spans="20:20" ht="26.25">
      <c r="T5533" s="62" ph="1"/>
    </row>
    <row r="5534" spans="20:20" ht="26.25">
      <c r="T5534" s="62" ph="1"/>
    </row>
    <row r="5535" spans="20:20" ht="26.25">
      <c r="T5535" s="62" ph="1"/>
    </row>
    <row r="5536" spans="20:20" ht="26.25">
      <c r="T5536" s="62" ph="1"/>
    </row>
    <row r="5537" spans="20:20" ht="26.25">
      <c r="T5537" s="62" ph="1"/>
    </row>
    <row r="5538" spans="20:20" ht="26.25">
      <c r="T5538" s="62" ph="1"/>
    </row>
    <row r="5539" spans="20:20" ht="26.25">
      <c r="T5539" s="62" ph="1"/>
    </row>
    <row r="5540" spans="20:20" ht="26.25">
      <c r="T5540" s="62" ph="1"/>
    </row>
    <row r="5541" spans="20:20" ht="26.25">
      <c r="T5541" s="62" ph="1"/>
    </row>
    <row r="5542" spans="20:20" ht="26.25">
      <c r="T5542" s="62" ph="1"/>
    </row>
    <row r="5543" spans="20:20" ht="26.25">
      <c r="T5543" s="62" ph="1"/>
    </row>
    <row r="5544" spans="20:20" ht="26.25">
      <c r="T5544" s="62" ph="1"/>
    </row>
    <row r="5545" spans="20:20" ht="26.25">
      <c r="T5545" s="62" ph="1"/>
    </row>
    <row r="5546" spans="20:20" ht="26.25">
      <c r="T5546" s="62" ph="1"/>
    </row>
    <row r="5547" spans="20:20" ht="26.25">
      <c r="T5547" s="62" ph="1"/>
    </row>
    <row r="5548" spans="20:20" ht="26.25">
      <c r="T5548" s="62" ph="1"/>
    </row>
    <row r="5549" spans="20:20" ht="26.25">
      <c r="T5549" s="62" ph="1"/>
    </row>
    <row r="5550" spans="20:20" ht="26.25">
      <c r="T5550" s="62" ph="1"/>
    </row>
    <row r="5551" spans="20:20" ht="26.25">
      <c r="T5551" s="62" ph="1"/>
    </row>
    <row r="5552" spans="20:20" ht="26.25">
      <c r="T5552" s="62" ph="1"/>
    </row>
    <row r="5553" spans="20:20" ht="26.25">
      <c r="T5553" s="62" ph="1"/>
    </row>
    <row r="5554" spans="20:20" ht="26.25">
      <c r="T5554" s="62" ph="1"/>
    </row>
    <row r="5555" spans="20:20" ht="26.25">
      <c r="T5555" s="62" ph="1"/>
    </row>
    <row r="5556" spans="20:20" ht="26.25">
      <c r="T5556" s="62" ph="1"/>
    </row>
    <row r="5557" spans="20:20" ht="26.25">
      <c r="T5557" s="62" ph="1"/>
    </row>
    <row r="5558" spans="20:20" ht="26.25">
      <c r="T5558" s="62" ph="1"/>
    </row>
    <row r="5559" spans="20:20" ht="26.25">
      <c r="T5559" s="62" ph="1"/>
    </row>
    <row r="5560" spans="20:20" ht="26.25">
      <c r="T5560" s="62" ph="1"/>
    </row>
    <row r="5561" spans="20:20" ht="26.25">
      <c r="T5561" s="62" ph="1"/>
    </row>
    <row r="5562" spans="20:20" ht="26.25">
      <c r="T5562" s="62" ph="1"/>
    </row>
    <row r="5563" spans="20:20" ht="26.25">
      <c r="T5563" s="62" ph="1"/>
    </row>
    <row r="5564" spans="20:20" ht="26.25">
      <c r="T5564" s="62" ph="1"/>
    </row>
    <row r="5565" spans="20:20" ht="26.25">
      <c r="T5565" s="62" ph="1"/>
    </row>
    <row r="5566" spans="20:20" ht="26.25">
      <c r="T5566" s="62" ph="1"/>
    </row>
    <row r="5567" spans="20:20" ht="26.25">
      <c r="T5567" s="62" ph="1"/>
    </row>
    <row r="5568" spans="20:20" ht="26.25">
      <c r="T5568" s="62" ph="1"/>
    </row>
    <row r="5569" spans="20:20" ht="26.25">
      <c r="T5569" s="62" ph="1"/>
    </row>
    <row r="5570" spans="20:20" ht="26.25">
      <c r="T5570" s="62" ph="1"/>
    </row>
    <row r="5571" spans="20:20" ht="26.25">
      <c r="T5571" s="62" ph="1"/>
    </row>
    <row r="5572" spans="20:20" ht="26.25">
      <c r="T5572" s="62" ph="1"/>
    </row>
    <row r="5573" spans="20:20" ht="26.25">
      <c r="T5573" s="62" ph="1"/>
    </row>
    <row r="5574" spans="20:20" ht="26.25">
      <c r="T5574" s="62" ph="1"/>
    </row>
    <row r="5575" spans="20:20" ht="26.25">
      <c r="T5575" s="62" ph="1"/>
    </row>
    <row r="5576" spans="20:20" ht="26.25">
      <c r="T5576" s="62" ph="1"/>
    </row>
    <row r="5577" spans="20:20" ht="26.25">
      <c r="T5577" s="62" ph="1"/>
    </row>
    <row r="5578" spans="20:20" ht="26.25">
      <c r="T5578" s="62" ph="1"/>
    </row>
    <row r="5579" spans="20:20" ht="26.25">
      <c r="T5579" s="62" ph="1"/>
    </row>
    <row r="5580" spans="20:20" ht="26.25">
      <c r="T5580" s="62" ph="1"/>
    </row>
    <row r="5581" spans="20:20" ht="26.25">
      <c r="T5581" s="62" ph="1"/>
    </row>
    <row r="5582" spans="20:20" ht="26.25">
      <c r="T5582" s="62" ph="1"/>
    </row>
    <row r="5583" spans="20:20" ht="26.25">
      <c r="T5583" s="62" ph="1"/>
    </row>
    <row r="5584" spans="20:20" ht="26.25">
      <c r="T5584" s="62" ph="1"/>
    </row>
    <row r="5585" spans="20:20" ht="26.25">
      <c r="T5585" s="62" ph="1"/>
    </row>
    <row r="5586" spans="20:20" ht="26.25">
      <c r="T5586" s="62" ph="1"/>
    </row>
    <row r="5587" spans="20:20" ht="26.25">
      <c r="T5587" s="62" ph="1"/>
    </row>
    <row r="5588" spans="20:20" ht="26.25">
      <c r="T5588" s="62" ph="1"/>
    </row>
    <row r="5589" spans="20:20" ht="26.25">
      <c r="T5589" s="62" ph="1"/>
    </row>
    <row r="5590" spans="20:20" ht="26.25">
      <c r="T5590" s="62" ph="1"/>
    </row>
    <row r="5591" spans="20:20" ht="26.25">
      <c r="T5591" s="62" ph="1"/>
    </row>
    <row r="5592" spans="20:20" ht="26.25">
      <c r="T5592" s="62" ph="1"/>
    </row>
    <row r="5593" spans="20:20" ht="26.25">
      <c r="T5593" s="62" ph="1"/>
    </row>
    <row r="5594" spans="20:20" ht="26.25">
      <c r="T5594" s="62" ph="1"/>
    </row>
    <row r="5595" spans="20:20" ht="26.25">
      <c r="T5595" s="62" ph="1"/>
    </row>
    <row r="5596" spans="20:20" ht="26.25">
      <c r="T5596" s="62" ph="1"/>
    </row>
    <row r="5597" spans="20:20" ht="26.25">
      <c r="T5597" s="62" ph="1"/>
    </row>
    <row r="5598" spans="20:20" ht="26.25">
      <c r="T5598" s="62" ph="1"/>
    </row>
    <row r="5599" spans="20:20" ht="26.25">
      <c r="T5599" s="62" ph="1"/>
    </row>
    <row r="5600" spans="20:20" ht="26.25">
      <c r="T5600" s="62" ph="1"/>
    </row>
    <row r="5601" spans="20:20" ht="26.25">
      <c r="T5601" s="62" ph="1"/>
    </row>
    <row r="5602" spans="20:20" ht="26.25">
      <c r="T5602" s="62" ph="1"/>
    </row>
    <row r="5603" spans="20:20" ht="26.25">
      <c r="T5603" s="62" ph="1"/>
    </row>
    <row r="5604" spans="20:20" ht="26.25">
      <c r="T5604" s="62" ph="1"/>
    </row>
    <row r="5605" spans="20:20" ht="26.25">
      <c r="T5605" s="62" ph="1"/>
    </row>
    <row r="5606" spans="20:20" ht="26.25">
      <c r="T5606" s="62" ph="1"/>
    </row>
    <row r="5607" spans="20:20" ht="26.25">
      <c r="T5607" s="62" ph="1"/>
    </row>
    <row r="5608" spans="20:20" ht="26.25">
      <c r="T5608" s="62" ph="1"/>
    </row>
    <row r="5609" spans="20:20" ht="26.25">
      <c r="T5609" s="62" ph="1"/>
    </row>
    <row r="5610" spans="20:20" ht="26.25">
      <c r="T5610" s="62" ph="1"/>
    </row>
    <row r="5611" spans="20:20" ht="26.25">
      <c r="T5611" s="62" ph="1"/>
    </row>
    <row r="5612" spans="20:20" ht="26.25">
      <c r="T5612" s="62" ph="1"/>
    </row>
    <row r="5613" spans="20:20" ht="26.25">
      <c r="T5613" s="62" ph="1"/>
    </row>
    <row r="5614" spans="20:20" ht="26.25">
      <c r="T5614" s="62" ph="1"/>
    </row>
    <row r="5615" spans="20:20" ht="26.25">
      <c r="T5615" s="62" ph="1"/>
    </row>
    <row r="5616" spans="20:20" ht="26.25">
      <c r="T5616" s="62" ph="1"/>
    </row>
    <row r="5617" spans="20:20" ht="26.25">
      <c r="T5617" s="62" ph="1"/>
    </row>
    <row r="5618" spans="20:20" ht="26.25">
      <c r="T5618" s="62" ph="1"/>
    </row>
    <row r="5619" spans="20:20" ht="26.25">
      <c r="T5619" s="62" ph="1"/>
    </row>
    <row r="5620" spans="20:20" ht="26.25">
      <c r="T5620" s="62" ph="1"/>
    </row>
    <row r="5621" spans="20:20" ht="26.25">
      <c r="T5621" s="62" ph="1"/>
    </row>
    <row r="5622" spans="20:20" ht="26.25">
      <c r="T5622" s="62" ph="1"/>
    </row>
    <row r="5623" spans="20:20" ht="26.25">
      <c r="T5623" s="62" ph="1"/>
    </row>
    <row r="5624" spans="20:20" ht="26.25">
      <c r="T5624" s="62" ph="1"/>
    </row>
    <row r="5625" spans="20:20" ht="26.25">
      <c r="T5625" s="62" ph="1"/>
    </row>
    <row r="5626" spans="20:20" ht="26.25">
      <c r="T5626" s="62" ph="1"/>
    </row>
    <row r="5627" spans="20:20" ht="26.25">
      <c r="T5627" s="62" ph="1"/>
    </row>
    <row r="5628" spans="20:20" ht="26.25">
      <c r="T5628" s="62" ph="1"/>
    </row>
    <row r="5629" spans="20:20" ht="26.25">
      <c r="T5629" s="62" ph="1"/>
    </row>
    <row r="5630" spans="20:20" ht="26.25">
      <c r="T5630" s="62" ph="1"/>
    </row>
    <row r="5631" spans="20:20" ht="26.25">
      <c r="T5631" s="62" ph="1"/>
    </row>
    <row r="5632" spans="20:20" ht="26.25">
      <c r="T5632" s="62" ph="1"/>
    </row>
    <row r="5633" spans="20:20" ht="26.25">
      <c r="T5633" s="62" ph="1"/>
    </row>
    <row r="5634" spans="20:20" ht="26.25">
      <c r="T5634" s="62" ph="1"/>
    </row>
    <row r="5635" spans="20:20" ht="26.25">
      <c r="T5635" s="62" ph="1"/>
    </row>
    <row r="5636" spans="20:20" ht="26.25">
      <c r="T5636" s="62" ph="1"/>
    </row>
    <row r="5637" spans="20:20" ht="26.25">
      <c r="T5637" s="62" ph="1"/>
    </row>
    <row r="5638" spans="20:20" ht="26.25">
      <c r="T5638" s="62" ph="1"/>
    </row>
    <row r="5639" spans="20:20" ht="26.25">
      <c r="T5639" s="62" ph="1"/>
    </row>
    <row r="5640" spans="20:20" ht="26.25">
      <c r="T5640" s="62" ph="1"/>
    </row>
    <row r="5641" spans="20:20" ht="26.25">
      <c r="T5641" s="62" ph="1"/>
    </row>
    <row r="5642" spans="20:20" ht="26.25">
      <c r="T5642" s="62" ph="1"/>
    </row>
    <row r="5643" spans="20:20" ht="26.25">
      <c r="T5643" s="62" ph="1"/>
    </row>
    <row r="5644" spans="20:20" ht="26.25">
      <c r="T5644" s="62" ph="1"/>
    </row>
    <row r="5645" spans="20:20" ht="26.25">
      <c r="T5645" s="62" ph="1"/>
    </row>
    <row r="5646" spans="20:20" ht="26.25">
      <c r="T5646" s="62" ph="1"/>
    </row>
    <row r="5647" spans="20:20" ht="26.25">
      <c r="T5647" s="62" ph="1"/>
    </row>
    <row r="5648" spans="20:20" ht="26.25">
      <c r="T5648" s="62" ph="1"/>
    </row>
    <row r="5649" spans="20:20" ht="26.25">
      <c r="T5649" s="62" ph="1"/>
    </row>
    <row r="5650" spans="20:20" ht="26.25">
      <c r="T5650" s="62" ph="1"/>
    </row>
    <row r="5651" spans="20:20" ht="26.25">
      <c r="T5651" s="62" ph="1"/>
    </row>
    <row r="5652" spans="20:20" ht="26.25">
      <c r="T5652" s="62" ph="1"/>
    </row>
    <row r="5653" spans="20:20" ht="26.25">
      <c r="T5653" s="62" ph="1"/>
    </row>
    <row r="5654" spans="20:20" ht="26.25">
      <c r="T5654" s="62" ph="1"/>
    </row>
    <row r="5655" spans="20:20" ht="26.25">
      <c r="T5655" s="62" ph="1"/>
    </row>
    <row r="5656" spans="20:20" ht="26.25">
      <c r="T5656" s="62" ph="1"/>
    </row>
    <row r="5657" spans="20:20" ht="26.25">
      <c r="T5657" s="62" ph="1"/>
    </row>
    <row r="5658" spans="20:20" ht="26.25">
      <c r="T5658" s="62" ph="1"/>
    </row>
    <row r="5659" spans="20:20" ht="26.25">
      <c r="T5659" s="62" ph="1"/>
    </row>
    <row r="5660" spans="20:20" ht="26.25">
      <c r="T5660" s="62" ph="1"/>
    </row>
    <row r="5661" spans="20:20" ht="26.25">
      <c r="T5661" s="62" ph="1"/>
    </row>
    <row r="5662" spans="20:20" ht="26.25">
      <c r="T5662" s="62" ph="1"/>
    </row>
    <row r="5663" spans="20:20" ht="26.25">
      <c r="T5663" s="62" ph="1"/>
    </row>
    <row r="5664" spans="20:20" ht="26.25">
      <c r="T5664" s="62" ph="1"/>
    </row>
    <row r="5665" spans="20:20" ht="26.25">
      <c r="T5665" s="62" ph="1"/>
    </row>
    <row r="5666" spans="20:20" ht="26.25">
      <c r="T5666" s="62" ph="1"/>
    </row>
    <row r="5667" spans="20:20" ht="26.25">
      <c r="T5667" s="62" ph="1"/>
    </row>
    <row r="5668" spans="20:20" ht="26.25">
      <c r="T5668" s="62" ph="1"/>
    </row>
    <row r="5669" spans="20:20" ht="26.25">
      <c r="T5669" s="62" ph="1"/>
    </row>
    <row r="5670" spans="20:20" ht="26.25">
      <c r="T5670" s="62" ph="1"/>
    </row>
    <row r="5671" spans="20:20" ht="26.25">
      <c r="T5671" s="62" ph="1"/>
    </row>
    <row r="5672" spans="20:20" ht="26.25">
      <c r="T5672" s="62" ph="1"/>
    </row>
    <row r="5673" spans="20:20" ht="26.25">
      <c r="T5673" s="62" ph="1"/>
    </row>
    <row r="5674" spans="20:20" ht="26.25">
      <c r="T5674" s="62" ph="1"/>
    </row>
    <row r="5675" spans="20:20" ht="26.25">
      <c r="T5675" s="62" ph="1"/>
    </row>
    <row r="5676" spans="20:20" ht="26.25">
      <c r="T5676" s="62" ph="1"/>
    </row>
    <row r="5677" spans="20:20" ht="26.25">
      <c r="T5677" s="62" ph="1"/>
    </row>
    <row r="5678" spans="20:20" ht="26.25">
      <c r="T5678" s="62" ph="1"/>
    </row>
    <row r="5679" spans="20:20" ht="26.25">
      <c r="T5679" s="62" ph="1"/>
    </row>
    <row r="5680" spans="20:20" ht="26.25">
      <c r="T5680" s="62" ph="1"/>
    </row>
    <row r="5681" spans="20:20" ht="26.25">
      <c r="T5681" s="62" ph="1"/>
    </row>
    <row r="5682" spans="20:20" ht="26.25">
      <c r="T5682" s="62" ph="1"/>
    </row>
    <row r="5683" spans="20:20" ht="26.25">
      <c r="T5683" s="62" ph="1"/>
    </row>
    <row r="5684" spans="20:20" ht="26.25">
      <c r="T5684" s="62" ph="1"/>
    </row>
    <row r="5685" spans="20:20" ht="26.25">
      <c r="T5685" s="62" ph="1"/>
    </row>
    <row r="5686" spans="20:20" ht="26.25">
      <c r="T5686" s="62" ph="1"/>
    </row>
    <row r="5687" spans="20:20" ht="26.25">
      <c r="T5687" s="62" ph="1"/>
    </row>
    <row r="5688" spans="20:20" ht="26.25">
      <c r="T5688" s="62" ph="1"/>
    </row>
    <row r="5689" spans="20:20" ht="26.25">
      <c r="T5689" s="62" ph="1"/>
    </row>
    <row r="5690" spans="20:20" ht="26.25">
      <c r="T5690" s="62" ph="1"/>
    </row>
    <row r="5691" spans="20:20" ht="26.25">
      <c r="T5691" s="62" ph="1"/>
    </row>
    <row r="5692" spans="20:20" ht="26.25">
      <c r="T5692" s="62" ph="1"/>
    </row>
    <row r="5693" spans="20:20" ht="26.25">
      <c r="T5693" s="62" ph="1"/>
    </row>
    <row r="5694" spans="20:20" ht="26.25">
      <c r="T5694" s="62" ph="1"/>
    </row>
    <row r="5695" spans="20:20" ht="26.25">
      <c r="T5695" s="62" ph="1"/>
    </row>
    <row r="5696" spans="20:20" ht="26.25">
      <c r="T5696" s="62" ph="1"/>
    </row>
    <row r="5697" spans="20:20" ht="26.25">
      <c r="T5697" s="62" ph="1"/>
    </row>
    <row r="5698" spans="20:20" ht="26.25">
      <c r="T5698" s="62" ph="1"/>
    </row>
    <row r="5699" spans="20:20" ht="26.25">
      <c r="T5699" s="62" ph="1"/>
    </row>
    <row r="5700" spans="20:20" ht="26.25">
      <c r="T5700" s="62" ph="1"/>
    </row>
    <row r="5701" spans="20:20" ht="26.25">
      <c r="T5701" s="62" ph="1"/>
    </row>
    <row r="5702" spans="20:20" ht="26.25">
      <c r="T5702" s="62" ph="1"/>
    </row>
    <row r="5703" spans="20:20" ht="26.25">
      <c r="T5703" s="62" ph="1"/>
    </row>
    <row r="5704" spans="20:20" ht="26.25">
      <c r="T5704" s="62" ph="1"/>
    </row>
    <row r="5705" spans="20:20" ht="26.25">
      <c r="T5705" s="62" ph="1"/>
    </row>
    <row r="5706" spans="20:20" ht="26.25">
      <c r="T5706" s="62" ph="1"/>
    </row>
    <row r="5707" spans="20:20" ht="26.25">
      <c r="T5707" s="62" ph="1"/>
    </row>
    <row r="5708" spans="20:20" ht="26.25">
      <c r="T5708" s="62" ph="1"/>
    </row>
    <row r="5709" spans="20:20" ht="26.25">
      <c r="T5709" s="62" ph="1"/>
    </row>
    <row r="5710" spans="20:20" ht="26.25">
      <c r="T5710" s="62" ph="1"/>
    </row>
    <row r="5711" spans="20:20" ht="26.25">
      <c r="T5711" s="62" ph="1"/>
    </row>
    <row r="5712" spans="20:20" ht="26.25">
      <c r="T5712" s="62" ph="1"/>
    </row>
    <row r="5713" spans="20:20" ht="26.25">
      <c r="T5713" s="62" ph="1"/>
    </row>
    <row r="5714" spans="20:20" ht="26.25">
      <c r="T5714" s="62" ph="1"/>
    </row>
    <row r="5715" spans="20:20" ht="26.25">
      <c r="T5715" s="62" ph="1"/>
    </row>
    <row r="5716" spans="20:20" ht="26.25">
      <c r="T5716" s="62" ph="1"/>
    </row>
    <row r="5717" spans="20:20" ht="26.25">
      <c r="T5717" s="62" ph="1"/>
    </row>
    <row r="5718" spans="20:20" ht="26.25">
      <c r="T5718" s="62" ph="1"/>
    </row>
    <row r="5719" spans="20:20" ht="26.25">
      <c r="T5719" s="62" ph="1"/>
    </row>
    <row r="5720" spans="20:20" ht="26.25">
      <c r="T5720" s="62" ph="1"/>
    </row>
    <row r="5721" spans="20:20" ht="26.25">
      <c r="T5721" s="62" ph="1"/>
    </row>
    <row r="5722" spans="20:20" ht="26.25">
      <c r="T5722" s="62" ph="1"/>
    </row>
    <row r="5723" spans="20:20" ht="26.25">
      <c r="T5723" s="62" ph="1"/>
    </row>
    <row r="5724" spans="20:20" ht="26.25">
      <c r="T5724" s="62" ph="1"/>
    </row>
    <row r="5725" spans="20:20" ht="26.25">
      <c r="T5725" s="62" ph="1"/>
    </row>
    <row r="5726" spans="20:20" ht="26.25">
      <c r="T5726" s="62" ph="1"/>
    </row>
    <row r="5727" spans="20:20" ht="26.25">
      <c r="T5727" s="62" ph="1"/>
    </row>
    <row r="5728" spans="20:20" ht="26.25">
      <c r="T5728" s="62" ph="1"/>
    </row>
    <row r="5729" spans="20:20" ht="26.25">
      <c r="T5729" s="62" ph="1"/>
    </row>
    <row r="5730" spans="20:20" ht="26.25">
      <c r="T5730" s="62" ph="1"/>
    </row>
    <row r="5731" spans="20:20" ht="26.25">
      <c r="T5731" s="62" ph="1"/>
    </row>
    <row r="5732" spans="20:20" ht="26.25">
      <c r="T5732" s="62" ph="1"/>
    </row>
    <row r="5733" spans="20:20" ht="26.25">
      <c r="T5733" s="62" ph="1"/>
    </row>
    <row r="5734" spans="20:20" ht="26.25">
      <c r="T5734" s="62" ph="1"/>
    </row>
    <row r="5735" spans="20:20" ht="26.25">
      <c r="T5735" s="62" ph="1"/>
    </row>
    <row r="5736" spans="20:20" ht="26.25">
      <c r="T5736" s="62" ph="1"/>
    </row>
    <row r="5737" spans="20:20" ht="26.25">
      <c r="T5737" s="62" ph="1"/>
    </row>
    <row r="5738" spans="20:20" ht="26.25">
      <c r="T5738" s="62" ph="1"/>
    </row>
    <row r="5739" spans="20:20" ht="26.25">
      <c r="T5739" s="62" ph="1"/>
    </row>
    <row r="5740" spans="20:20" ht="26.25">
      <c r="T5740" s="62" ph="1"/>
    </row>
    <row r="5741" spans="20:20" ht="26.25">
      <c r="T5741" s="62" ph="1"/>
    </row>
    <row r="5742" spans="20:20" ht="26.25">
      <c r="T5742" s="62" ph="1"/>
    </row>
    <row r="5743" spans="20:20" ht="26.25">
      <c r="T5743" s="62" ph="1"/>
    </row>
    <row r="5744" spans="20:20" ht="26.25">
      <c r="T5744" s="62" ph="1"/>
    </row>
    <row r="5745" spans="20:20" ht="26.25">
      <c r="T5745" s="62" ph="1"/>
    </row>
    <row r="5746" spans="20:20" ht="26.25">
      <c r="T5746" s="62" ph="1"/>
    </row>
    <row r="5747" spans="20:20" ht="26.25">
      <c r="T5747" s="62" ph="1"/>
    </row>
    <row r="5748" spans="20:20" ht="26.25">
      <c r="T5748" s="62" ph="1"/>
    </row>
    <row r="5749" spans="20:20" ht="26.25">
      <c r="T5749" s="62" ph="1"/>
    </row>
    <row r="5750" spans="20:20" ht="26.25">
      <c r="T5750" s="62" ph="1"/>
    </row>
    <row r="5751" spans="20:20" ht="26.25">
      <c r="T5751" s="62" ph="1"/>
    </row>
    <row r="5752" spans="20:20" ht="26.25">
      <c r="T5752" s="62" ph="1"/>
    </row>
    <row r="5753" spans="20:20" ht="26.25">
      <c r="T5753" s="62" ph="1"/>
    </row>
    <row r="5754" spans="20:20" ht="26.25">
      <c r="T5754" s="62" ph="1"/>
    </row>
    <row r="5755" spans="20:20" ht="26.25">
      <c r="T5755" s="62" ph="1"/>
    </row>
    <row r="5756" spans="20:20" ht="26.25">
      <c r="T5756" s="62" ph="1"/>
    </row>
    <row r="5757" spans="20:20" ht="26.25">
      <c r="T5757" s="62" ph="1"/>
    </row>
    <row r="5758" spans="20:20" ht="26.25">
      <c r="T5758" s="62" ph="1"/>
    </row>
    <row r="5759" spans="20:20" ht="26.25">
      <c r="T5759" s="62" ph="1"/>
    </row>
    <row r="5760" spans="20:20" ht="26.25">
      <c r="T5760" s="62" ph="1"/>
    </row>
    <row r="5761" spans="20:20" ht="26.25">
      <c r="T5761" s="62" ph="1"/>
    </row>
    <row r="5762" spans="20:20" ht="26.25">
      <c r="T5762" s="62" ph="1"/>
    </row>
    <row r="5763" spans="20:20" ht="26.25">
      <c r="T5763" s="62" ph="1"/>
    </row>
    <row r="5764" spans="20:20" ht="26.25">
      <c r="T5764" s="62" ph="1"/>
    </row>
    <row r="5765" spans="20:20" ht="26.25">
      <c r="T5765" s="62" ph="1"/>
    </row>
    <row r="5766" spans="20:20" ht="26.25">
      <c r="T5766" s="62" ph="1"/>
    </row>
    <row r="5767" spans="20:20" ht="26.25">
      <c r="T5767" s="62" ph="1"/>
    </row>
    <row r="5768" spans="20:20" ht="26.25">
      <c r="T5768" s="62" ph="1"/>
    </row>
    <row r="5769" spans="20:20" ht="26.25">
      <c r="T5769" s="62" ph="1"/>
    </row>
    <row r="5770" spans="20:20" ht="26.25">
      <c r="T5770" s="62" ph="1"/>
    </row>
    <row r="5771" spans="20:20" ht="26.25">
      <c r="T5771" s="62" ph="1"/>
    </row>
    <row r="5772" spans="20:20" ht="26.25">
      <c r="T5772" s="62" ph="1"/>
    </row>
    <row r="5773" spans="20:20" ht="26.25">
      <c r="T5773" s="62" ph="1"/>
    </row>
    <row r="5774" spans="20:20" ht="26.25">
      <c r="T5774" s="62" ph="1"/>
    </row>
    <row r="5775" spans="20:20" ht="26.25">
      <c r="T5775" s="62" ph="1"/>
    </row>
    <row r="5776" spans="20:20" ht="26.25">
      <c r="T5776" s="62" ph="1"/>
    </row>
    <row r="5777" spans="20:20" ht="26.25">
      <c r="T5777" s="62" ph="1"/>
    </row>
    <row r="5778" spans="20:20" ht="26.25">
      <c r="T5778" s="62" ph="1"/>
    </row>
    <row r="5779" spans="20:20" ht="26.25">
      <c r="T5779" s="62" ph="1"/>
    </row>
    <row r="5780" spans="20:20" ht="26.25">
      <c r="T5780" s="62" ph="1"/>
    </row>
    <row r="5781" spans="20:20" ht="26.25">
      <c r="T5781" s="62" ph="1"/>
    </row>
    <row r="5782" spans="20:20" ht="26.25">
      <c r="T5782" s="62" ph="1"/>
    </row>
    <row r="5783" spans="20:20" ht="26.25">
      <c r="T5783" s="62" ph="1"/>
    </row>
    <row r="5784" spans="20:20" ht="26.25">
      <c r="T5784" s="62" ph="1"/>
    </row>
    <row r="5785" spans="20:20" ht="26.25">
      <c r="T5785" s="62" ph="1"/>
    </row>
    <row r="5786" spans="20:20" ht="26.25">
      <c r="T5786" s="62" ph="1"/>
    </row>
    <row r="5787" spans="20:20" ht="26.25">
      <c r="T5787" s="62" ph="1"/>
    </row>
    <row r="5788" spans="20:20" ht="26.25">
      <c r="T5788" s="62" ph="1"/>
    </row>
    <row r="5789" spans="20:20" ht="26.25">
      <c r="T5789" s="62" ph="1"/>
    </row>
    <row r="5790" spans="20:20" ht="26.25">
      <c r="T5790" s="62" ph="1"/>
    </row>
    <row r="5791" spans="20:20" ht="26.25">
      <c r="T5791" s="62" ph="1"/>
    </row>
    <row r="5792" spans="20:20" ht="26.25">
      <c r="T5792" s="62" ph="1"/>
    </row>
    <row r="5793" spans="20:20" ht="26.25">
      <c r="T5793" s="62" ph="1"/>
    </row>
    <row r="5794" spans="20:20" ht="26.25">
      <c r="T5794" s="62" ph="1"/>
    </row>
    <row r="5795" spans="20:20" ht="26.25">
      <c r="T5795" s="62" ph="1"/>
    </row>
    <row r="5796" spans="20:20" ht="26.25">
      <c r="T5796" s="62" ph="1"/>
    </row>
    <row r="5797" spans="20:20" ht="26.25">
      <c r="T5797" s="62" ph="1"/>
    </row>
    <row r="5798" spans="20:20" ht="26.25">
      <c r="T5798" s="62" ph="1"/>
    </row>
    <row r="5799" spans="20:20" ht="26.25">
      <c r="T5799" s="62" ph="1"/>
    </row>
    <row r="5800" spans="20:20" ht="26.25">
      <c r="T5800" s="62" ph="1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2">
    <tabColor rgb="FFFFC000"/>
  </sheetPr>
  <dimension ref="A1:AS2595"/>
  <sheetViews>
    <sheetView topLeftCell="A130" workbookViewId="0">
      <selection activeCell="U156" sqref="U156"/>
    </sheetView>
  </sheetViews>
  <sheetFormatPr defaultRowHeight="16.5"/>
  <cols>
    <col min="1" max="1" width="5.7109375" style="147" customWidth="1"/>
    <col min="2" max="5" width="5.7109375" style="94" customWidth="1"/>
    <col min="6" max="6" width="8.7109375" style="64" customWidth="1"/>
    <col min="7" max="7" width="7.7109375" style="19" customWidth="1"/>
    <col min="8" max="8" width="5.7109375" style="12" customWidth="1"/>
    <col min="9" max="9" width="8.7109375" style="9" customWidth="1"/>
    <col min="10" max="10" width="6.7109375" style="31" customWidth="1"/>
    <col min="11" max="11" width="6.7109375" style="327" customWidth="1"/>
    <col min="12" max="12" width="6.7109375" style="75" customWidth="1"/>
    <col min="13" max="13" width="6.7109375" style="325" customWidth="1"/>
    <col min="14" max="14" width="7.7109375" style="327" customWidth="1"/>
    <col min="15" max="15" width="4.7109375" style="329" customWidth="1"/>
    <col min="16" max="16" width="4.7109375" style="390" customWidth="1"/>
    <col min="17" max="17" width="4.7109375" style="362" customWidth="1"/>
    <col min="18" max="18" width="2.7109375" style="308" customWidth="1"/>
    <col min="19" max="19" width="6.7109375" style="330" customWidth="1"/>
    <col min="20" max="20" width="7.7109375" style="87" customWidth="1"/>
    <col min="21" max="21" width="6.7109375" style="367" customWidth="1"/>
    <col min="22" max="22" width="7.7109375" style="231" customWidth="1"/>
    <col min="23" max="23" width="9.7109375" style="270" customWidth="1"/>
    <col min="24" max="24" width="9.7109375" style="70" customWidth="1"/>
    <col min="25" max="25" width="9.7109375" style="59" customWidth="1"/>
    <col min="26" max="26" width="8.7109375" style="11" customWidth="1"/>
    <col min="27" max="27" width="6.7109375" style="136" customWidth="1"/>
    <col min="28" max="28" width="8.7109375" style="9" customWidth="1"/>
    <col min="29" max="29" width="11.7109375" style="86" customWidth="1"/>
    <col min="30" max="30" width="11.7109375" style="85" customWidth="1"/>
    <col min="31" max="31" width="4.7109375" style="80" customWidth="1"/>
    <col min="32" max="32" width="3.7109375" style="144" customWidth="1"/>
    <col min="33" max="33" width="3.7109375" style="128" customWidth="1"/>
    <col min="34" max="34" width="13.7109375" style="269" customWidth="1"/>
    <col min="35" max="16384" width="9.140625" style="269"/>
  </cols>
  <sheetData>
    <row r="1" spans="1:40" s="273" customFormat="1">
      <c r="A1" s="132" t="s">
        <v>1854</v>
      </c>
      <c r="B1" s="93" t="s">
        <v>1657</v>
      </c>
      <c r="C1" s="93" t="s">
        <v>1658</v>
      </c>
      <c r="D1" s="93" t="s">
        <v>1659</v>
      </c>
      <c r="E1" s="93" t="s">
        <v>1660</v>
      </c>
      <c r="F1" s="8" t="s">
        <v>1122</v>
      </c>
      <c r="G1" s="26" t="s">
        <v>4231</v>
      </c>
      <c r="H1" s="55" t="s">
        <v>342</v>
      </c>
      <c r="I1" s="1" t="s">
        <v>79</v>
      </c>
      <c r="J1" s="324" t="s">
        <v>1529</v>
      </c>
      <c r="K1" s="324" t="s">
        <v>1217</v>
      </c>
      <c r="L1" s="324" t="s">
        <v>298</v>
      </c>
      <c r="M1" s="324" t="s">
        <v>1115</v>
      </c>
      <c r="N1" s="324" t="s">
        <v>6091</v>
      </c>
      <c r="O1" s="27" t="s">
        <v>6312</v>
      </c>
      <c r="P1" s="56" t="s">
        <v>6219</v>
      </c>
      <c r="Q1" s="26" t="s">
        <v>6313</v>
      </c>
      <c r="R1" s="309" t="s">
        <v>4371</v>
      </c>
      <c r="S1" s="335" t="s">
        <v>4398</v>
      </c>
      <c r="T1" s="14" t="s">
        <v>75</v>
      </c>
      <c r="U1" s="364" t="s">
        <v>6152</v>
      </c>
      <c r="V1" s="69" t="s">
        <v>4406</v>
      </c>
      <c r="W1" s="28" t="s">
        <v>4424</v>
      </c>
      <c r="X1" s="17" t="s">
        <v>1465</v>
      </c>
      <c r="Y1" s="14" t="s">
        <v>2755</v>
      </c>
      <c r="Z1" s="21" t="s">
        <v>1539</v>
      </c>
      <c r="AA1" s="25" t="s">
        <v>117</v>
      </c>
      <c r="AB1" s="1" t="s">
        <v>79</v>
      </c>
      <c r="AC1" s="73" t="s">
        <v>1466</v>
      </c>
      <c r="AD1" s="74" t="s">
        <v>1223</v>
      </c>
      <c r="AE1" s="32" t="s">
        <v>1224</v>
      </c>
      <c r="AF1" s="144"/>
      <c r="AG1" s="170"/>
    </row>
    <row r="2" spans="1:40">
      <c r="A2" s="148"/>
      <c r="B2" s="81"/>
      <c r="C2" s="81"/>
      <c r="D2" s="82"/>
      <c r="E2" s="81"/>
      <c r="F2" s="6"/>
      <c r="G2" s="57"/>
      <c r="H2" s="30"/>
      <c r="I2" s="22"/>
      <c r="J2" s="75"/>
      <c r="K2" s="75"/>
      <c r="N2" s="325"/>
      <c r="T2" s="34"/>
      <c r="U2" s="365"/>
      <c r="V2" s="58"/>
      <c r="W2" s="36"/>
      <c r="X2" s="233"/>
      <c r="Y2" s="15"/>
      <c r="Z2" s="3"/>
      <c r="AA2" s="104"/>
      <c r="AB2" s="22"/>
      <c r="AE2" s="33"/>
      <c r="AF2" s="41"/>
      <c r="AH2" s="254"/>
      <c r="AI2" s="57"/>
      <c r="AJ2" s="22"/>
      <c r="AK2" s="222"/>
      <c r="AL2" s="262"/>
      <c r="AM2" s="275"/>
      <c r="AN2" s="278"/>
    </row>
    <row r="3" spans="1:40" s="273" customFormat="1">
      <c r="A3" s="147"/>
      <c r="B3" s="81"/>
      <c r="C3" s="81"/>
      <c r="D3" s="81"/>
      <c r="E3" s="81"/>
      <c r="F3" s="6"/>
      <c r="G3" s="41"/>
      <c r="H3" s="8"/>
      <c r="I3" s="160"/>
      <c r="J3" s="330"/>
      <c r="K3" s="330"/>
      <c r="L3" s="330"/>
      <c r="M3" s="325"/>
      <c r="N3" s="325"/>
      <c r="O3" s="329"/>
      <c r="P3" s="390"/>
      <c r="Q3" s="362"/>
      <c r="R3" s="308"/>
      <c r="S3" s="330"/>
      <c r="T3" s="199"/>
      <c r="U3" s="365"/>
      <c r="V3" s="97"/>
      <c r="W3" s="172">
        <f>SUM(W2)</f>
        <v>0</v>
      </c>
      <c r="X3" s="162">
        <f>SUM(X2)</f>
        <v>0</v>
      </c>
      <c r="Y3" s="169">
        <f>W3-X3</f>
        <v>0</v>
      </c>
      <c r="Z3" s="171" t="e">
        <f>Y3/X3</f>
        <v>#DIV/0!</v>
      </c>
      <c r="AA3" s="118"/>
      <c r="AB3" s="160">
        <f>W3*(0.001425*0.5)+W3*0.003+X3*(0.001425*0.5)</f>
        <v>0</v>
      </c>
      <c r="AC3" s="6">
        <f>Y3-AB3</f>
        <v>0</v>
      </c>
      <c r="AD3" s="85"/>
      <c r="AE3" s="33"/>
      <c r="AF3" s="41" t="s">
        <v>1188</v>
      </c>
      <c r="AG3" s="170"/>
    </row>
    <row r="4" spans="1:40" s="273" customFormat="1">
      <c r="A4" s="147"/>
      <c r="B4" s="81"/>
      <c r="C4" s="81"/>
      <c r="D4" s="81"/>
      <c r="E4" s="81"/>
      <c r="F4" s="6"/>
      <c r="G4" s="41"/>
      <c r="H4" s="8"/>
      <c r="I4" s="160"/>
      <c r="J4" s="330"/>
      <c r="K4" s="330"/>
      <c r="L4" s="330"/>
      <c r="M4" s="325"/>
      <c r="N4" s="325"/>
      <c r="O4" s="329"/>
      <c r="P4" s="390"/>
      <c r="Q4" s="362"/>
      <c r="R4" s="308"/>
      <c r="S4" s="330"/>
      <c r="T4" s="199"/>
      <c r="U4" s="365"/>
      <c r="V4" s="97"/>
      <c r="W4" s="172"/>
      <c r="X4" s="162"/>
      <c r="Y4" s="169"/>
      <c r="Z4" s="171"/>
      <c r="AA4" s="118"/>
      <c r="AB4" s="160"/>
      <c r="AC4" s="6"/>
      <c r="AD4" s="85"/>
      <c r="AE4" s="33"/>
      <c r="AF4" s="41"/>
      <c r="AG4" s="170"/>
    </row>
    <row r="5" spans="1:40" s="273" customFormat="1">
      <c r="A5" s="132" t="s">
        <v>1854</v>
      </c>
      <c r="B5" s="93" t="s">
        <v>1657</v>
      </c>
      <c r="C5" s="93" t="s">
        <v>1658</v>
      </c>
      <c r="D5" s="93" t="s">
        <v>1659</v>
      </c>
      <c r="E5" s="93" t="s">
        <v>1660</v>
      </c>
      <c r="F5" s="8" t="s">
        <v>1122</v>
      </c>
      <c r="G5" s="26" t="s">
        <v>4231</v>
      </c>
      <c r="H5" s="55" t="s">
        <v>342</v>
      </c>
      <c r="I5" s="1" t="s">
        <v>79</v>
      </c>
      <c r="J5" s="324" t="s">
        <v>1529</v>
      </c>
      <c r="K5" s="324" t="s">
        <v>1217</v>
      </c>
      <c r="L5" s="324" t="s">
        <v>298</v>
      </c>
      <c r="M5" s="324" t="s">
        <v>1115</v>
      </c>
      <c r="N5" s="324" t="s">
        <v>6091</v>
      </c>
      <c r="O5" s="27" t="s">
        <v>6312</v>
      </c>
      <c r="P5" s="56" t="s">
        <v>6219</v>
      </c>
      <c r="Q5" s="26" t="s">
        <v>6313</v>
      </c>
      <c r="R5" s="309" t="s">
        <v>4371</v>
      </c>
      <c r="S5" s="335" t="s">
        <v>4398</v>
      </c>
      <c r="T5" s="14" t="s">
        <v>75</v>
      </c>
      <c r="U5" s="364" t="s">
        <v>6152</v>
      </c>
      <c r="V5" s="69" t="s">
        <v>4406</v>
      </c>
      <c r="W5" s="28" t="s">
        <v>4424</v>
      </c>
      <c r="X5" s="17" t="s">
        <v>1465</v>
      </c>
      <c r="Y5" s="14" t="s">
        <v>2755</v>
      </c>
      <c r="Z5" s="21" t="s">
        <v>1539</v>
      </c>
      <c r="AA5" s="25" t="s">
        <v>117</v>
      </c>
      <c r="AB5" s="1" t="s">
        <v>79</v>
      </c>
      <c r="AC5" s="73" t="s">
        <v>1466</v>
      </c>
      <c r="AD5" s="74" t="s">
        <v>1223</v>
      </c>
      <c r="AE5" s="32" t="s">
        <v>1224</v>
      </c>
      <c r="AF5" s="144"/>
      <c r="AG5" s="170"/>
    </row>
    <row r="6" spans="1:40" s="273" customFormat="1">
      <c r="A6" s="132"/>
      <c r="B6" s="81"/>
      <c r="C6" s="81"/>
      <c r="D6" s="81"/>
      <c r="E6" s="81"/>
      <c r="F6" s="58"/>
      <c r="G6" s="81"/>
      <c r="H6" s="30"/>
      <c r="I6" s="160"/>
      <c r="J6" s="75"/>
      <c r="K6" s="75"/>
      <c r="L6" s="330"/>
      <c r="M6" s="75"/>
      <c r="N6" s="75"/>
      <c r="O6" s="27"/>
      <c r="P6" s="56"/>
      <c r="Q6" s="26"/>
      <c r="R6" s="308"/>
      <c r="S6" s="366"/>
      <c r="T6" s="66"/>
      <c r="U6" s="330"/>
      <c r="V6" s="58"/>
      <c r="W6" s="168"/>
      <c r="X6" s="264"/>
      <c r="Y6" s="169"/>
      <c r="Z6" s="165"/>
      <c r="AA6" s="102"/>
      <c r="AB6" s="160"/>
      <c r="AC6" s="86"/>
      <c r="AD6" s="86"/>
      <c r="AE6" s="33"/>
      <c r="AF6" s="41"/>
      <c r="AG6" s="240"/>
      <c r="AH6" s="160"/>
      <c r="AI6" s="64"/>
      <c r="AJ6" s="313"/>
      <c r="AK6" s="22"/>
      <c r="AL6" s="41"/>
      <c r="AM6" s="308"/>
    </row>
    <row r="7" spans="1:40" s="273" customFormat="1">
      <c r="A7" s="147"/>
      <c r="B7" s="81"/>
      <c r="C7" s="81"/>
      <c r="D7" s="81"/>
      <c r="E7" s="81"/>
      <c r="F7" s="6"/>
      <c r="G7" s="41"/>
      <c r="H7" s="8"/>
      <c r="I7" s="160"/>
      <c r="J7" s="330"/>
      <c r="K7" s="330"/>
      <c r="L7" s="330"/>
      <c r="M7" s="325"/>
      <c r="N7" s="325"/>
      <c r="O7" s="329"/>
      <c r="P7" s="390"/>
      <c r="Q7" s="362"/>
      <c r="R7" s="308"/>
      <c r="S7" s="330"/>
      <c r="T7" s="199"/>
      <c r="U7" s="365"/>
      <c r="V7" s="97"/>
      <c r="W7" s="172">
        <f>SUM(W6)</f>
        <v>0</v>
      </c>
      <c r="X7" s="162">
        <f>SUM(X6)</f>
        <v>0</v>
      </c>
      <c r="Y7" s="169">
        <f>W7-X7</f>
        <v>0</v>
      </c>
      <c r="Z7" s="171" t="e">
        <f>Y7/X7</f>
        <v>#DIV/0!</v>
      </c>
      <c r="AA7" s="118"/>
      <c r="AB7" s="160">
        <f>W7*(0.001425*0.5)+W7*0.003+X7*(0.001425*0.5)</f>
        <v>0</v>
      </c>
      <c r="AC7" s="6">
        <f>Y7-AB7</f>
        <v>0</v>
      </c>
      <c r="AD7" s="85"/>
      <c r="AE7" s="33"/>
      <c r="AF7" s="41" t="s">
        <v>1188</v>
      </c>
      <c r="AG7" s="170"/>
    </row>
    <row r="8" spans="1:40" s="273" customFormat="1">
      <c r="A8" s="147"/>
      <c r="B8" s="81"/>
      <c r="C8" s="81"/>
      <c r="D8" s="81"/>
      <c r="E8" s="81"/>
      <c r="F8" s="6"/>
      <c r="G8" s="41"/>
      <c r="H8" s="8"/>
      <c r="I8" s="160"/>
      <c r="J8" s="330"/>
      <c r="K8" s="330"/>
      <c r="L8" s="330"/>
      <c r="M8" s="325"/>
      <c r="N8" s="325"/>
      <c r="O8" s="329"/>
      <c r="P8" s="390"/>
      <c r="Q8" s="362"/>
      <c r="R8" s="308"/>
      <c r="S8" s="330"/>
      <c r="T8" s="199"/>
      <c r="U8" s="365"/>
      <c r="V8" s="97"/>
      <c r="W8" s="172"/>
      <c r="X8" s="162"/>
      <c r="Y8" s="169"/>
      <c r="Z8" s="171"/>
      <c r="AA8" s="118"/>
      <c r="AB8" s="160"/>
      <c r="AC8" s="6"/>
      <c r="AD8" s="85"/>
      <c r="AE8" s="33"/>
      <c r="AF8" s="41"/>
      <c r="AG8" s="170"/>
    </row>
    <row r="9" spans="1:40" s="273" customFormat="1">
      <c r="A9" s="132" t="s">
        <v>1854</v>
      </c>
      <c r="B9" s="93" t="s">
        <v>1657</v>
      </c>
      <c r="C9" s="93" t="s">
        <v>1658</v>
      </c>
      <c r="D9" s="93" t="s">
        <v>1659</v>
      </c>
      <c r="E9" s="93" t="s">
        <v>1660</v>
      </c>
      <c r="F9" s="8" t="s">
        <v>1122</v>
      </c>
      <c r="G9" s="26" t="s">
        <v>4231</v>
      </c>
      <c r="H9" s="55" t="s">
        <v>342</v>
      </c>
      <c r="I9" s="1" t="s">
        <v>2750</v>
      </c>
      <c r="J9" s="324" t="s">
        <v>1529</v>
      </c>
      <c r="K9" s="324" t="s">
        <v>1217</v>
      </c>
      <c r="L9" s="324" t="s">
        <v>298</v>
      </c>
      <c r="M9" s="324" t="s">
        <v>1115</v>
      </c>
      <c r="N9" s="324" t="s">
        <v>6091</v>
      </c>
      <c r="O9" s="27" t="s">
        <v>6312</v>
      </c>
      <c r="P9" s="56" t="s">
        <v>6219</v>
      </c>
      <c r="Q9" s="26" t="s">
        <v>6313</v>
      </c>
      <c r="R9" s="309" t="s">
        <v>4371</v>
      </c>
      <c r="S9" s="335" t="s">
        <v>4398</v>
      </c>
      <c r="T9" s="14" t="s">
        <v>75</v>
      </c>
      <c r="U9" s="364" t="s">
        <v>6152</v>
      </c>
      <c r="V9" s="69" t="s">
        <v>4406</v>
      </c>
      <c r="W9" s="28" t="s">
        <v>4424</v>
      </c>
      <c r="X9" s="17" t="s">
        <v>1465</v>
      </c>
      <c r="Y9" s="14" t="s">
        <v>2755</v>
      </c>
      <c r="Z9" s="21" t="s">
        <v>1539</v>
      </c>
      <c r="AA9" s="25" t="s">
        <v>117</v>
      </c>
      <c r="AB9" s="1" t="s">
        <v>2750</v>
      </c>
      <c r="AC9" s="73" t="s">
        <v>1466</v>
      </c>
      <c r="AD9" s="74" t="s">
        <v>1223</v>
      </c>
      <c r="AE9" s="32" t="s">
        <v>1224</v>
      </c>
      <c r="AF9" s="144"/>
      <c r="AG9" s="170"/>
    </row>
    <row r="10" spans="1:40">
      <c r="A10" s="132" t="s">
        <v>2593</v>
      </c>
      <c r="B10" s="81">
        <v>66</v>
      </c>
      <c r="C10" s="81">
        <v>44</v>
      </c>
      <c r="D10" s="82">
        <v>-10</v>
      </c>
      <c r="E10" s="81">
        <v>89</v>
      </c>
      <c r="F10" s="58">
        <v>38.4</v>
      </c>
      <c r="G10" s="41" t="s">
        <v>665</v>
      </c>
      <c r="H10" s="50" t="s">
        <v>1471</v>
      </c>
      <c r="I10" s="16" t="s">
        <v>666</v>
      </c>
      <c r="J10" s="330">
        <v>63.59</v>
      </c>
      <c r="K10" s="330">
        <v>1.88</v>
      </c>
      <c r="L10" s="75">
        <v>7.09</v>
      </c>
      <c r="N10" s="325">
        <f t="shared" ref="N10" si="0">K10+J10+L10</f>
        <v>72.56</v>
      </c>
      <c r="S10" s="330">
        <v>0</v>
      </c>
      <c r="T10" s="67">
        <v>4</v>
      </c>
      <c r="U10" s="366"/>
      <c r="V10" s="58">
        <v>15.43</v>
      </c>
      <c r="W10" s="36">
        <f>RTD("money.excel",,"6523","Price")</f>
        <v>92.5</v>
      </c>
      <c r="X10" s="233">
        <f>77-4-4-5.22</f>
        <v>63.78</v>
      </c>
      <c r="Y10" s="15">
        <f t="shared" ref="Y10:Y13" si="1">W10-X10</f>
        <v>28.72</v>
      </c>
      <c r="Z10" s="161">
        <f t="shared" ref="Z10:Z13" si="2">Y10/X10</f>
        <v>0.4502978990279084</v>
      </c>
      <c r="AA10" s="146" t="s">
        <v>2185</v>
      </c>
      <c r="AB10" s="16" t="s">
        <v>666</v>
      </c>
      <c r="AC10" s="86">
        <v>44329</v>
      </c>
      <c r="AE10" s="33">
        <f>AD10-AC10</f>
        <v>-44329</v>
      </c>
      <c r="AF10" s="132" t="s">
        <v>1188</v>
      </c>
      <c r="AG10" s="228"/>
      <c r="AH10" s="229"/>
    </row>
    <row r="11" spans="1:40">
      <c r="A11" s="132" t="s">
        <v>2593</v>
      </c>
      <c r="B11" s="81">
        <v>66</v>
      </c>
      <c r="C11" s="81">
        <v>44</v>
      </c>
      <c r="D11" s="82">
        <v>-10</v>
      </c>
      <c r="E11" s="81">
        <v>89</v>
      </c>
      <c r="F11" s="58">
        <v>38.4</v>
      </c>
      <c r="G11" s="41" t="s">
        <v>665</v>
      </c>
      <c r="H11" s="50" t="s">
        <v>1471</v>
      </c>
      <c r="I11" s="16" t="s">
        <v>666</v>
      </c>
      <c r="J11" s="330">
        <v>63.59</v>
      </c>
      <c r="K11" s="330">
        <v>1.88</v>
      </c>
      <c r="L11" s="75">
        <v>7.09</v>
      </c>
      <c r="N11" s="325">
        <f t="shared" ref="N11:N13" si="3">K11+J11+L11</f>
        <v>72.56</v>
      </c>
      <c r="S11" s="330">
        <v>0</v>
      </c>
      <c r="T11" s="67">
        <v>4</v>
      </c>
      <c r="U11" s="366"/>
      <c r="V11" s="58">
        <v>15.43</v>
      </c>
      <c r="W11" s="36">
        <f>RTD("money.excel",,"6523","Price")</f>
        <v>92.5</v>
      </c>
      <c r="X11" s="233">
        <f>76.5-4-4-5.22</f>
        <v>63.28</v>
      </c>
      <c r="Y11" s="15">
        <f t="shared" si="1"/>
        <v>29.22</v>
      </c>
      <c r="Z11" s="161">
        <f t="shared" si="2"/>
        <v>0.46175726927939315</v>
      </c>
      <c r="AA11" s="146" t="s">
        <v>2185</v>
      </c>
      <c r="AB11" s="16" t="s">
        <v>666</v>
      </c>
      <c r="AC11" s="86">
        <v>44314</v>
      </c>
      <c r="AE11" s="33">
        <f>AD11-AC11</f>
        <v>-44314</v>
      </c>
      <c r="AF11" s="132" t="s">
        <v>1188</v>
      </c>
      <c r="AG11" s="132" t="s">
        <v>1583</v>
      </c>
      <c r="AH11" s="229"/>
    </row>
    <row r="12" spans="1:40">
      <c r="A12" s="132" t="s">
        <v>2593</v>
      </c>
      <c r="B12" s="81">
        <v>66</v>
      </c>
      <c r="C12" s="81">
        <v>44</v>
      </c>
      <c r="D12" s="82">
        <v>-10</v>
      </c>
      <c r="E12" s="81">
        <v>89</v>
      </c>
      <c r="F12" s="58">
        <v>38.4</v>
      </c>
      <c r="G12" s="41" t="s">
        <v>665</v>
      </c>
      <c r="H12" s="30" t="s">
        <v>1531</v>
      </c>
      <c r="I12" s="16" t="s">
        <v>666</v>
      </c>
      <c r="J12" s="330">
        <v>63.59</v>
      </c>
      <c r="K12" s="330">
        <v>1.88</v>
      </c>
      <c r="L12" s="75">
        <v>7.09</v>
      </c>
      <c r="N12" s="325">
        <f t="shared" si="3"/>
        <v>72.56</v>
      </c>
      <c r="S12" s="330">
        <v>0</v>
      </c>
      <c r="T12" s="67">
        <v>4</v>
      </c>
      <c r="U12" s="366"/>
      <c r="V12" s="58">
        <v>15.43</v>
      </c>
      <c r="W12" s="36">
        <f>RTD("money.excel",,"6523","Price")</f>
        <v>92.5</v>
      </c>
      <c r="X12" s="233">
        <f>77-4-4-5.22</f>
        <v>63.78</v>
      </c>
      <c r="Y12" s="15">
        <f t="shared" si="1"/>
        <v>28.72</v>
      </c>
      <c r="Z12" s="161">
        <f t="shared" si="2"/>
        <v>0.4502978990279084</v>
      </c>
      <c r="AA12" s="146" t="s">
        <v>2185</v>
      </c>
      <c r="AB12" s="16" t="s">
        <v>666</v>
      </c>
      <c r="AC12" s="86">
        <v>44329</v>
      </c>
      <c r="AE12" s="33">
        <f>AD12-AC12</f>
        <v>-44329</v>
      </c>
      <c r="AF12" s="41" t="s">
        <v>1188</v>
      </c>
      <c r="AG12" s="228"/>
      <c r="AH12" s="229"/>
    </row>
    <row r="13" spans="1:40">
      <c r="A13" s="132" t="s">
        <v>2593</v>
      </c>
      <c r="B13" s="81">
        <v>66</v>
      </c>
      <c r="C13" s="81">
        <v>44</v>
      </c>
      <c r="D13" s="82">
        <v>-10</v>
      </c>
      <c r="E13" s="81">
        <v>89</v>
      </c>
      <c r="F13" s="58">
        <v>38.4</v>
      </c>
      <c r="G13" s="41" t="s">
        <v>665</v>
      </c>
      <c r="H13" s="30" t="s">
        <v>1531</v>
      </c>
      <c r="I13" s="16" t="s">
        <v>666</v>
      </c>
      <c r="J13" s="330">
        <v>63.59</v>
      </c>
      <c r="K13" s="330">
        <v>1.88</v>
      </c>
      <c r="L13" s="75">
        <v>7.09</v>
      </c>
      <c r="N13" s="325">
        <f t="shared" si="3"/>
        <v>72.56</v>
      </c>
      <c r="O13" s="393"/>
      <c r="S13" s="330">
        <v>0</v>
      </c>
      <c r="T13" s="67">
        <v>4</v>
      </c>
      <c r="U13" s="368"/>
      <c r="V13" s="58">
        <v>15.43</v>
      </c>
      <c r="W13" s="36">
        <f>RTD("money.excel",,"6523","Price")</f>
        <v>92.5</v>
      </c>
      <c r="X13" s="233">
        <f>76.5-4-4-5.22</f>
        <v>63.28</v>
      </c>
      <c r="Y13" s="15">
        <f t="shared" si="1"/>
        <v>29.22</v>
      </c>
      <c r="Z13" s="161">
        <f t="shared" si="2"/>
        <v>0.46175726927939315</v>
      </c>
      <c r="AA13" s="146" t="s">
        <v>2185</v>
      </c>
      <c r="AB13" s="16" t="s">
        <v>666</v>
      </c>
      <c r="AC13" s="86">
        <v>44314</v>
      </c>
      <c r="AE13" s="33">
        <f>AD13-AC13</f>
        <v>-44314</v>
      </c>
      <c r="AF13" s="41" t="s">
        <v>1188</v>
      </c>
      <c r="AG13" s="41" t="s">
        <v>1583</v>
      </c>
      <c r="AH13" s="229"/>
    </row>
    <row r="14" spans="1:40" s="273" customFormat="1">
      <c r="A14" s="147"/>
      <c r="B14" s="81"/>
      <c r="C14" s="81"/>
      <c r="D14" s="81"/>
      <c r="E14" s="81"/>
      <c r="F14" s="6"/>
      <c r="G14" s="41"/>
      <c r="H14" s="8"/>
      <c r="I14" s="160"/>
      <c r="J14" s="330"/>
      <c r="K14" s="330"/>
      <c r="L14" s="330"/>
      <c r="M14" s="325"/>
      <c r="N14" s="325"/>
      <c r="O14" s="329"/>
      <c r="P14" s="390"/>
      <c r="Q14" s="362"/>
      <c r="R14" s="308"/>
      <c r="S14" s="330"/>
      <c r="T14" s="199"/>
      <c r="U14" s="366"/>
      <c r="V14" s="97"/>
      <c r="W14" s="172">
        <f>SUM(W10:W13)</f>
        <v>370</v>
      </c>
      <c r="X14" s="162">
        <f>SUM(X10:X13)</f>
        <v>254.12</v>
      </c>
      <c r="Y14" s="169">
        <f>W14-X14</f>
        <v>115.88</v>
      </c>
      <c r="Z14" s="304">
        <f>Y14/X14</f>
        <v>0.45600503699039824</v>
      </c>
      <c r="AA14" s="118"/>
      <c r="AB14" s="160">
        <f>W14*(0.001425*0.5)+W14*0.003+X14*(0.001425*0.5)</f>
        <v>1.5546855000000002</v>
      </c>
      <c r="AC14" s="6">
        <f>Y14-AB14</f>
        <v>114.32531449999999</v>
      </c>
      <c r="AD14" s="85"/>
      <c r="AE14" s="33"/>
      <c r="AF14" s="41" t="s">
        <v>1189</v>
      </c>
      <c r="AG14" s="170"/>
    </row>
    <row r="15" spans="1:40" s="273" customFormat="1">
      <c r="A15" s="147"/>
      <c r="B15" s="81"/>
      <c r="C15" s="81"/>
      <c r="D15" s="81"/>
      <c r="E15" s="81"/>
      <c r="F15" s="6"/>
      <c r="G15" s="41"/>
      <c r="H15" s="8"/>
      <c r="I15" s="160"/>
      <c r="J15" s="330"/>
      <c r="K15" s="330"/>
      <c r="L15" s="330"/>
      <c r="M15" s="325"/>
      <c r="N15" s="325"/>
      <c r="O15" s="329"/>
      <c r="P15" s="390"/>
      <c r="Q15" s="362"/>
      <c r="R15" s="308"/>
      <c r="S15" s="330"/>
      <c r="T15" s="199"/>
      <c r="U15" s="366"/>
      <c r="V15" s="97"/>
      <c r="W15" s="172"/>
      <c r="X15" s="162"/>
      <c r="Y15" s="169"/>
      <c r="Z15" s="171"/>
      <c r="AA15" s="118"/>
      <c r="AB15" s="160"/>
      <c r="AC15" s="6"/>
      <c r="AD15" s="85"/>
      <c r="AE15" s="33"/>
      <c r="AF15" s="41"/>
      <c r="AG15" s="170"/>
    </row>
    <row r="16" spans="1:40" s="273" customFormat="1">
      <c r="A16" s="132" t="s">
        <v>1854</v>
      </c>
      <c r="B16" s="93" t="s">
        <v>1657</v>
      </c>
      <c r="C16" s="93" t="s">
        <v>1658</v>
      </c>
      <c r="D16" s="93" t="s">
        <v>1659</v>
      </c>
      <c r="E16" s="93" t="s">
        <v>1660</v>
      </c>
      <c r="F16" s="8" t="s">
        <v>1122</v>
      </c>
      <c r="G16" s="26" t="s">
        <v>4231</v>
      </c>
      <c r="H16" s="55" t="s">
        <v>342</v>
      </c>
      <c r="I16" s="1" t="s">
        <v>2750</v>
      </c>
      <c r="J16" s="324" t="s">
        <v>1529</v>
      </c>
      <c r="K16" s="324" t="s">
        <v>1217</v>
      </c>
      <c r="L16" s="324" t="s">
        <v>298</v>
      </c>
      <c r="M16" s="324" t="s">
        <v>1115</v>
      </c>
      <c r="N16" s="324" t="s">
        <v>6091</v>
      </c>
      <c r="O16" s="27" t="s">
        <v>6312</v>
      </c>
      <c r="P16" s="56" t="s">
        <v>6219</v>
      </c>
      <c r="Q16" s="26" t="s">
        <v>6313</v>
      </c>
      <c r="R16" s="309" t="s">
        <v>4371</v>
      </c>
      <c r="S16" s="335" t="s">
        <v>4398</v>
      </c>
      <c r="T16" s="14" t="s">
        <v>75</v>
      </c>
      <c r="U16" s="364" t="s">
        <v>6152</v>
      </c>
      <c r="V16" s="69" t="s">
        <v>4406</v>
      </c>
      <c r="W16" s="28" t="s">
        <v>4424</v>
      </c>
      <c r="X16" s="17" t="s">
        <v>1465</v>
      </c>
      <c r="Y16" s="14" t="s">
        <v>2755</v>
      </c>
      <c r="Z16" s="21" t="s">
        <v>1539</v>
      </c>
      <c r="AA16" s="25" t="s">
        <v>117</v>
      </c>
      <c r="AB16" s="1" t="s">
        <v>2750</v>
      </c>
      <c r="AC16" s="73" t="s">
        <v>1466</v>
      </c>
      <c r="AD16" s="74" t="s">
        <v>1223</v>
      </c>
      <c r="AE16" s="32" t="s">
        <v>1224</v>
      </c>
      <c r="AF16" s="144"/>
      <c r="AG16" s="170"/>
    </row>
    <row r="17" spans="1:38" s="273" customFormat="1">
      <c r="A17" s="147"/>
      <c r="B17" s="81"/>
      <c r="C17" s="81"/>
      <c r="D17" s="81"/>
      <c r="E17" s="81"/>
      <c r="F17" s="6"/>
      <c r="G17" s="41"/>
      <c r="H17" s="8"/>
      <c r="I17" s="160"/>
      <c r="J17" s="330"/>
      <c r="K17" s="330"/>
      <c r="L17" s="330"/>
      <c r="M17" s="325"/>
      <c r="N17" s="325"/>
      <c r="O17" s="329"/>
      <c r="P17" s="390"/>
      <c r="Q17" s="362"/>
      <c r="R17" s="308"/>
      <c r="S17" s="330"/>
      <c r="T17" s="199"/>
      <c r="U17" s="366"/>
      <c r="V17" s="97"/>
      <c r="W17" s="172">
        <f>SUM(W158)</f>
        <v>107.5</v>
      </c>
      <c r="X17" s="162">
        <f>SUM(X158)</f>
        <v>82</v>
      </c>
      <c r="Y17" s="169">
        <f>W17-X17</f>
        <v>25.5</v>
      </c>
      <c r="Z17" s="165">
        <f>Y17/X17</f>
        <v>0.31097560975609756</v>
      </c>
      <c r="AA17" s="118"/>
      <c r="AB17" s="160">
        <f>W17*(0.001425*0.5)+W17*0.003+X17*(0.001425*0.5)</f>
        <v>0.45751875000000003</v>
      </c>
      <c r="AC17" s="6">
        <f>Y17-AB17</f>
        <v>25.042481250000002</v>
      </c>
      <c r="AD17" s="85"/>
      <c r="AE17" s="33"/>
      <c r="AF17" s="41" t="s">
        <v>1188</v>
      </c>
      <c r="AG17" s="170"/>
    </row>
    <row r="18" spans="1:38" s="273" customFormat="1">
      <c r="A18" s="147"/>
      <c r="B18" s="81"/>
      <c r="C18" s="81"/>
      <c r="D18" s="81"/>
      <c r="E18" s="81"/>
      <c r="F18" s="6"/>
      <c r="G18" s="41"/>
      <c r="H18" s="8"/>
      <c r="I18" s="160"/>
      <c r="J18" s="330"/>
      <c r="K18" s="330"/>
      <c r="L18" s="330"/>
      <c r="M18" s="325"/>
      <c r="N18" s="325"/>
      <c r="O18" s="329"/>
      <c r="P18" s="390"/>
      <c r="Q18" s="362"/>
      <c r="R18" s="308"/>
      <c r="S18" s="330"/>
      <c r="T18" s="199"/>
      <c r="U18" s="366"/>
      <c r="V18" s="97"/>
      <c r="W18" s="172"/>
      <c r="X18" s="162"/>
      <c r="Y18" s="169"/>
      <c r="Z18" s="171"/>
      <c r="AA18" s="118"/>
      <c r="AB18" s="160"/>
      <c r="AC18" s="6"/>
      <c r="AD18" s="85"/>
      <c r="AE18" s="33"/>
      <c r="AF18" s="41"/>
      <c r="AG18" s="170"/>
    </row>
    <row r="19" spans="1:38" s="273" customFormat="1">
      <c r="A19" s="132" t="s">
        <v>1854</v>
      </c>
      <c r="B19" s="93" t="s">
        <v>1657</v>
      </c>
      <c r="C19" s="93" t="s">
        <v>1658</v>
      </c>
      <c r="D19" s="93" t="s">
        <v>1659</v>
      </c>
      <c r="E19" s="93" t="s">
        <v>1660</v>
      </c>
      <c r="F19" s="8" t="s">
        <v>1122</v>
      </c>
      <c r="G19" s="26" t="s">
        <v>4231</v>
      </c>
      <c r="H19" s="55" t="s">
        <v>342</v>
      </c>
      <c r="I19" s="1" t="s">
        <v>79</v>
      </c>
      <c r="J19" s="324" t="s">
        <v>1529</v>
      </c>
      <c r="K19" s="324" t="s">
        <v>1217</v>
      </c>
      <c r="L19" s="324" t="s">
        <v>298</v>
      </c>
      <c r="M19" s="324" t="s">
        <v>1115</v>
      </c>
      <c r="N19" s="324" t="s">
        <v>6091</v>
      </c>
      <c r="O19" s="27" t="s">
        <v>6312</v>
      </c>
      <c r="P19" s="56" t="s">
        <v>6219</v>
      </c>
      <c r="Q19" s="26" t="s">
        <v>6313</v>
      </c>
      <c r="R19" s="309" t="s">
        <v>4371</v>
      </c>
      <c r="S19" s="335" t="s">
        <v>4398</v>
      </c>
      <c r="T19" s="14" t="s">
        <v>75</v>
      </c>
      <c r="U19" s="364" t="s">
        <v>6152</v>
      </c>
      <c r="V19" s="69" t="s">
        <v>4406</v>
      </c>
      <c r="W19" s="28" t="s">
        <v>4424</v>
      </c>
      <c r="X19" s="17" t="s">
        <v>1465</v>
      </c>
      <c r="Y19" s="14" t="s">
        <v>2755</v>
      </c>
      <c r="Z19" s="21" t="s">
        <v>1539</v>
      </c>
      <c r="AA19" s="25" t="s">
        <v>117</v>
      </c>
      <c r="AB19" s="1" t="s">
        <v>79</v>
      </c>
      <c r="AC19" s="73" t="s">
        <v>1466</v>
      </c>
      <c r="AD19" s="74" t="s">
        <v>1223</v>
      </c>
      <c r="AE19" s="32" t="s">
        <v>1224</v>
      </c>
      <c r="AF19" s="144"/>
      <c r="AG19" s="170"/>
    </row>
    <row r="20" spans="1:38">
      <c r="A20" s="148" t="s">
        <v>2349</v>
      </c>
      <c r="B20" s="81">
        <v>352</v>
      </c>
      <c r="C20" s="82">
        <v>-330</v>
      </c>
      <c r="D20" s="81">
        <v>49</v>
      </c>
      <c r="E20" s="81">
        <v>50</v>
      </c>
      <c r="F20" s="6">
        <v>-20.73</v>
      </c>
      <c r="G20" s="57" t="s">
        <v>650</v>
      </c>
      <c r="H20" s="50" t="s">
        <v>1471</v>
      </c>
      <c r="I20" s="16" t="s">
        <v>651</v>
      </c>
      <c r="J20" s="75">
        <v>47.87</v>
      </c>
      <c r="K20" s="75">
        <v>5.18</v>
      </c>
      <c r="N20" s="325">
        <f>K20+J20+L20</f>
        <v>53.05</v>
      </c>
      <c r="T20" s="34">
        <v>1</v>
      </c>
      <c r="U20" s="366"/>
      <c r="V20" s="97">
        <v>3.29</v>
      </c>
      <c r="W20" s="36">
        <f>RTD("money.excel",,"4128","Price")</f>
        <v>57.8</v>
      </c>
      <c r="X20" s="233">
        <f>66.5</f>
        <v>66.5</v>
      </c>
      <c r="Y20" s="15">
        <f t="shared" ref="Y20:Y26" si="4">W20-X20</f>
        <v>-8.7000000000000028</v>
      </c>
      <c r="Z20" s="3">
        <f t="shared" ref="Z20:Z25" si="5">Y20/X20</f>
        <v>-0.13082706766917299</v>
      </c>
      <c r="AA20" s="104" t="s">
        <v>1943</v>
      </c>
      <c r="AB20" s="16" t="s">
        <v>651</v>
      </c>
      <c r="AC20" s="86">
        <v>44315</v>
      </c>
      <c r="AE20" s="33">
        <f t="shared" ref="AE20:AE25" si="6">AD20-AC20</f>
        <v>-44315</v>
      </c>
      <c r="AF20" s="132" t="s">
        <v>1188</v>
      </c>
      <c r="AG20" s="269"/>
      <c r="AH20" s="8"/>
    </row>
    <row r="21" spans="1:38">
      <c r="A21" s="148" t="s">
        <v>2349</v>
      </c>
      <c r="B21" s="81">
        <v>352</v>
      </c>
      <c r="C21" s="82">
        <v>-330</v>
      </c>
      <c r="D21" s="81">
        <v>49</v>
      </c>
      <c r="E21" s="81">
        <v>50</v>
      </c>
      <c r="F21" s="6">
        <v>-20.73</v>
      </c>
      <c r="G21" s="57" t="s">
        <v>650</v>
      </c>
      <c r="H21" s="30" t="s">
        <v>1531</v>
      </c>
      <c r="I21" s="16" t="s">
        <v>651</v>
      </c>
      <c r="J21" s="75">
        <v>47.87</v>
      </c>
      <c r="K21" s="75">
        <v>5.18</v>
      </c>
      <c r="N21" s="325">
        <f t="shared" ref="N21:N25" si="7">K21+J21+L21</f>
        <v>53.05</v>
      </c>
      <c r="T21" s="34">
        <v>1</v>
      </c>
      <c r="U21" s="366"/>
      <c r="V21" s="97">
        <v>3.29</v>
      </c>
      <c r="W21" s="36">
        <f>RTD("money.excel",,"4128","Price")</f>
        <v>57.8</v>
      </c>
      <c r="X21" s="233">
        <f>57.1</f>
        <v>57.1</v>
      </c>
      <c r="Y21" s="15">
        <f t="shared" si="4"/>
        <v>0.69999999999999574</v>
      </c>
      <c r="Z21" s="3">
        <f t="shared" si="5"/>
        <v>1.2259194395796773E-2</v>
      </c>
      <c r="AA21" s="104" t="s">
        <v>1943</v>
      </c>
      <c r="AB21" s="16" t="s">
        <v>651</v>
      </c>
      <c r="AC21" s="86">
        <v>44334</v>
      </c>
      <c r="AE21" s="33">
        <f t="shared" si="6"/>
        <v>-44334</v>
      </c>
      <c r="AF21" s="41" t="s">
        <v>1188</v>
      </c>
      <c r="AG21" s="269"/>
      <c r="AH21" s="8"/>
    </row>
    <row r="22" spans="1:38">
      <c r="A22" s="148" t="s">
        <v>2349</v>
      </c>
      <c r="B22" s="81">
        <v>352</v>
      </c>
      <c r="C22" s="82">
        <v>-330</v>
      </c>
      <c r="D22" s="81">
        <v>49</v>
      </c>
      <c r="E22" s="81">
        <v>50</v>
      </c>
      <c r="F22" s="6">
        <v>-20.73</v>
      </c>
      <c r="G22" s="57" t="s">
        <v>650</v>
      </c>
      <c r="H22" s="30" t="s">
        <v>1531</v>
      </c>
      <c r="I22" s="16" t="s">
        <v>651</v>
      </c>
      <c r="J22" s="75">
        <v>47.87</v>
      </c>
      <c r="K22" s="75">
        <v>5.18</v>
      </c>
      <c r="N22" s="325">
        <f t="shared" si="7"/>
        <v>53.05</v>
      </c>
      <c r="T22" s="34">
        <v>1</v>
      </c>
      <c r="U22" s="366"/>
      <c r="V22" s="97">
        <v>3.29</v>
      </c>
      <c r="W22" s="36">
        <f>RTD("money.excel",,"4128","Price")</f>
        <v>57.8</v>
      </c>
      <c r="X22" s="233">
        <f>60.3</f>
        <v>60.3</v>
      </c>
      <c r="Y22" s="15">
        <f t="shared" si="4"/>
        <v>-2.5</v>
      </c>
      <c r="Z22" s="3">
        <f t="shared" si="5"/>
        <v>-4.1459369817578771E-2</v>
      </c>
      <c r="AA22" s="104" t="s">
        <v>1943</v>
      </c>
      <c r="AB22" s="16" t="s">
        <v>651</v>
      </c>
      <c r="AC22" s="86">
        <v>44313</v>
      </c>
      <c r="AE22" s="33">
        <f t="shared" si="6"/>
        <v>-44313</v>
      </c>
      <c r="AF22" s="41" t="s">
        <v>1188</v>
      </c>
      <c r="AG22" s="269"/>
      <c r="AH22" s="8"/>
    </row>
    <row r="23" spans="1:38">
      <c r="A23" s="148" t="s">
        <v>2349</v>
      </c>
      <c r="B23" s="81">
        <v>352</v>
      </c>
      <c r="C23" s="82">
        <v>-330</v>
      </c>
      <c r="D23" s="81">
        <v>49</v>
      </c>
      <c r="E23" s="81">
        <v>50</v>
      </c>
      <c r="F23" s="6">
        <v>-20.73</v>
      </c>
      <c r="G23" s="57" t="s">
        <v>650</v>
      </c>
      <c r="H23" s="30" t="s">
        <v>1531</v>
      </c>
      <c r="I23" s="16" t="s">
        <v>651</v>
      </c>
      <c r="J23" s="75">
        <v>47.87</v>
      </c>
      <c r="K23" s="75">
        <v>5.18</v>
      </c>
      <c r="N23" s="325">
        <f t="shared" si="7"/>
        <v>53.05</v>
      </c>
      <c r="T23" s="34">
        <v>1</v>
      </c>
      <c r="U23" s="366"/>
      <c r="V23" s="97">
        <v>3.29</v>
      </c>
      <c r="W23" s="36">
        <f>RTD("money.excel",,"4128","Price")</f>
        <v>57.8</v>
      </c>
      <c r="X23" s="233">
        <f>64</f>
        <v>64</v>
      </c>
      <c r="Y23" s="15">
        <f t="shared" si="4"/>
        <v>-6.2000000000000028</v>
      </c>
      <c r="Z23" s="3">
        <f t="shared" si="5"/>
        <v>-9.6875000000000044E-2</v>
      </c>
      <c r="AA23" s="104" t="s">
        <v>1943</v>
      </c>
      <c r="AB23" s="16" t="s">
        <v>651</v>
      </c>
      <c r="AC23" s="86">
        <v>44307</v>
      </c>
      <c r="AE23" s="33">
        <f t="shared" si="6"/>
        <v>-44307</v>
      </c>
      <c r="AF23" s="41" t="s">
        <v>1188</v>
      </c>
      <c r="AG23" s="269"/>
      <c r="AH23" s="8"/>
    </row>
    <row r="24" spans="1:38">
      <c r="A24" s="148" t="s">
        <v>2349</v>
      </c>
      <c r="B24" s="81">
        <v>352</v>
      </c>
      <c r="C24" s="82">
        <v>-330</v>
      </c>
      <c r="D24" s="81">
        <v>49</v>
      </c>
      <c r="E24" s="81">
        <v>50</v>
      </c>
      <c r="F24" s="6">
        <v>-20.73</v>
      </c>
      <c r="G24" s="57" t="s">
        <v>650</v>
      </c>
      <c r="H24" s="30" t="s">
        <v>1531</v>
      </c>
      <c r="I24" s="16" t="s">
        <v>651</v>
      </c>
      <c r="J24" s="75">
        <v>47.87</v>
      </c>
      <c r="K24" s="75">
        <v>5.18</v>
      </c>
      <c r="N24" s="325">
        <f t="shared" si="7"/>
        <v>53.05</v>
      </c>
      <c r="T24" s="34">
        <v>1</v>
      </c>
      <c r="U24" s="366"/>
      <c r="V24" s="97">
        <v>3.29</v>
      </c>
      <c r="W24" s="36">
        <f>RTD("money.excel",,"4128","Price")</f>
        <v>57.8</v>
      </c>
      <c r="X24" s="233">
        <f>63.5</f>
        <v>63.5</v>
      </c>
      <c r="Y24" s="15">
        <f t="shared" si="4"/>
        <v>-5.7000000000000028</v>
      </c>
      <c r="Z24" s="3">
        <f t="shared" si="5"/>
        <v>-8.9763779527559096E-2</v>
      </c>
      <c r="AA24" s="104" t="s">
        <v>1943</v>
      </c>
      <c r="AB24" s="16" t="s">
        <v>651</v>
      </c>
      <c r="AC24" s="86">
        <v>44307</v>
      </c>
      <c r="AE24" s="33">
        <f t="shared" si="6"/>
        <v>-44307</v>
      </c>
      <c r="AF24" s="41" t="s">
        <v>1188</v>
      </c>
      <c r="AG24" s="269"/>
      <c r="AH24" s="8"/>
    </row>
    <row r="25" spans="1:38">
      <c r="A25" s="148" t="s">
        <v>2349</v>
      </c>
      <c r="B25" s="81">
        <v>352</v>
      </c>
      <c r="C25" s="82">
        <v>-330</v>
      </c>
      <c r="D25" s="81">
        <v>49</v>
      </c>
      <c r="E25" s="81">
        <v>50</v>
      </c>
      <c r="F25" s="6">
        <v>-20.73</v>
      </c>
      <c r="G25" s="57" t="s">
        <v>650</v>
      </c>
      <c r="H25" s="30" t="s">
        <v>1531</v>
      </c>
      <c r="I25" s="16" t="s">
        <v>651</v>
      </c>
      <c r="J25" s="75">
        <v>47.87</v>
      </c>
      <c r="K25" s="75">
        <v>5.18</v>
      </c>
      <c r="N25" s="325">
        <f t="shared" si="7"/>
        <v>53.05</v>
      </c>
      <c r="T25" s="34">
        <v>1</v>
      </c>
      <c r="U25" s="366"/>
      <c r="V25" s="97">
        <v>3.29</v>
      </c>
      <c r="W25" s="36">
        <f>RTD("money.excel",,"4128","Price")</f>
        <v>57.8</v>
      </c>
      <c r="X25" s="233">
        <f>63.7</f>
        <v>63.7</v>
      </c>
      <c r="Y25" s="15">
        <f t="shared" si="4"/>
        <v>-5.9000000000000057</v>
      </c>
      <c r="Z25" s="3">
        <f t="shared" si="5"/>
        <v>-9.2621664050235558E-2</v>
      </c>
      <c r="AA25" s="104" t="s">
        <v>1943</v>
      </c>
      <c r="AB25" s="16" t="s">
        <v>651</v>
      </c>
      <c r="AC25" s="86">
        <v>44305</v>
      </c>
      <c r="AE25" s="33">
        <f t="shared" si="6"/>
        <v>-44305</v>
      </c>
      <c r="AF25" s="41" t="s">
        <v>1188</v>
      </c>
      <c r="AG25" s="41" t="s">
        <v>3878</v>
      </c>
      <c r="AH25" s="8"/>
    </row>
    <row r="26" spans="1:38" s="273" customFormat="1">
      <c r="A26" s="147"/>
      <c r="B26" s="81"/>
      <c r="C26" s="81"/>
      <c r="D26" s="81"/>
      <c r="E26" s="81"/>
      <c r="F26" s="6"/>
      <c r="G26" s="41"/>
      <c r="H26" s="8"/>
      <c r="I26" s="160"/>
      <c r="J26" s="330"/>
      <c r="K26" s="330"/>
      <c r="L26" s="330"/>
      <c r="M26" s="325"/>
      <c r="N26" s="325"/>
      <c r="O26" s="329"/>
      <c r="P26" s="390"/>
      <c r="Q26" s="362"/>
      <c r="R26" s="308"/>
      <c r="S26" s="330"/>
      <c r="T26" s="199"/>
      <c r="U26" s="366"/>
      <c r="V26" s="97"/>
      <c r="W26" s="172">
        <f>SUM(W20:W25)</f>
        <v>346.8</v>
      </c>
      <c r="X26" s="162">
        <f>SUM(X20:X25)</f>
        <v>375.09999999999997</v>
      </c>
      <c r="Y26" s="169">
        <f t="shared" si="4"/>
        <v>-28.299999999999955</v>
      </c>
      <c r="Z26" s="165">
        <f>Y26/X26</f>
        <v>-7.5446547587309939E-2</v>
      </c>
      <c r="AA26" s="118"/>
      <c r="AB26" s="160">
        <f>W26*(0.001425*0.5)+W26*0.003+X26*(0.001425*0.5)</f>
        <v>1.5547537500000002</v>
      </c>
      <c r="AC26" s="6">
        <f>Y26-AB26</f>
        <v>-29.854753749999954</v>
      </c>
      <c r="AD26" s="85"/>
      <c r="AE26" s="33"/>
      <c r="AF26" s="41" t="s">
        <v>4046</v>
      </c>
      <c r="AG26" s="170"/>
    </row>
    <row r="27" spans="1:38" s="273" customFormat="1">
      <c r="A27" s="147"/>
      <c r="B27" s="81"/>
      <c r="C27" s="81"/>
      <c r="D27" s="81"/>
      <c r="E27" s="81"/>
      <c r="F27" s="6"/>
      <c r="G27" s="41"/>
      <c r="H27" s="8"/>
      <c r="I27" s="160"/>
      <c r="J27" s="330"/>
      <c r="K27" s="330"/>
      <c r="L27" s="330"/>
      <c r="M27" s="325"/>
      <c r="N27" s="325"/>
      <c r="O27" s="329"/>
      <c r="P27" s="390"/>
      <c r="Q27" s="362"/>
      <c r="R27" s="308"/>
      <c r="S27" s="330"/>
      <c r="T27" s="199"/>
      <c r="U27" s="366"/>
      <c r="V27" s="97"/>
      <c r="W27" s="172"/>
      <c r="X27" s="162"/>
      <c r="Y27" s="169"/>
      <c r="Z27" s="171"/>
      <c r="AA27" s="118"/>
      <c r="AB27" s="160"/>
      <c r="AC27" s="6"/>
      <c r="AD27" s="85"/>
      <c r="AE27" s="33"/>
      <c r="AF27" s="41"/>
      <c r="AG27" s="170"/>
    </row>
    <row r="28" spans="1:38" s="273" customFormat="1">
      <c r="A28" s="132" t="s">
        <v>1854</v>
      </c>
      <c r="B28" s="93" t="s">
        <v>1657</v>
      </c>
      <c r="C28" s="93" t="s">
        <v>1658</v>
      </c>
      <c r="D28" s="93" t="s">
        <v>1659</v>
      </c>
      <c r="E28" s="93" t="s">
        <v>1660</v>
      </c>
      <c r="F28" s="8" t="s">
        <v>1122</v>
      </c>
      <c r="G28" s="26" t="s">
        <v>4231</v>
      </c>
      <c r="H28" s="55" t="s">
        <v>342</v>
      </c>
      <c r="I28" s="1" t="s">
        <v>2750</v>
      </c>
      <c r="J28" s="324" t="s">
        <v>1529</v>
      </c>
      <c r="K28" s="324" t="s">
        <v>1217</v>
      </c>
      <c r="L28" s="324" t="s">
        <v>298</v>
      </c>
      <c r="M28" s="324" t="s">
        <v>1115</v>
      </c>
      <c r="N28" s="324" t="s">
        <v>6091</v>
      </c>
      <c r="O28" s="27" t="s">
        <v>6312</v>
      </c>
      <c r="P28" s="56" t="s">
        <v>6219</v>
      </c>
      <c r="Q28" s="26" t="s">
        <v>6313</v>
      </c>
      <c r="R28" s="309" t="s">
        <v>4371</v>
      </c>
      <c r="S28" s="335" t="s">
        <v>4398</v>
      </c>
      <c r="T28" s="14" t="s">
        <v>75</v>
      </c>
      <c r="U28" s="364" t="s">
        <v>6152</v>
      </c>
      <c r="V28" s="69" t="s">
        <v>4406</v>
      </c>
      <c r="W28" s="28" t="s">
        <v>4424</v>
      </c>
      <c r="X28" s="17" t="s">
        <v>1465</v>
      </c>
      <c r="Y28" s="14" t="s">
        <v>2755</v>
      </c>
      <c r="Z28" s="21" t="s">
        <v>1539</v>
      </c>
      <c r="AA28" s="25" t="s">
        <v>117</v>
      </c>
      <c r="AB28" s="1" t="s">
        <v>2750</v>
      </c>
      <c r="AC28" s="73" t="s">
        <v>1466</v>
      </c>
      <c r="AD28" s="74" t="s">
        <v>1223</v>
      </c>
      <c r="AE28" s="32" t="s">
        <v>1224</v>
      </c>
      <c r="AF28" s="144"/>
      <c r="AG28" s="170"/>
    </row>
    <row r="29" spans="1:38">
      <c r="A29" s="148" t="s">
        <v>3545</v>
      </c>
      <c r="B29" s="81">
        <v>256</v>
      </c>
      <c r="C29" s="81">
        <v>355</v>
      </c>
      <c r="D29" s="82">
        <v>-3</v>
      </c>
      <c r="E29" s="82">
        <v>-18</v>
      </c>
      <c r="F29" s="6">
        <v>7.57</v>
      </c>
      <c r="G29" s="82">
        <v>3162</v>
      </c>
      <c r="H29" s="30" t="s">
        <v>1531</v>
      </c>
      <c r="I29" s="16" t="s">
        <v>566</v>
      </c>
      <c r="J29" s="330">
        <v>53.88</v>
      </c>
      <c r="K29" s="75">
        <v>51.78</v>
      </c>
      <c r="L29" s="330"/>
      <c r="N29" s="75">
        <f>K29+J29+L29</f>
        <v>105.66</v>
      </c>
      <c r="T29" s="34">
        <v>0</v>
      </c>
      <c r="U29" s="366"/>
      <c r="V29" s="58">
        <v>7.0000000000000007E-2</v>
      </c>
      <c r="W29" s="13">
        <f>RTD("money.excel",,"3162","Price")</f>
        <v>41.25</v>
      </c>
      <c r="X29" s="233">
        <v>46.2</v>
      </c>
      <c r="Y29" s="15">
        <f>W29-X29</f>
        <v>-4.9500000000000028</v>
      </c>
      <c r="Z29" s="78">
        <f>Y29/X29</f>
        <v>-0.10714285714285719</v>
      </c>
      <c r="AA29" s="141" t="s">
        <v>4336</v>
      </c>
      <c r="AB29" s="16" t="s">
        <v>566</v>
      </c>
      <c r="AC29" s="86">
        <v>44518</v>
      </c>
      <c r="AE29" s="33">
        <f t="shared" ref="AE29" si="8">AD29-AC29</f>
        <v>-44518</v>
      </c>
      <c r="AF29" s="41" t="s">
        <v>1188</v>
      </c>
      <c r="AG29" s="240"/>
      <c r="AH29" s="16"/>
      <c r="AI29" s="222"/>
      <c r="AJ29" s="262"/>
      <c r="AK29" s="275"/>
      <c r="AL29" s="277"/>
    </row>
    <row r="30" spans="1:38" s="273" customFormat="1">
      <c r="A30" s="147"/>
      <c r="B30" s="81"/>
      <c r="C30" s="81"/>
      <c r="D30" s="81"/>
      <c r="E30" s="81"/>
      <c r="F30" s="6"/>
      <c r="G30" s="41"/>
      <c r="H30" s="8"/>
      <c r="I30" s="160"/>
      <c r="J30" s="330"/>
      <c r="K30" s="330"/>
      <c r="L30" s="330"/>
      <c r="M30" s="325"/>
      <c r="N30" s="325"/>
      <c r="O30" s="329"/>
      <c r="P30" s="390"/>
      <c r="Q30" s="362"/>
      <c r="R30" s="308"/>
      <c r="S30" s="330"/>
      <c r="T30" s="199"/>
      <c r="U30" s="366"/>
      <c r="V30" s="97"/>
      <c r="W30" s="172">
        <f>SUM(W29)</f>
        <v>41.25</v>
      </c>
      <c r="X30" s="162">
        <f>SUM(X29)</f>
        <v>46.2</v>
      </c>
      <c r="Y30" s="169">
        <f>W30-X30</f>
        <v>-4.9500000000000028</v>
      </c>
      <c r="Z30" s="171">
        <f>Y30/X30</f>
        <v>-0.10714285714285719</v>
      </c>
      <c r="AA30" s="118"/>
      <c r="AB30" s="160">
        <f>W30*(0.001425*0.5)+W30*0.003+X30*(0.001425*0.5)</f>
        <v>0.18605812500000002</v>
      </c>
      <c r="AC30" s="6">
        <f>Y30-AB30</f>
        <v>-5.1360581250000026</v>
      </c>
      <c r="AD30" s="85"/>
      <c r="AE30" s="33"/>
      <c r="AF30" s="41" t="s">
        <v>1188</v>
      </c>
      <c r="AG30" s="170"/>
    </row>
    <row r="31" spans="1:38" s="273" customFormat="1">
      <c r="A31" s="147"/>
      <c r="B31" s="81"/>
      <c r="C31" s="81"/>
      <c r="D31" s="81"/>
      <c r="E31" s="81"/>
      <c r="F31" s="6"/>
      <c r="G31" s="41"/>
      <c r="H31" s="8"/>
      <c r="I31" s="160"/>
      <c r="J31" s="330"/>
      <c r="K31" s="330"/>
      <c r="L31" s="330"/>
      <c r="M31" s="325"/>
      <c r="N31" s="325"/>
      <c r="O31" s="329"/>
      <c r="P31" s="390"/>
      <c r="Q31" s="362"/>
      <c r="R31" s="308"/>
      <c r="S31" s="330"/>
      <c r="T31" s="199"/>
      <c r="U31" s="366"/>
      <c r="V31" s="97"/>
      <c r="W31" s="172"/>
      <c r="X31" s="162"/>
      <c r="Y31" s="169"/>
      <c r="Z31" s="171"/>
      <c r="AA31" s="118"/>
      <c r="AB31" s="160"/>
      <c r="AC31" s="6"/>
      <c r="AD31" s="85"/>
      <c r="AE31" s="33"/>
      <c r="AF31" s="41"/>
      <c r="AG31" s="170"/>
    </row>
    <row r="32" spans="1:38" s="273" customFormat="1">
      <c r="A32" s="132" t="s">
        <v>1854</v>
      </c>
      <c r="B32" s="93" t="s">
        <v>1657</v>
      </c>
      <c r="C32" s="93" t="s">
        <v>1658</v>
      </c>
      <c r="D32" s="93" t="s">
        <v>1659</v>
      </c>
      <c r="E32" s="93" t="s">
        <v>1660</v>
      </c>
      <c r="F32" s="8" t="s">
        <v>1122</v>
      </c>
      <c r="G32" s="26" t="s">
        <v>4231</v>
      </c>
      <c r="H32" s="55" t="s">
        <v>342</v>
      </c>
      <c r="I32" s="1" t="s">
        <v>2750</v>
      </c>
      <c r="J32" s="324" t="s">
        <v>1529</v>
      </c>
      <c r="K32" s="324" t="s">
        <v>1217</v>
      </c>
      <c r="L32" s="324" t="s">
        <v>298</v>
      </c>
      <c r="M32" s="324" t="s">
        <v>1115</v>
      </c>
      <c r="N32" s="324" t="s">
        <v>6091</v>
      </c>
      <c r="O32" s="27" t="s">
        <v>6312</v>
      </c>
      <c r="P32" s="56" t="s">
        <v>6219</v>
      </c>
      <c r="Q32" s="26" t="s">
        <v>6313</v>
      </c>
      <c r="R32" s="309" t="s">
        <v>4371</v>
      </c>
      <c r="S32" s="335" t="s">
        <v>4398</v>
      </c>
      <c r="T32" s="14" t="s">
        <v>75</v>
      </c>
      <c r="U32" s="364" t="s">
        <v>6152</v>
      </c>
      <c r="V32" s="69" t="s">
        <v>4406</v>
      </c>
      <c r="W32" s="28" t="s">
        <v>4424</v>
      </c>
      <c r="X32" s="17" t="s">
        <v>1465</v>
      </c>
      <c r="Y32" s="14" t="s">
        <v>2755</v>
      </c>
      <c r="Z32" s="21" t="s">
        <v>1539</v>
      </c>
      <c r="AA32" s="25" t="s">
        <v>117</v>
      </c>
      <c r="AB32" s="1" t="s">
        <v>2750</v>
      </c>
      <c r="AC32" s="73" t="s">
        <v>1466</v>
      </c>
      <c r="AD32" s="74" t="s">
        <v>1223</v>
      </c>
      <c r="AE32" s="32" t="s">
        <v>1224</v>
      </c>
      <c r="AF32" s="144"/>
      <c r="AG32" s="170"/>
    </row>
    <row r="33" spans="1:38">
      <c r="A33" s="132" t="s">
        <v>3566</v>
      </c>
      <c r="B33" s="81">
        <v>763</v>
      </c>
      <c r="C33" s="81">
        <v>854</v>
      </c>
      <c r="D33" s="82">
        <v>-11</v>
      </c>
      <c r="E33" s="82">
        <v>-17</v>
      </c>
      <c r="F33" s="58">
        <v>16.18</v>
      </c>
      <c r="G33" s="57" t="s">
        <v>2712</v>
      </c>
      <c r="H33" s="30" t="s">
        <v>1531</v>
      </c>
      <c r="I33" s="16" t="s">
        <v>2713</v>
      </c>
      <c r="J33" s="330">
        <v>53.32</v>
      </c>
      <c r="K33" s="330">
        <v>43.8</v>
      </c>
      <c r="L33" s="330">
        <v>18.989999999999998</v>
      </c>
      <c r="N33" s="75">
        <f t="shared" ref="N33" si="9">K33+J33+L33</f>
        <v>116.11</v>
      </c>
      <c r="P33" s="391"/>
      <c r="Q33" s="307"/>
      <c r="S33" s="330">
        <v>0.19</v>
      </c>
      <c r="T33" s="67">
        <v>3.5</v>
      </c>
      <c r="U33" s="366"/>
      <c r="V33" s="58">
        <v>8.0500000000000007</v>
      </c>
      <c r="W33" s="13">
        <f>RTD("money.excel",,"5223","Price")</f>
        <v>51.4</v>
      </c>
      <c r="X33" s="233">
        <v>53.3</v>
      </c>
      <c r="Y33" s="15">
        <f>W33-X33</f>
        <v>-1.8999999999999986</v>
      </c>
      <c r="Z33" s="3">
        <f>Y33/X33</f>
        <v>-3.5647279549718552E-2</v>
      </c>
      <c r="AA33" s="146" t="s">
        <v>2185</v>
      </c>
      <c r="AB33" s="16" t="s">
        <v>2713</v>
      </c>
      <c r="AC33" s="86">
        <v>44452</v>
      </c>
      <c r="AE33" s="33">
        <f>AD33-AC33</f>
        <v>-44452</v>
      </c>
      <c r="AF33" s="41" t="s">
        <v>1188</v>
      </c>
      <c r="AH33" s="8"/>
    </row>
    <row r="34" spans="1:38">
      <c r="A34" s="132" t="s">
        <v>3566</v>
      </c>
      <c r="B34" s="81">
        <v>763</v>
      </c>
      <c r="C34" s="81">
        <v>854</v>
      </c>
      <c r="D34" s="82">
        <v>-11</v>
      </c>
      <c r="E34" s="82">
        <v>-17</v>
      </c>
      <c r="F34" s="58">
        <v>16.18</v>
      </c>
      <c r="G34" s="57" t="s">
        <v>2712</v>
      </c>
      <c r="H34" s="30" t="s">
        <v>1531</v>
      </c>
      <c r="I34" s="16" t="s">
        <v>2713</v>
      </c>
      <c r="J34" s="330">
        <v>53.32</v>
      </c>
      <c r="K34" s="330">
        <v>43.8</v>
      </c>
      <c r="L34" s="330">
        <v>18.989999999999998</v>
      </c>
      <c r="N34" s="75">
        <f t="shared" ref="N34:N36" si="10">K34+J34+L34</f>
        <v>116.11</v>
      </c>
      <c r="P34" s="391"/>
      <c r="Q34" s="307"/>
      <c r="S34" s="330">
        <v>0.19</v>
      </c>
      <c r="T34" s="67">
        <v>3.5</v>
      </c>
      <c r="U34" s="366"/>
      <c r="V34" s="58">
        <v>8.0500000000000007</v>
      </c>
      <c r="W34" s="13">
        <f>RTD("money.excel",,"5223","Price")</f>
        <v>51.4</v>
      </c>
      <c r="X34" s="233">
        <f>68.1-3.41</f>
        <v>64.69</v>
      </c>
      <c r="Y34" s="15">
        <f>W34-X34</f>
        <v>-13.29</v>
      </c>
      <c r="Z34" s="3">
        <f>Y34/X34</f>
        <v>-0.2054413356005565</v>
      </c>
      <c r="AA34" s="146" t="s">
        <v>2185</v>
      </c>
      <c r="AB34" s="16" t="s">
        <v>2713</v>
      </c>
      <c r="AC34" s="86">
        <v>44344</v>
      </c>
      <c r="AE34" s="33">
        <f>AD34-AC34</f>
        <v>-44344</v>
      </c>
      <c r="AF34" s="41" t="s">
        <v>1188</v>
      </c>
      <c r="AH34" s="8"/>
    </row>
    <row r="35" spans="1:38">
      <c r="A35" s="132" t="s">
        <v>3566</v>
      </c>
      <c r="B35" s="81">
        <v>763</v>
      </c>
      <c r="C35" s="81">
        <v>854</v>
      </c>
      <c r="D35" s="82">
        <v>-11</v>
      </c>
      <c r="E35" s="82">
        <v>-17</v>
      </c>
      <c r="F35" s="58">
        <v>16.18</v>
      </c>
      <c r="G35" s="57" t="s">
        <v>2712</v>
      </c>
      <c r="H35" s="30" t="s">
        <v>1531</v>
      </c>
      <c r="I35" s="16" t="s">
        <v>2713</v>
      </c>
      <c r="J35" s="330">
        <v>53.32</v>
      </c>
      <c r="K35" s="330">
        <v>43.8</v>
      </c>
      <c r="L35" s="330">
        <v>18.989999999999998</v>
      </c>
      <c r="N35" s="75">
        <f t="shared" si="10"/>
        <v>116.11</v>
      </c>
      <c r="S35" s="330">
        <v>0.19</v>
      </c>
      <c r="T35" s="67">
        <v>3.5</v>
      </c>
      <c r="U35" s="366"/>
      <c r="V35" s="58">
        <v>8.0500000000000007</v>
      </c>
      <c r="W35" s="13">
        <f>RTD("money.excel",,"5223","Price")</f>
        <v>51.4</v>
      </c>
      <c r="X35" s="233">
        <f>64.5-3.41</f>
        <v>61.09</v>
      </c>
      <c r="Y35" s="15">
        <f>W35-X35</f>
        <v>-9.6900000000000048</v>
      </c>
      <c r="Z35" s="3">
        <f>Y35/X35</f>
        <v>-0.15861843182190219</v>
      </c>
      <c r="AA35" s="146" t="s">
        <v>2185</v>
      </c>
      <c r="AB35" s="16" t="s">
        <v>2713</v>
      </c>
      <c r="AC35" s="86">
        <v>44329</v>
      </c>
      <c r="AE35" s="33">
        <f>AD35-AC35</f>
        <v>-44329</v>
      </c>
      <c r="AF35" s="41" t="s">
        <v>1188</v>
      </c>
      <c r="AH35" s="8"/>
    </row>
    <row r="36" spans="1:38">
      <c r="A36" s="132" t="s">
        <v>3566</v>
      </c>
      <c r="B36" s="81">
        <v>763</v>
      </c>
      <c r="C36" s="81">
        <v>854</v>
      </c>
      <c r="D36" s="82">
        <v>-11</v>
      </c>
      <c r="E36" s="82">
        <v>-17</v>
      </c>
      <c r="F36" s="58">
        <v>16.18</v>
      </c>
      <c r="G36" s="57" t="s">
        <v>2712</v>
      </c>
      <c r="H36" s="30" t="s">
        <v>1531</v>
      </c>
      <c r="I36" s="16" t="s">
        <v>2713</v>
      </c>
      <c r="J36" s="330">
        <v>53.32</v>
      </c>
      <c r="K36" s="330">
        <v>43.8</v>
      </c>
      <c r="L36" s="330">
        <v>18.989999999999998</v>
      </c>
      <c r="N36" s="75">
        <f t="shared" si="10"/>
        <v>116.11</v>
      </c>
      <c r="S36" s="330">
        <v>0.19</v>
      </c>
      <c r="T36" s="67">
        <v>3.5</v>
      </c>
      <c r="U36" s="366"/>
      <c r="V36" s="58">
        <v>8.0500000000000007</v>
      </c>
      <c r="W36" s="13">
        <f>RTD("money.excel",,"5223","Price")</f>
        <v>51.4</v>
      </c>
      <c r="X36" s="233">
        <f>83.1-3.41</f>
        <v>79.69</v>
      </c>
      <c r="Y36" s="15">
        <f>W36-X36</f>
        <v>-28.29</v>
      </c>
      <c r="Z36" s="3">
        <f>Y36/X36</f>
        <v>-0.35500062743129629</v>
      </c>
      <c r="AA36" s="146" t="s">
        <v>2185</v>
      </c>
      <c r="AB36" s="16" t="s">
        <v>2713</v>
      </c>
      <c r="AC36" s="86">
        <v>44313</v>
      </c>
      <c r="AE36" s="33">
        <f>AD36-AC36</f>
        <v>-44313</v>
      </c>
      <c r="AF36" s="41" t="s">
        <v>1188</v>
      </c>
      <c r="AH36" s="8"/>
    </row>
    <row r="37" spans="1:38" s="273" customFormat="1">
      <c r="A37" s="147"/>
      <c r="B37" s="81"/>
      <c r="C37" s="81"/>
      <c r="D37" s="81"/>
      <c r="E37" s="81"/>
      <c r="F37" s="6"/>
      <c r="G37" s="41"/>
      <c r="H37" s="8"/>
      <c r="I37" s="160"/>
      <c r="J37" s="330"/>
      <c r="K37" s="330"/>
      <c r="L37" s="330"/>
      <c r="M37" s="325"/>
      <c r="N37" s="325"/>
      <c r="O37" s="329"/>
      <c r="P37" s="390"/>
      <c r="Q37" s="362"/>
      <c r="R37" s="308"/>
      <c r="S37" s="330"/>
      <c r="T37" s="199"/>
      <c r="U37" s="366"/>
      <c r="V37" s="97"/>
      <c r="W37" s="172">
        <f>SUM(W33:W36)</f>
        <v>205.6</v>
      </c>
      <c r="X37" s="162">
        <f>SUM(X33:X36)</f>
        <v>258.77</v>
      </c>
      <c r="Y37" s="169">
        <f>W37-X37</f>
        <v>-53.169999999999987</v>
      </c>
      <c r="Z37" s="171">
        <f>Y37/X37</f>
        <v>-0.20547204080843989</v>
      </c>
      <c r="AA37" s="118"/>
      <c r="AB37" s="160">
        <f>W37*(0.001425*0.5)+W37*0.003+X37*(0.001425*0.5)</f>
        <v>0.94766362500000001</v>
      </c>
      <c r="AC37" s="6">
        <f>Y37-AB37</f>
        <v>-54.117663624999985</v>
      </c>
      <c r="AD37" s="85"/>
      <c r="AE37" s="33"/>
      <c r="AF37" s="41" t="s">
        <v>1189</v>
      </c>
      <c r="AG37" s="170"/>
    </row>
    <row r="38" spans="1:38" s="273" customFormat="1">
      <c r="A38" s="132"/>
      <c r="B38" s="93"/>
      <c r="C38" s="93"/>
      <c r="D38" s="93"/>
      <c r="E38" s="93"/>
      <c r="F38" s="8"/>
      <c r="G38" s="25"/>
      <c r="H38" s="55"/>
      <c r="I38" s="1"/>
      <c r="J38" s="324"/>
      <c r="K38" s="324"/>
      <c r="L38" s="324"/>
      <c r="M38" s="324"/>
      <c r="N38" s="324"/>
      <c r="O38" s="329"/>
      <c r="P38" s="390"/>
      <c r="Q38" s="362"/>
      <c r="R38" s="308"/>
      <c r="S38" s="335"/>
      <c r="T38" s="14"/>
      <c r="U38" s="368"/>
      <c r="V38" s="69"/>
      <c r="W38" s="28"/>
      <c r="X38" s="69"/>
      <c r="Y38" s="14"/>
      <c r="Z38" s="21"/>
      <c r="AA38" s="25"/>
      <c r="AB38" s="1"/>
      <c r="AC38" s="73"/>
      <c r="AD38" s="74"/>
      <c r="AE38" s="32"/>
      <c r="AF38" s="144"/>
      <c r="AG38" s="170"/>
    </row>
    <row r="39" spans="1:38" s="273" customFormat="1">
      <c r="A39" s="132" t="s">
        <v>1854</v>
      </c>
      <c r="B39" s="93" t="s">
        <v>1657</v>
      </c>
      <c r="C39" s="93" t="s">
        <v>1658</v>
      </c>
      <c r="D39" s="93" t="s">
        <v>1659</v>
      </c>
      <c r="E39" s="93" t="s">
        <v>1660</v>
      </c>
      <c r="F39" s="8" t="s">
        <v>1122</v>
      </c>
      <c r="G39" s="26" t="s">
        <v>4231</v>
      </c>
      <c r="H39" s="55" t="s">
        <v>342</v>
      </c>
      <c r="I39" s="1" t="s">
        <v>79</v>
      </c>
      <c r="J39" s="324" t="s">
        <v>1529</v>
      </c>
      <c r="K39" s="324" t="s">
        <v>1217</v>
      </c>
      <c r="L39" s="324" t="s">
        <v>298</v>
      </c>
      <c r="M39" s="324" t="s">
        <v>1115</v>
      </c>
      <c r="N39" s="324" t="s">
        <v>6091</v>
      </c>
      <c r="O39" s="27" t="s">
        <v>6312</v>
      </c>
      <c r="P39" s="56" t="s">
        <v>6219</v>
      </c>
      <c r="Q39" s="26" t="s">
        <v>6313</v>
      </c>
      <c r="R39" s="309" t="s">
        <v>4371</v>
      </c>
      <c r="S39" s="335" t="s">
        <v>4398</v>
      </c>
      <c r="T39" s="14" t="s">
        <v>75</v>
      </c>
      <c r="U39" s="364" t="s">
        <v>6152</v>
      </c>
      <c r="V39" s="69" t="s">
        <v>4406</v>
      </c>
      <c r="W39" s="28" t="s">
        <v>4424</v>
      </c>
      <c r="X39" s="17" t="s">
        <v>1465</v>
      </c>
      <c r="Y39" s="14" t="s">
        <v>2755</v>
      </c>
      <c r="Z39" s="21" t="s">
        <v>1539</v>
      </c>
      <c r="AA39" s="25" t="s">
        <v>117</v>
      </c>
      <c r="AB39" s="1" t="s">
        <v>79</v>
      </c>
      <c r="AC39" s="73" t="s">
        <v>1466</v>
      </c>
      <c r="AD39" s="74" t="s">
        <v>1223</v>
      </c>
      <c r="AE39" s="32" t="s">
        <v>1224</v>
      </c>
      <c r="AF39" s="144"/>
      <c r="AG39" s="170"/>
    </row>
    <row r="40" spans="1:38">
      <c r="A40" s="148" t="s">
        <v>2267</v>
      </c>
      <c r="B40" s="81">
        <v>5</v>
      </c>
      <c r="C40" s="81">
        <v>70</v>
      </c>
      <c r="D40" s="81">
        <v>1</v>
      </c>
      <c r="E40" s="81">
        <v>5</v>
      </c>
      <c r="F40" s="6">
        <v>4.54</v>
      </c>
      <c r="G40" s="81">
        <v>3015</v>
      </c>
      <c r="H40" s="30" t="s">
        <v>1531</v>
      </c>
      <c r="I40" s="22" t="s">
        <v>418</v>
      </c>
      <c r="J40" s="75">
        <v>54.32</v>
      </c>
      <c r="K40" s="330">
        <v>12.24</v>
      </c>
      <c r="L40" s="75">
        <v>5.84</v>
      </c>
      <c r="N40" s="325">
        <f>K40+J40+L40</f>
        <v>72.400000000000006</v>
      </c>
      <c r="R40" s="308" t="s">
        <v>4373</v>
      </c>
      <c r="S40" s="330">
        <v>0.26</v>
      </c>
      <c r="T40" s="67">
        <v>3</v>
      </c>
      <c r="U40" s="364"/>
      <c r="V40" s="58">
        <v>3.68</v>
      </c>
      <c r="W40" s="36">
        <f>RTD("money.excel",,"3015","Price")</f>
        <v>43.55</v>
      </c>
      <c r="X40" s="233">
        <v>44.4</v>
      </c>
      <c r="Y40" s="15">
        <f>W40-X40</f>
        <v>-0.85000000000000142</v>
      </c>
      <c r="Z40" s="64">
        <f>Y40/X40</f>
        <v>-1.9144144144144178E-2</v>
      </c>
      <c r="AA40" s="102" t="s">
        <v>1581</v>
      </c>
      <c r="AB40" s="22" t="s">
        <v>418</v>
      </c>
      <c r="AC40" s="86">
        <v>44539</v>
      </c>
      <c r="AE40" s="33">
        <f>AD40-AC40</f>
        <v>-44539</v>
      </c>
      <c r="AF40" s="41" t="s">
        <v>1188</v>
      </c>
      <c r="AG40" s="240"/>
      <c r="AH40" s="22"/>
      <c r="AI40" s="222"/>
      <c r="AJ40" s="262"/>
      <c r="AK40" s="275"/>
      <c r="AL40" s="278"/>
    </row>
    <row r="41" spans="1:38" s="273" customFormat="1">
      <c r="A41" s="147"/>
      <c r="B41" s="81"/>
      <c r="C41" s="81"/>
      <c r="D41" s="81"/>
      <c r="E41" s="81"/>
      <c r="F41" s="6"/>
      <c r="G41" s="41"/>
      <c r="H41" s="8"/>
      <c r="I41" s="160"/>
      <c r="J41" s="330"/>
      <c r="K41" s="330"/>
      <c r="L41" s="330"/>
      <c r="M41" s="325"/>
      <c r="N41" s="325"/>
      <c r="O41" s="329"/>
      <c r="P41" s="390"/>
      <c r="Q41" s="362"/>
      <c r="R41" s="308"/>
      <c r="S41" s="330"/>
      <c r="T41" s="199"/>
      <c r="U41" s="364"/>
      <c r="V41" s="97"/>
      <c r="W41" s="172">
        <f>SUM(W40)</f>
        <v>43.55</v>
      </c>
      <c r="X41" s="162">
        <f>SUM(X40)</f>
        <v>44.4</v>
      </c>
      <c r="Y41" s="169">
        <f>W41-X41</f>
        <v>-0.85000000000000142</v>
      </c>
      <c r="Z41" s="171">
        <f>Y41/X41</f>
        <v>-1.9144144144144178E-2</v>
      </c>
      <c r="AA41" s="118"/>
      <c r="AB41" s="160">
        <f>W41*(0.001425*0.5)+W41*0.003+X41*(0.001425*0.5)</f>
        <v>0.19331437499999998</v>
      </c>
      <c r="AC41" s="6">
        <f>Y41-AB41</f>
        <v>-1.0433143750000013</v>
      </c>
      <c r="AD41" s="85"/>
      <c r="AE41" s="33"/>
      <c r="AF41" s="41" t="s">
        <v>1188</v>
      </c>
      <c r="AG41" s="170"/>
    </row>
    <row r="42" spans="1:38" s="273" customFormat="1">
      <c r="A42" s="147"/>
      <c r="B42" s="81"/>
      <c r="C42" s="81"/>
      <c r="D42" s="81"/>
      <c r="E42" s="81"/>
      <c r="F42" s="6"/>
      <c r="G42" s="41"/>
      <c r="H42" s="8"/>
      <c r="I42" s="160"/>
      <c r="J42" s="330"/>
      <c r="K42" s="330"/>
      <c r="L42" s="330"/>
      <c r="M42" s="325"/>
      <c r="N42" s="325"/>
      <c r="O42" s="329"/>
      <c r="P42" s="390"/>
      <c r="Q42" s="362"/>
      <c r="R42" s="308"/>
      <c r="S42" s="330"/>
      <c r="T42" s="199"/>
      <c r="U42" s="364"/>
      <c r="V42" s="97"/>
      <c r="W42" s="172"/>
      <c r="X42" s="162"/>
      <c r="Y42" s="169"/>
      <c r="Z42" s="171"/>
      <c r="AA42" s="118"/>
      <c r="AB42" s="160"/>
      <c r="AC42" s="6"/>
      <c r="AD42" s="85"/>
      <c r="AE42" s="33"/>
      <c r="AF42" s="41"/>
      <c r="AG42" s="170"/>
    </row>
    <row r="43" spans="1:38" s="273" customFormat="1">
      <c r="A43" s="132" t="s">
        <v>1854</v>
      </c>
      <c r="B43" s="93" t="s">
        <v>1657</v>
      </c>
      <c r="C43" s="93" t="s">
        <v>1658</v>
      </c>
      <c r="D43" s="93" t="s">
        <v>1659</v>
      </c>
      <c r="E43" s="93" t="s">
        <v>1660</v>
      </c>
      <c r="F43" s="8" t="s">
        <v>1122</v>
      </c>
      <c r="G43" s="26" t="s">
        <v>4231</v>
      </c>
      <c r="H43" s="55" t="s">
        <v>342</v>
      </c>
      <c r="I43" s="1" t="s">
        <v>79</v>
      </c>
      <c r="J43" s="324" t="s">
        <v>1529</v>
      </c>
      <c r="K43" s="324" t="s">
        <v>1217</v>
      </c>
      <c r="L43" s="324" t="s">
        <v>298</v>
      </c>
      <c r="M43" s="324" t="s">
        <v>1115</v>
      </c>
      <c r="N43" s="324" t="s">
        <v>6091</v>
      </c>
      <c r="O43" s="27" t="s">
        <v>6312</v>
      </c>
      <c r="P43" s="56" t="s">
        <v>6219</v>
      </c>
      <c r="Q43" s="26" t="s">
        <v>6313</v>
      </c>
      <c r="R43" s="309" t="s">
        <v>4371</v>
      </c>
      <c r="S43" s="335" t="s">
        <v>4398</v>
      </c>
      <c r="T43" s="14" t="s">
        <v>75</v>
      </c>
      <c r="U43" s="364" t="s">
        <v>6152</v>
      </c>
      <c r="V43" s="69" t="s">
        <v>4406</v>
      </c>
      <c r="W43" s="28" t="s">
        <v>4424</v>
      </c>
      <c r="X43" s="17" t="s">
        <v>1465</v>
      </c>
      <c r="Y43" s="14" t="s">
        <v>2755</v>
      </c>
      <c r="Z43" s="21" t="s">
        <v>1539</v>
      </c>
      <c r="AA43" s="25" t="s">
        <v>117</v>
      </c>
      <c r="AB43" s="1" t="s">
        <v>79</v>
      </c>
      <c r="AC43" s="73" t="s">
        <v>1466</v>
      </c>
      <c r="AD43" s="74" t="s">
        <v>1223</v>
      </c>
      <c r="AE43" s="32" t="s">
        <v>1224</v>
      </c>
      <c r="AF43" s="144"/>
      <c r="AG43" s="170"/>
    </row>
    <row r="44" spans="1:38">
      <c r="A44" s="132" t="s">
        <v>1809</v>
      </c>
      <c r="B44" s="81">
        <v>285</v>
      </c>
      <c r="C44" s="81">
        <v>110</v>
      </c>
      <c r="D44" s="81">
        <v>18</v>
      </c>
      <c r="E44" s="82">
        <v>-74</v>
      </c>
      <c r="F44" s="58">
        <v>50.43</v>
      </c>
      <c r="G44" s="81">
        <v>4162</v>
      </c>
      <c r="H44" s="50" t="s">
        <v>1471</v>
      </c>
      <c r="I44" s="16" t="s">
        <v>42</v>
      </c>
      <c r="J44" s="75">
        <v>38.11</v>
      </c>
      <c r="K44" s="75">
        <v>4.74</v>
      </c>
      <c r="L44" s="330">
        <v>13.09</v>
      </c>
      <c r="N44" s="325">
        <f t="shared" ref="N44" si="11">K44+J44+L44</f>
        <v>55.94</v>
      </c>
      <c r="R44" s="308" t="s">
        <v>4374</v>
      </c>
      <c r="S44" s="330">
        <v>0.17</v>
      </c>
      <c r="T44" s="34">
        <v>2.5299999999999998</v>
      </c>
      <c r="U44" s="366"/>
      <c r="V44" s="97">
        <v>5.77</v>
      </c>
      <c r="W44" s="36">
        <f>RTD("money.excel",,"4162","Price")</f>
        <v>81.2</v>
      </c>
      <c r="X44" s="233">
        <f>68.5-2.53</f>
        <v>65.97</v>
      </c>
      <c r="Y44" s="15">
        <f t="shared" ref="Y44" si="12">W44-X44</f>
        <v>15.230000000000004</v>
      </c>
      <c r="Z44" s="78">
        <f t="shared" ref="Z44" si="13">Y44/X44</f>
        <v>0.23086251326360474</v>
      </c>
      <c r="AA44" s="141" t="s">
        <v>4384</v>
      </c>
      <c r="AB44" s="16" t="s">
        <v>42</v>
      </c>
      <c r="AC44" s="86">
        <v>44348</v>
      </c>
      <c r="AE44" s="33">
        <f>AD44-AC44</f>
        <v>-44348</v>
      </c>
      <c r="AF44" s="132" t="s">
        <v>1188</v>
      </c>
      <c r="AG44" s="240"/>
      <c r="AH44" s="16"/>
      <c r="AI44" s="222"/>
      <c r="AJ44" s="262"/>
      <c r="AK44" s="275"/>
      <c r="AL44" s="277"/>
    </row>
    <row r="45" spans="1:38" s="273" customFormat="1">
      <c r="A45" s="147"/>
      <c r="B45" s="81"/>
      <c r="C45" s="81"/>
      <c r="D45" s="81"/>
      <c r="E45" s="81"/>
      <c r="F45" s="6"/>
      <c r="G45" s="41"/>
      <c r="H45" s="8"/>
      <c r="I45" s="160"/>
      <c r="J45" s="330"/>
      <c r="K45" s="330"/>
      <c r="L45" s="330"/>
      <c r="M45" s="325"/>
      <c r="N45" s="325"/>
      <c r="O45" s="329"/>
      <c r="P45" s="390"/>
      <c r="Q45" s="362"/>
      <c r="R45" s="308"/>
      <c r="S45" s="330"/>
      <c r="T45" s="199"/>
      <c r="U45" s="366"/>
      <c r="V45" s="97"/>
      <c r="W45" s="172">
        <f>SUM(W44)</f>
        <v>81.2</v>
      </c>
      <c r="X45" s="162">
        <f>SUM(X44)</f>
        <v>65.97</v>
      </c>
      <c r="Y45" s="169">
        <f>W45-X45</f>
        <v>15.230000000000004</v>
      </c>
      <c r="Z45" s="171">
        <f>Y45/X45</f>
        <v>0.23086251326360474</v>
      </c>
      <c r="AA45" s="118"/>
      <c r="AB45" s="160">
        <f>W45*(0.001425*0.5)+W45*0.003+X45*(0.001425*0.5)</f>
        <v>0.34845862500000002</v>
      </c>
      <c r="AC45" s="6">
        <f>Y45-AB45</f>
        <v>14.881541375000005</v>
      </c>
      <c r="AD45" s="85"/>
      <c r="AE45" s="33"/>
      <c r="AF45" s="41" t="s">
        <v>1188</v>
      </c>
      <c r="AG45" s="170"/>
    </row>
    <row r="46" spans="1:38" s="273" customFormat="1">
      <c r="A46" s="147"/>
      <c r="B46" s="81"/>
      <c r="C46" s="81"/>
      <c r="D46" s="81"/>
      <c r="E46" s="81"/>
      <c r="F46" s="6"/>
      <c r="G46" s="41"/>
      <c r="H46" s="8"/>
      <c r="I46" s="160"/>
      <c r="J46" s="330"/>
      <c r="K46" s="330"/>
      <c r="L46" s="330"/>
      <c r="M46" s="325"/>
      <c r="N46" s="325"/>
      <c r="O46" s="329"/>
      <c r="P46" s="390"/>
      <c r="Q46" s="362"/>
      <c r="R46" s="308"/>
      <c r="S46" s="330"/>
      <c r="T46" s="199"/>
      <c r="U46" s="366"/>
      <c r="V46" s="97"/>
      <c r="W46" s="172"/>
      <c r="X46" s="162"/>
      <c r="Y46" s="169"/>
      <c r="Z46" s="171"/>
      <c r="AA46" s="118"/>
      <c r="AB46" s="160"/>
      <c r="AC46" s="6"/>
      <c r="AD46" s="85"/>
      <c r="AE46" s="33"/>
      <c r="AF46" s="41"/>
      <c r="AG46" s="170"/>
    </row>
    <row r="47" spans="1:38" s="273" customFormat="1">
      <c r="A47" s="132" t="s">
        <v>3467</v>
      </c>
      <c r="B47" s="93" t="s">
        <v>3468</v>
      </c>
      <c r="C47" s="93" t="s">
        <v>3469</v>
      </c>
      <c r="D47" s="93" t="s">
        <v>3936</v>
      </c>
      <c r="E47" s="93" t="s">
        <v>3470</v>
      </c>
      <c r="F47" s="8" t="s">
        <v>3471</v>
      </c>
      <c r="G47" s="26" t="s">
        <v>4231</v>
      </c>
      <c r="H47" s="55" t="s">
        <v>342</v>
      </c>
      <c r="I47" s="1" t="s">
        <v>3937</v>
      </c>
      <c r="J47" s="324" t="s">
        <v>3938</v>
      </c>
      <c r="K47" s="324" t="s">
        <v>3466</v>
      </c>
      <c r="L47" s="324" t="s">
        <v>298</v>
      </c>
      <c r="M47" s="324" t="s">
        <v>1115</v>
      </c>
      <c r="N47" s="324" t="s">
        <v>6091</v>
      </c>
      <c r="O47" s="27" t="s">
        <v>6312</v>
      </c>
      <c r="P47" s="56" t="s">
        <v>6219</v>
      </c>
      <c r="Q47" s="26" t="s">
        <v>6313</v>
      </c>
      <c r="R47" s="309" t="s">
        <v>4371</v>
      </c>
      <c r="S47" s="335" t="s">
        <v>4398</v>
      </c>
      <c r="T47" s="14" t="s">
        <v>75</v>
      </c>
      <c r="U47" s="364" t="s">
        <v>6152</v>
      </c>
      <c r="V47" s="69" t="s">
        <v>4406</v>
      </c>
      <c r="W47" s="28" t="s">
        <v>4424</v>
      </c>
      <c r="X47" s="17" t="s">
        <v>1465</v>
      </c>
      <c r="Y47" s="14" t="s">
        <v>3420</v>
      </c>
      <c r="Z47" s="21" t="s">
        <v>3421</v>
      </c>
      <c r="AA47" s="25" t="s">
        <v>117</v>
      </c>
      <c r="AB47" s="1" t="s">
        <v>3937</v>
      </c>
      <c r="AC47" s="73" t="s">
        <v>1466</v>
      </c>
      <c r="AD47" s="74" t="s">
        <v>3426</v>
      </c>
      <c r="AE47" s="32" t="s">
        <v>3939</v>
      </c>
      <c r="AF47" s="144"/>
      <c r="AG47" s="170"/>
    </row>
    <row r="48" spans="1:38" s="273" customFormat="1">
      <c r="A48" s="132" t="s">
        <v>1839</v>
      </c>
      <c r="B48" s="81">
        <v>267</v>
      </c>
      <c r="C48" s="81">
        <v>304</v>
      </c>
      <c r="D48" s="81">
        <v>7</v>
      </c>
      <c r="E48" s="81">
        <v>15</v>
      </c>
      <c r="F48" s="58">
        <v>33.020000000000003</v>
      </c>
      <c r="G48" s="41" t="s">
        <v>2509</v>
      </c>
      <c r="H48" s="30" t="s">
        <v>1531</v>
      </c>
      <c r="I48" s="16" t="s">
        <v>180</v>
      </c>
      <c r="J48" s="75">
        <v>50.89</v>
      </c>
      <c r="K48" s="75">
        <v>9.8000000000000007</v>
      </c>
      <c r="L48" s="75">
        <v>23.82</v>
      </c>
      <c r="M48" s="325"/>
      <c r="N48" s="325">
        <f t="shared" ref="N48" si="14">K48+J48+L48</f>
        <v>84.509999999999991</v>
      </c>
      <c r="O48" s="329"/>
      <c r="P48" s="390"/>
      <c r="Q48" s="362"/>
      <c r="R48" s="308"/>
      <c r="S48" s="330">
        <v>5.1100000000000003</v>
      </c>
      <c r="T48" s="34">
        <v>2.5</v>
      </c>
      <c r="U48" s="366"/>
      <c r="V48" s="58">
        <v>7.95</v>
      </c>
      <c r="W48" s="168">
        <f>RTD("money.excel",,"3374","Price")</f>
        <v>119.5</v>
      </c>
      <c r="X48" s="221">
        <v>137</v>
      </c>
      <c r="Y48" s="109">
        <f t="shared" ref="Y48:Y53" si="15">W48-X48</f>
        <v>-17.5</v>
      </c>
      <c r="Z48" s="171">
        <f t="shared" ref="Z48:Z53" si="16">Y48/X48</f>
        <v>-0.12773722627737227</v>
      </c>
      <c r="AA48" s="175" t="s">
        <v>3940</v>
      </c>
      <c r="AB48" s="173" t="s">
        <v>180</v>
      </c>
      <c r="AC48" s="86">
        <v>44463</v>
      </c>
      <c r="AD48" s="85"/>
      <c r="AE48" s="33">
        <f t="shared" ref="AE48" si="17">AD48-AC48</f>
        <v>-44463</v>
      </c>
      <c r="AF48" s="41" t="s">
        <v>1188</v>
      </c>
    </row>
    <row r="49" spans="1:34" s="273" customFormat="1">
      <c r="A49" s="132" t="s">
        <v>1839</v>
      </c>
      <c r="B49" s="81">
        <v>267</v>
      </c>
      <c r="C49" s="81">
        <v>304</v>
      </c>
      <c r="D49" s="81">
        <v>7</v>
      </c>
      <c r="E49" s="81">
        <v>15</v>
      </c>
      <c r="F49" s="58">
        <v>33.020000000000003</v>
      </c>
      <c r="G49" s="41" t="s">
        <v>2509</v>
      </c>
      <c r="H49" s="30" t="s">
        <v>1531</v>
      </c>
      <c r="I49" s="16" t="s">
        <v>180</v>
      </c>
      <c r="J49" s="75">
        <v>50.89</v>
      </c>
      <c r="K49" s="75">
        <v>9.8000000000000007</v>
      </c>
      <c r="L49" s="75">
        <v>23.82</v>
      </c>
      <c r="M49" s="325"/>
      <c r="N49" s="325">
        <f t="shared" ref="N49" si="18">K49+J49+L49</f>
        <v>84.509999999999991</v>
      </c>
      <c r="O49" s="329"/>
      <c r="P49" s="390"/>
      <c r="Q49" s="362"/>
      <c r="R49" s="308"/>
      <c r="S49" s="330">
        <v>5.1100000000000003</v>
      </c>
      <c r="T49" s="34">
        <v>2.5</v>
      </c>
      <c r="U49" s="366"/>
      <c r="V49" s="58">
        <v>7.95</v>
      </c>
      <c r="W49" s="168">
        <f>RTD("money.excel",,"3374","Price")</f>
        <v>119.5</v>
      </c>
      <c r="X49" s="221">
        <f>162.5-2.5</f>
        <v>160</v>
      </c>
      <c r="Y49" s="109">
        <f t="shared" si="15"/>
        <v>-40.5</v>
      </c>
      <c r="Z49" s="171">
        <f t="shared" si="16"/>
        <v>-0.25312499999999999</v>
      </c>
      <c r="AA49" s="175" t="s">
        <v>3940</v>
      </c>
      <c r="AB49" s="173" t="s">
        <v>180</v>
      </c>
      <c r="AC49" s="86">
        <v>44299</v>
      </c>
      <c r="AD49" s="85"/>
      <c r="AE49" s="33">
        <f t="shared" ref="AE49" si="19">AD49-AC49</f>
        <v>-44299</v>
      </c>
      <c r="AF49" s="41" t="s">
        <v>1188</v>
      </c>
    </row>
    <row r="50" spans="1:34" s="273" customFormat="1">
      <c r="A50" s="132" t="s">
        <v>1839</v>
      </c>
      <c r="B50" s="81">
        <v>267</v>
      </c>
      <c r="C50" s="81">
        <v>304</v>
      </c>
      <c r="D50" s="81">
        <v>7</v>
      </c>
      <c r="E50" s="81">
        <v>15</v>
      </c>
      <c r="F50" s="58">
        <v>33.020000000000003</v>
      </c>
      <c r="G50" s="41" t="s">
        <v>2509</v>
      </c>
      <c r="H50" s="30" t="s">
        <v>1531</v>
      </c>
      <c r="I50" s="16" t="s">
        <v>180</v>
      </c>
      <c r="J50" s="75">
        <v>50.89</v>
      </c>
      <c r="K50" s="75">
        <v>9.8000000000000007</v>
      </c>
      <c r="L50" s="75">
        <v>23.82</v>
      </c>
      <c r="M50" s="325"/>
      <c r="N50" s="325">
        <f t="shared" ref="N50:N52" si="20">K50+J50+L50</f>
        <v>84.509999999999991</v>
      </c>
      <c r="O50" s="329"/>
      <c r="P50" s="390"/>
      <c r="Q50" s="362"/>
      <c r="R50" s="308"/>
      <c r="S50" s="330">
        <v>5.1100000000000003</v>
      </c>
      <c r="T50" s="34">
        <v>2.5</v>
      </c>
      <c r="U50" s="366"/>
      <c r="V50" s="58">
        <v>7.95</v>
      </c>
      <c r="W50" s="168">
        <f>RTD("money.excel",,"3374","Price")</f>
        <v>119.5</v>
      </c>
      <c r="X50" s="221">
        <f>167.5-2.5</f>
        <v>165</v>
      </c>
      <c r="Y50" s="109">
        <f t="shared" si="15"/>
        <v>-45.5</v>
      </c>
      <c r="Z50" s="171">
        <f t="shared" si="16"/>
        <v>-0.27575757575757576</v>
      </c>
      <c r="AA50" s="175" t="s">
        <v>3940</v>
      </c>
      <c r="AB50" s="173" t="s">
        <v>180</v>
      </c>
      <c r="AC50" s="86">
        <v>44299</v>
      </c>
      <c r="AD50" s="85"/>
      <c r="AE50" s="33">
        <f t="shared" ref="AE50" si="21">AD50-AC50</f>
        <v>-44299</v>
      </c>
      <c r="AF50" s="41" t="s">
        <v>1188</v>
      </c>
    </row>
    <row r="51" spans="1:34" s="273" customFormat="1">
      <c r="A51" s="132" t="s">
        <v>1839</v>
      </c>
      <c r="B51" s="81">
        <v>267</v>
      </c>
      <c r="C51" s="81">
        <v>304</v>
      </c>
      <c r="D51" s="81">
        <v>7</v>
      </c>
      <c r="E51" s="81">
        <v>15</v>
      </c>
      <c r="F51" s="58">
        <v>33.020000000000003</v>
      </c>
      <c r="G51" s="41" t="s">
        <v>2509</v>
      </c>
      <c r="H51" s="30" t="s">
        <v>1531</v>
      </c>
      <c r="I51" s="16" t="s">
        <v>180</v>
      </c>
      <c r="J51" s="75">
        <v>50.89</v>
      </c>
      <c r="K51" s="75">
        <v>9.8000000000000007</v>
      </c>
      <c r="L51" s="75">
        <v>23.82</v>
      </c>
      <c r="M51" s="325"/>
      <c r="N51" s="325">
        <f t="shared" si="20"/>
        <v>84.509999999999991</v>
      </c>
      <c r="O51" s="329"/>
      <c r="P51" s="390"/>
      <c r="Q51" s="362"/>
      <c r="R51" s="308"/>
      <c r="S51" s="330">
        <v>5.1100000000000003</v>
      </c>
      <c r="T51" s="34">
        <v>2.5</v>
      </c>
      <c r="U51" s="366"/>
      <c r="V51" s="58">
        <v>7.95</v>
      </c>
      <c r="W51" s="168">
        <f>RTD("money.excel",,"3374","Price")</f>
        <v>119.5</v>
      </c>
      <c r="X51" s="221">
        <f>175.5-2.5</f>
        <v>173</v>
      </c>
      <c r="Y51" s="109">
        <f t="shared" si="15"/>
        <v>-53.5</v>
      </c>
      <c r="Z51" s="171">
        <f t="shared" si="16"/>
        <v>-0.30924855491329478</v>
      </c>
      <c r="AA51" s="175" t="s">
        <v>3940</v>
      </c>
      <c r="AB51" s="173" t="s">
        <v>180</v>
      </c>
      <c r="AC51" s="86">
        <v>44295</v>
      </c>
      <c r="AD51" s="85"/>
      <c r="AE51" s="33">
        <f t="shared" ref="AE51" si="22">AD51-AC51</f>
        <v>-44295</v>
      </c>
      <c r="AF51" s="41" t="s">
        <v>1188</v>
      </c>
    </row>
    <row r="52" spans="1:34" s="273" customFormat="1">
      <c r="A52" s="132" t="s">
        <v>1839</v>
      </c>
      <c r="B52" s="81">
        <v>267</v>
      </c>
      <c r="C52" s="81">
        <v>304</v>
      </c>
      <c r="D52" s="81">
        <v>7</v>
      </c>
      <c r="E52" s="81">
        <v>15</v>
      </c>
      <c r="F52" s="58">
        <v>33.020000000000003</v>
      </c>
      <c r="G52" s="41" t="s">
        <v>2509</v>
      </c>
      <c r="H52" s="30" t="s">
        <v>3890</v>
      </c>
      <c r="I52" s="16" t="s">
        <v>180</v>
      </c>
      <c r="J52" s="75">
        <v>50.89</v>
      </c>
      <c r="K52" s="75">
        <v>9.8000000000000007</v>
      </c>
      <c r="L52" s="75">
        <v>23.82</v>
      </c>
      <c r="M52" s="325"/>
      <c r="N52" s="325">
        <f t="shared" si="20"/>
        <v>84.509999999999991</v>
      </c>
      <c r="O52" s="329"/>
      <c r="P52" s="390"/>
      <c r="Q52" s="362"/>
      <c r="R52" s="308"/>
      <c r="S52" s="330">
        <v>5.1100000000000003</v>
      </c>
      <c r="T52" s="34">
        <v>2.5</v>
      </c>
      <c r="U52" s="366"/>
      <c r="V52" s="58">
        <v>7.95</v>
      </c>
      <c r="W52" s="168">
        <f>RTD("money.excel",,"3374","Price")</f>
        <v>119.5</v>
      </c>
      <c r="X52" s="221">
        <f>180.5-2.5</f>
        <v>178</v>
      </c>
      <c r="Y52" s="109">
        <f t="shared" si="15"/>
        <v>-58.5</v>
      </c>
      <c r="Z52" s="171">
        <f t="shared" si="16"/>
        <v>-0.32865168539325845</v>
      </c>
      <c r="AA52" s="175" t="s">
        <v>3940</v>
      </c>
      <c r="AB52" s="173" t="s">
        <v>180</v>
      </c>
      <c r="AC52" s="86">
        <v>44292</v>
      </c>
      <c r="AD52" s="85"/>
      <c r="AE52" s="33">
        <f t="shared" ref="AE52" si="23">AD52-AC52</f>
        <v>-44292</v>
      </c>
      <c r="AF52" s="41" t="s">
        <v>3454</v>
      </c>
    </row>
    <row r="53" spans="1:34" s="273" customFormat="1">
      <c r="A53" s="147"/>
      <c r="B53" s="81"/>
      <c r="C53" s="81"/>
      <c r="D53" s="81"/>
      <c r="E53" s="81"/>
      <c r="F53" s="6"/>
      <c r="G53" s="41"/>
      <c r="H53" s="8"/>
      <c r="I53" s="160"/>
      <c r="J53" s="330"/>
      <c r="K53" s="330"/>
      <c r="L53" s="330"/>
      <c r="M53" s="325"/>
      <c r="N53" s="325"/>
      <c r="O53" s="329"/>
      <c r="P53" s="390"/>
      <c r="Q53" s="362"/>
      <c r="R53" s="308"/>
      <c r="S53" s="330"/>
      <c r="T53" s="199"/>
      <c r="U53" s="366"/>
      <c r="V53" s="97"/>
      <c r="W53" s="172">
        <f>SUM(W49:W52)</f>
        <v>478</v>
      </c>
      <c r="X53" s="162">
        <f>SUM(X49:X52)</f>
        <v>676</v>
      </c>
      <c r="Y53" s="246">
        <f t="shared" si="15"/>
        <v>-198</v>
      </c>
      <c r="Z53" s="171">
        <f t="shared" si="16"/>
        <v>-0.29289940828402367</v>
      </c>
      <c r="AA53" s="118"/>
      <c r="AB53" s="160">
        <f>W53*(0.001425*0.5)+W53*0.003+X53*(0.001425*0.5)</f>
        <v>2.2562250000000001</v>
      </c>
      <c r="AC53" s="6">
        <f>Y53-AB53</f>
        <v>-200.256225</v>
      </c>
      <c r="AD53" s="85"/>
      <c r="AE53" s="33"/>
      <c r="AF53" s="41" t="s">
        <v>1189</v>
      </c>
      <c r="AG53" s="170"/>
    </row>
    <row r="54" spans="1:34" s="273" customFormat="1">
      <c r="A54" s="132"/>
      <c r="B54" s="81"/>
      <c r="C54" s="81"/>
      <c r="D54" s="82"/>
      <c r="E54" s="81"/>
      <c r="F54" s="58"/>
      <c r="G54" s="57"/>
      <c r="H54" s="151"/>
      <c r="I54" s="173"/>
      <c r="J54" s="75"/>
      <c r="K54" s="330"/>
      <c r="L54" s="75"/>
      <c r="M54" s="325"/>
      <c r="N54" s="325"/>
      <c r="O54" s="329"/>
      <c r="P54" s="390"/>
      <c r="Q54" s="362"/>
      <c r="R54" s="308"/>
      <c r="S54" s="330"/>
      <c r="T54" s="199"/>
      <c r="U54" s="366"/>
      <c r="V54" s="97"/>
      <c r="W54" s="168"/>
      <c r="X54" s="162"/>
      <c r="Y54" s="192"/>
      <c r="Z54" s="171"/>
      <c r="AA54" s="175"/>
      <c r="AB54" s="173"/>
      <c r="AC54" s="86"/>
      <c r="AD54" s="85"/>
      <c r="AE54" s="121"/>
      <c r="AF54" s="123"/>
    </row>
    <row r="55" spans="1:34" s="273" customFormat="1">
      <c r="A55" s="132" t="s">
        <v>1854</v>
      </c>
      <c r="B55" s="93" t="s">
        <v>1657</v>
      </c>
      <c r="C55" s="93" t="s">
        <v>1658</v>
      </c>
      <c r="D55" s="93" t="s">
        <v>1659</v>
      </c>
      <c r="E55" s="93" t="s">
        <v>1660</v>
      </c>
      <c r="F55" s="8" t="s">
        <v>1122</v>
      </c>
      <c r="G55" s="26" t="s">
        <v>4231</v>
      </c>
      <c r="H55" s="55" t="s">
        <v>342</v>
      </c>
      <c r="I55" s="1" t="s">
        <v>2750</v>
      </c>
      <c r="J55" s="324" t="s">
        <v>1529</v>
      </c>
      <c r="K55" s="324" t="s">
        <v>1217</v>
      </c>
      <c r="L55" s="324" t="s">
        <v>298</v>
      </c>
      <c r="M55" s="324" t="s">
        <v>1115</v>
      </c>
      <c r="N55" s="324" t="s">
        <v>6091</v>
      </c>
      <c r="O55" s="27" t="s">
        <v>6312</v>
      </c>
      <c r="P55" s="56" t="s">
        <v>6219</v>
      </c>
      <c r="Q55" s="26" t="s">
        <v>6313</v>
      </c>
      <c r="R55" s="309" t="s">
        <v>4371</v>
      </c>
      <c r="S55" s="335" t="s">
        <v>4398</v>
      </c>
      <c r="T55" s="14" t="s">
        <v>75</v>
      </c>
      <c r="U55" s="364" t="s">
        <v>6152</v>
      </c>
      <c r="V55" s="69" t="s">
        <v>4406</v>
      </c>
      <c r="W55" s="28" t="s">
        <v>4424</v>
      </c>
      <c r="X55" s="17" t="s">
        <v>1465</v>
      </c>
      <c r="Y55" s="14" t="s">
        <v>2755</v>
      </c>
      <c r="Z55" s="21" t="s">
        <v>1539</v>
      </c>
      <c r="AA55" s="25" t="s">
        <v>117</v>
      </c>
      <c r="AB55" s="1" t="s">
        <v>2750</v>
      </c>
      <c r="AC55" s="73" t="s">
        <v>1466</v>
      </c>
      <c r="AD55" s="74" t="s">
        <v>1223</v>
      </c>
      <c r="AE55" s="32" t="s">
        <v>1224</v>
      </c>
      <c r="AF55" s="144"/>
      <c r="AG55" s="170"/>
    </row>
    <row r="56" spans="1:34" s="273" customFormat="1">
      <c r="A56" s="148" t="s">
        <v>1974</v>
      </c>
      <c r="B56" s="81">
        <v>349</v>
      </c>
      <c r="C56" s="81">
        <v>884</v>
      </c>
      <c r="D56" s="82">
        <v>-2</v>
      </c>
      <c r="E56" s="82">
        <v>-20</v>
      </c>
      <c r="F56" s="6">
        <v>1.02</v>
      </c>
      <c r="G56" s="41" t="s">
        <v>3494</v>
      </c>
      <c r="H56" s="30" t="s">
        <v>1531</v>
      </c>
      <c r="I56" s="160" t="s">
        <v>3934</v>
      </c>
      <c r="J56" s="75">
        <v>68.64</v>
      </c>
      <c r="K56" s="330">
        <v>32.369999999999997</v>
      </c>
      <c r="L56" s="75">
        <v>2.09</v>
      </c>
      <c r="M56" s="325"/>
      <c r="N56" s="75">
        <f>K56+J56+L56</f>
        <v>103.1</v>
      </c>
      <c r="O56" s="329"/>
      <c r="P56" s="390"/>
      <c r="Q56" s="362"/>
      <c r="R56" s="308"/>
      <c r="S56" s="330">
        <v>0</v>
      </c>
      <c r="T56" s="66">
        <v>4.49</v>
      </c>
      <c r="U56" s="366"/>
      <c r="V56" s="58">
        <v>8.89</v>
      </c>
      <c r="W56" s="168">
        <f>RTD("money.excel",,"4938","Price")</f>
        <v>70.400000000000006</v>
      </c>
      <c r="X56" s="264">
        <f>73.1-4.49</f>
        <v>68.61</v>
      </c>
      <c r="Y56" s="169">
        <f>W56-X56</f>
        <v>1.7900000000000063</v>
      </c>
      <c r="Z56" s="171">
        <f>Y56/X56</f>
        <v>2.6089491327794874E-2</v>
      </c>
      <c r="AA56" s="103" t="s">
        <v>4009</v>
      </c>
      <c r="AB56" s="160" t="s">
        <v>3934</v>
      </c>
      <c r="AC56" s="86">
        <v>44313</v>
      </c>
      <c r="AD56" s="85"/>
      <c r="AE56" s="33">
        <f>AD56-AC56</f>
        <v>-44313</v>
      </c>
      <c r="AF56" s="41" t="s">
        <v>1188</v>
      </c>
      <c r="AG56" s="228"/>
      <c r="AH56" s="229"/>
    </row>
    <row r="57" spans="1:34" s="273" customFormat="1">
      <c r="A57" s="147"/>
      <c r="B57" s="81"/>
      <c r="C57" s="81"/>
      <c r="D57" s="81"/>
      <c r="E57" s="81"/>
      <c r="F57" s="6"/>
      <c r="G57" s="41"/>
      <c r="H57" s="8"/>
      <c r="I57" s="160"/>
      <c r="J57" s="330"/>
      <c r="K57" s="330"/>
      <c r="L57" s="330"/>
      <c r="M57" s="325"/>
      <c r="N57" s="325"/>
      <c r="O57" s="329"/>
      <c r="P57" s="390"/>
      <c r="Q57" s="362"/>
      <c r="R57" s="308"/>
      <c r="S57" s="330"/>
      <c r="T57" s="199"/>
      <c r="U57" s="366"/>
      <c r="V57" s="97"/>
      <c r="W57" s="172">
        <f>SUM(W56)</f>
        <v>70.400000000000006</v>
      </c>
      <c r="X57" s="162">
        <f>SUM(X56)</f>
        <v>68.61</v>
      </c>
      <c r="Y57" s="169">
        <f>W57-X57</f>
        <v>1.7900000000000063</v>
      </c>
      <c r="Z57" s="171">
        <f>Y57/X57</f>
        <v>2.6089491327794874E-2</v>
      </c>
      <c r="AA57" s="118"/>
      <c r="AB57" s="160">
        <f>W57*(0.001425*0.5)+W57*0.003+X57*(0.001425*0.5)</f>
        <v>0.31024462500000005</v>
      </c>
      <c r="AC57" s="6">
        <f>Y57-AB57</f>
        <v>1.4797553750000061</v>
      </c>
      <c r="AD57" s="85"/>
      <c r="AE57" s="33"/>
      <c r="AF57" s="41" t="s">
        <v>1188</v>
      </c>
      <c r="AG57" s="170"/>
    </row>
    <row r="58" spans="1:34">
      <c r="A58" s="148"/>
      <c r="B58" s="82"/>
      <c r="C58" s="82"/>
      <c r="D58" s="81"/>
      <c r="E58" s="81"/>
      <c r="F58" s="6"/>
      <c r="G58" s="57"/>
      <c r="H58" s="53"/>
      <c r="I58" s="22"/>
      <c r="J58" s="330"/>
      <c r="K58" s="330"/>
      <c r="N58" s="75"/>
      <c r="T58" s="67"/>
      <c r="U58" s="366"/>
      <c r="V58" s="58"/>
      <c r="W58" s="13"/>
      <c r="X58" s="67"/>
      <c r="Y58" s="15"/>
      <c r="Z58" s="3"/>
      <c r="AA58" s="102"/>
      <c r="AB58" s="22"/>
      <c r="AE58" s="121"/>
      <c r="AF58" s="122"/>
      <c r="AG58" s="269"/>
      <c r="AH58" s="8"/>
    </row>
    <row r="59" spans="1:34" s="273" customFormat="1">
      <c r="A59" s="132" t="s">
        <v>1854</v>
      </c>
      <c r="B59" s="93" t="s">
        <v>1657</v>
      </c>
      <c r="C59" s="93" t="s">
        <v>1658</v>
      </c>
      <c r="D59" s="93" t="s">
        <v>1659</v>
      </c>
      <c r="E59" s="93" t="s">
        <v>1660</v>
      </c>
      <c r="F59" s="8" t="s">
        <v>1122</v>
      </c>
      <c r="G59" s="26" t="s">
        <v>4231</v>
      </c>
      <c r="H59" s="55" t="s">
        <v>342</v>
      </c>
      <c r="I59" s="1" t="s">
        <v>2750</v>
      </c>
      <c r="J59" s="324" t="s">
        <v>1529</v>
      </c>
      <c r="K59" s="324" t="s">
        <v>1217</v>
      </c>
      <c r="L59" s="324" t="s">
        <v>298</v>
      </c>
      <c r="M59" s="324" t="s">
        <v>1115</v>
      </c>
      <c r="N59" s="324" t="s">
        <v>6091</v>
      </c>
      <c r="O59" s="27" t="s">
        <v>6312</v>
      </c>
      <c r="P59" s="56" t="s">
        <v>6219</v>
      </c>
      <c r="Q59" s="26" t="s">
        <v>6313</v>
      </c>
      <c r="R59" s="309" t="s">
        <v>4371</v>
      </c>
      <c r="S59" s="335" t="s">
        <v>4398</v>
      </c>
      <c r="T59" s="14" t="s">
        <v>75</v>
      </c>
      <c r="U59" s="364" t="s">
        <v>6152</v>
      </c>
      <c r="V59" s="69" t="s">
        <v>4406</v>
      </c>
      <c r="W59" s="28" t="s">
        <v>4424</v>
      </c>
      <c r="X59" s="17" t="s">
        <v>1465</v>
      </c>
      <c r="Y59" s="14" t="s">
        <v>2755</v>
      </c>
      <c r="Z59" s="21" t="s">
        <v>1539</v>
      </c>
      <c r="AA59" s="25" t="s">
        <v>117</v>
      </c>
      <c r="AB59" s="1" t="s">
        <v>2750</v>
      </c>
      <c r="AC59" s="73" t="s">
        <v>1466</v>
      </c>
      <c r="AD59" s="74" t="s">
        <v>1223</v>
      </c>
      <c r="AE59" s="32" t="s">
        <v>1224</v>
      </c>
      <c r="AF59" s="46" t="s">
        <v>1649</v>
      </c>
      <c r="AG59" s="170"/>
    </row>
    <row r="60" spans="1:34">
      <c r="A60" s="148" t="s">
        <v>2559</v>
      </c>
      <c r="B60" s="81">
        <v>10</v>
      </c>
      <c r="C60" s="81">
        <v>9</v>
      </c>
      <c r="D60" s="81">
        <v>4</v>
      </c>
      <c r="E60" s="81">
        <v>22</v>
      </c>
      <c r="F60" s="6">
        <v>4.8899999999999997</v>
      </c>
      <c r="G60" s="57" t="s">
        <v>4036</v>
      </c>
      <c r="H60" s="30" t="s">
        <v>1531</v>
      </c>
      <c r="I60" s="22" t="s">
        <v>27</v>
      </c>
      <c r="J60" s="75">
        <v>68.62</v>
      </c>
      <c r="K60" s="330">
        <v>58.92</v>
      </c>
      <c r="L60" s="330">
        <v>6.27</v>
      </c>
      <c r="N60" s="75">
        <f>K60+J60+L60</f>
        <v>133.81</v>
      </c>
      <c r="S60" s="330">
        <v>0</v>
      </c>
      <c r="T60" s="67">
        <v>4.5</v>
      </c>
      <c r="V60" s="58">
        <v>8.93</v>
      </c>
      <c r="W60" s="13">
        <f>RTD("money.excel",,"4958","Price")</f>
        <v>94.4</v>
      </c>
      <c r="X60" s="233">
        <f>106-4.5</f>
        <v>101.5</v>
      </c>
      <c r="Y60" s="15">
        <f>W60-X60</f>
        <v>-7.0999999999999943</v>
      </c>
      <c r="Z60" s="3">
        <f>Y60/X60</f>
        <v>-6.9950738916256097E-2</v>
      </c>
      <c r="AA60" s="102" t="s">
        <v>2185</v>
      </c>
      <c r="AB60" s="22" t="s">
        <v>27</v>
      </c>
      <c r="AC60" s="86">
        <v>44308</v>
      </c>
      <c r="AE60" s="33">
        <f>AD60-AC60</f>
        <v>-44308</v>
      </c>
      <c r="AF60" s="41" t="s">
        <v>1188</v>
      </c>
      <c r="AG60" s="269"/>
      <c r="AH60" s="8"/>
    </row>
    <row r="61" spans="1:34">
      <c r="A61" s="148" t="s">
        <v>2559</v>
      </c>
      <c r="B61" s="81">
        <v>10</v>
      </c>
      <c r="C61" s="81">
        <v>9</v>
      </c>
      <c r="D61" s="81">
        <v>4</v>
      </c>
      <c r="E61" s="81">
        <v>22</v>
      </c>
      <c r="F61" s="6">
        <v>4.8899999999999997</v>
      </c>
      <c r="G61" s="57" t="s">
        <v>4036</v>
      </c>
      <c r="H61" s="30" t="s">
        <v>1531</v>
      </c>
      <c r="I61" s="22" t="s">
        <v>27</v>
      </c>
      <c r="J61" s="75">
        <v>68.62</v>
      </c>
      <c r="K61" s="330">
        <v>58.92</v>
      </c>
      <c r="L61" s="330">
        <v>6.27</v>
      </c>
      <c r="N61" s="75">
        <f>K61+J61+L61</f>
        <v>133.81</v>
      </c>
      <c r="S61" s="330">
        <v>0</v>
      </c>
      <c r="T61" s="67">
        <v>4.5</v>
      </c>
      <c r="V61" s="58">
        <v>8.93</v>
      </c>
      <c r="W61" s="13">
        <f>RTD("money.excel",,"4958","Price")</f>
        <v>94.4</v>
      </c>
      <c r="X61" s="233">
        <f>110.5-4.5</f>
        <v>106</v>
      </c>
      <c r="Y61" s="15">
        <f>W61-X61</f>
        <v>-11.599999999999994</v>
      </c>
      <c r="Z61" s="3">
        <f>Y61/X61</f>
        <v>-0.10943396226415089</v>
      </c>
      <c r="AA61" s="102" t="s">
        <v>2185</v>
      </c>
      <c r="AB61" s="22" t="s">
        <v>27</v>
      </c>
      <c r="AC61" s="86">
        <v>44298</v>
      </c>
      <c r="AE61" s="33">
        <f>AD61-AC61</f>
        <v>-44298</v>
      </c>
      <c r="AF61" s="41" t="s">
        <v>1188</v>
      </c>
      <c r="AG61" s="269"/>
      <c r="AH61" s="8"/>
    </row>
    <row r="62" spans="1:34">
      <c r="A62" s="148" t="s">
        <v>2559</v>
      </c>
      <c r="B62" s="81">
        <v>10</v>
      </c>
      <c r="C62" s="81">
        <v>9</v>
      </c>
      <c r="D62" s="81">
        <v>4</v>
      </c>
      <c r="E62" s="81">
        <v>22</v>
      </c>
      <c r="F62" s="6">
        <v>4.8899999999999997</v>
      </c>
      <c r="G62" s="57" t="s">
        <v>4036</v>
      </c>
      <c r="H62" s="30" t="s">
        <v>1531</v>
      </c>
      <c r="I62" s="22" t="s">
        <v>27</v>
      </c>
      <c r="J62" s="75">
        <v>68.62</v>
      </c>
      <c r="K62" s="330">
        <v>58.92</v>
      </c>
      <c r="L62" s="330">
        <v>6.27</v>
      </c>
      <c r="N62" s="75">
        <f>K62+J62+L62</f>
        <v>133.81</v>
      </c>
      <c r="S62" s="330">
        <v>0</v>
      </c>
      <c r="T62" s="67">
        <v>4.5</v>
      </c>
      <c r="V62" s="58">
        <v>8.93</v>
      </c>
      <c r="W62" s="13">
        <f>RTD("money.excel",,"4958","Price")</f>
        <v>94.4</v>
      </c>
      <c r="X62" s="233">
        <f>114-4.5</f>
        <v>109.5</v>
      </c>
      <c r="Y62" s="15">
        <f>W62-X62</f>
        <v>-15.099999999999994</v>
      </c>
      <c r="Z62" s="3">
        <f>Y62/X62</f>
        <v>-0.13789954337899538</v>
      </c>
      <c r="AA62" s="102" t="s">
        <v>2185</v>
      </c>
      <c r="AB62" s="22" t="s">
        <v>27</v>
      </c>
      <c r="AC62" s="86">
        <v>44298</v>
      </c>
      <c r="AE62" s="33">
        <f>AD62-AC62</f>
        <v>-44298</v>
      </c>
      <c r="AF62" s="41" t="s">
        <v>1188</v>
      </c>
      <c r="AG62" s="269"/>
      <c r="AH62" s="8"/>
    </row>
    <row r="63" spans="1:34" s="273" customFormat="1">
      <c r="A63" s="147"/>
      <c r="B63" s="81"/>
      <c r="C63" s="81"/>
      <c r="D63" s="81"/>
      <c r="E63" s="81"/>
      <c r="F63" s="6"/>
      <c r="G63" s="41"/>
      <c r="H63" s="8"/>
      <c r="I63" s="160"/>
      <c r="J63" s="330"/>
      <c r="K63" s="330"/>
      <c r="L63" s="330"/>
      <c r="M63" s="325"/>
      <c r="N63" s="325"/>
      <c r="O63" s="329"/>
      <c r="P63" s="390"/>
      <c r="Q63" s="362"/>
      <c r="R63" s="308"/>
      <c r="S63" s="330"/>
      <c r="T63" s="199"/>
      <c r="U63" s="367"/>
      <c r="V63" s="97"/>
      <c r="W63" s="172">
        <f>SUM(W60:W62)</f>
        <v>283.20000000000005</v>
      </c>
      <c r="X63" s="162">
        <f>SUM(X60:X62)</f>
        <v>317</v>
      </c>
      <c r="Y63" s="169">
        <f>W63-X63</f>
        <v>-33.799999999999955</v>
      </c>
      <c r="Z63" s="171">
        <f>Y63/X63</f>
        <v>-0.1066246056782333</v>
      </c>
      <c r="AA63" s="118"/>
      <c r="AB63" s="160">
        <f>W63*(0.001425*0.5)+W63*0.003+X63*(0.001425*0.5)</f>
        <v>1.2772425000000003</v>
      </c>
      <c r="AC63" s="6">
        <f>Y63-AB63</f>
        <v>-35.077242499999954</v>
      </c>
      <c r="AD63" s="85"/>
      <c r="AE63" s="33"/>
      <c r="AF63" s="41" t="s">
        <v>1632</v>
      </c>
      <c r="AG63" s="170"/>
    </row>
    <row r="64" spans="1:34">
      <c r="A64" s="132"/>
      <c r="B64" s="81"/>
      <c r="C64" s="81"/>
      <c r="D64" s="81"/>
      <c r="E64" s="81"/>
      <c r="F64" s="58"/>
      <c r="G64" s="57"/>
      <c r="H64" s="5"/>
      <c r="I64" s="22"/>
      <c r="J64" s="330"/>
      <c r="K64" s="75"/>
      <c r="N64" s="75"/>
      <c r="T64" s="67"/>
      <c r="V64" s="58"/>
      <c r="W64" s="36"/>
      <c r="X64" s="67"/>
      <c r="Y64" s="15"/>
      <c r="Z64" s="3"/>
      <c r="AA64" s="102"/>
      <c r="AB64" s="22"/>
      <c r="AE64" s="121"/>
      <c r="AF64" s="41"/>
      <c r="AG64" s="228"/>
      <c r="AH64" s="229"/>
    </row>
    <row r="65" spans="1:38" s="273" customFormat="1">
      <c r="A65" s="132" t="s">
        <v>1854</v>
      </c>
      <c r="B65" s="93" t="s">
        <v>1657</v>
      </c>
      <c r="C65" s="93" t="s">
        <v>1658</v>
      </c>
      <c r="D65" s="93" t="s">
        <v>1659</v>
      </c>
      <c r="E65" s="93" t="s">
        <v>1660</v>
      </c>
      <c r="F65" s="8" t="s">
        <v>1122</v>
      </c>
      <c r="G65" s="26" t="s">
        <v>4231</v>
      </c>
      <c r="H65" s="55" t="s">
        <v>342</v>
      </c>
      <c r="I65" s="1" t="s">
        <v>2750</v>
      </c>
      <c r="J65" s="324" t="s">
        <v>1529</v>
      </c>
      <c r="K65" s="324" t="s">
        <v>1217</v>
      </c>
      <c r="L65" s="324" t="s">
        <v>298</v>
      </c>
      <c r="M65" s="324" t="s">
        <v>1115</v>
      </c>
      <c r="N65" s="324" t="s">
        <v>6091</v>
      </c>
      <c r="O65" s="27" t="s">
        <v>6312</v>
      </c>
      <c r="P65" s="56" t="s">
        <v>6219</v>
      </c>
      <c r="Q65" s="26" t="s">
        <v>6313</v>
      </c>
      <c r="R65" s="309" t="s">
        <v>4371</v>
      </c>
      <c r="S65" s="335" t="s">
        <v>4398</v>
      </c>
      <c r="T65" s="14" t="s">
        <v>75</v>
      </c>
      <c r="U65" s="364" t="s">
        <v>6152</v>
      </c>
      <c r="V65" s="69" t="s">
        <v>4406</v>
      </c>
      <c r="W65" s="28" t="s">
        <v>4424</v>
      </c>
      <c r="X65" s="17" t="s">
        <v>1465</v>
      </c>
      <c r="Y65" s="14" t="s">
        <v>5</v>
      </c>
      <c r="Z65" s="21" t="s">
        <v>3</v>
      </c>
      <c r="AA65" s="25" t="s">
        <v>117</v>
      </c>
      <c r="AB65" s="1" t="s">
        <v>2750</v>
      </c>
      <c r="AC65" s="73" t="s">
        <v>1466</v>
      </c>
      <c r="AD65" s="74" t="s">
        <v>1223</v>
      </c>
      <c r="AE65" s="32" t="s">
        <v>1224</v>
      </c>
      <c r="AF65" s="144"/>
      <c r="AG65" s="170"/>
    </row>
    <row r="66" spans="1:38">
      <c r="A66" s="132" t="s">
        <v>1860</v>
      </c>
      <c r="B66" s="81">
        <v>86</v>
      </c>
      <c r="C66" s="81">
        <v>124</v>
      </c>
      <c r="D66" s="82">
        <v>-5</v>
      </c>
      <c r="E66" s="81">
        <v>7</v>
      </c>
      <c r="F66" s="58">
        <v>25.67</v>
      </c>
      <c r="G66" s="41" t="s">
        <v>380</v>
      </c>
      <c r="H66" s="30" t="s">
        <v>1531</v>
      </c>
      <c r="I66" s="22" t="s">
        <v>381</v>
      </c>
      <c r="J66" s="330">
        <v>27.11</v>
      </c>
      <c r="K66" s="330">
        <v>16.82</v>
      </c>
      <c r="L66" s="75">
        <v>17.420000000000002</v>
      </c>
      <c r="N66" s="325">
        <f t="shared" ref="N66" si="24">K66+J66+L66</f>
        <v>61.35</v>
      </c>
      <c r="S66" s="330">
        <v>0.44</v>
      </c>
      <c r="T66" s="67">
        <v>5.7</v>
      </c>
      <c r="V66" s="97">
        <v>6.85</v>
      </c>
      <c r="W66" s="36">
        <f>RTD("money.excel",,"5471","Price")</f>
        <v>86.4</v>
      </c>
      <c r="X66" s="233">
        <v>91.8</v>
      </c>
      <c r="Y66" s="15">
        <f t="shared" ref="Y66" si="25">W66-X66</f>
        <v>-5.3999999999999915</v>
      </c>
      <c r="Z66" s="78">
        <f t="shared" ref="Z66" si="26">Y66/X66</f>
        <v>-5.8823529411764615E-2</v>
      </c>
      <c r="AA66" s="103" t="s">
        <v>4113</v>
      </c>
      <c r="AB66" s="22" t="s">
        <v>381</v>
      </c>
      <c r="AC66" s="86">
        <v>44525</v>
      </c>
      <c r="AE66" s="33">
        <f>AD66-AC66</f>
        <v>-44525</v>
      </c>
      <c r="AF66" s="41" t="s">
        <v>1188</v>
      </c>
      <c r="AG66" s="240"/>
      <c r="AH66" s="267"/>
    </row>
    <row r="67" spans="1:38">
      <c r="A67" s="132" t="s">
        <v>1860</v>
      </c>
      <c r="B67" s="81">
        <v>86</v>
      </c>
      <c r="C67" s="81">
        <v>124</v>
      </c>
      <c r="D67" s="82">
        <v>-5</v>
      </c>
      <c r="E67" s="81">
        <v>7</v>
      </c>
      <c r="F67" s="58">
        <v>25.67</v>
      </c>
      <c r="G67" s="41" t="s">
        <v>380</v>
      </c>
      <c r="H67" s="30" t="s">
        <v>1531</v>
      </c>
      <c r="I67" s="22" t="s">
        <v>381</v>
      </c>
      <c r="J67" s="330">
        <v>27.11</v>
      </c>
      <c r="K67" s="330">
        <v>16.82</v>
      </c>
      <c r="L67" s="75">
        <v>17.420000000000002</v>
      </c>
      <c r="N67" s="325">
        <f t="shared" ref="N67" si="27">K67+J67+L67</f>
        <v>61.35</v>
      </c>
      <c r="S67" s="330">
        <v>0.44</v>
      </c>
      <c r="T67" s="67">
        <v>5.7</v>
      </c>
      <c r="U67" s="364"/>
      <c r="V67" s="97">
        <v>6.85</v>
      </c>
      <c r="W67" s="36">
        <f>RTD("money.excel",,"5471","Price")</f>
        <v>86.4</v>
      </c>
      <c r="X67" s="233">
        <f>115.5-5.7</f>
        <v>109.8</v>
      </c>
      <c r="Y67" s="15">
        <f t="shared" ref="Y67" si="28">W67-X67</f>
        <v>-23.399999999999991</v>
      </c>
      <c r="Z67" s="78">
        <f t="shared" ref="Z67" si="29">Y67/X67</f>
        <v>-0.21311475409836059</v>
      </c>
      <c r="AA67" s="103" t="s">
        <v>4113</v>
      </c>
      <c r="AB67" s="22" t="s">
        <v>381</v>
      </c>
      <c r="AC67" s="86">
        <v>44364</v>
      </c>
      <c r="AE67" s="33">
        <f>AD67-AC67</f>
        <v>-44364</v>
      </c>
      <c r="AF67" s="41" t="s">
        <v>1188</v>
      </c>
      <c r="AG67" s="240"/>
      <c r="AH67" s="267"/>
    </row>
    <row r="68" spans="1:38" s="273" customFormat="1">
      <c r="A68" s="147"/>
      <c r="B68" s="81"/>
      <c r="C68" s="81"/>
      <c r="D68" s="81"/>
      <c r="E68" s="81"/>
      <c r="F68" s="6"/>
      <c r="G68" s="41"/>
      <c r="H68" s="8"/>
      <c r="I68" s="160"/>
      <c r="J68" s="330"/>
      <c r="K68" s="330"/>
      <c r="L68" s="330"/>
      <c r="M68" s="325"/>
      <c r="N68" s="325"/>
      <c r="O68" s="329"/>
      <c r="P68" s="390"/>
      <c r="Q68" s="362"/>
      <c r="R68" s="308"/>
      <c r="S68" s="330"/>
      <c r="T68" s="199"/>
      <c r="U68" s="366"/>
      <c r="V68" s="97"/>
      <c r="W68" s="172">
        <f>SUM(W66:W67)</f>
        <v>172.8</v>
      </c>
      <c r="X68" s="162">
        <f>SUM(X66:X67)</f>
        <v>201.6</v>
      </c>
      <c r="Y68" s="169">
        <f>W68-X68</f>
        <v>-28.799999999999983</v>
      </c>
      <c r="Z68" s="171">
        <f>Y68/X68</f>
        <v>-0.14285714285714277</v>
      </c>
      <c r="AA68" s="118"/>
      <c r="AB68" s="160">
        <f>W68*(0.001425*0.5)+W68*0.003+X68*(0.001425*0.5)</f>
        <v>0.78516000000000008</v>
      </c>
      <c r="AC68" s="6">
        <f>Y68-AB68</f>
        <v>-29.585159999999984</v>
      </c>
      <c r="AD68" s="85"/>
      <c r="AE68" s="33"/>
      <c r="AF68" s="41" t="s">
        <v>1583</v>
      </c>
      <c r="AG68" s="170"/>
    </row>
    <row r="69" spans="1:38" s="273" customFormat="1">
      <c r="A69" s="147"/>
      <c r="B69" s="81"/>
      <c r="C69" s="81"/>
      <c r="D69" s="81"/>
      <c r="E69" s="81"/>
      <c r="F69" s="6"/>
      <c r="G69" s="41"/>
      <c r="H69" s="8"/>
      <c r="I69" s="160"/>
      <c r="J69" s="330"/>
      <c r="K69" s="330"/>
      <c r="L69" s="330"/>
      <c r="M69" s="325"/>
      <c r="N69" s="325"/>
      <c r="O69" s="329"/>
      <c r="P69" s="390"/>
      <c r="Q69" s="362"/>
      <c r="R69" s="308"/>
      <c r="S69" s="330"/>
      <c r="T69" s="199"/>
      <c r="U69" s="366"/>
      <c r="V69" s="97"/>
      <c r="W69" s="172"/>
      <c r="X69" s="162"/>
      <c r="Y69" s="169"/>
      <c r="Z69" s="171"/>
      <c r="AA69" s="118"/>
      <c r="AB69" s="160"/>
      <c r="AC69" s="6"/>
      <c r="AD69" s="85"/>
      <c r="AE69" s="33"/>
      <c r="AF69" s="41"/>
      <c r="AG69" s="170"/>
    </row>
    <row r="70" spans="1:38" s="273" customFormat="1">
      <c r="A70" s="132" t="s">
        <v>1854</v>
      </c>
      <c r="B70" s="93" t="s">
        <v>1657</v>
      </c>
      <c r="C70" s="93" t="s">
        <v>1658</v>
      </c>
      <c r="D70" s="93" t="s">
        <v>1659</v>
      </c>
      <c r="E70" s="93" t="s">
        <v>1660</v>
      </c>
      <c r="F70" s="8" t="s">
        <v>1122</v>
      </c>
      <c r="G70" s="26" t="s">
        <v>4231</v>
      </c>
      <c r="H70" s="55" t="s">
        <v>342</v>
      </c>
      <c r="I70" s="1" t="s">
        <v>79</v>
      </c>
      <c r="J70" s="324" t="s">
        <v>1529</v>
      </c>
      <c r="K70" s="324" t="s">
        <v>1217</v>
      </c>
      <c r="L70" s="324" t="s">
        <v>298</v>
      </c>
      <c r="M70" s="324" t="s">
        <v>1115</v>
      </c>
      <c r="N70" s="324" t="s">
        <v>6091</v>
      </c>
      <c r="O70" s="27" t="s">
        <v>6312</v>
      </c>
      <c r="P70" s="56" t="s">
        <v>6219</v>
      </c>
      <c r="Q70" s="26" t="s">
        <v>6313</v>
      </c>
      <c r="R70" s="309" t="s">
        <v>4371</v>
      </c>
      <c r="S70" s="335" t="s">
        <v>4398</v>
      </c>
      <c r="T70" s="14" t="s">
        <v>75</v>
      </c>
      <c r="U70" s="364" t="s">
        <v>6152</v>
      </c>
      <c r="V70" s="69" t="s">
        <v>4406</v>
      </c>
      <c r="W70" s="28" t="s">
        <v>4424</v>
      </c>
      <c r="X70" s="17" t="s">
        <v>1465</v>
      </c>
      <c r="Y70" s="14" t="s">
        <v>2755</v>
      </c>
      <c r="Z70" s="21" t="s">
        <v>1539</v>
      </c>
      <c r="AA70" s="25" t="s">
        <v>117</v>
      </c>
      <c r="AB70" s="1" t="s">
        <v>79</v>
      </c>
      <c r="AC70" s="73" t="s">
        <v>1466</v>
      </c>
      <c r="AD70" s="74" t="s">
        <v>1223</v>
      </c>
      <c r="AE70" s="32" t="s">
        <v>1224</v>
      </c>
      <c r="AF70" s="144"/>
      <c r="AG70" s="170"/>
    </row>
    <row r="71" spans="1:38">
      <c r="A71" s="148" t="s">
        <v>3662</v>
      </c>
      <c r="B71" s="81">
        <v>24</v>
      </c>
      <c r="C71" s="82">
        <v>-19</v>
      </c>
      <c r="D71" s="81">
        <v>0</v>
      </c>
      <c r="E71" s="82">
        <v>-8</v>
      </c>
      <c r="F71" s="6">
        <v>5.91</v>
      </c>
      <c r="G71" s="81">
        <v>6179</v>
      </c>
      <c r="H71" s="8" t="s">
        <v>249</v>
      </c>
      <c r="I71" s="16" t="s">
        <v>692</v>
      </c>
      <c r="J71" s="330">
        <v>45.15</v>
      </c>
      <c r="K71" s="330">
        <v>0.88</v>
      </c>
      <c r="L71" s="75">
        <v>23.13</v>
      </c>
      <c r="N71" s="325">
        <f t="shared" ref="N71" si="30">K71+J71+L71</f>
        <v>69.16</v>
      </c>
      <c r="S71" s="330">
        <v>0.06</v>
      </c>
      <c r="T71" s="34">
        <v>1.88</v>
      </c>
      <c r="U71" s="366"/>
      <c r="V71" s="97">
        <v>2.72</v>
      </c>
      <c r="W71" s="36">
        <f>RTD("money.excel",,"6179","Price")</f>
        <v>27.8</v>
      </c>
      <c r="X71" s="67">
        <v>30.75</v>
      </c>
      <c r="Y71" s="15">
        <f t="shared" ref="Y71" si="31">W71-X71</f>
        <v>-2.9499999999999993</v>
      </c>
      <c r="Z71" s="3">
        <f t="shared" ref="Z71" si="32">Y71/X71</f>
        <v>-9.5934959349593479E-2</v>
      </c>
      <c r="AA71" s="104" t="s">
        <v>1943</v>
      </c>
      <c r="AB71" s="16" t="s">
        <v>692</v>
      </c>
      <c r="AC71" s="86">
        <v>44526</v>
      </c>
      <c r="AE71" s="33">
        <f t="shared" ref="AE71" si="33">AD71-AC71</f>
        <v>-44526</v>
      </c>
      <c r="AF71" s="41" t="s">
        <v>1188</v>
      </c>
      <c r="AH71" s="16"/>
      <c r="AI71" s="222"/>
      <c r="AJ71" s="262"/>
      <c r="AK71" s="275"/>
      <c r="AL71" s="277"/>
    </row>
    <row r="72" spans="1:38" s="273" customFormat="1">
      <c r="A72" s="147"/>
      <c r="B72" s="81"/>
      <c r="C72" s="81"/>
      <c r="D72" s="81"/>
      <c r="E72" s="81"/>
      <c r="F72" s="6"/>
      <c r="G72" s="41"/>
      <c r="H72" s="8"/>
      <c r="I72" s="160"/>
      <c r="J72" s="330"/>
      <c r="K72" s="330"/>
      <c r="L72" s="330"/>
      <c r="M72" s="325"/>
      <c r="N72" s="325"/>
      <c r="O72" s="329"/>
      <c r="P72" s="390"/>
      <c r="Q72" s="362"/>
      <c r="R72" s="308"/>
      <c r="S72" s="330"/>
      <c r="T72" s="199"/>
      <c r="U72" s="366"/>
      <c r="V72" s="97"/>
      <c r="W72" s="172">
        <f>SUM(W71)</f>
        <v>27.8</v>
      </c>
      <c r="X72" s="162">
        <f>SUM(X71)</f>
        <v>30.75</v>
      </c>
      <c r="Y72" s="169">
        <f>W72-X72</f>
        <v>-2.9499999999999993</v>
      </c>
      <c r="Z72" s="171">
        <f>Y72/X72</f>
        <v>-9.5934959349593479E-2</v>
      </c>
      <c r="AA72" s="118"/>
      <c r="AB72" s="160">
        <f>W72*(0.001425*0.5)+W72*0.003+X72*(0.001425*0.5)</f>
        <v>0.12511687500000002</v>
      </c>
      <c r="AC72" s="6">
        <f>Y72-AB72</f>
        <v>-3.0751168749999991</v>
      </c>
      <c r="AD72" s="85"/>
      <c r="AE72" s="33"/>
      <c r="AF72" s="41" t="s">
        <v>1188</v>
      </c>
      <c r="AG72" s="170"/>
    </row>
    <row r="73" spans="1:38" s="273" customFormat="1">
      <c r="A73" s="147"/>
      <c r="B73" s="81"/>
      <c r="C73" s="81"/>
      <c r="D73" s="81"/>
      <c r="E73" s="81"/>
      <c r="F73" s="6"/>
      <c r="G73" s="41"/>
      <c r="H73" s="8"/>
      <c r="I73" s="160"/>
      <c r="J73" s="330"/>
      <c r="K73" s="330"/>
      <c r="L73" s="330"/>
      <c r="M73" s="325"/>
      <c r="N73" s="325"/>
      <c r="O73" s="329"/>
      <c r="P73" s="390"/>
      <c r="Q73" s="362"/>
      <c r="R73" s="308"/>
      <c r="S73" s="330"/>
      <c r="T73" s="199"/>
      <c r="U73" s="366"/>
      <c r="V73" s="97"/>
      <c r="W73" s="172"/>
      <c r="X73" s="162"/>
      <c r="Y73" s="169"/>
      <c r="Z73" s="171"/>
      <c r="AA73" s="118"/>
      <c r="AB73" s="160"/>
      <c r="AC73" s="6"/>
      <c r="AD73" s="85"/>
      <c r="AE73" s="33"/>
      <c r="AF73" s="41"/>
      <c r="AG73" s="170"/>
    </row>
    <row r="74" spans="1:38" s="273" customFormat="1">
      <c r="A74" s="132" t="s">
        <v>1854</v>
      </c>
      <c r="B74" s="93" t="s">
        <v>1657</v>
      </c>
      <c r="C74" s="93" t="s">
        <v>1658</v>
      </c>
      <c r="D74" s="93" t="s">
        <v>1659</v>
      </c>
      <c r="E74" s="93" t="s">
        <v>1660</v>
      </c>
      <c r="F74" s="8" t="s">
        <v>1122</v>
      </c>
      <c r="G74" s="26" t="s">
        <v>4231</v>
      </c>
      <c r="H74" s="55" t="s">
        <v>342</v>
      </c>
      <c r="I74" s="1" t="s">
        <v>2750</v>
      </c>
      <c r="J74" s="324" t="s">
        <v>1529</v>
      </c>
      <c r="K74" s="324" t="s">
        <v>1217</v>
      </c>
      <c r="L74" s="324" t="s">
        <v>298</v>
      </c>
      <c r="M74" s="324" t="s">
        <v>1115</v>
      </c>
      <c r="N74" s="324" t="s">
        <v>6091</v>
      </c>
      <c r="O74" s="27" t="s">
        <v>6312</v>
      </c>
      <c r="P74" s="56" t="s">
        <v>6219</v>
      </c>
      <c r="Q74" s="26" t="s">
        <v>6313</v>
      </c>
      <c r="R74" s="309" t="s">
        <v>4371</v>
      </c>
      <c r="S74" s="335" t="s">
        <v>4398</v>
      </c>
      <c r="T74" s="14" t="s">
        <v>75</v>
      </c>
      <c r="U74" s="364" t="s">
        <v>6152</v>
      </c>
      <c r="V74" s="69" t="s">
        <v>4406</v>
      </c>
      <c r="W74" s="28" t="s">
        <v>4424</v>
      </c>
      <c r="X74" s="17" t="s">
        <v>1465</v>
      </c>
      <c r="Y74" s="14" t="s">
        <v>2755</v>
      </c>
      <c r="Z74" s="21" t="s">
        <v>1539</v>
      </c>
      <c r="AA74" s="25" t="s">
        <v>117</v>
      </c>
      <c r="AB74" s="1" t="s">
        <v>2750</v>
      </c>
      <c r="AC74" s="73" t="s">
        <v>1466</v>
      </c>
      <c r="AD74" s="74" t="s">
        <v>1223</v>
      </c>
      <c r="AE74" s="32" t="s">
        <v>1224</v>
      </c>
      <c r="AF74" s="144"/>
      <c r="AG74" s="170"/>
    </row>
    <row r="75" spans="1:38" s="273" customFormat="1">
      <c r="A75" s="148" t="s">
        <v>1767</v>
      </c>
      <c r="B75" s="95">
        <v>2431</v>
      </c>
      <c r="C75" s="81">
        <v>636</v>
      </c>
      <c r="D75" s="82">
        <v>-5</v>
      </c>
      <c r="E75" s="81">
        <v>33</v>
      </c>
      <c r="F75" s="6">
        <v>8.8699999999999992</v>
      </c>
      <c r="G75" s="41" t="s">
        <v>1127</v>
      </c>
      <c r="H75" s="30" t="s">
        <v>1531</v>
      </c>
      <c r="I75" s="173" t="s">
        <v>2738</v>
      </c>
      <c r="J75" s="75">
        <v>58.7</v>
      </c>
      <c r="K75" s="75">
        <v>7.3</v>
      </c>
      <c r="L75" s="330">
        <v>2.06</v>
      </c>
      <c r="M75" s="325"/>
      <c r="N75" s="325">
        <f t="shared" ref="N75:N78" si="34">K75+J75+L75</f>
        <v>68.06</v>
      </c>
      <c r="O75" s="329"/>
      <c r="P75" s="390"/>
      <c r="Q75" s="362"/>
      <c r="R75" s="308"/>
      <c r="S75" s="330">
        <v>0</v>
      </c>
      <c r="T75" s="199">
        <v>1.23</v>
      </c>
      <c r="U75" s="366"/>
      <c r="V75" s="58">
        <v>1.9</v>
      </c>
      <c r="W75" s="172">
        <f>RTD("money.excel",,"3265","Price")</f>
        <v>33.4</v>
      </c>
      <c r="X75" s="264">
        <f>33.4-1.23</f>
        <v>32.17</v>
      </c>
      <c r="Y75" s="169">
        <f>W75-X75</f>
        <v>1.2299999999999969</v>
      </c>
      <c r="Z75" s="165">
        <f>Y75/X75</f>
        <v>3.8234379857009539E-2</v>
      </c>
      <c r="AA75" s="174" t="s">
        <v>1581</v>
      </c>
      <c r="AB75" s="173" t="s">
        <v>2738</v>
      </c>
      <c r="AC75" s="86">
        <v>44313</v>
      </c>
      <c r="AD75" s="85"/>
      <c r="AE75" s="33">
        <f t="shared" ref="AE75:AE78" si="35">AD75-AC75</f>
        <v>-44313</v>
      </c>
      <c r="AF75" s="41" t="s">
        <v>1188</v>
      </c>
      <c r="AG75" s="194"/>
      <c r="AH75" s="193"/>
    </row>
    <row r="76" spans="1:38" s="273" customFormat="1">
      <c r="A76" s="148" t="s">
        <v>1767</v>
      </c>
      <c r="B76" s="95">
        <v>2431</v>
      </c>
      <c r="C76" s="81">
        <v>636</v>
      </c>
      <c r="D76" s="82">
        <v>-5</v>
      </c>
      <c r="E76" s="81">
        <v>33</v>
      </c>
      <c r="F76" s="6">
        <v>8.8699999999999992</v>
      </c>
      <c r="G76" s="41" t="s">
        <v>1127</v>
      </c>
      <c r="H76" s="30" t="s">
        <v>1531</v>
      </c>
      <c r="I76" s="173" t="s">
        <v>2738</v>
      </c>
      <c r="J76" s="75">
        <v>58.7</v>
      </c>
      <c r="K76" s="75">
        <v>7.3</v>
      </c>
      <c r="L76" s="330">
        <v>2.06</v>
      </c>
      <c r="M76" s="325"/>
      <c r="N76" s="325">
        <f t="shared" si="34"/>
        <v>68.06</v>
      </c>
      <c r="O76" s="329"/>
      <c r="P76" s="390"/>
      <c r="Q76" s="362"/>
      <c r="R76" s="308"/>
      <c r="S76" s="330">
        <v>0</v>
      </c>
      <c r="T76" s="199">
        <v>1.23</v>
      </c>
      <c r="U76" s="366"/>
      <c r="V76" s="58">
        <v>1.9</v>
      </c>
      <c r="W76" s="172">
        <f>RTD("money.excel",,"3265","Price")</f>
        <v>33.4</v>
      </c>
      <c r="X76" s="264">
        <f>33.8-1.23</f>
        <v>32.57</v>
      </c>
      <c r="Y76" s="169">
        <f>W76-X76</f>
        <v>0.82999999999999829</v>
      </c>
      <c r="Z76" s="165">
        <f>Y76/X76</f>
        <v>2.5483573840957886E-2</v>
      </c>
      <c r="AA76" s="174" t="s">
        <v>1581</v>
      </c>
      <c r="AB76" s="173" t="s">
        <v>2738</v>
      </c>
      <c r="AC76" s="86">
        <v>44299</v>
      </c>
      <c r="AD76" s="85"/>
      <c r="AE76" s="33">
        <f t="shared" si="35"/>
        <v>-44299</v>
      </c>
      <c r="AF76" s="41" t="s">
        <v>1188</v>
      </c>
      <c r="AG76" s="194"/>
      <c r="AH76" s="193"/>
    </row>
    <row r="77" spans="1:38" s="273" customFormat="1">
      <c r="A77" s="148" t="s">
        <v>1767</v>
      </c>
      <c r="B77" s="95">
        <v>2431</v>
      </c>
      <c r="C77" s="81">
        <v>636</v>
      </c>
      <c r="D77" s="82">
        <v>-5</v>
      </c>
      <c r="E77" s="81">
        <v>33</v>
      </c>
      <c r="F77" s="6">
        <v>8.8699999999999992</v>
      </c>
      <c r="G77" s="41" t="s">
        <v>1127</v>
      </c>
      <c r="H77" s="30" t="s">
        <v>1531</v>
      </c>
      <c r="I77" s="173" t="s">
        <v>2738</v>
      </c>
      <c r="J77" s="75">
        <v>58.7</v>
      </c>
      <c r="K77" s="75">
        <v>7.3</v>
      </c>
      <c r="L77" s="330">
        <v>2.06</v>
      </c>
      <c r="M77" s="325"/>
      <c r="N77" s="325">
        <f t="shared" si="34"/>
        <v>68.06</v>
      </c>
      <c r="O77" s="329"/>
      <c r="P77" s="390"/>
      <c r="Q77" s="362"/>
      <c r="R77" s="308"/>
      <c r="S77" s="330">
        <v>0</v>
      </c>
      <c r="T77" s="199">
        <v>1.23</v>
      </c>
      <c r="U77" s="367"/>
      <c r="V77" s="58">
        <v>1.9</v>
      </c>
      <c r="W77" s="172">
        <f>RTD("money.excel",,"3265","Price")</f>
        <v>33.4</v>
      </c>
      <c r="X77" s="264">
        <f>35.15-1.23</f>
        <v>33.92</v>
      </c>
      <c r="Y77" s="169">
        <f>W77-X77</f>
        <v>-0.52000000000000313</v>
      </c>
      <c r="Z77" s="165">
        <f>Y77/X77</f>
        <v>-1.5330188679245375E-2</v>
      </c>
      <c r="AA77" s="174" t="s">
        <v>1581</v>
      </c>
      <c r="AB77" s="173" t="s">
        <v>2738</v>
      </c>
      <c r="AC77" s="86">
        <v>44293</v>
      </c>
      <c r="AD77" s="85"/>
      <c r="AE77" s="33">
        <f t="shared" si="35"/>
        <v>-44293</v>
      </c>
      <c r="AF77" s="41" t="s">
        <v>1188</v>
      </c>
      <c r="AG77" s="194"/>
      <c r="AH77" s="193"/>
    </row>
    <row r="78" spans="1:38" s="273" customFormat="1">
      <c r="A78" s="148" t="s">
        <v>1767</v>
      </c>
      <c r="B78" s="95">
        <v>2431</v>
      </c>
      <c r="C78" s="81">
        <v>636</v>
      </c>
      <c r="D78" s="82">
        <v>-5</v>
      </c>
      <c r="E78" s="81">
        <v>33</v>
      </c>
      <c r="F78" s="6">
        <v>8.8699999999999992</v>
      </c>
      <c r="G78" s="41" t="s">
        <v>1127</v>
      </c>
      <c r="H78" s="30" t="s">
        <v>1531</v>
      </c>
      <c r="I78" s="173" t="s">
        <v>2738</v>
      </c>
      <c r="J78" s="75">
        <v>58.7</v>
      </c>
      <c r="K78" s="75">
        <v>7.3</v>
      </c>
      <c r="L78" s="330">
        <v>2.06</v>
      </c>
      <c r="M78" s="325"/>
      <c r="N78" s="325">
        <f t="shared" si="34"/>
        <v>68.06</v>
      </c>
      <c r="O78" s="329"/>
      <c r="P78" s="390"/>
      <c r="Q78" s="362"/>
      <c r="R78" s="308"/>
      <c r="S78" s="330">
        <v>0</v>
      </c>
      <c r="T78" s="199">
        <v>1.23</v>
      </c>
      <c r="U78" s="367"/>
      <c r="V78" s="58">
        <v>1.9</v>
      </c>
      <c r="W78" s="172">
        <f>RTD("money.excel",,"3265","Price")</f>
        <v>33.4</v>
      </c>
      <c r="X78" s="264">
        <f>36.5-1.23</f>
        <v>35.270000000000003</v>
      </c>
      <c r="Y78" s="169">
        <f>W78-X78</f>
        <v>-1.8700000000000045</v>
      </c>
      <c r="Z78" s="165">
        <f>Y78/X78</f>
        <v>-5.3019563368301798E-2</v>
      </c>
      <c r="AA78" s="174" t="s">
        <v>1581</v>
      </c>
      <c r="AB78" s="173" t="s">
        <v>2738</v>
      </c>
      <c r="AC78" s="86">
        <v>44292</v>
      </c>
      <c r="AD78" s="85"/>
      <c r="AE78" s="33">
        <f t="shared" si="35"/>
        <v>-44292</v>
      </c>
      <c r="AF78" s="41" t="s">
        <v>1188</v>
      </c>
      <c r="AG78" s="194"/>
      <c r="AH78" s="193"/>
    </row>
    <row r="79" spans="1:38" s="273" customFormat="1">
      <c r="A79" s="147"/>
      <c r="B79" s="81"/>
      <c r="C79" s="81"/>
      <c r="D79" s="81"/>
      <c r="E79" s="81"/>
      <c r="F79" s="6"/>
      <c r="G79" s="41"/>
      <c r="H79" s="8"/>
      <c r="I79" s="160"/>
      <c r="J79" s="330"/>
      <c r="K79" s="330"/>
      <c r="L79" s="330"/>
      <c r="M79" s="325"/>
      <c r="N79" s="325"/>
      <c r="O79" s="329"/>
      <c r="P79" s="390"/>
      <c r="Q79" s="362"/>
      <c r="R79" s="308"/>
      <c r="S79" s="330"/>
      <c r="T79" s="199"/>
      <c r="U79" s="364"/>
      <c r="V79" s="97"/>
      <c r="W79" s="172">
        <f>SUM(W75:W78)</f>
        <v>133.6</v>
      </c>
      <c r="X79" s="162">
        <f>SUM(X75:X78)</f>
        <v>133.93</v>
      </c>
      <c r="Y79" s="169">
        <f>W79-X79</f>
        <v>-0.33000000000001251</v>
      </c>
      <c r="Z79" s="171">
        <f>Y79/X79</f>
        <v>-2.4639737176137722E-3</v>
      </c>
      <c r="AA79" s="118"/>
      <c r="AB79" s="160">
        <f>W79*(0.001425*0.5)+W79*0.003+X79*(0.001425*0.5)</f>
        <v>0.59141512500000004</v>
      </c>
      <c r="AC79" s="6">
        <f>Y79-AB79</f>
        <v>-0.92141512500001255</v>
      </c>
      <c r="AD79" s="85"/>
      <c r="AE79" s="33"/>
      <c r="AF79" s="41" t="s">
        <v>1189</v>
      </c>
      <c r="AG79" s="170"/>
    </row>
    <row r="80" spans="1:38" s="273" customFormat="1">
      <c r="A80" s="147"/>
      <c r="B80" s="81"/>
      <c r="C80" s="81"/>
      <c r="D80" s="81"/>
      <c r="E80" s="81"/>
      <c r="F80" s="6"/>
      <c r="G80" s="41"/>
      <c r="H80" s="8"/>
      <c r="I80" s="160"/>
      <c r="J80" s="330"/>
      <c r="K80" s="330"/>
      <c r="L80" s="330"/>
      <c r="M80" s="325"/>
      <c r="N80" s="325"/>
      <c r="O80" s="329"/>
      <c r="P80" s="390"/>
      <c r="Q80" s="362"/>
      <c r="R80" s="308"/>
      <c r="S80" s="330"/>
      <c r="T80" s="199"/>
      <c r="U80" s="366"/>
      <c r="V80" s="97"/>
      <c r="W80" s="172"/>
      <c r="X80" s="162"/>
      <c r="Y80" s="169"/>
      <c r="Z80" s="171"/>
      <c r="AA80" s="118"/>
      <c r="AB80" s="160"/>
      <c r="AC80" s="6"/>
      <c r="AD80" s="85"/>
      <c r="AE80" s="33"/>
      <c r="AF80" s="41"/>
      <c r="AG80" s="170"/>
    </row>
    <row r="81" spans="1:40" s="273" customFormat="1">
      <c r="A81" s="132" t="s">
        <v>1854</v>
      </c>
      <c r="B81" s="93" t="s">
        <v>1657</v>
      </c>
      <c r="C81" s="93" t="s">
        <v>1658</v>
      </c>
      <c r="D81" s="93" t="s">
        <v>1659</v>
      </c>
      <c r="E81" s="93" t="s">
        <v>1660</v>
      </c>
      <c r="F81" s="8" t="s">
        <v>1122</v>
      </c>
      <c r="G81" s="26" t="s">
        <v>4231</v>
      </c>
      <c r="H81" s="55" t="s">
        <v>342</v>
      </c>
      <c r="I81" s="1" t="s">
        <v>2750</v>
      </c>
      <c r="J81" s="324" t="s">
        <v>1529</v>
      </c>
      <c r="K81" s="324" t="s">
        <v>1217</v>
      </c>
      <c r="L81" s="324" t="s">
        <v>298</v>
      </c>
      <c r="M81" s="324" t="s">
        <v>1115</v>
      </c>
      <c r="N81" s="324" t="s">
        <v>6091</v>
      </c>
      <c r="O81" s="27" t="s">
        <v>6312</v>
      </c>
      <c r="P81" s="56" t="s">
        <v>6219</v>
      </c>
      <c r="Q81" s="26" t="s">
        <v>6313</v>
      </c>
      <c r="R81" s="309" t="s">
        <v>4371</v>
      </c>
      <c r="S81" s="335" t="s">
        <v>4398</v>
      </c>
      <c r="T81" s="14" t="s">
        <v>75</v>
      </c>
      <c r="U81" s="364" t="s">
        <v>6152</v>
      </c>
      <c r="V81" s="69" t="s">
        <v>4406</v>
      </c>
      <c r="W81" s="28" t="s">
        <v>4424</v>
      </c>
      <c r="X81" s="17" t="s">
        <v>1465</v>
      </c>
      <c r="Y81" s="14" t="s">
        <v>2755</v>
      </c>
      <c r="Z81" s="21" t="s">
        <v>1539</v>
      </c>
      <c r="AA81" s="25" t="s">
        <v>117</v>
      </c>
      <c r="AB81" s="1" t="s">
        <v>2750</v>
      </c>
      <c r="AC81" s="73" t="s">
        <v>1466</v>
      </c>
      <c r="AD81" s="74" t="s">
        <v>1223</v>
      </c>
      <c r="AE81" s="32" t="s">
        <v>1224</v>
      </c>
      <c r="AF81" s="144"/>
      <c r="AG81" s="170"/>
    </row>
    <row r="82" spans="1:40">
      <c r="A82" s="132" t="s">
        <v>3591</v>
      </c>
      <c r="B82" s="82">
        <v>-48</v>
      </c>
      <c r="C82" s="82">
        <v>-50</v>
      </c>
      <c r="D82" s="82">
        <v>-7</v>
      </c>
      <c r="E82" s="81">
        <v>22</v>
      </c>
      <c r="F82" s="58">
        <v>11.26</v>
      </c>
      <c r="G82" s="57" t="s">
        <v>1111</v>
      </c>
      <c r="H82" s="50" t="s">
        <v>1471</v>
      </c>
      <c r="I82" s="16" t="s">
        <v>154</v>
      </c>
      <c r="J82" s="330">
        <v>33.08</v>
      </c>
      <c r="K82" s="75">
        <v>2.92</v>
      </c>
      <c r="L82" s="330">
        <v>3.81</v>
      </c>
      <c r="N82" s="325">
        <f>K82+J82+L82</f>
        <v>39.81</v>
      </c>
      <c r="S82" s="330">
        <v>0</v>
      </c>
      <c r="T82" s="67">
        <v>3.5</v>
      </c>
      <c r="U82" s="366"/>
      <c r="V82" s="97">
        <v>4.5</v>
      </c>
      <c r="W82" s="36">
        <f>RTD("money.excel",,"4163","Price")</f>
        <v>82.6</v>
      </c>
      <c r="X82" s="233">
        <f>91.7-3.5</f>
        <v>88.2</v>
      </c>
      <c r="Y82" s="15">
        <f t="shared" ref="Y82:Y83" si="36">W82-X82</f>
        <v>-5.6000000000000085</v>
      </c>
      <c r="Z82" s="3">
        <f t="shared" ref="Z82:Z83" si="37">Y82/X82</f>
        <v>-6.3492063492063586E-2</v>
      </c>
      <c r="AA82" s="146" t="s">
        <v>1986</v>
      </c>
      <c r="AB82" s="16" t="s">
        <v>154</v>
      </c>
      <c r="AC82" s="86">
        <v>44299</v>
      </c>
      <c r="AE82" s="33">
        <f t="shared" ref="AE82:AE83" si="38">AD82-AC82</f>
        <v>-44299</v>
      </c>
      <c r="AF82" s="132" t="s">
        <v>1188</v>
      </c>
      <c r="AH82" s="8"/>
    </row>
    <row r="83" spans="1:40">
      <c r="A83" s="132" t="s">
        <v>3591</v>
      </c>
      <c r="B83" s="82">
        <v>-48</v>
      </c>
      <c r="C83" s="82">
        <v>-50</v>
      </c>
      <c r="D83" s="82">
        <v>-7</v>
      </c>
      <c r="E83" s="81">
        <v>22</v>
      </c>
      <c r="F83" s="58">
        <v>11.26</v>
      </c>
      <c r="G83" s="57" t="s">
        <v>1111</v>
      </c>
      <c r="H83" s="30" t="s">
        <v>1531</v>
      </c>
      <c r="I83" s="16" t="s">
        <v>154</v>
      </c>
      <c r="J83" s="330">
        <v>33.08</v>
      </c>
      <c r="K83" s="75">
        <v>2.92</v>
      </c>
      <c r="L83" s="330">
        <v>3.81</v>
      </c>
      <c r="N83" s="325">
        <f>K83+J83+L83</f>
        <v>39.81</v>
      </c>
      <c r="S83" s="330">
        <v>0</v>
      </c>
      <c r="T83" s="67">
        <v>3.5</v>
      </c>
      <c r="U83" s="366"/>
      <c r="V83" s="97">
        <v>4.5</v>
      </c>
      <c r="W83" s="36">
        <f>RTD("money.excel",,"4163","Price")</f>
        <v>82.6</v>
      </c>
      <c r="X83" s="233">
        <f>91.7-3.5</f>
        <v>88.2</v>
      </c>
      <c r="Y83" s="15">
        <f t="shared" si="36"/>
        <v>-5.6000000000000085</v>
      </c>
      <c r="Z83" s="3">
        <f t="shared" si="37"/>
        <v>-6.3492063492063586E-2</v>
      </c>
      <c r="AA83" s="146" t="s">
        <v>1986</v>
      </c>
      <c r="AB83" s="16" t="s">
        <v>154</v>
      </c>
      <c r="AC83" s="86">
        <v>44299</v>
      </c>
      <c r="AE83" s="33">
        <f t="shared" si="38"/>
        <v>-44299</v>
      </c>
      <c r="AF83" s="41" t="s">
        <v>1188</v>
      </c>
      <c r="AH83" s="8"/>
    </row>
    <row r="84" spans="1:40" s="273" customFormat="1">
      <c r="A84" s="147"/>
      <c r="B84" s="81"/>
      <c r="C84" s="81"/>
      <c r="D84" s="81"/>
      <c r="E84" s="81"/>
      <c r="F84" s="6"/>
      <c r="G84" s="41"/>
      <c r="H84" s="8"/>
      <c r="I84" s="160"/>
      <c r="J84" s="330"/>
      <c r="K84" s="330"/>
      <c r="L84" s="330"/>
      <c r="M84" s="325"/>
      <c r="N84" s="325"/>
      <c r="O84" s="329"/>
      <c r="P84" s="390"/>
      <c r="Q84" s="362"/>
      <c r="R84" s="308"/>
      <c r="S84" s="330"/>
      <c r="T84" s="199"/>
      <c r="U84" s="366"/>
      <c r="V84" s="97"/>
      <c r="W84" s="172">
        <f>SUM(W82:W83)</f>
        <v>165.2</v>
      </c>
      <c r="X84" s="162">
        <f>SUM(X82:X83)</f>
        <v>176.4</v>
      </c>
      <c r="Y84" s="169">
        <f>W84-X84</f>
        <v>-11.200000000000017</v>
      </c>
      <c r="Z84" s="171">
        <f>Y84/X84</f>
        <v>-6.3492063492063586E-2</v>
      </c>
      <c r="AA84" s="118"/>
      <c r="AB84" s="160">
        <f>W84*(0.001425*0.5)+W84*0.003+X84*(0.001425*0.5)</f>
        <v>0.73899000000000004</v>
      </c>
      <c r="AC84" s="6">
        <f>Y84-AB84</f>
        <v>-11.938990000000016</v>
      </c>
      <c r="AD84" s="85"/>
      <c r="AE84" s="33"/>
      <c r="AF84" s="41" t="s">
        <v>1583</v>
      </c>
      <c r="AG84" s="170"/>
    </row>
    <row r="85" spans="1:40">
      <c r="A85" s="132"/>
      <c r="B85" s="82"/>
      <c r="C85" s="82"/>
      <c r="D85" s="81"/>
      <c r="E85" s="82"/>
      <c r="F85" s="58"/>
      <c r="G85" s="57"/>
      <c r="H85" s="5"/>
      <c r="I85" s="16"/>
      <c r="J85" s="75"/>
      <c r="K85" s="75"/>
      <c r="N85" s="342"/>
      <c r="T85" s="67"/>
      <c r="U85" s="366"/>
      <c r="V85" s="97"/>
      <c r="W85" s="36"/>
      <c r="X85" s="67"/>
      <c r="Y85" s="15"/>
      <c r="Z85" s="3"/>
      <c r="AA85" s="146"/>
      <c r="AB85" s="16"/>
      <c r="AC85" s="120"/>
      <c r="AE85" s="121"/>
      <c r="AF85" s="24"/>
      <c r="AH85" s="8"/>
    </row>
    <row r="86" spans="1:40" s="273" customFormat="1">
      <c r="A86" s="132" t="s">
        <v>1854</v>
      </c>
      <c r="B86" s="93" t="s">
        <v>1657</v>
      </c>
      <c r="C86" s="93" t="s">
        <v>1658</v>
      </c>
      <c r="D86" s="93" t="s">
        <v>1659</v>
      </c>
      <c r="E86" s="93" t="s">
        <v>1660</v>
      </c>
      <c r="F86" s="8" t="s">
        <v>1122</v>
      </c>
      <c r="G86" s="26" t="s">
        <v>4231</v>
      </c>
      <c r="H86" s="55" t="s">
        <v>342</v>
      </c>
      <c r="I86" s="1" t="s">
        <v>79</v>
      </c>
      <c r="J86" s="324" t="s">
        <v>1529</v>
      </c>
      <c r="K86" s="324" t="s">
        <v>1217</v>
      </c>
      <c r="L86" s="324" t="s">
        <v>298</v>
      </c>
      <c r="M86" s="324" t="s">
        <v>1115</v>
      </c>
      <c r="N86" s="324" t="s">
        <v>6091</v>
      </c>
      <c r="O86" s="27" t="s">
        <v>6312</v>
      </c>
      <c r="P86" s="56" t="s">
        <v>6219</v>
      </c>
      <c r="Q86" s="26" t="s">
        <v>6313</v>
      </c>
      <c r="R86" s="309" t="s">
        <v>4371</v>
      </c>
      <c r="S86" s="335" t="s">
        <v>4398</v>
      </c>
      <c r="T86" s="14" t="s">
        <v>75</v>
      </c>
      <c r="U86" s="364" t="s">
        <v>6152</v>
      </c>
      <c r="V86" s="69" t="s">
        <v>4406</v>
      </c>
      <c r="W86" s="28" t="s">
        <v>4424</v>
      </c>
      <c r="X86" s="17" t="s">
        <v>1465</v>
      </c>
      <c r="Y86" s="14" t="s">
        <v>2755</v>
      </c>
      <c r="Z86" s="21" t="s">
        <v>1539</v>
      </c>
      <c r="AA86" s="25" t="s">
        <v>117</v>
      </c>
      <c r="AB86" s="1" t="s">
        <v>79</v>
      </c>
      <c r="AC86" s="73" t="s">
        <v>1466</v>
      </c>
      <c r="AD86" s="74" t="s">
        <v>1223</v>
      </c>
      <c r="AE86" s="32" t="s">
        <v>1224</v>
      </c>
      <c r="AF86" s="144"/>
      <c r="AG86" s="170"/>
    </row>
    <row r="87" spans="1:40">
      <c r="A87" s="132" t="s">
        <v>1955</v>
      </c>
      <c r="B87" s="81">
        <v>23</v>
      </c>
      <c r="C87" s="81">
        <v>22</v>
      </c>
      <c r="D87" s="81">
        <v>2</v>
      </c>
      <c r="E87" s="81">
        <v>30</v>
      </c>
      <c r="F87" s="58">
        <v>11.17</v>
      </c>
      <c r="G87" s="82">
        <v>1309</v>
      </c>
      <c r="H87" s="30" t="s">
        <v>1531</v>
      </c>
      <c r="I87" s="22" t="s">
        <v>336</v>
      </c>
      <c r="J87" s="330">
        <v>41.97</v>
      </c>
      <c r="K87" s="75">
        <v>9.1</v>
      </c>
      <c r="L87" s="330">
        <v>9.67</v>
      </c>
      <c r="N87" s="325">
        <f t="shared" ref="N87" si="39">K87+J87+L87</f>
        <v>60.74</v>
      </c>
      <c r="S87" s="330">
        <v>16.329999999999998</v>
      </c>
      <c r="T87" s="45">
        <v>3</v>
      </c>
      <c r="V87" s="97">
        <v>6.21</v>
      </c>
      <c r="W87" s="36">
        <f>RTD("money.excel",,"1309","Price")</f>
        <v>33.450000000000003</v>
      </c>
      <c r="X87" s="67">
        <v>35.549999999999997</v>
      </c>
      <c r="Y87" s="15">
        <f t="shared" ref="Y87" si="40">W87-X87</f>
        <v>-2.0999999999999943</v>
      </c>
      <c r="Z87" s="3">
        <f t="shared" ref="Z87" si="41">Y87/X87</f>
        <v>-5.9071729957805755E-2</v>
      </c>
      <c r="AA87" s="102" t="s">
        <v>4352</v>
      </c>
      <c r="AB87" s="22" t="s">
        <v>336</v>
      </c>
      <c r="AC87" s="86">
        <v>44525</v>
      </c>
      <c r="AE87" s="33">
        <f t="shared" ref="AE87" si="42">AD87-AC87</f>
        <v>-44525</v>
      </c>
      <c r="AF87" s="41" t="s">
        <v>1188</v>
      </c>
      <c r="AH87" s="22"/>
      <c r="AI87" s="222"/>
      <c r="AJ87" s="262"/>
      <c r="AK87" s="275"/>
      <c r="AL87" s="277"/>
    </row>
    <row r="88" spans="1:40" s="273" customFormat="1">
      <c r="A88" s="147"/>
      <c r="B88" s="81"/>
      <c r="C88" s="81"/>
      <c r="D88" s="81"/>
      <c r="E88" s="81"/>
      <c r="F88" s="6"/>
      <c r="G88" s="41"/>
      <c r="H88" s="8"/>
      <c r="I88" s="160"/>
      <c r="J88" s="330"/>
      <c r="K88" s="330"/>
      <c r="L88" s="330"/>
      <c r="M88" s="325"/>
      <c r="N88" s="325"/>
      <c r="O88" s="329"/>
      <c r="P88" s="390"/>
      <c r="Q88" s="362"/>
      <c r="R88" s="308"/>
      <c r="S88" s="330"/>
      <c r="T88" s="199"/>
      <c r="U88" s="367"/>
      <c r="V88" s="97"/>
      <c r="W88" s="172">
        <f>SUM(W87)</f>
        <v>33.450000000000003</v>
      </c>
      <c r="X88" s="162">
        <f>SUM(X87)</f>
        <v>35.549999999999997</v>
      </c>
      <c r="Y88" s="169">
        <f>W88-X88</f>
        <v>-2.0999999999999943</v>
      </c>
      <c r="Z88" s="171">
        <f>Y88/X88</f>
        <v>-5.9071729957805755E-2</v>
      </c>
      <c r="AA88" s="118"/>
      <c r="AB88" s="160">
        <f>W88*(0.001425*0.5)+W88*0.003+X88*(0.001425*0.5)</f>
        <v>0.14951249999999999</v>
      </c>
      <c r="AC88" s="6">
        <f>Y88-AB88</f>
        <v>-2.2495124999999945</v>
      </c>
      <c r="AD88" s="85"/>
      <c r="AE88" s="33"/>
      <c r="AF88" s="41" t="s">
        <v>1188</v>
      </c>
      <c r="AG88" s="170"/>
    </row>
    <row r="89" spans="1:40" s="273" customFormat="1">
      <c r="A89" s="147"/>
      <c r="B89" s="81"/>
      <c r="C89" s="81"/>
      <c r="D89" s="81"/>
      <c r="E89" s="81"/>
      <c r="F89" s="6"/>
      <c r="G89" s="41"/>
      <c r="H89" s="8"/>
      <c r="I89" s="160"/>
      <c r="J89" s="330"/>
      <c r="K89" s="330"/>
      <c r="L89" s="330"/>
      <c r="M89" s="325"/>
      <c r="N89" s="325"/>
      <c r="O89" s="329"/>
      <c r="P89" s="390"/>
      <c r="Q89" s="362"/>
      <c r="R89" s="308"/>
      <c r="S89" s="330"/>
      <c r="T89" s="199"/>
      <c r="U89" s="367"/>
      <c r="V89" s="97"/>
      <c r="W89" s="172"/>
      <c r="X89" s="162"/>
      <c r="Y89" s="169"/>
      <c r="Z89" s="171"/>
      <c r="AA89" s="118"/>
      <c r="AB89" s="160"/>
      <c r="AC89" s="6"/>
      <c r="AD89" s="85"/>
      <c r="AE89" s="33"/>
      <c r="AF89" s="41"/>
      <c r="AG89" s="170"/>
    </row>
    <row r="90" spans="1:40" s="273" customFormat="1" ht="17.25" customHeight="1">
      <c r="A90" s="132" t="s">
        <v>1854</v>
      </c>
      <c r="B90" s="93" t="s">
        <v>1657</v>
      </c>
      <c r="C90" s="93" t="s">
        <v>1658</v>
      </c>
      <c r="D90" s="93" t="s">
        <v>1659</v>
      </c>
      <c r="E90" s="93" t="s">
        <v>1660</v>
      </c>
      <c r="F90" s="8" t="s">
        <v>1122</v>
      </c>
      <c r="G90" s="26" t="s">
        <v>4231</v>
      </c>
      <c r="H90" s="55" t="s">
        <v>342</v>
      </c>
      <c r="I90" s="1" t="s">
        <v>2750</v>
      </c>
      <c r="J90" s="324" t="s">
        <v>1529</v>
      </c>
      <c r="K90" s="324" t="s">
        <v>1217</v>
      </c>
      <c r="L90" s="324" t="s">
        <v>298</v>
      </c>
      <c r="M90" s="324" t="s">
        <v>1115</v>
      </c>
      <c r="N90" s="324" t="s">
        <v>6091</v>
      </c>
      <c r="O90" s="27" t="s">
        <v>6312</v>
      </c>
      <c r="P90" s="56" t="s">
        <v>6219</v>
      </c>
      <c r="Q90" s="26" t="s">
        <v>6313</v>
      </c>
      <c r="R90" s="309" t="s">
        <v>4371</v>
      </c>
      <c r="S90" s="335" t="s">
        <v>4398</v>
      </c>
      <c r="T90" s="14" t="s">
        <v>75</v>
      </c>
      <c r="U90" s="364" t="s">
        <v>6152</v>
      </c>
      <c r="V90" s="69" t="s">
        <v>4406</v>
      </c>
      <c r="W90" s="28" t="s">
        <v>4424</v>
      </c>
      <c r="X90" s="17" t="s">
        <v>1465</v>
      </c>
      <c r="Y90" s="14" t="s">
        <v>2755</v>
      </c>
      <c r="Z90" s="21" t="s">
        <v>1539</v>
      </c>
      <c r="AA90" s="25" t="s">
        <v>117</v>
      </c>
      <c r="AB90" s="1" t="s">
        <v>2750</v>
      </c>
      <c r="AC90" s="73" t="s">
        <v>1466</v>
      </c>
      <c r="AD90" s="74" t="s">
        <v>1223</v>
      </c>
      <c r="AE90" s="32" t="s">
        <v>1224</v>
      </c>
      <c r="AF90" s="144"/>
      <c r="AG90" s="170"/>
    </row>
    <row r="91" spans="1:40">
      <c r="A91" s="148" t="s">
        <v>2316</v>
      </c>
      <c r="B91" s="81">
        <v>348</v>
      </c>
      <c r="C91" s="81">
        <v>679</v>
      </c>
      <c r="D91" s="82">
        <v>-3</v>
      </c>
      <c r="E91" s="81">
        <v>4</v>
      </c>
      <c r="F91" s="6">
        <v>5.76</v>
      </c>
      <c r="G91" s="57" t="s">
        <v>4117</v>
      </c>
      <c r="H91" s="30" t="s">
        <v>1531</v>
      </c>
      <c r="I91" s="22" t="s">
        <v>248</v>
      </c>
      <c r="J91" s="75">
        <v>69.84</v>
      </c>
      <c r="K91" s="75">
        <v>7.44</v>
      </c>
      <c r="L91" s="75">
        <v>11.9</v>
      </c>
      <c r="N91" s="325">
        <f t="shared" ref="N91" si="43">K91+J91+L91</f>
        <v>89.18</v>
      </c>
      <c r="S91" s="330">
        <v>0.56000000000000005</v>
      </c>
      <c r="T91" s="34">
        <v>2</v>
      </c>
      <c r="V91" s="58">
        <v>7.81</v>
      </c>
      <c r="W91" s="36">
        <f>RTD("money.excel",,"2387","Price")</f>
        <v>40.6</v>
      </c>
      <c r="X91" s="233">
        <f>51.9-2</f>
        <v>49.9</v>
      </c>
      <c r="Y91" s="15">
        <f t="shared" ref="Y91" si="44">W91-X91</f>
        <v>-9.2999999999999972</v>
      </c>
      <c r="Z91" s="3">
        <f t="shared" ref="Z91" si="45">Y91/X91</f>
        <v>-0.1863727454909819</v>
      </c>
      <c r="AA91" s="104" t="s">
        <v>4136</v>
      </c>
      <c r="AB91" s="22" t="s">
        <v>248</v>
      </c>
      <c r="AC91" s="86">
        <v>44390</v>
      </c>
      <c r="AE91" s="33">
        <f t="shared" ref="AE91" si="46">AD91-AC91</f>
        <v>-44390</v>
      </c>
      <c r="AF91" s="41" t="s">
        <v>1188</v>
      </c>
      <c r="AH91" s="254"/>
      <c r="AI91" s="57"/>
      <c r="AJ91" s="22"/>
      <c r="AK91" s="222"/>
      <c r="AL91" s="262"/>
      <c r="AM91" s="275"/>
      <c r="AN91" s="278"/>
    </row>
    <row r="92" spans="1:40" s="273" customFormat="1">
      <c r="A92" s="147"/>
      <c r="B92" s="81"/>
      <c r="C92" s="81"/>
      <c r="D92" s="81"/>
      <c r="E92" s="81"/>
      <c r="F92" s="6"/>
      <c r="G92" s="41"/>
      <c r="H92" s="8"/>
      <c r="I92" s="160"/>
      <c r="J92" s="330"/>
      <c r="K92" s="330"/>
      <c r="L92" s="330"/>
      <c r="M92" s="325"/>
      <c r="N92" s="325"/>
      <c r="O92" s="329"/>
      <c r="P92" s="390"/>
      <c r="Q92" s="362"/>
      <c r="R92" s="308"/>
      <c r="S92" s="330"/>
      <c r="T92" s="199"/>
      <c r="U92" s="367"/>
      <c r="V92" s="97"/>
      <c r="W92" s="172">
        <f>SUM(W91)</f>
        <v>40.6</v>
      </c>
      <c r="X92" s="162">
        <f>SUM(X91)</f>
        <v>49.9</v>
      </c>
      <c r="Y92" s="169">
        <f>W92-X92</f>
        <v>-9.2999999999999972</v>
      </c>
      <c r="Z92" s="171">
        <f>Y92/X92</f>
        <v>-0.1863727454909819</v>
      </c>
      <c r="AA92" s="118"/>
      <c r="AB92" s="160">
        <f>W92*(0.001425*0.5)+W92*0.003+X92*(0.001425*0.5)</f>
        <v>0.18628125000000001</v>
      </c>
      <c r="AC92" s="6">
        <f>Y92-AB92</f>
        <v>-9.4862812499999976</v>
      </c>
      <c r="AD92" s="85"/>
      <c r="AE92" s="33"/>
      <c r="AF92" s="41" t="s">
        <v>1188</v>
      </c>
      <c r="AG92" s="170"/>
    </row>
    <row r="93" spans="1:40" s="273" customFormat="1">
      <c r="A93" s="147"/>
      <c r="B93" s="81"/>
      <c r="C93" s="81"/>
      <c r="D93" s="81"/>
      <c r="E93" s="81"/>
      <c r="F93" s="6"/>
      <c r="G93" s="41"/>
      <c r="H93" s="8"/>
      <c r="I93" s="160"/>
      <c r="J93" s="330"/>
      <c r="K93" s="330"/>
      <c r="L93" s="330"/>
      <c r="M93" s="325"/>
      <c r="N93" s="325"/>
      <c r="O93" s="329"/>
      <c r="P93" s="390"/>
      <c r="Q93" s="362"/>
      <c r="R93" s="308"/>
      <c r="S93" s="330"/>
      <c r="T93" s="199"/>
      <c r="U93" s="367"/>
      <c r="V93" s="97"/>
      <c r="W93" s="172"/>
      <c r="X93" s="162"/>
      <c r="Y93" s="169"/>
      <c r="Z93" s="171"/>
      <c r="AA93" s="118"/>
      <c r="AB93" s="160"/>
      <c r="AC93" s="6"/>
      <c r="AD93" s="85"/>
      <c r="AE93" s="33"/>
      <c r="AF93" s="41"/>
      <c r="AG93" s="170"/>
    </row>
    <row r="94" spans="1:40" s="273" customFormat="1">
      <c r="A94" s="132" t="s">
        <v>1854</v>
      </c>
      <c r="B94" s="93" t="s">
        <v>1657</v>
      </c>
      <c r="C94" s="93" t="s">
        <v>1658</v>
      </c>
      <c r="D94" s="93" t="s">
        <v>1659</v>
      </c>
      <c r="E94" s="93" t="s">
        <v>1660</v>
      </c>
      <c r="F94" s="8" t="s">
        <v>1122</v>
      </c>
      <c r="G94" s="26" t="s">
        <v>4231</v>
      </c>
      <c r="H94" s="55" t="s">
        <v>342</v>
      </c>
      <c r="I94" s="1" t="s">
        <v>2750</v>
      </c>
      <c r="J94" s="324" t="s">
        <v>1529</v>
      </c>
      <c r="K94" s="324" t="s">
        <v>1217</v>
      </c>
      <c r="L94" s="324" t="s">
        <v>298</v>
      </c>
      <c r="M94" s="324" t="s">
        <v>1115</v>
      </c>
      <c r="N94" s="324" t="s">
        <v>6091</v>
      </c>
      <c r="O94" s="27" t="s">
        <v>6312</v>
      </c>
      <c r="P94" s="56" t="s">
        <v>6219</v>
      </c>
      <c r="Q94" s="26" t="s">
        <v>6313</v>
      </c>
      <c r="R94" s="309" t="s">
        <v>4371</v>
      </c>
      <c r="S94" s="335" t="s">
        <v>4398</v>
      </c>
      <c r="T94" s="14" t="s">
        <v>75</v>
      </c>
      <c r="U94" s="364" t="s">
        <v>6152</v>
      </c>
      <c r="V94" s="69" t="s">
        <v>4406</v>
      </c>
      <c r="W94" s="28" t="s">
        <v>4424</v>
      </c>
      <c r="X94" s="17" t="s">
        <v>1465</v>
      </c>
      <c r="Y94" s="14" t="s">
        <v>2755</v>
      </c>
      <c r="Z94" s="21" t="s">
        <v>1539</v>
      </c>
      <c r="AA94" s="25" t="s">
        <v>117</v>
      </c>
      <c r="AB94" s="1" t="s">
        <v>2750</v>
      </c>
      <c r="AC94" s="73" t="s">
        <v>1466</v>
      </c>
      <c r="AD94" s="74" t="s">
        <v>1223</v>
      </c>
      <c r="AE94" s="32" t="s">
        <v>1224</v>
      </c>
      <c r="AF94" s="144"/>
      <c r="AG94" s="170"/>
    </row>
    <row r="95" spans="1:40">
      <c r="A95" s="148" t="s">
        <v>2163</v>
      </c>
      <c r="B95" s="95">
        <v>2639</v>
      </c>
      <c r="C95" s="95">
        <v>2126</v>
      </c>
      <c r="D95" s="81">
        <v>42</v>
      </c>
      <c r="E95" s="95">
        <v>1154</v>
      </c>
      <c r="F95" s="6">
        <v>9.25</v>
      </c>
      <c r="G95" s="57" t="s">
        <v>2487</v>
      </c>
      <c r="H95" s="30" t="s">
        <v>1531</v>
      </c>
      <c r="I95" s="16" t="s">
        <v>2488</v>
      </c>
      <c r="J95" s="75">
        <v>51.08</v>
      </c>
      <c r="K95" s="75">
        <v>0.28000000000000003</v>
      </c>
      <c r="N95" s="325">
        <f t="shared" ref="N95:N96" si="47">K95+J95+L95</f>
        <v>51.36</v>
      </c>
      <c r="T95" s="34">
        <v>0</v>
      </c>
      <c r="V95" s="58">
        <v>0.32</v>
      </c>
      <c r="W95" s="36">
        <f>RTD("money.excel",,"3713","Price")</f>
        <v>34.5</v>
      </c>
      <c r="X95" s="233">
        <v>40.75</v>
      </c>
      <c r="Y95" s="15">
        <f t="shared" ref="Y95" si="48">W95-X95</f>
        <v>-6.25</v>
      </c>
      <c r="Z95" s="3">
        <f t="shared" ref="Z95" si="49">Y95/X95</f>
        <v>-0.15337423312883436</v>
      </c>
      <c r="AA95" s="102" t="s">
        <v>4110</v>
      </c>
      <c r="AB95" s="16" t="s">
        <v>2488</v>
      </c>
      <c r="AC95" s="86">
        <v>44363</v>
      </c>
      <c r="AE95" s="33"/>
      <c r="AF95" s="41" t="s">
        <v>1188</v>
      </c>
      <c r="AH95" s="254"/>
    </row>
    <row r="96" spans="1:40">
      <c r="A96" s="148" t="s">
        <v>2163</v>
      </c>
      <c r="B96" s="95">
        <v>2639</v>
      </c>
      <c r="C96" s="95">
        <v>2126</v>
      </c>
      <c r="D96" s="81">
        <v>42</v>
      </c>
      <c r="E96" s="95">
        <v>1154</v>
      </c>
      <c r="F96" s="6">
        <v>9.25</v>
      </c>
      <c r="G96" s="57" t="s">
        <v>2487</v>
      </c>
      <c r="H96" s="30" t="s">
        <v>1531</v>
      </c>
      <c r="I96" s="16" t="s">
        <v>2488</v>
      </c>
      <c r="J96" s="75">
        <v>51.08</v>
      </c>
      <c r="K96" s="75">
        <v>0.28000000000000003</v>
      </c>
      <c r="N96" s="325">
        <f t="shared" si="47"/>
        <v>51.36</v>
      </c>
      <c r="T96" s="34">
        <v>0</v>
      </c>
      <c r="V96" s="58">
        <v>0.32</v>
      </c>
      <c r="W96" s="36">
        <f>RTD("money.excel",,"3713","Price")</f>
        <v>34.5</v>
      </c>
      <c r="X96" s="233">
        <v>46.2</v>
      </c>
      <c r="Y96" s="15">
        <f t="shared" ref="Y96" si="50">W96-X96</f>
        <v>-11.700000000000003</v>
      </c>
      <c r="Z96" s="3">
        <f t="shared" ref="Z96" si="51">Y96/X96</f>
        <v>-0.25324675324675328</v>
      </c>
      <c r="AA96" s="102" t="s">
        <v>4110</v>
      </c>
      <c r="AB96" s="16" t="s">
        <v>2488</v>
      </c>
      <c r="AC96" s="86">
        <v>44363</v>
      </c>
      <c r="AE96" s="33"/>
      <c r="AF96" s="41" t="s">
        <v>1188</v>
      </c>
      <c r="AH96" s="254"/>
    </row>
    <row r="97" spans="1:34" s="273" customFormat="1">
      <c r="A97" s="147"/>
      <c r="B97" s="81"/>
      <c r="C97" s="81"/>
      <c r="D97" s="81"/>
      <c r="E97" s="81"/>
      <c r="F97" s="6"/>
      <c r="G97" s="41"/>
      <c r="H97" s="8"/>
      <c r="I97" s="160"/>
      <c r="J97" s="330"/>
      <c r="K97" s="330"/>
      <c r="L97" s="330"/>
      <c r="M97" s="325"/>
      <c r="N97" s="325"/>
      <c r="O97" s="329"/>
      <c r="P97" s="390"/>
      <c r="Q97" s="362"/>
      <c r="R97" s="308"/>
      <c r="S97" s="330"/>
      <c r="T97" s="199"/>
      <c r="U97" s="367"/>
      <c r="V97" s="97"/>
      <c r="W97" s="172">
        <f>SUM(W95:W96)</f>
        <v>69</v>
      </c>
      <c r="X97" s="162">
        <f>SUM(X95:X96)</f>
        <v>86.95</v>
      </c>
      <c r="Y97" s="169">
        <f>W97-X97</f>
        <v>-17.950000000000003</v>
      </c>
      <c r="Z97" s="171">
        <f>Y97/X97</f>
        <v>-0.20644048303622775</v>
      </c>
      <c r="AA97" s="118"/>
      <c r="AB97" s="160">
        <f>W97*(0.001425*0.5)+W97*0.003+X97*(0.001425*0.5)</f>
        <v>0.318114375</v>
      </c>
      <c r="AC97" s="6">
        <f>Y97-AB97</f>
        <v>-18.268114375000003</v>
      </c>
      <c r="AD97" s="85"/>
      <c r="AE97" s="33"/>
      <c r="AF97" s="41" t="s">
        <v>1583</v>
      </c>
      <c r="AG97" s="170"/>
    </row>
    <row r="98" spans="1:34">
      <c r="A98" s="148"/>
      <c r="B98" s="95"/>
      <c r="C98" s="95"/>
      <c r="D98" s="81"/>
      <c r="E98" s="95"/>
      <c r="F98" s="6"/>
      <c r="G98" s="57"/>
      <c r="H98" s="30"/>
      <c r="I98" s="16"/>
      <c r="J98" s="330"/>
      <c r="K98" s="75"/>
      <c r="N98" s="325"/>
      <c r="T98" s="34"/>
      <c r="V98" s="58"/>
      <c r="W98" s="36"/>
      <c r="X98" s="67"/>
      <c r="Y98" s="15"/>
      <c r="Z98" s="3"/>
      <c r="AA98" s="102"/>
      <c r="AB98" s="16"/>
      <c r="AE98" s="33"/>
      <c r="AF98" s="41"/>
      <c r="AH98" s="254"/>
    </row>
    <row r="99" spans="1:34" s="273" customFormat="1">
      <c r="A99" s="132" t="s">
        <v>1854</v>
      </c>
      <c r="B99" s="93" t="s">
        <v>1657</v>
      </c>
      <c r="C99" s="93" t="s">
        <v>1658</v>
      </c>
      <c r="D99" s="93" t="s">
        <v>1659</v>
      </c>
      <c r="E99" s="93" t="s">
        <v>1660</v>
      </c>
      <c r="F99" s="8" t="s">
        <v>1122</v>
      </c>
      <c r="G99" s="26" t="s">
        <v>4231</v>
      </c>
      <c r="H99" s="55" t="s">
        <v>342</v>
      </c>
      <c r="I99" s="1" t="s">
        <v>2750</v>
      </c>
      <c r="J99" s="324" t="s">
        <v>1529</v>
      </c>
      <c r="K99" s="324" t="s">
        <v>1217</v>
      </c>
      <c r="L99" s="324" t="s">
        <v>298</v>
      </c>
      <c r="M99" s="324" t="s">
        <v>1115</v>
      </c>
      <c r="N99" s="324" t="s">
        <v>6091</v>
      </c>
      <c r="O99" s="27" t="s">
        <v>6312</v>
      </c>
      <c r="P99" s="56" t="s">
        <v>6219</v>
      </c>
      <c r="Q99" s="26" t="s">
        <v>6313</v>
      </c>
      <c r="R99" s="309" t="s">
        <v>4371</v>
      </c>
      <c r="S99" s="335" t="s">
        <v>4398</v>
      </c>
      <c r="T99" s="14" t="s">
        <v>75</v>
      </c>
      <c r="U99" s="364" t="s">
        <v>6152</v>
      </c>
      <c r="V99" s="69" t="s">
        <v>4406</v>
      </c>
      <c r="W99" s="28" t="s">
        <v>4424</v>
      </c>
      <c r="X99" s="17" t="s">
        <v>1465</v>
      </c>
      <c r="Y99" s="14" t="s">
        <v>2755</v>
      </c>
      <c r="Z99" s="21" t="s">
        <v>1539</v>
      </c>
      <c r="AA99" s="25" t="s">
        <v>117</v>
      </c>
      <c r="AB99" s="1" t="s">
        <v>2750</v>
      </c>
      <c r="AC99" s="73" t="s">
        <v>1466</v>
      </c>
      <c r="AD99" s="74" t="s">
        <v>1223</v>
      </c>
      <c r="AE99" s="32" t="s">
        <v>1224</v>
      </c>
      <c r="AF99" s="144"/>
      <c r="AG99" s="170"/>
    </row>
    <row r="100" spans="1:34">
      <c r="A100" s="132" t="s">
        <v>1796</v>
      </c>
      <c r="B100" s="95">
        <v>4675</v>
      </c>
      <c r="C100" s="81">
        <v>279</v>
      </c>
      <c r="D100" s="81">
        <v>30</v>
      </c>
      <c r="E100" s="81">
        <v>31</v>
      </c>
      <c r="F100" s="58">
        <v>14.09</v>
      </c>
      <c r="G100" s="41" t="s">
        <v>715</v>
      </c>
      <c r="H100" s="30" t="s">
        <v>1531</v>
      </c>
      <c r="I100" s="16" t="s">
        <v>716</v>
      </c>
      <c r="J100" s="75">
        <v>36.26</v>
      </c>
      <c r="K100" s="330">
        <v>6.39</v>
      </c>
      <c r="L100" s="75">
        <v>34.229999999999997</v>
      </c>
      <c r="N100" s="325">
        <f t="shared" ref="N100:N102" si="52">K100+J100+L100</f>
        <v>76.88</v>
      </c>
      <c r="S100" s="330">
        <v>0.9</v>
      </c>
      <c r="T100" s="34">
        <v>0.25</v>
      </c>
      <c r="V100" s="97">
        <v>0.84</v>
      </c>
      <c r="W100" s="36">
        <f>RTD("money.excel",,"8936","Price")</f>
        <v>20.7</v>
      </c>
      <c r="X100" s="233">
        <f>25.1-0.25</f>
        <v>24.85</v>
      </c>
      <c r="Y100" s="15">
        <f>W100-X100</f>
        <v>-4.1500000000000021</v>
      </c>
      <c r="Z100" s="3">
        <f>Y100/X100</f>
        <v>-0.16700201207243467</v>
      </c>
      <c r="AA100" s="104" t="s">
        <v>1943</v>
      </c>
      <c r="AB100" s="16" t="s">
        <v>716</v>
      </c>
      <c r="AC100" s="86">
        <v>44383</v>
      </c>
      <c r="AE100" s="33">
        <f>AD100-AC100</f>
        <v>-44383</v>
      </c>
      <c r="AF100" s="41" t="s">
        <v>1188</v>
      </c>
      <c r="AH100" s="8"/>
    </row>
    <row r="101" spans="1:34">
      <c r="A101" s="132" t="s">
        <v>1796</v>
      </c>
      <c r="B101" s="95">
        <v>4675</v>
      </c>
      <c r="C101" s="81">
        <v>279</v>
      </c>
      <c r="D101" s="81">
        <v>30</v>
      </c>
      <c r="E101" s="81">
        <v>31</v>
      </c>
      <c r="F101" s="58">
        <v>14.09</v>
      </c>
      <c r="G101" s="41" t="s">
        <v>715</v>
      </c>
      <c r="H101" s="30" t="s">
        <v>1531</v>
      </c>
      <c r="I101" s="16" t="s">
        <v>716</v>
      </c>
      <c r="J101" s="75">
        <v>36.26</v>
      </c>
      <c r="K101" s="330">
        <v>6.39</v>
      </c>
      <c r="L101" s="75">
        <v>34.229999999999997</v>
      </c>
      <c r="N101" s="325">
        <f t="shared" si="52"/>
        <v>76.88</v>
      </c>
      <c r="S101" s="330">
        <v>0.9</v>
      </c>
      <c r="T101" s="34">
        <v>0.25</v>
      </c>
      <c r="V101" s="97">
        <v>0.84</v>
      </c>
      <c r="W101" s="36">
        <f>RTD("money.excel",,"8936","Price")</f>
        <v>20.7</v>
      </c>
      <c r="X101" s="233">
        <f>27.85-0.25</f>
        <v>27.6</v>
      </c>
      <c r="Y101" s="15">
        <f>W101-X101</f>
        <v>-6.9000000000000021</v>
      </c>
      <c r="Z101" s="3">
        <f>Y101/X101</f>
        <v>-0.25000000000000006</v>
      </c>
      <c r="AA101" s="104" t="s">
        <v>1943</v>
      </c>
      <c r="AB101" s="16" t="s">
        <v>716</v>
      </c>
      <c r="AC101" s="86">
        <v>44343</v>
      </c>
      <c r="AE101" s="33">
        <f>AD101-AC101</f>
        <v>-44343</v>
      </c>
      <c r="AF101" s="41" t="s">
        <v>1188</v>
      </c>
      <c r="AH101" s="8"/>
    </row>
    <row r="102" spans="1:34">
      <c r="A102" s="132" t="s">
        <v>1796</v>
      </c>
      <c r="B102" s="95">
        <v>4675</v>
      </c>
      <c r="C102" s="81">
        <v>279</v>
      </c>
      <c r="D102" s="81">
        <v>30</v>
      </c>
      <c r="E102" s="81">
        <v>31</v>
      </c>
      <c r="F102" s="58">
        <v>14.09</v>
      </c>
      <c r="G102" s="41" t="s">
        <v>715</v>
      </c>
      <c r="H102" s="30" t="s">
        <v>1531</v>
      </c>
      <c r="I102" s="16" t="s">
        <v>716</v>
      </c>
      <c r="J102" s="75">
        <v>36.26</v>
      </c>
      <c r="K102" s="330">
        <v>6.39</v>
      </c>
      <c r="L102" s="75">
        <v>34.229999999999997</v>
      </c>
      <c r="N102" s="325">
        <f t="shared" si="52"/>
        <v>76.88</v>
      </c>
      <c r="S102" s="330">
        <v>0.9</v>
      </c>
      <c r="T102" s="34">
        <v>0.25</v>
      </c>
      <c r="V102" s="97">
        <v>0.84</v>
      </c>
      <c r="W102" s="36">
        <f>RTD("money.excel",,"8936","Price")</f>
        <v>20.7</v>
      </c>
      <c r="X102" s="233">
        <f>30.3-0.25</f>
        <v>30.05</v>
      </c>
      <c r="Y102" s="15">
        <f>W102-X102</f>
        <v>-9.3500000000000014</v>
      </c>
      <c r="Z102" s="3">
        <f>Y102/X102</f>
        <v>-0.31114808652246262</v>
      </c>
      <c r="AA102" s="104" t="s">
        <v>1943</v>
      </c>
      <c r="AB102" s="16" t="s">
        <v>716</v>
      </c>
      <c r="AC102" s="86">
        <v>44336</v>
      </c>
      <c r="AE102" s="33">
        <f>AD102-AC102</f>
        <v>-44336</v>
      </c>
      <c r="AF102" s="41" t="s">
        <v>1188</v>
      </c>
      <c r="AH102" s="8"/>
    </row>
    <row r="103" spans="1:34" s="273" customFormat="1">
      <c r="A103" s="147"/>
      <c r="B103" s="81"/>
      <c r="C103" s="81"/>
      <c r="D103" s="81"/>
      <c r="E103" s="81"/>
      <c r="F103" s="6"/>
      <c r="G103" s="41"/>
      <c r="H103" s="8"/>
      <c r="I103" s="160"/>
      <c r="J103" s="330"/>
      <c r="K103" s="330"/>
      <c r="L103" s="330"/>
      <c r="M103" s="325"/>
      <c r="N103" s="325"/>
      <c r="O103" s="329"/>
      <c r="P103" s="390"/>
      <c r="Q103" s="362"/>
      <c r="R103" s="308"/>
      <c r="S103" s="330"/>
      <c r="T103" s="199"/>
      <c r="U103" s="367"/>
      <c r="V103" s="97"/>
      <c r="W103" s="172">
        <f>SUM(W100:W102)</f>
        <v>62.099999999999994</v>
      </c>
      <c r="X103" s="162">
        <f>SUM(X100:X102)</f>
        <v>82.5</v>
      </c>
      <c r="Y103" s="169">
        <f>W103-X103</f>
        <v>-20.400000000000006</v>
      </c>
      <c r="Z103" s="171">
        <f>Y103/X103</f>
        <v>-0.24727272727272734</v>
      </c>
      <c r="AA103" s="118"/>
      <c r="AB103" s="160">
        <f>W103*(0.001425*0.5)+W103*0.003+X103*(0.001425*0.5)</f>
        <v>0.28932750000000002</v>
      </c>
      <c r="AC103" s="6">
        <f>Y103-AB103</f>
        <v>-20.689327500000005</v>
      </c>
      <c r="AD103" s="85"/>
      <c r="AE103" s="33"/>
      <c r="AF103" s="41" t="s">
        <v>1632</v>
      </c>
      <c r="AG103" s="170"/>
    </row>
    <row r="104" spans="1:34" s="273" customFormat="1">
      <c r="A104" s="147"/>
      <c r="B104" s="81"/>
      <c r="C104" s="81"/>
      <c r="D104" s="81"/>
      <c r="E104" s="81"/>
      <c r="F104" s="6"/>
      <c r="G104" s="41"/>
      <c r="H104" s="8"/>
      <c r="I104" s="160"/>
      <c r="J104" s="330"/>
      <c r="K104" s="330"/>
      <c r="L104" s="330"/>
      <c r="M104" s="325"/>
      <c r="N104" s="325"/>
      <c r="O104" s="329"/>
      <c r="P104" s="390"/>
      <c r="Q104" s="362"/>
      <c r="R104" s="308"/>
      <c r="S104" s="330"/>
      <c r="T104" s="199"/>
      <c r="U104" s="367"/>
      <c r="V104" s="97"/>
      <c r="W104" s="172"/>
      <c r="X104" s="162"/>
      <c r="Y104" s="169"/>
      <c r="Z104" s="171"/>
      <c r="AA104" s="118"/>
      <c r="AB104" s="160"/>
      <c r="AC104" s="6"/>
      <c r="AD104" s="85"/>
      <c r="AE104" s="33"/>
      <c r="AF104" s="41"/>
      <c r="AG104" s="170"/>
    </row>
    <row r="105" spans="1:34" s="273" customFormat="1">
      <c r="A105" s="132" t="s">
        <v>1854</v>
      </c>
      <c r="B105" s="93" t="s">
        <v>1657</v>
      </c>
      <c r="C105" s="93" t="s">
        <v>1658</v>
      </c>
      <c r="D105" s="93" t="s">
        <v>1659</v>
      </c>
      <c r="E105" s="93" t="s">
        <v>1660</v>
      </c>
      <c r="F105" s="8" t="s">
        <v>1122</v>
      </c>
      <c r="G105" s="26" t="s">
        <v>4231</v>
      </c>
      <c r="H105" s="55" t="s">
        <v>342</v>
      </c>
      <c r="I105" s="1" t="s">
        <v>2750</v>
      </c>
      <c r="J105" s="324" t="s">
        <v>1529</v>
      </c>
      <c r="K105" s="324" t="s">
        <v>1217</v>
      </c>
      <c r="L105" s="324" t="s">
        <v>298</v>
      </c>
      <c r="M105" s="324" t="s">
        <v>1115</v>
      </c>
      <c r="N105" s="324" t="s">
        <v>6091</v>
      </c>
      <c r="O105" s="27" t="s">
        <v>6312</v>
      </c>
      <c r="P105" s="56" t="s">
        <v>6219</v>
      </c>
      <c r="Q105" s="26" t="s">
        <v>6313</v>
      </c>
      <c r="R105" s="309" t="s">
        <v>4371</v>
      </c>
      <c r="S105" s="335" t="s">
        <v>4398</v>
      </c>
      <c r="T105" s="14" t="s">
        <v>75</v>
      </c>
      <c r="U105" s="364" t="s">
        <v>6152</v>
      </c>
      <c r="V105" s="69" t="s">
        <v>4406</v>
      </c>
      <c r="W105" s="28" t="s">
        <v>4424</v>
      </c>
      <c r="X105" s="17" t="s">
        <v>1465</v>
      </c>
      <c r="Y105" s="14" t="s">
        <v>2755</v>
      </c>
      <c r="Z105" s="21" t="s">
        <v>1539</v>
      </c>
      <c r="AA105" s="25" t="s">
        <v>117</v>
      </c>
      <c r="AB105" s="1" t="s">
        <v>2750</v>
      </c>
      <c r="AC105" s="73" t="s">
        <v>1466</v>
      </c>
      <c r="AD105" s="74" t="s">
        <v>1223</v>
      </c>
      <c r="AE105" s="32" t="s">
        <v>1224</v>
      </c>
      <c r="AF105" s="144"/>
      <c r="AG105" s="170"/>
    </row>
    <row r="106" spans="1:34">
      <c r="A106" s="148" t="s">
        <v>2321</v>
      </c>
      <c r="B106" s="81">
        <v>171</v>
      </c>
      <c r="C106" s="81">
        <v>194</v>
      </c>
      <c r="D106" s="82">
        <v>-11</v>
      </c>
      <c r="E106" s="81">
        <v>3</v>
      </c>
      <c r="F106" s="6">
        <v>6.68</v>
      </c>
      <c r="G106" s="57" t="s">
        <v>2322</v>
      </c>
      <c r="H106" s="30" t="s">
        <v>1531</v>
      </c>
      <c r="I106" s="22" t="s">
        <v>1131</v>
      </c>
      <c r="J106" s="330">
        <v>40.75</v>
      </c>
      <c r="K106" s="330">
        <v>2.3199999999999998</v>
      </c>
      <c r="L106" s="330">
        <v>15.65</v>
      </c>
      <c r="N106" s="325">
        <f>K106+J106+L106</f>
        <v>58.72</v>
      </c>
      <c r="P106" s="391"/>
      <c r="Q106" s="307"/>
      <c r="S106" s="330">
        <v>0.32</v>
      </c>
      <c r="T106" s="34">
        <v>0.3</v>
      </c>
      <c r="V106" s="97">
        <v>1.42</v>
      </c>
      <c r="W106" s="36">
        <f>RTD("money.excel",,"6558","Price")</f>
        <v>29.35</v>
      </c>
      <c r="X106" s="233">
        <f>39.1-0.3</f>
        <v>38.800000000000004</v>
      </c>
      <c r="Y106" s="15">
        <f>W106-X106</f>
        <v>-9.4500000000000028</v>
      </c>
      <c r="Z106" s="3">
        <f>Y106/X106</f>
        <v>-0.24355670103092789</v>
      </c>
      <c r="AA106" s="104" t="s">
        <v>4111</v>
      </c>
      <c r="AB106" s="22" t="s">
        <v>1131</v>
      </c>
      <c r="AC106" s="86">
        <v>44370</v>
      </c>
      <c r="AE106" s="33"/>
      <c r="AF106" s="41" t="s">
        <v>1188</v>
      </c>
      <c r="AH106" s="254"/>
    </row>
    <row r="107" spans="1:34">
      <c r="A107" s="148" t="s">
        <v>2321</v>
      </c>
      <c r="B107" s="81">
        <v>171</v>
      </c>
      <c r="C107" s="81">
        <v>194</v>
      </c>
      <c r="D107" s="82">
        <v>-11</v>
      </c>
      <c r="E107" s="81">
        <v>3</v>
      </c>
      <c r="F107" s="6">
        <v>6.68</v>
      </c>
      <c r="G107" s="57" t="s">
        <v>2322</v>
      </c>
      <c r="H107" s="30" t="s">
        <v>1531</v>
      </c>
      <c r="I107" s="22" t="s">
        <v>1131</v>
      </c>
      <c r="J107" s="330">
        <v>40.75</v>
      </c>
      <c r="K107" s="330">
        <v>2.3199999999999998</v>
      </c>
      <c r="L107" s="330">
        <v>15.65</v>
      </c>
      <c r="N107" s="325">
        <f>K107+J107+L107</f>
        <v>58.72</v>
      </c>
      <c r="S107" s="330">
        <v>0.32</v>
      </c>
      <c r="T107" s="34">
        <v>0.3</v>
      </c>
      <c r="V107" s="97">
        <v>1.42</v>
      </c>
      <c r="W107" s="36">
        <f>RTD("money.excel",,"6558","Price")</f>
        <v>29.35</v>
      </c>
      <c r="X107" s="233">
        <f>43.05-0.3</f>
        <v>42.75</v>
      </c>
      <c r="Y107" s="15">
        <f>W107-X107</f>
        <v>-13.399999999999999</v>
      </c>
      <c r="Z107" s="3">
        <f>Y107/X107</f>
        <v>-0.31345029239766081</v>
      </c>
      <c r="AA107" s="104" t="s">
        <v>4111</v>
      </c>
      <c r="AB107" s="22" t="s">
        <v>1131</v>
      </c>
      <c r="AC107" s="86">
        <v>44363</v>
      </c>
      <c r="AE107" s="33"/>
      <c r="AF107" s="41" t="s">
        <v>1188</v>
      </c>
      <c r="AH107" s="254"/>
    </row>
    <row r="108" spans="1:34" s="273" customFormat="1">
      <c r="A108" s="147"/>
      <c r="B108" s="81"/>
      <c r="C108" s="81"/>
      <c r="D108" s="81"/>
      <c r="E108" s="81"/>
      <c r="F108" s="6"/>
      <c r="G108" s="41"/>
      <c r="H108" s="8"/>
      <c r="I108" s="160"/>
      <c r="J108" s="330"/>
      <c r="K108" s="330"/>
      <c r="L108" s="330"/>
      <c r="M108" s="325"/>
      <c r="N108" s="325"/>
      <c r="O108" s="329"/>
      <c r="P108" s="390"/>
      <c r="Q108" s="362"/>
      <c r="R108" s="308"/>
      <c r="S108" s="330"/>
      <c r="T108" s="199"/>
      <c r="U108" s="367"/>
      <c r="V108" s="97"/>
      <c r="W108" s="172">
        <f>SUM(W106:W107)</f>
        <v>58.7</v>
      </c>
      <c r="X108" s="162">
        <f>SUM(X106:X107)</f>
        <v>81.550000000000011</v>
      </c>
      <c r="Y108" s="169">
        <f>W108-X108</f>
        <v>-22.850000000000009</v>
      </c>
      <c r="Z108" s="171">
        <f>Y108/X108</f>
        <v>-0.28019619865113432</v>
      </c>
      <c r="AA108" s="118"/>
      <c r="AB108" s="160">
        <f>W108*(0.001425*0.5)+W108*0.003+X108*(0.001425*0.5)</f>
        <v>0.27602812500000007</v>
      </c>
      <c r="AC108" s="6">
        <f>Y108-AB108</f>
        <v>-23.126028125000008</v>
      </c>
      <c r="AD108" s="85"/>
      <c r="AE108" s="33"/>
      <c r="AF108" s="41" t="s">
        <v>1583</v>
      </c>
      <c r="AG108" s="170"/>
      <c r="AH108" s="265" t="s">
        <v>4126</v>
      </c>
    </row>
    <row r="109" spans="1:34" s="273" customFormat="1">
      <c r="A109" s="147"/>
      <c r="B109" s="81"/>
      <c r="C109" s="82"/>
      <c r="D109" s="81"/>
      <c r="E109" s="82"/>
      <c r="F109" s="6"/>
      <c r="G109" s="41"/>
      <c r="H109" s="50"/>
      <c r="I109" s="173"/>
      <c r="J109" s="330"/>
      <c r="K109" s="330"/>
      <c r="L109" s="75"/>
      <c r="M109" s="325"/>
      <c r="N109" s="325"/>
      <c r="O109" s="329"/>
      <c r="P109" s="390"/>
      <c r="Q109" s="362"/>
      <c r="R109" s="308"/>
      <c r="S109" s="330"/>
      <c r="T109" s="199"/>
      <c r="U109" s="367"/>
      <c r="V109" s="97"/>
      <c r="W109" s="172"/>
      <c r="X109" s="162"/>
      <c r="Y109" s="169"/>
      <c r="Z109" s="171"/>
      <c r="AA109" s="118"/>
      <c r="AB109" s="160"/>
      <c r="AC109" s="6"/>
      <c r="AD109" s="85"/>
      <c r="AE109" s="33"/>
      <c r="AF109" s="132"/>
      <c r="AG109" s="170"/>
    </row>
    <row r="110" spans="1:34" s="273" customFormat="1">
      <c r="A110" s="132" t="s">
        <v>1854</v>
      </c>
      <c r="B110" s="93" t="s">
        <v>1657</v>
      </c>
      <c r="C110" s="93" t="s">
        <v>1658</v>
      </c>
      <c r="D110" s="93" t="s">
        <v>1659</v>
      </c>
      <c r="E110" s="93" t="s">
        <v>1660</v>
      </c>
      <c r="F110" s="8" t="s">
        <v>1122</v>
      </c>
      <c r="G110" s="26" t="s">
        <v>4231</v>
      </c>
      <c r="H110" s="55" t="s">
        <v>342</v>
      </c>
      <c r="I110" s="1" t="s">
        <v>2750</v>
      </c>
      <c r="J110" s="324" t="s">
        <v>1529</v>
      </c>
      <c r="K110" s="324" t="s">
        <v>1217</v>
      </c>
      <c r="L110" s="324" t="s">
        <v>298</v>
      </c>
      <c r="M110" s="324" t="s">
        <v>1115</v>
      </c>
      <c r="N110" s="324" t="s">
        <v>6091</v>
      </c>
      <c r="O110" s="27" t="s">
        <v>6312</v>
      </c>
      <c r="P110" s="56" t="s">
        <v>6219</v>
      </c>
      <c r="Q110" s="26" t="s">
        <v>6313</v>
      </c>
      <c r="R110" s="309" t="s">
        <v>4371</v>
      </c>
      <c r="S110" s="335" t="s">
        <v>4398</v>
      </c>
      <c r="T110" s="14" t="s">
        <v>75</v>
      </c>
      <c r="U110" s="364" t="s">
        <v>6152</v>
      </c>
      <c r="V110" s="69" t="s">
        <v>4406</v>
      </c>
      <c r="W110" s="28" t="s">
        <v>4424</v>
      </c>
      <c r="X110" s="17" t="s">
        <v>1465</v>
      </c>
      <c r="Y110" s="14" t="s">
        <v>2755</v>
      </c>
      <c r="Z110" s="21" t="s">
        <v>1539</v>
      </c>
      <c r="AA110" s="25" t="s">
        <v>117</v>
      </c>
      <c r="AB110" s="1" t="s">
        <v>2750</v>
      </c>
      <c r="AC110" s="73" t="s">
        <v>1466</v>
      </c>
      <c r="AD110" s="74" t="s">
        <v>1223</v>
      </c>
      <c r="AE110" s="32" t="s">
        <v>1224</v>
      </c>
      <c r="AF110" s="144"/>
      <c r="AG110" s="170"/>
    </row>
    <row r="111" spans="1:34">
      <c r="A111" s="132" t="s">
        <v>1910</v>
      </c>
      <c r="B111" s="81">
        <v>493</v>
      </c>
      <c r="C111" s="81">
        <v>373</v>
      </c>
      <c r="D111" s="82">
        <v>-51</v>
      </c>
      <c r="E111" s="81">
        <v>80</v>
      </c>
      <c r="F111" s="58">
        <v>21.21</v>
      </c>
      <c r="G111" s="57" t="s">
        <v>659</v>
      </c>
      <c r="H111" s="50" t="s">
        <v>1471</v>
      </c>
      <c r="I111" s="16" t="s">
        <v>660</v>
      </c>
      <c r="J111" s="330">
        <v>28.27</v>
      </c>
      <c r="K111" s="330">
        <v>1.08</v>
      </c>
      <c r="L111" s="75">
        <v>19.5</v>
      </c>
      <c r="N111" s="325">
        <f t="shared" ref="N111:N113" si="53">K111+J111+L111</f>
        <v>48.85</v>
      </c>
      <c r="S111" s="330">
        <v>0.27</v>
      </c>
      <c r="T111" s="67">
        <v>1.5</v>
      </c>
      <c r="V111" s="97">
        <v>19.010000000000002</v>
      </c>
      <c r="W111" s="36">
        <f>RTD("money.excel",,"4735","Price")</f>
        <v>50.8</v>
      </c>
      <c r="X111" s="233">
        <f>91.8-1.5-2.5-1.2</f>
        <v>86.6</v>
      </c>
      <c r="Y111" s="15">
        <f>W111-X111</f>
        <v>-35.799999999999997</v>
      </c>
      <c r="Z111" s="78">
        <f t="shared" ref="Z111:Z113" si="54">Y111/X111</f>
        <v>-0.41339491916859122</v>
      </c>
      <c r="AA111" s="141" t="s">
        <v>4053</v>
      </c>
      <c r="AB111" s="16" t="s">
        <v>660</v>
      </c>
      <c r="AC111" s="86">
        <v>44333</v>
      </c>
      <c r="AE111" s="33">
        <f t="shared" ref="AE111:AE113" si="55">AD111-AC111</f>
        <v>-44333</v>
      </c>
      <c r="AF111" s="132" t="s">
        <v>1188</v>
      </c>
      <c r="AG111" s="240"/>
      <c r="AH111" s="229"/>
    </row>
    <row r="112" spans="1:34">
      <c r="A112" s="132" t="s">
        <v>1910</v>
      </c>
      <c r="B112" s="81">
        <v>493</v>
      </c>
      <c r="C112" s="81">
        <v>373</v>
      </c>
      <c r="D112" s="82">
        <v>-51</v>
      </c>
      <c r="E112" s="81">
        <v>80</v>
      </c>
      <c r="F112" s="58">
        <v>21.21</v>
      </c>
      <c r="G112" s="57" t="s">
        <v>659</v>
      </c>
      <c r="H112" s="30" t="s">
        <v>1531</v>
      </c>
      <c r="I112" s="16" t="s">
        <v>660</v>
      </c>
      <c r="J112" s="330">
        <v>28.27</v>
      </c>
      <c r="K112" s="330">
        <v>1.08</v>
      </c>
      <c r="L112" s="75">
        <v>19.5</v>
      </c>
      <c r="N112" s="325">
        <f t="shared" ref="N112" si="56">K112+J112+L112</f>
        <v>48.85</v>
      </c>
      <c r="S112" s="330">
        <v>0.27</v>
      </c>
      <c r="T112" s="67">
        <v>1.5</v>
      </c>
      <c r="V112" s="97">
        <v>19.010000000000002</v>
      </c>
      <c r="W112" s="36">
        <f>RTD("money.excel",,"4735","Price")</f>
        <v>50.8</v>
      </c>
      <c r="X112" s="233">
        <f>71.1-2.5-1.2</f>
        <v>67.399999999999991</v>
      </c>
      <c r="Y112" s="15">
        <f>W112-X112</f>
        <v>-16.599999999999994</v>
      </c>
      <c r="Z112" s="78">
        <f t="shared" ref="Z112" si="57">Y112/X112</f>
        <v>-0.24629080118694358</v>
      </c>
      <c r="AA112" s="141" t="s">
        <v>4053</v>
      </c>
      <c r="AB112" s="16" t="s">
        <v>660</v>
      </c>
      <c r="AC112" s="86">
        <v>44453</v>
      </c>
      <c r="AE112" s="33">
        <f t="shared" ref="AE112" si="58">AD112-AC112</f>
        <v>-44453</v>
      </c>
      <c r="AF112" s="41" t="s">
        <v>1188</v>
      </c>
      <c r="AG112" s="240"/>
      <c r="AH112" s="229"/>
    </row>
    <row r="113" spans="1:44">
      <c r="A113" s="132" t="s">
        <v>1910</v>
      </c>
      <c r="B113" s="81">
        <v>493</v>
      </c>
      <c r="C113" s="81">
        <v>373</v>
      </c>
      <c r="D113" s="82">
        <v>-51</v>
      </c>
      <c r="E113" s="81">
        <v>80</v>
      </c>
      <c r="F113" s="58">
        <v>21.21</v>
      </c>
      <c r="G113" s="57" t="s">
        <v>659</v>
      </c>
      <c r="H113" s="30" t="s">
        <v>1531</v>
      </c>
      <c r="I113" s="16" t="s">
        <v>660</v>
      </c>
      <c r="J113" s="330">
        <v>28.27</v>
      </c>
      <c r="K113" s="330">
        <v>1.08</v>
      </c>
      <c r="L113" s="75">
        <v>19.5</v>
      </c>
      <c r="N113" s="325">
        <f t="shared" si="53"/>
        <v>48.85</v>
      </c>
      <c r="S113" s="330">
        <v>0.27</v>
      </c>
      <c r="T113" s="67">
        <v>1.5</v>
      </c>
      <c r="V113" s="97">
        <v>19.010000000000002</v>
      </c>
      <c r="W113" s="36">
        <f>RTD("money.excel",,"4735","Price")</f>
        <v>50.8</v>
      </c>
      <c r="X113" s="233">
        <f>91.8-1.5-2.5-1.2</f>
        <v>86.6</v>
      </c>
      <c r="Y113" s="15">
        <f>W113-X113</f>
        <v>-35.799999999999997</v>
      </c>
      <c r="Z113" s="78">
        <f t="shared" si="54"/>
        <v>-0.41339491916859122</v>
      </c>
      <c r="AA113" s="141" t="s">
        <v>4053</v>
      </c>
      <c r="AB113" s="16" t="s">
        <v>660</v>
      </c>
      <c r="AC113" s="86">
        <v>44333</v>
      </c>
      <c r="AE113" s="33">
        <f t="shared" si="55"/>
        <v>-44333</v>
      </c>
      <c r="AF113" s="41" t="s">
        <v>1188</v>
      </c>
      <c r="AG113" s="240"/>
      <c r="AH113" s="229"/>
    </row>
    <row r="114" spans="1:44" s="273" customFormat="1">
      <c r="A114" s="147"/>
      <c r="B114" s="81"/>
      <c r="C114" s="81"/>
      <c r="D114" s="81"/>
      <c r="E114" s="81"/>
      <c r="F114" s="6"/>
      <c r="G114" s="41"/>
      <c r="H114" s="8"/>
      <c r="I114" s="160"/>
      <c r="J114" s="330"/>
      <c r="K114" s="330"/>
      <c r="L114" s="330"/>
      <c r="M114" s="325"/>
      <c r="N114" s="325"/>
      <c r="O114" s="329"/>
      <c r="P114" s="390"/>
      <c r="Q114" s="362"/>
      <c r="R114" s="308"/>
      <c r="S114" s="330"/>
      <c r="T114" s="199"/>
      <c r="U114" s="367"/>
      <c r="V114" s="97"/>
      <c r="W114" s="172">
        <f>SUM(W111:W113)</f>
        <v>152.39999999999998</v>
      </c>
      <c r="X114" s="162">
        <f>SUM(X111:X113)</f>
        <v>240.6</v>
      </c>
      <c r="Y114" s="169">
        <f>W114-X114</f>
        <v>-88.200000000000017</v>
      </c>
      <c r="Z114" s="171">
        <f>Y114/X114</f>
        <v>-0.36658354114713226</v>
      </c>
      <c r="AA114" s="118"/>
      <c r="AB114" s="160">
        <f>W114*(0.001425*0.5)+W114*0.003+X114*(0.001425*0.5)</f>
        <v>0.73721250000000005</v>
      </c>
      <c r="AC114" s="6">
        <f>Y114-AB114</f>
        <v>-88.937212500000015</v>
      </c>
      <c r="AD114" s="85"/>
      <c r="AE114" s="33"/>
      <c r="AF114" s="41" t="s">
        <v>1583</v>
      </c>
      <c r="AG114" s="170"/>
      <c r="AH114" s="265" t="s">
        <v>4127</v>
      </c>
    </row>
    <row r="115" spans="1:44" s="273" customFormat="1">
      <c r="A115" s="147"/>
      <c r="B115" s="81"/>
      <c r="C115" s="81"/>
      <c r="D115" s="81"/>
      <c r="E115" s="81"/>
      <c r="F115" s="6"/>
      <c r="G115" s="41"/>
      <c r="H115" s="8"/>
      <c r="I115" s="160"/>
      <c r="J115" s="330"/>
      <c r="K115" s="330"/>
      <c r="L115" s="330"/>
      <c r="M115" s="325"/>
      <c r="N115" s="325"/>
      <c r="O115" s="329"/>
      <c r="P115" s="390"/>
      <c r="Q115" s="362"/>
      <c r="R115" s="308"/>
      <c r="S115" s="330"/>
      <c r="T115" s="199"/>
      <c r="U115" s="367"/>
      <c r="V115" s="97"/>
      <c r="W115" s="172"/>
      <c r="X115" s="162"/>
      <c r="Y115" s="169"/>
      <c r="Z115" s="171"/>
      <c r="AA115" s="118"/>
      <c r="AB115" s="160"/>
      <c r="AC115" s="6"/>
      <c r="AD115" s="85"/>
      <c r="AE115" s="33"/>
      <c r="AF115" s="41"/>
      <c r="AG115" s="170"/>
    </row>
    <row r="116" spans="1:44" s="273" customFormat="1">
      <c r="A116" s="132" t="s">
        <v>1854</v>
      </c>
      <c r="B116" s="93" t="s">
        <v>1657</v>
      </c>
      <c r="C116" s="93" t="s">
        <v>1658</v>
      </c>
      <c r="D116" s="93" t="s">
        <v>1659</v>
      </c>
      <c r="E116" s="93" t="s">
        <v>1660</v>
      </c>
      <c r="F116" s="8" t="s">
        <v>1122</v>
      </c>
      <c r="G116" s="26" t="s">
        <v>4231</v>
      </c>
      <c r="H116" s="55" t="s">
        <v>342</v>
      </c>
      <c r="I116" s="1" t="s">
        <v>2750</v>
      </c>
      <c r="J116" s="324" t="s">
        <v>1529</v>
      </c>
      <c r="K116" s="324" t="s">
        <v>1217</v>
      </c>
      <c r="L116" s="324" t="s">
        <v>298</v>
      </c>
      <c r="M116" s="324" t="s">
        <v>1115</v>
      </c>
      <c r="N116" s="324" t="s">
        <v>6091</v>
      </c>
      <c r="O116" s="27" t="s">
        <v>6312</v>
      </c>
      <c r="P116" s="56" t="s">
        <v>6219</v>
      </c>
      <c r="Q116" s="26" t="s">
        <v>6313</v>
      </c>
      <c r="R116" s="309" t="s">
        <v>4371</v>
      </c>
      <c r="S116" s="335" t="s">
        <v>4398</v>
      </c>
      <c r="T116" s="14" t="s">
        <v>75</v>
      </c>
      <c r="U116" s="364" t="s">
        <v>6152</v>
      </c>
      <c r="V116" s="69" t="s">
        <v>4406</v>
      </c>
      <c r="W116" s="28" t="s">
        <v>4424</v>
      </c>
      <c r="X116" s="17" t="s">
        <v>1465</v>
      </c>
      <c r="Y116" s="14" t="s">
        <v>2755</v>
      </c>
      <c r="Z116" s="21" t="s">
        <v>1539</v>
      </c>
      <c r="AA116" s="25" t="s">
        <v>117</v>
      </c>
      <c r="AB116" s="1" t="s">
        <v>2750</v>
      </c>
      <c r="AC116" s="73" t="s">
        <v>1466</v>
      </c>
      <c r="AD116" s="74" t="s">
        <v>1223</v>
      </c>
      <c r="AE116" s="32" t="s">
        <v>1224</v>
      </c>
      <c r="AF116" s="144"/>
      <c r="AG116" s="170"/>
    </row>
    <row r="117" spans="1:44">
      <c r="A117" s="148" t="s">
        <v>1960</v>
      </c>
      <c r="B117" s="82">
        <v>-53</v>
      </c>
      <c r="C117" s="82">
        <v>-65</v>
      </c>
      <c r="D117" s="81">
        <v>18</v>
      </c>
      <c r="E117" s="82">
        <v>-5</v>
      </c>
      <c r="F117" s="6">
        <v>6.45</v>
      </c>
      <c r="G117" s="57" t="s">
        <v>652</v>
      </c>
      <c r="H117" s="50" t="s">
        <v>1471</v>
      </c>
      <c r="I117" s="16" t="s">
        <v>653</v>
      </c>
      <c r="J117" s="75">
        <v>31.99</v>
      </c>
      <c r="K117" s="75">
        <v>0.87</v>
      </c>
      <c r="L117" s="330">
        <v>11.8</v>
      </c>
      <c r="N117" s="325">
        <f t="shared" ref="N117:N119" si="59">K117+J117+L117</f>
        <v>44.66</v>
      </c>
      <c r="S117" s="330">
        <v>0.13</v>
      </c>
      <c r="T117" s="34">
        <v>0.61</v>
      </c>
      <c r="V117" s="97">
        <v>0.27</v>
      </c>
      <c r="W117" s="36">
        <f>RTD("money.excel",,"4130","Price")</f>
        <v>23.95</v>
      </c>
      <c r="X117" s="233">
        <f>28.7</f>
        <v>28.7</v>
      </c>
      <c r="Y117" s="15">
        <f>W117-X117</f>
        <v>-4.75</v>
      </c>
      <c r="Z117" s="3">
        <f>Y117/X117</f>
        <v>-0.16550522648083624</v>
      </c>
      <c r="AA117" s="104" t="s">
        <v>1943</v>
      </c>
      <c r="AB117" s="16" t="s">
        <v>653</v>
      </c>
      <c r="AC117" s="86">
        <v>44298</v>
      </c>
      <c r="AE117" s="33">
        <f>AD117-AC117</f>
        <v>-44298</v>
      </c>
      <c r="AF117" s="132" t="s">
        <v>1188</v>
      </c>
      <c r="AH117" s="8"/>
    </row>
    <row r="118" spans="1:44">
      <c r="A118" s="148" t="s">
        <v>1960</v>
      </c>
      <c r="B118" s="82">
        <v>-53</v>
      </c>
      <c r="C118" s="82">
        <v>-65</v>
      </c>
      <c r="D118" s="81">
        <v>18</v>
      </c>
      <c r="E118" s="82">
        <v>-5</v>
      </c>
      <c r="F118" s="6">
        <v>6.45</v>
      </c>
      <c r="G118" s="57" t="s">
        <v>652</v>
      </c>
      <c r="H118" s="30" t="s">
        <v>1531</v>
      </c>
      <c r="I118" s="16" t="s">
        <v>653</v>
      </c>
      <c r="J118" s="75">
        <v>31.99</v>
      </c>
      <c r="K118" s="75">
        <v>0.87</v>
      </c>
      <c r="L118" s="330">
        <v>11.8</v>
      </c>
      <c r="N118" s="325">
        <f t="shared" si="59"/>
        <v>44.66</v>
      </c>
      <c r="S118" s="330">
        <v>0.13</v>
      </c>
      <c r="T118" s="34">
        <v>0.61</v>
      </c>
      <c r="V118" s="97">
        <v>0.27</v>
      </c>
      <c r="W118" s="36">
        <f>RTD("money.excel",,"4130","Price")</f>
        <v>23.95</v>
      </c>
      <c r="X118" s="233">
        <f>29.05</f>
        <v>29.05</v>
      </c>
      <c r="Y118" s="15">
        <f>W118-X118</f>
        <v>-5.1000000000000014</v>
      </c>
      <c r="Z118" s="3">
        <f>Y118/X118</f>
        <v>-0.17555938037865754</v>
      </c>
      <c r="AA118" s="104" t="s">
        <v>1943</v>
      </c>
      <c r="AB118" s="16" t="s">
        <v>653</v>
      </c>
      <c r="AC118" s="86">
        <v>44298</v>
      </c>
      <c r="AE118" s="33">
        <f>AD118-AC118</f>
        <v>-44298</v>
      </c>
      <c r="AF118" s="41" t="s">
        <v>1188</v>
      </c>
      <c r="AH118" s="8"/>
    </row>
    <row r="119" spans="1:44">
      <c r="A119" s="148" t="s">
        <v>1960</v>
      </c>
      <c r="B119" s="82">
        <v>-53</v>
      </c>
      <c r="C119" s="82">
        <v>-65</v>
      </c>
      <c r="D119" s="81">
        <v>18</v>
      </c>
      <c r="E119" s="82">
        <v>-5</v>
      </c>
      <c r="F119" s="6">
        <v>6.45</v>
      </c>
      <c r="G119" s="57" t="s">
        <v>652</v>
      </c>
      <c r="H119" s="30" t="s">
        <v>1531</v>
      </c>
      <c r="I119" s="16" t="s">
        <v>653</v>
      </c>
      <c r="J119" s="75">
        <v>31.99</v>
      </c>
      <c r="K119" s="75">
        <v>0.87</v>
      </c>
      <c r="L119" s="330">
        <v>11.8</v>
      </c>
      <c r="N119" s="325">
        <f t="shared" si="59"/>
        <v>44.66</v>
      </c>
      <c r="S119" s="330">
        <v>0.13</v>
      </c>
      <c r="T119" s="34">
        <v>0.61</v>
      </c>
      <c r="V119" s="97">
        <v>0.27</v>
      </c>
      <c r="W119" s="36">
        <f>RTD("money.excel",,"4130","Price")</f>
        <v>23.95</v>
      </c>
      <c r="X119" s="233">
        <f>28.65</f>
        <v>28.65</v>
      </c>
      <c r="Y119" s="15">
        <f>W119-X119</f>
        <v>-4.6999999999999993</v>
      </c>
      <c r="Z119" s="3">
        <f>Y119/X119</f>
        <v>-0.16404886561954624</v>
      </c>
      <c r="AA119" s="104" t="s">
        <v>1943</v>
      </c>
      <c r="AB119" s="16" t="s">
        <v>653</v>
      </c>
      <c r="AC119" s="86">
        <v>44298</v>
      </c>
      <c r="AE119" s="33">
        <f>AD119-AC119</f>
        <v>-44298</v>
      </c>
      <c r="AF119" s="41" t="s">
        <v>1188</v>
      </c>
      <c r="AG119" s="41" t="s">
        <v>1583</v>
      </c>
      <c r="AH119" s="8"/>
    </row>
    <row r="120" spans="1:44" s="273" customFormat="1">
      <c r="A120" s="147"/>
      <c r="B120" s="81"/>
      <c r="C120" s="81"/>
      <c r="D120" s="81"/>
      <c r="E120" s="81"/>
      <c r="F120" s="6"/>
      <c r="G120" s="41"/>
      <c r="H120" s="8"/>
      <c r="I120" s="160"/>
      <c r="J120" s="330"/>
      <c r="K120" s="330"/>
      <c r="L120" s="330"/>
      <c r="M120" s="325"/>
      <c r="N120" s="325"/>
      <c r="O120" s="329"/>
      <c r="P120" s="390"/>
      <c r="Q120" s="362"/>
      <c r="R120" s="308"/>
      <c r="S120" s="330"/>
      <c r="T120" s="199"/>
      <c r="U120" s="367"/>
      <c r="V120" s="97"/>
      <c r="W120" s="172">
        <f>SUM(W117:W119)</f>
        <v>71.849999999999994</v>
      </c>
      <c r="X120" s="162">
        <f>SUM(X117:X119)</f>
        <v>86.4</v>
      </c>
      <c r="Y120" s="169">
        <f>W120-X120</f>
        <v>-14.550000000000011</v>
      </c>
      <c r="Z120" s="171">
        <f>Y120/X120</f>
        <v>-0.1684027777777779</v>
      </c>
      <c r="AA120" s="118"/>
      <c r="AB120" s="160">
        <f>W120*(0.001425*0.5)+W120*0.003+X120*(0.001425*0.5)</f>
        <v>0.32830312499999997</v>
      </c>
      <c r="AC120" s="6">
        <f>Y120-AB120</f>
        <v>-14.878303125000011</v>
      </c>
      <c r="AD120" s="85"/>
      <c r="AE120" s="33"/>
      <c r="AF120" s="41" t="s">
        <v>1632</v>
      </c>
      <c r="AG120" s="170"/>
    </row>
    <row r="121" spans="1:44">
      <c r="A121" s="148"/>
      <c r="B121" s="81"/>
      <c r="C121" s="81"/>
      <c r="D121" s="81"/>
      <c r="E121" s="82"/>
      <c r="F121" s="6"/>
      <c r="G121" s="41"/>
      <c r="H121" s="5"/>
      <c r="I121" s="16"/>
      <c r="J121" s="75"/>
      <c r="K121" s="75"/>
      <c r="L121" s="330"/>
      <c r="N121" s="325"/>
      <c r="T121" s="34"/>
      <c r="V121" s="97"/>
      <c r="W121" s="36"/>
      <c r="X121" s="67"/>
      <c r="Y121" s="15"/>
      <c r="Z121" s="3"/>
      <c r="AA121" s="104"/>
      <c r="AB121" s="16"/>
      <c r="AC121" s="120"/>
      <c r="AE121" s="121"/>
      <c r="AF121" s="24"/>
      <c r="AH121" s="8"/>
    </row>
    <row r="122" spans="1:44" s="273" customFormat="1">
      <c r="A122" s="132" t="s">
        <v>1854</v>
      </c>
      <c r="B122" s="93" t="s">
        <v>1657</v>
      </c>
      <c r="C122" s="93" t="s">
        <v>1658</v>
      </c>
      <c r="D122" s="93" t="s">
        <v>1659</v>
      </c>
      <c r="E122" s="93" t="s">
        <v>1660</v>
      </c>
      <c r="F122" s="8" t="s">
        <v>1122</v>
      </c>
      <c r="G122" s="26" t="s">
        <v>4231</v>
      </c>
      <c r="H122" s="55" t="s">
        <v>342</v>
      </c>
      <c r="I122" s="1" t="s">
        <v>79</v>
      </c>
      <c r="J122" s="324" t="s">
        <v>1529</v>
      </c>
      <c r="K122" s="324" t="s">
        <v>1217</v>
      </c>
      <c r="L122" s="324" t="s">
        <v>298</v>
      </c>
      <c r="M122" s="324" t="s">
        <v>1115</v>
      </c>
      <c r="N122" s="324" t="s">
        <v>6091</v>
      </c>
      <c r="O122" s="27" t="s">
        <v>6312</v>
      </c>
      <c r="P122" s="56" t="s">
        <v>6219</v>
      </c>
      <c r="Q122" s="26" t="s">
        <v>6313</v>
      </c>
      <c r="R122" s="309" t="s">
        <v>4371</v>
      </c>
      <c r="S122" s="335" t="s">
        <v>4398</v>
      </c>
      <c r="T122" s="14" t="s">
        <v>75</v>
      </c>
      <c r="U122" s="364" t="s">
        <v>6152</v>
      </c>
      <c r="V122" s="69" t="s">
        <v>4406</v>
      </c>
      <c r="W122" s="28" t="s">
        <v>4424</v>
      </c>
      <c r="X122" s="17" t="s">
        <v>1465</v>
      </c>
      <c r="Y122" s="14" t="s">
        <v>2755</v>
      </c>
      <c r="Z122" s="21" t="s">
        <v>1539</v>
      </c>
      <c r="AA122" s="25" t="s">
        <v>117</v>
      </c>
      <c r="AB122" s="1" t="s">
        <v>79</v>
      </c>
      <c r="AC122" s="73" t="s">
        <v>1466</v>
      </c>
      <c r="AD122" s="74" t="s">
        <v>1223</v>
      </c>
      <c r="AE122" s="32" t="s">
        <v>1224</v>
      </c>
      <c r="AF122" s="144"/>
      <c r="AG122" s="170"/>
    </row>
    <row r="123" spans="1:44" s="178" customFormat="1" ht="17.100000000000001" customHeight="1">
      <c r="A123" s="148">
        <v>5.0599999999999996</v>
      </c>
      <c r="B123" s="81">
        <v>11</v>
      </c>
      <c r="C123" s="81">
        <v>23</v>
      </c>
      <c r="D123" s="82">
        <v>-20</v>
      </c>
      <c r="E123" s="82">
        <v>-15</v>
      </c>
      <c r="F123" s="6">
        <v>-10.76</v>
      </c>
      <c r="G123" s="57" t="s">
        <v>2740</v>
      </c>
      <c r="H123" s="50" t="s">
        <v>1471</v>
      </c>
      <c r="I123" s="173" t="s">
        <v>220</v>
      </c>
      <c r="J123" s="330">
        <v>46.39</v>
      </c>
      <c r="K123" s="330">
        <v>0.97</v>
      </c>
      <c r="L123" s="75">
        <v>6.44</v>
      </c>
      <c r="M123" s="325"/>
      <c r="N123" s="325">
        <f t="shared" ref="N123:N130" si="60">K123+J123+L123</f>
        <v>53.8</v>
      </c>
      <c r="O123" s="329"/>
      <c r="P123" s="390"/>
      <c r="Q123" s="362"/>
      <c r="R123" s="308"/>
      <c r="S123" s="330">
        <v>0.49</v>
      </c>
      <c r="T123" s="199">
        <v>0</v>
      </c>
      <c r="U123" s="367"/>
      <c r="V123" s="97">
        <v>-0.1</v>
      </c>
      <c r="W123" s="172">
        <f>RTD("money.excel",,"4432","Price")</f>
        <v>14.75</v>
      </c>
      <c r="X123" s="66">
        <v>17.95</v>
      </c>
      <c r="Y123" s="169">
        <f t="shared" ref="Y123:Y130" si="61">W123-X123</f>
        <v>-3.1999999999999993</v>
      </c>
      <c r="Z123" s="171">
        <f t="shared" ref="Z123:Z131" si="62">Y123/X123</f>
        <v>-0.17827298050139273</v>
      </c>
      <c r="AA123" s="118" t="s">
        <v>3942</v>
      </c>
      <c r="AB123" s="173" t="s">
        <v>220</v>
      </c>
      <c r="AC123" s="86">
        <v>44314</v>
      </c>
      <c r="AD123" s="85"/>
      <c r="AE123" s="33">
        <f t="shared" ref="AE123:AE130" si="63">AD123-AC123</f>
        <v>-44314</v>
      </c>
      <c r="AF123" s="132" t="s">
        <v>1188</v>
      </c>
      <c r="AG123" s="27"/>
      <c r="AH123" s="17"/>
      <c r="AI123" s="11"/>
      <c r="AJ123" s="11"/>
      <c r="AK123" s="11"/>
      <c r="AL123" s="11"/>
      <c r="AM123" s="273"/>
      <c r="AN123" s="273"/>
      <c r="AP123" s="4"/>
      <c r="AQ123" s="273"/>
      <c r="AR123" s="273"/>
    </row>
    <row r="124" spans="1:44" s="178" customFormat="1" ht="17.100000000000001" customHeight="1">
      <c r="A124" s="148">
        <v>5.0599999999999996</v>
      </c>
      <c r="B124" s="81">
        <v>11</v>
      </c>
      <c r="C124" s="81">
        <v>23</v>
      </c>
      <c r="D124" s="82">
        <v>-20</v>
      </c>
      <c r="E124" s="82">
        <v>-15</v>
      </c>
      <c r="F124" s="6">
        <v>-10.76</v>
      </c>
      <c r="G124" s="57" t="s">
        <v>2740</v>
      </c>
      <c r="H124" s="50" t="s">
        <v>1471</v>
      </c>
      <c r="I124" s="173" t="s">
        <v>220</v>
      </c>
      <c r="J124" s="330">
        <v>46.39</v>
      </c>
      <c r="K124" s="330">
        <v>0.97</v>
      </c>
      <c r="L124" s="75">
        <v>6.44</v>
      </c>
      <c r="M124" s="325"/>
      <c r="N124" s="325">
        <f t="shared" si="60"/>
        <v>53.8</v>
      </c>
      <c r="O124" s="329"/>
      <c r="P124" s="390"/>
      <c r="Q124" s="362"/>
      <c r="R124" s="308"/>
      <c r="S124" s="330">
        <v>0.49</v>
      </c>
      <c r="T124" s="199">
        <v>0</v>
      </c>
      <c r="U124" s="367"/>
      <c r="V124" s="97">
        <v>-0.1</v>
      </c>
      <c r="W124" s="172">
        <f>RTD("money.excel",,"4432","Price")</f>
        <v>14.75</v>
      </c>
      <c r="X124" s="66">
        <v>17.899999999999999</v>
      </c>
      <c r="Y124" s="169">
        <f t="shared" si="61"/>
        <v>-3.1499999999999986</v>
      </c>
      <c r="Z124" s="171">
        <f t="shared" si="62"/>
        <v>-0.17597765363128484</v>
      </c>
      <c r="AA124" s="118" t="s">
        <v>3942</v>
      </c>
      <c r="AB124" s="173" t="s">
        <v>220</v>
      </c>
      <c r="AC124" s="86">
        <v>44313</v>
      </c>
      <c r="AD124" s="85"/>
      <c r="AE124" s="33">
        <f t="shared" si="63"/>
        <v>-44313</v>
      </c>
      <c r="AF124" s="132" t="s">
        <v>1188</v>
      </c>
      <c r="AG124" s="27"/>
      <c r="AH124" s="17"/>
      <c r="AI124" s="11"/>
      <c r="AJ124" s="11"/>
      <c r="AK124" s="11"/>
      <c r="AL124" s="11"/>
      <c r="AM124" s="273"/>
      <c r="AN124" s="273"/>
      <c r="AP124" s="4"/>
      <c r="AQ124" s="273"/>
      <c r="AR124" s="273"/>
    </row>
    <row r="125" spans="1:44" s="178" customFormat="1" ht="17.100000000000001" customHeight="1">
      <c r="A125" s="148">
        <v>5.0599999999999996</v>
      </c>
      <c r="B125" s="81">
        <v>11</v>
      </c>
      <c r="C125" s="81">
        <v>23</v>
      </c>
      <c r="D125" s="82">
        <v>-20</v>
      </c>
      <c r="E125" s="82">
        <v>-15</v>
      </c>
      <c r="F125" s="6">
        <v>-10.76</v>
      </c>
      <c r="G125" s="57" t="s">
        <v>2740</v>
      </c>
      <c r="H125" s="50" t="s">
        <v>1471</v>
      </c>
      <c r="I125" s="173" t="s">
        <v>220</v>
      </c>
      <c r="J125" s="330">
        <v>46.39</v>
      </c>
      <c r="K125" s="330">
        <v>0.97</v>
      </c>
      <c r="L125" s="75">
        <v>6.44</v>
      </c>
      <c r="M125" s="325"/>
      <c r="N125" s="325">
        <f t="shared" si="60"/>
        <v>53.8</v>
      </c>
      <c r="O125" s="329"/>
      <c r="P125" s="390"/>
      <c r="Q125" s="362"/>
      <c r="R125" s="308"/>
      <c r="S125" s="330">
        <v>0.49</v>
      </c>
      <c r="T125" s="199">
        <v>0</v>
      </c>
      <c r="U125" s="367"/>
      <c r="V125" s="97">
        <v>-0.1</v>
      </c>
      <c r="W125" s="172">
        <f>RTD("money.excel",,"4432","Price")</f>
        <v>14.75</v>
      </c>
      <c r="X125" s="66">
        <v>18.05</v>
      </c>
      <c r="Y125" s="169">
        <f t="shared" si="61"/>
        <v>-3.3000000000000007</v>
      </c>
      <c r="Z125" s="171">
        <f t="shared" si="62"/>
        <v>-0.18282548476454297</v>
      </c>
      <c r="AA125" s="118" t="s">
        <v>3942</v>
      </c>
      <c r="AB125" s="173" t="s">
        <v>220</v>
      </c>
      <c r="AC125" s="86">
        <v>44312</v>
      </c>
      <c r="AD125" s="85"/>
      <c r="AE125" s="33">
        <f t="shared" si="63"/>
        <v>-44312</v>
      </c>
      <c r="AF125" s="132" t="s">
        <v>1188</v>
      </c>
      <c r="AG125" s="27"/>
      <c r="AH125" s="17"/>
      <c r="AI125" s="11"/>
      <c r="AJ125" s="11"/>
      <c r="AK125" s="11"/>
      <c r="AL125" s="11"/>
      <c r="AM125" s="273"/>
      <c r="AN125" s="273"/>
      <c r="AP125" s="4"/>
      <c r="AQ125" s="273"/>
      <c r="AR125" s="273"/>
    </row>
    <row r="126" spans="1:44" s="178" customFormat="1" ht="17.100000000000001" customHeight="1">
      <c r="A126" s="148">
        <v>5.0599999999999996</v>
      </c>
      <c r="B126" s="81">
        <v>11</v>
      </c>
      <c r="C126" s="81">
        <v>23</v>
      </c>
      <c r="D126" s="82">
        <v>-20</v>
      </c>
      <c r="E126" s="82">
        <v>-15</v>
      </c>
      <c r="F126" s="6">
        <v>-10.76</v>
      </c>
      <c r="G126" s="57" t="s">
        <v>2740</v>
      </c>
      <c r="H126" s="50" t="s">
        <v>1471</v>
      </c>
      <c r="I126" s="173" t="s">
        <v>220</v>
      </c>
      <c r="J126" s="330">
        <v>46.39</v>
      </c>
      <c r="K126" s="330">
        <v>0.97</v>
      </c>
      <c r="L126" s="75">
        <v>6.44</v>
      </c>
      <c r="M126" s="325"/>
      <c r="N126" s="325">
        <f t="shared" si="60"/>
        <v>53.8</v>
      </c>
      <c r="O126" s="329"/>
      <c r="P126" s="390"/>
      <c r="Q126" s="362"/>
      <c r="R126" s="308"/>
      <c r="S126" s="330">
        <v>0.49</v>
      </c>
      <c r="T126" s="199">
        <v>0</v>
      </c>
      <c r="U126" s="367"/>
      <c r="V126" s="97">
        <v>-0.1</v>
      </c>
      <c r="W126" s="172">
        <f>RTD("money.excel",,"4432","Price")</f>
        <v>14.75</v>
      </c>
      <c r="X126" s="66">
        <v>18.149999999999999</v>
      </c>
      <c r="Y126" s="169">
        <f t="shared" si="61"/>
        <v>-3.3999999999999986</v>
      </c>
      <c r="Z126" s="171">
        <f t="shared" si="62"/>
        <v>-0.18732782369146</v>
      </c>
      <c r="AA126" s="118" t="s">
        <v>3942</v>
      </c>
      <c r="AB126" s="173" t="s">
        <v>220</v>
      </c>
      <c r="AC126" s="86">
        <v>44312</v>
      </c>
      <c r="AD126" s="85"/>
      <c r="AE126" s="33">
        <f t="shared" si="63"/>
        <v>-44312</v>
      </c>
      <c r="AF126" s="132" t="s">
        <v>1188</v>
      </c>
      <c r="AG126" s="27"/>
      <c r="AH126" s="17"/>
      <c r="AI126" s="11"/>
      <c r="AJ126" s="11"/>
      <c r="AK126" s="11"/>
      <c r="AL126" s="11"/>
      <c r="AM126" s="273"/>
      <c r="AN126" s="273"/>
      <c r="AP126" s="4"/>
      <c r="AQ126" s="273"/>
      <c r="AR126" s="273"/>
    </row>
    <row r="127" spans="1:44" s="178" customFormat="1" ht="17.100000000000001" customHeight="1">
      <c r="A127" s="148">
        <v>5.0599999999999996</v>
      </c>
      <c r="B127" s="81">
        <v>11</v>
      </c>
      <c r="C127" s="81">
        <v>23</v>
      </c>
      <c r="D127" s="82">
        <v>-20</v>
      </c>
      <c r="E127" s="82">
        <v>-15</v>
      </c>
      <c r="F127" s="6">
        <v>-10.76</v>
      </c>
      <c r="G127" s="57" t="s">
        <v>2740</v>
      </c>
      <c r="H127" s="50" t="s">
        <v>1471</v>
      </c>
      <c r="I127" s="173" t="s">
        <v>220</v>
      </c>
      <c r="J127" s="330">
        <v>46.39</v>
      </c>
      <c r="K127" s="330">
        <v>0.97</v>
      </c>
      <c r="L127" s="75">
        <v>6.44</v>
      </c>
      <c r="M127" s="325"/>
      <c r="N127" s="325">
        <f t="shared" si="60"/>
        <v>53.8</v>
      </c>
      <c r="O127" s="329"/>
      <c r="P127" s="390"/>
      <c r="Q127" s="362"/>
      <c r="R127" s="308"/>
      <c r="S127" s="330">
        <v>0.49</v>
      </c>
      <c r="T127" s="199">
        <v>0</v>
      </c>
      <c r="U127" s="367"/>
      <c r="V127" s="97">
        <v>-0.1</v>
      </c>
      <c r="W127" s="172">
        <f>RTD("money.excel",,"4432","Price")</f>
        <v>14.75</v>
      </c>
      <c r="X127" s="66">
        <f>46.16-2.4-0.93-1.16</f>
        <v>41.67</v>
      </c>
      <c r="Y127" s="169">
        <f t="shared" si="61"/>
        <v>-26.92</v>
      </c>
      <c r="Z127" s="171">
        <f t="shared" si="62"/>
        <v>-0.64602831773458125</v>
      </c>
      <c r="AA127" s="118" t="s">
        <v>3942</v>
      </c>
      <c r="AB127" s="173" t="s">
        <v>220</v>
      </c>
      <c r="AC127" s="86">
        <v>42780</v>
      </c>
      <c r="AD127" s="85"/>
      <c r="AE127" s="33">
        <f t="shared" si="63"/>
        <v>-42780</v>
      </c>
      <c r="AF127" s="132" t="s">
        <v>1188</v>
      </c>
      <c r="AG127" s="27"/>
      <c r="AH127" s="17"/>
      <c r="AI127" s="11"/>
      <c r="AJ127" s="11"/>
      <c r="AK127" s="11"/>
      <c r="AL127" s="11"/>
      <c r="AM127" s="273"/>
      <c r="AN127" s="273"/>
      <c r="AP127" s="4"/>
      <c r="AQ127" s="273"/>
      <c r="AR127" s="273"/>
    </row>
    <row r="128" spans="1:44" s="178" customFormat="1" ht="17.100000000000001" customHeight="1">
      <c r="A128" s="148">
        <v>5.0599999999999996</v>
      </c>
      <c r="B128" s="81">
        <v>11</v>
      </c>
      <c r="C128" s="81">
        <v>23</v>
      </c>
      <c r="D128" s="82">
        <v>-20</v>
      </c>
      <c r="E128" s="82">
        <v>-15</v>
      </c>
      <c r="F128" s="6">
        <v>-10.76</v>
      </c>
      <c r="G128" s="57" t="s">
        <v>2740</v>
      </c>
      <c r="H128" s="50" t="s">
        <v>1471</v>
      </c>
      <c r="I128" s="173" t="s">
        <v>220</v>
      </c>
      <c r="J128" s="330">
        <v>46.39</v>
      </c>
      <c r="K128" s="330">
        <v>0.97</v>
      </c>
      <c r="L128" s="75">
        <v>6.44</v>
      </c>
      <c r="M128" s="325"/>
      <c r="N128" s="325">
        <f t="shared" si="60"/>
        <v>53.8</v>
      </c>
      <c r="O128" s="329"/>
      <c r="P128" s="390"/>
      <c r="Q128" s="362"/>
      <c r="R128" s="308"/>
      <c r="S128" s="330">
        <v>0.49</v>
      </c>
      <c r="T128" s="199">
        <v>0</v>
      </c>
      <c r="U128" s="367"/>
      <c r="V128" s="97">
        <v>-0.1</v>
      </c>
      <c r="W128" s="172">
        <f>RTD("money.excel",,"4432","Price")</f>
        <v>14.75</v>
      </c>
      <c r="X128" s="66">
        <f>32.69-0.93-1.16</f>
        <v>30.599999999999998</v>
      </c>
      <c r="Y128" s="169">
        <f t="shared" si="61"/>
        <v>-15.849999999999998</v>
      </c>
      <c r="Z128" s="171">
        <f t="shared" si="62"/>
        <v>-0.51797385620915026</v>
      </c>
      <c r="AA128" s="118" t="s">
        <v>3943</v>
      </c>
      <c r="AB128" s="173" t="s">
        <v>220</v>
      </c>
      <c r="AC128" s="86">
        <v>43206</v>
      </c>
      <c r="AD128" s="85"/>
      <c r="AE128" s="33">
        <f t="shared" si="63"/>
        <v>-43206</v>
      </c>
      <c r="AF128" s="132" t="s">
        <v>1188</v>
      </c>
      <c r="AG128" s="27"/>
      <c r="AH128" s="17"/>
      <c r="AI128" s="11"/>
      <c r="AJ128" s="11"/>
      <c r="AK128" s="11"/>
      <c r="AL128" s="11"/>
      <c r="AM128" s="273"/>
      <c r="AN128" s="273"/>
      <c r="AP128" s="4"/>
      <c r="AQ128" s="273"/>
      <c r="AR128" s="273"/>
    </row>
    <row r="129" spans="1:34" s="273" customFormat="1" ht="16.5" customHeight="1">
      <c r="A129" s="148">
        <v>5.0599999999999996</v>
      </c>
      <c r="B129" s="81">
        <v>11</v>
      </c>
      <c r="C129" s="81">
        <v>23</v>
      </c>
      <c r="D129" s="82">
        <v>-20</v>
      </c>
      <c r="E129" s="82">
        <v>-15</v>
      </c>
      <c r="F129" s="6">
        <v>-10.76</v>
      </c>
      <c r="G129" s="57" t="s">
        <v>2740</v>
      </c>
      <c r="H129" s="50" t="s">
        <v>1471</v>
      </c>
      <c r="I129" s="173" t="s">
        <v>220</v>
      </c>
      <c r="J129" s="330">
        <v>46.39</v>
      </c>
      <c r="K129" s="330">
        <v>0.97</v>
      </c>
      <c r="L129" s="75">
        <v>6.44</v>
      </c>
      <c r="M129" s="325"/>
      <c r="N129" s="325">
        <f t="shared" si="60"/>
        <v>53.8</v>
      </c>
      <c r="O129" s="329"/>
      <c r="P129" s="390"/>
      <c r="Q129" s="362"/>
      <c r="R129" s="308"/>
      <c r="S129" s="330">
        <v>0.49</v>
      </c>
      <c r="T129" s="199">
        <v>0</v>
      </c>
      <c r="U129" s="367"/>
      <c r="V129" s="97">
        <v>-0.1</v>
      </c>
      <c r="W129" s="168">
        <f>RTD("money.excel",,"4432","Price")</f>
        <v>14.75</v>
      </c>
      <c r="X129" s="66">
        <v>23.55</v>
      </c>
      <c r="Y129" s="169">
        <f t="shared" si="61"/>
        <v>-8.8000000000000007</v>
      </c>
      <c r="Z129" s="171">
        <f t="shared" si="62"/>
        <v>-0.37367303609341829</v>
      </c>
      <c r="AA129" s="117" t="s">
        <v>3944</v>
      </c>
      <c r="AB129" s="173" t="s">
        <v>220</v>
      </c>
      <c r="AC129" s="86">
        <v>43741</v>
      </c>
      <c r="AD129" s="85"/>
      <c r="AE129" s="33">
        <f t="shared" si="63"/>
        <v>-43741</v>
      </c>
      <c r="AF129" s="132" t="s">
        <v>1188</v>
      </c>
    </row>
    <row r="130" spans="1:34" s="273" customFormat="1" ht="16.5" customHeight="1">
      <c r="A130" s="148">
        <v>5.0599999999999996</v>
      </c>
      <c r="B130" s="81">
        <v>11</v>
      </c>
      <c r="C130" s="81">
        <v>23</v>
      </c>
      <c r="D130" s="82">
        <v>-20</v>
      </c>
      <c r="E130" s="82">
        <v>-15</v>
      </c>
      <c r="F130" s="6">
        <v>-10.76</v>
      </c>
      <c r="G130" s="57" t="s">
        <v>2740</v>
      </c>
      <c r="H130" s="50" t="s">
        <v>1471</v>
      </c>
      <c r="I130" s="173" t="s">
        <v>220</v>
      </c>
      <c r="J130" s="330">
        <v>46.39</v>
      </c>
      <c r="K130" s="330">
        <v>0.97</v>
      </c>
      <c r="L130" s="75">
        <v>6.44</v>
      </c>
      <c r="M130" s="325"/>
      <c r="N130" s="325">
        <f t="shared" si="60"/>
        <v>53.8</v>
      </c>
      <c r="O130" s="329"/>
      <c r="P130" s="390"/>
      <c r="Q130" s="362"/>
      <c r="R130" s="308"/>
      <c r="S130" s="330">
        <v>0.49</v>
      </c>
      <c r="T130" s="199">
        <v>0</v>
      </c>
      <c r="U130" s="367"/>
      <c r="V130" s="97">
        <v>-0.1</v>
      </c>
      <c r="W130" s="168">
        <f>RTD("money.excel",,"4432","Price")</f>
        <v>14.75</v>
      </c>
      <c r="X130" s="66">
        <v>22.35</v>
      </c>
      <c r="Y130" s="169">
        <f t="shared" si="61"/>
        <v>-7.6000000000000014</v>
      </c>
      <c r="Z130" s="171">
        <f t="shared" si="62"/>
        <v>-0.34004474272930652</v>
      </c>
      <c r="AA130" s="117" t="s">
        <v>3945</v>
      </c>
      <c r="AB130" s="173" t="s">
        <v>220</v>
      </c>
      <c r="AC130" s="86">
        <v>43712</v>
      </c>
      <c r="AD130" s="85"/>
      <c r="AE130" s="33">
        <f t="shared" si="63"/>
        <v>-43712</v>
      </c>
      <c r="AF130" s="132" t="s">
        <v>1188</v>
      </c>
    </row>
    <row r="131" spans="1:34" s="273" customFormat="1">
      <c r="A131" s="147"/>
      <c r="B131" s="81"/>
      <c r="C131" s="82"/>
      <c r="D131" s="81"/>
      <c r="E131" s="82"/>
      <c r="F131" s="6"/>
      <c r="G131" s="41"/>
      <c r="H131" s="50"/>
      <c r="I131" s="173"/>
      <c r="J131" s="330"/>
      <c r="K131" s="330"/>
      <c r="L131" s="75"/>
      <c r="M131" s="325"/>
      <c r="N131" s="325"/>
      <c r="O131" s="329"/>
      <c r="P131" s="390"/>
      <c r="Q131" s="362"/>
      <c r="R131" s="308"/>
      <c r="S131" s="330"/>
      <c r="T131" s="199"/>
      <c r="U131" s="367"/>
      <c r="V131" s="97"/>
      <c r="W131" s="172">
        <f>SUM(W123:W130)</f>
        <v>118</v>
      </c>
      <c r="X131" s="162">
        <f>SUM(X123:X130)</f>
        <v>190.22</v>
      </c>
      <c r="Y131" s="169">
        <f>W131-X131</f>
        <v>-72.22</v>
      </c>
      <c r="Z131" s="171">
        <f t="shared" si="62"/>
        <v>-0.37966565029965305</v>
      </c>
      <c r="AA131" s="118"/>
      <c r="AB131" s="160">
        <f>W131*(0.001425*0.5)+W131*0.003+X131*(0.001425*0.5)</f>
        <v>0.57360674999999994</v>
      </c>
      <c r="AC131" s="6">
        <f>Y131-AB131</f>
        <v>-72.793606749999995</v>
      </c>
      <c r="AD131" s="85"/>
      <c r="AE131" s="33"/>
      <c r="AF131" s="132" t="s">
        <v>1874</v>
      </c>
      <c r="AG131" s="170"/>
    </row>
    <row r="132" spans="1:34" s="273" customFormat="1">
      <c r="A132" s="147"/>
      <c r="B132" s="81"/>
      <c r="C132" s="81"/>
      <c r="D132" s="81"/>
      <c r="E132" s="81"/>
      <c r="F132" s="6"/>
      <c r="G132" s="41"/>
      <c r="H132" s="8"/>
      <c r="I132" s="160"/>
      <c r="J132" s="330"/>
      <c r="K132" s="330"/>
      <c r="L132" s="330"/>
      <c r="M132" s="325"/>
      <c r="N132" s="325"/>
      <c r="O132" s="329"/>
      <c r="P132" s="390"/>
      <c r="Q132" s="362"/>
      <c r="R132" s="308"/>
      <c r="S132" s="330"/>
      <c r="T132" s="199"/>
      <c r="U132" s="367"/>
      <c r="V132" s="97"/>
      <c r="W132" s="172"/>
      <c r="X132" s="162"/>
      <c r="Y132" s="169"/>
      <c r="Z132" s="171"/>
      <c r="AA132" s="118"/>
      <c r="AB132" s="160"/>
      <c r="AC132" s="6"/>
      <c r="AD132" s="85"/>
      <c r="AE132" s="33"/>
      <c r="AF132" s="41"/>
      <c r="AG132" s="170"/>
    </row>
    <row r="133" spans="1:34" s="273" customFormat="1" ht="17.25" customHeight="1">
      <c r="A133" s="132" t="s">
        <v>1854</v>
      </c>
      <c r="B133" s="93" t="s">
        <v>1657</v>
      </c>
      <c r="C133" s="93" t="s">
        <v>1658</v>
      </c>
      <c r="D133" s="93" t="s">
        <v>1659</v>
      </c>
      <c r="E133" s="93" t="s">
        <v>1660</v>
      </c>
      <c r="F133" s="8" t="s">
        <v>1122</v>
      </c>
      <c r="G133" s="26" t="s">
        <v>4231</v>
      </c>
      <c r="H133" s="55" t="s">
        <v>342</v>
      </c>
      <c r="I133" s="1" t="s">
        <v>2750</v>
      </c>
      <c r="J133" s="324" t="s">
        <v>1529</v>
      </c>
      <c r="K133" s="324" t="s">
        <v>1217</v>
      </c>
      <c r="L133" s="324" t="s">
        <v>298</v>
      </c>
      <c r="M133" s="324" t="s">
        <v>1115</v>
      </c>
      <c r="N133" s="324" t="s">
        <v>6091</v>
      </c>
      <c r="O133" s="27" t="s">
        <v>6312</v>
      </c>
      <c r="P133" s="56" t="s">
        <v>6219</v>
      </c>
      <c r="Q133" s="26" t="s">
        <v>6313</v>
      </c>
      <c r="R133" s="309" t="s">
        <v>4371</v>
      </c>
      <c r="S133" s="335" t="s">
        <v>4398</v>
      </c>
      <c r="T133" s="14" t="s">
        <v>75</v>
      </c>
      <c r="U133" s="364" t="s">
        <v>6152</v>
      </c>
      <c r="V133" s="69" t="s">
        <v>4406</v>
      </c>
      <c r="W133" s="28" t="s">
        <v>4424</v>
      </c>
      <c r="X133" s="17" t="s">
        <v>1465</v>
      </c>
      <c r="Y133" s="14" t="s">
        <v>2755</v>
      </c>
      <c r="Z133" s="21" t="s">
        <v>1539</v>
      </c>
      <c r="AA133" s="25" t="s">
        <v>117</v>
      </c>
      <c r="AB133" s="1" t="s">
        <v>2750</v>
      </c>
      <c r="AC133" s="73" t="s">
        <v>1466</v>
      </c>
      <c r="AD133" s="74" t="s">
        <v>1223</v>
      </c>
      <c r="AE133" s="32" t="s">
        <v>1224</v>
      </c>
      <c r="AF133" s="144"/>
      <c r="AG133" s="170"/>
    </row>
    <row r="134" spans="1:34">
      <c r="A134" s="148" t="s">
        <v>1793</v>
      </c>
      <c r="B134" s="95">
        <v>8051</v>
      </c>
      <c r="C134" s="95">
        <v>8406</v>
      </c>
      <c r="D134" s="82">
        <v>-4</v>
      </c>
      <c r="E134" s="81">
        <v>17</v>
      </c>
      <c r="F134" s="6">
        <v>8.76</v>
      </c>
      <c r="G134" s="57" t="s">
        <v>671</v>
      </c>
      <c r="H134" s="50" t="s">
        <v>1471</v>
      </c>
      <c r="I134" s="22" t="s">
        <v>672</v>
      </c>
      <c r="J134" s="75">
        <v>51.45</v>
      </c>
      <c r="K134" s="330">
        <v>7.02</v>
      </c>
      <c r="L134" s="75">
        <v>28.84</v>
      </c>
      <c r="N134" s="325">
        <f t="shared" ref="N134" si="64">K134+J134+L134</f>
        <v>87.31</v>
      </c>
      <c r="S134" s="330">
        <v>1.76</v>
      </c>
      <c r="T134" s="67">
        <v>7.47</v>
      </c>
      <c r="V134" s="58">
        <v>13.82</v>
      </c>
      <c r="W134" s="36">
        <f>RTD("money.excel",,"1598","Price")</f>
        <v>43.3</v>
      </c>
      <c r="X134" s="233">
        <f>89.5-7.47</f>
        <v>82.03</v>
      </c>
      <c r="Y134" s="15">
        <f t="shared" ref="Y134:Y137" si="65">W134-X134</f>
        <v>-38.730000000000004</v>
      </c>
      <c r="Z134" s="3">
        <f t="shared" ref="Z134:Z137" si="66">Y134/X134</f>
        <v>-0.47214433743752288</v>
      </c>
      <c r="AA134" s="102" t="s">
        <v>2185</v>
      </c>
      <c r="AB134" s="22" t="s">
        <v>672</v>
      </c>
      <c r="AC134" s="86">
        <v>44329</v>
      </c>
      <c r="AE134" s="33">
        <f>AD134-AC134</f>
        <v>-44329</v>
      </c>
      <c r="AF134" s="132" t="s">
        <v>1188</v>
      </c>
      <c r="AG134" s="132"/>
      <c r="AH134" s="229"/>
    </row>
    <row r="135" spans="1:34">
      <c r="A135" s="148" t="s">
        <v>1793</v>
      </c>
      <c r="B135" s="95">
        <v>8051</v>
      </c>
      <c r="C135" s="95">
        <v>8406</v>
      </c>
      <c r="D135" s="82">
        <v>-4</v>
      </c>
      <c r="E135" s="81">
        <v>17</v>
      </c>
      <c r="F135" s="6">
        <v>8.76</v>
      </c>
      <c r="G135" s="57" t="s">
        <v>671</v>
      </c>
      <c r="H135" s="50" t="s">
        <v>1471</v>
      </c>
      <c r="I135" s="22" t="s">
        <v>672</v>
      </c>
      <c r="J135" s="75">
        <v>51.45</v>
      </c>
      <c r="K135" s="330">
        <v>7.02</v>
      </c>
      <c r="L135" s="75">
        <v>28.84</v>
      </c>
      <c r="N135" s="325">
        <f t="shared" ref="N135:N137" si="67">K135+J135+L135</f>
        <v>87.31</v>
      </c>
      <c r="S135" s="330">
        <v>1.76</v>
      </c>
      <c r="T135" s="67">
        <v>7.47</v>
      </c>
      <c r="V135" s="58">
        <v>13.82</v>
      </c>
      <c r="W135" s="36">
        <f>RTD("money.excel",,"1598","Price")</f>
        <v>43.3</v>
      </c>
      <c r="X135" s="233">
        <f>107-7.47</f>
        <v>99.53</v>
      </c>
      <c r="Y135" s="15">
        <f t="shared" si="65"/>
        <v>-56.230000000000004</v>
      </c>
      <c r="Z135" s="3">
        <f t="shared" si="66"/>
        <v>-0.5649552898623531</v>
      </c>
      <c r="AA135" s="102" t="s">
        <v>2185</v>
      </c>
      <c r="AB135" s="22" t="s">
        <v>672</v>
      </c>
      <c r="AC135" s="86">
        <v>44313</v>
      </c>
      <c r="AE135" s="33">
        <f>AD135-AC135</f>
        <v>-44313</v>
      </c>
      <c r="AF135" s="132" t="s">
        <v>1188</v>
      </c>
      <c r="AG135" s="132" t="s">
        <v>1583</v>
      </c>
      <c r="AH135" s="229"/>
    </row>
    <row r="136" spans="1:34">
      <c r="A136" s="148" t="s">
        <v>1793</v>
      </c>
      <c r="B136" s="95">
        <v>8051</v>
      </c>
      <c r="C136" s="95">
        <v>8406</v>
      </c>
      <c r="D136" s="82">
        <v>-4</v>
      </c>
      <c r="E136" s="81">
        <v>17</v>
      </c>
      <c r="F136" s="6">
        <v>8.76</v>
      </c>
      <c r="G136" s="57" t="s">
        <v>671</v>
      </c>
      <c r="H136" s="30" t="s">
        <v>1531</v>
      </c>
      <c r="I136" s="22" t="s">
        <v>672</v>
      </c>
      <c r="J136" s="75">
        <v>51.45</v>
      </c>
      <c r="K136" s="330">
        <v>7.02</v>
      </c>
      <c r="L136" s="75">
        <v>28.84</v>
      </c>
      <c r="N136" s="325">
        <f t="shared" si="67"/>
        <v>87.31</v>
      </c>
      <c r="S136" s="330">
        <v>1.76</v>
      </c>
      <c r="T136" s="67">
        <v>7.47</v>
      </c>
      <c r="V136" s="58">
        <v>13.82</v>
      </c>
      <c r="W136" s="36">
        <f>RTD("money.excel",,"1598","Price")</f>
        <v>43.3</v>
      </c>
      <c r="X136" s="233">
        <f>89.4-7.47</f>
        <v>81.93</v>
      </c>
      <c r="Y136" s="15">
        <f t="shared" si="65"/>
        <v>-38.63000000000001</v>
      </c>
      <c r="Z136" s="3">
        <f t="shared" si="66"/>
        <v>-0.47150006102770664</v>
      </c>
      <c r="AA136" s="102" t="s">
        <v>2185</v>
      </c>
      <c r="AB136" s="22" t="s">
        <v>672</v>
      </c>
      <c r="AC136" s="86">
        <v>44329</v>
      </c>
      <c r="AE136" s="33">
        <f>AD136-AC136</f>
        <v>-44329</v>
      </c>
      <c r="AF136" s="41" t="s">
        <v>1188</v>
      </c>
      <c r="AG136" s="228"/>
      <c r="AH136" s="229"/>
    </row>
    <row r="137" spans="1:34">
      <c r="A137" s="148" t="s">
        <v>1793</v>
      </c>
      <c r="B137" s="95">
        <v>8051</v>
      </c>
      <c r="C137" s="95">
        <v>8406</v>
      </c>
      <c r="D137" s="82">
        <v>-4</v>
      </c>
      <c r="E137" s="81">
        <v>17</v>
      </c>
      <c r="F137" s="6">
        <v>8.76</v>
      </c>
      <c r="G137" s="57" t="s">
        <v>671</v>
      </c>
      <c r="H137" s="30" t="s">
        <v>1531</v>
      </c>
      <c r="I137" s="22" t="s">
        <v>672</v>
      </c>
      <c r="J137" s="75">
        <v>51.45</v>
      </c>
      <c r="K137" s="330">
        <v>7.02</v>
      </c>
      <c r="L137" s="75">
        <v>28.84</v>
      </c>
      <c r="N137" s="325">
        <f t="shared" si="67"/>
        <v>87.31</v>
      </c>
      <c r="S137" s="330">
        <v>1.76</v>
      </c>
      <c r="T137" s="67">
        <v>7.47</v>
      </c>
      <c r="V137" s="58">
        <v>13.82</v>
      </c>
      <c r="W137" s="36">
        <f>RTD("money.excel",,"1598","Price")</f>
        <v>43.3</v>
      </c>
      <c r="X137" s="233">
        <f>107-7.47</f>
        <v>99.53</v>
      </c>
      <c r="Y137" s="15">
        <f t="shared" si="65"/>
        <v>-56.230000000000004</v>
      </c>
      <c r="Z137" s="3">
        <f t="shared" si="66"/>
        <v>-0.5649552898623531</v>
      </c>
      <c r="AA137" s="102" t="s">
        <v>2185</v>
      </c>
      <c r="AB137" s="22" t="s">
        <v>672</v>
      </c>
      <c r="AC137" s="86">
        <v>44313</v>
      </c>
      <c r="AE137" s="33">
        <f>AD137-AC137</f>
        <v>-44313</v>
      </c>
      <c r="AF137" s="41" t="s">
        <v>1188</v>
      </c>
      <c r="AG137" s="41" t="s">
        <v>1583</v>
      </c>
      <c r="AH137" s="229"/>
    </row>
    <row r="138" spans="1:34" s="273" customFormat="1">
      <c r="A138" s="147"/>
      <c r="B138" s="81"/>
      <c r="C138" s="81"/>
      <c r="D138" s="81"/>
      <c r="E138" s="81"/>
      <c r="F138" s="6"/>
      <c r="G138" s="41"/>
      <c r="H138" s="8"/>
      <c r="I138" s="160"/>
      <c r="J138" s="330"/>
      <c r="K138" s="330"/>
      <c r="L138" s="330"/>
      <c r="M138" s="325"/>
      <c r="N138" s="325"/>
      <c r="O138" s="329"/>
      <c r="P138" s="390"/>
      <c r="Q138" s="362"/>
      <c r="R138" s="308"/>
      <c r="S138" s="330"/>
      <c r="T138" s="199"/>
      <c r="U138" s="367"/>
      <c r="V138" s="97"/>
      <c r="W138" s="172">
        <f>SUM(W134:W137)</f>
        <v>173.2</v>
      </c>
      <c r="X138" s="162">
        <f>SUM(X134:X137)</f>
        <v>363.02</v>
      </c>
      <c r="Y138" s="246">
        <f>W138-X138</f>
        <v>-189.82</v>
      </c>
      <c r="Z138" s="171">
        <f>Y138/X138</f>
        <v>-0.52289130075477941</v>
      </c>
      <c r="AA138" s="118"/>
      <c r="AB138" s="160">
        <f>W138*(0.001425*0.5)+W138*0.003+X138*(0.001425*0.5)</f>
        <v>0.9016567499999999</v>
      </c>
      <c r="AC138" s="6">
        <f>Y138-AB138</f>
        <v>-190.72165674999999</v>
      </c>
      <c r="AD138" s="85"/>
      <c r="AE138" s="33"/>
      <c r="AF138" s="41" t="s">
        <v>1189</v>
      </c>
      <c r="AG138" s="170"/>
    </row>
    <row r="139" spans="1:34" s="273" customFormat="1">
      <c r="A139" s="147"/>
      <c r="B139" s="81"/>
      <c r="C139" s="81"/>
      <c r="D139" s="81"/>
      <c r="E139" s="81"/>
      <c r="F139" s="6"/>
      <c r="G139" s="41"/>
      <c r="H139" s="8"/>
      <c r="I139" s="160"/>
      <c r="J139" s="330"/>
      <c r="K139" s="330"/>
      <c r="L139" s="330"/>
      <c r="M139" s="325"/>
      <c r="N139" s="325"/>
      <c r="O139" s="329"/>
      <c r="P139" s="390"/>
      <c r="Q139" s="362"/>
      <c r="R139" s="308"/>
      <c r="S139" s="330"/>
      <c r="T139" s="199"/>
      <c r="U139" s="367"/>
      <c r="V139" s="97"/>
      <c r="W139" s="172"/>
      <c r="X139" s="162"/>
      <c r="Y139" s="169"/>
      <c r="Z139" s="171"/>
      <c r="AA139" s="118"/>
      <c r="AB139" s="160"/>
      <c r="AC139" s="6"/>
      <c r="AD139" s="85"/>
      <c r="AE139" s="33"/>
      <c r="AF139" s="41"/>
      <c r="AG139" s="170"/>
    </row>
    <row r="140" spans="1:34" s="273" customFormat="1">
      <c r="A140" s="132" t="s">
        <v>1854</v>
      </c>
      <c r="B140" s="93" t="s">
        <v>1657</v>
      </c>
      <c r="C140" s="93" t="s">
        <v>1658</v>
      </c>
      <c r="D140" s="93" t="s">
        <v>1659</v>
      </c>
      <c r="E140" s="93" t="s">
        <v>1660</v>
      </c>
      <c r="F140" s="8" t="s">
        <v>1122</v>
      </c>
      <c r="G140" s="26" t="s">
        <v>4231</v>
      </c>
      <c r="H140" s="55" t="s">
        <v>342</v>
      </c>
      <c r="I140" s="1" t="s">
        <v>2750</v>
      </c>
      <c r="J140" s="324" t="s">
        <v>1529</v>
      </c>
      <c r="K140" s="324" t="s">
        <v>1217</v>
      </c>
      <c r="L140" s="324" t="s">
        <v>298</v>
      </c>
      <c r="M140" s="324" t="s">
        <v>1115</v>
      </c>
      <c r="N140" s="324" t="s">
        <v>6091</v>
      </c>
      <c r="O140" s="27" t="s">
        <v>6312</v>
      </c>
      <c r="P140" s="56" t="s">
        <v>6219</v>
      </c>
      <c r="Q140" s="26" t="s">
        <v>6313</v>
      </c>
      <c r="R140" s="309" t="s">
        <v>4371</v>
      </c>
      <c r="S140" s="335" t="s">
        <v>4398</v>
      </c>
      <c r="T140" s="14" t="s">
        <v>75</v>
      </c>
      <c r="U140" s="364" t="s">
        <v>6152</v>
      </c>
      <c r="V140" s="69" t="s">
        <v>4406</v>
      </c>
      <c r="W140" s="28" t="s">
        <v>4424</v>
      </c>
      <c r="X140" s="17" t="s">
        <v>1465</v>
      </c>
      <c r="Y140" s="14" t="s">
        <v>2755</v>
      </c>
      <c r="Z140" s="21" t="s">
        <v>1539</v>
      </c>
      <c r="AA140" s="25" t="s">
        <v>117</v>
      </c>
      <c r="AB140" s="1" t="s">
        <v>2750</v>
      </c>
      <c r="AC140" s="73" t="s">
        <v>1466</v>
      </c>
      <c r="AD140" s="74" t="s">
        <v>1223</v>
      </c>
      <c r="AE140" s="32" t="s">
        <v>1224</v>
      </c>
      <c r="AF140" s="144"/>
      <c r="AG140" s="170"/>
    </row>
    <row r="141" spans="1:34">
      <c r="A141" s="132" t="s">
        <v>2186</v>
      </c>
      <c r="B141" s="81">
        <v>16</v>
      </c>
      <c r="C141" s="81">
        <v>22</v>
      </c>
      <c r="D141" s="81">
        <v>0</v>
      </c>
      <c r="E141" s="82">
        <v>-68</v>
      </c>
      <c r="F141" s="58">
        <v>41.9</v>
      </c>
      <c r="G141" s="57" t="s">
        <v>637</v>
      </c>
      <c r="H141" s="50" t="s">
        <v>1471</v>
      </c>
      <c r="I141" s="22" t="s">
        <v>638</v>
      </c>
      <c r="J141" s="330">
        <v>39.71</v>
      </c>
      <c r="K141" s="330">
        <v>8.25</v>
      </c>
      <c r="L141" s="330">
        <v>19.47</v>
      </c>
      <c r="N141" s="325">
        <f t="shared" ref="N141:N146" si="68">K141+J141+L141</f>
        <v>67.430000000000007</v>
      </c>
      <c r="S141" s="330">
        <v>16.14</v>
      </c>
      <c r="T141" s="45">
        <v>12</v>
      </c>
      <c r="V141" s="97">
        <v>23.55</v>
      </c>
      <c r="W141" s="36">
        <f>RTD("money.excel",,"1325","Price")</f>
        <v>38.5</v>
      </c>
      <c r="X141" s="233">
        <f>105.5-12</f>
        <v>93.5</v>
      </c>
      <c r="Y141" s="15">
        <f t="shared" ref="Y141:Y147" si="69">W141-X141</f>
        <v>-55</v>
      </c>
      <c r="Z141" s="64">
        <f t="shared" ref="Z141:Z147" si="70">Y141/X141</f>
        <v>-0.58823529411764708</v>
      </c>
      <c r="AA141" s="104" t="s">
        <v>1922</v>
      </c>
      <c r="AB141" s="22" t="s">
        <v>638</v>
      </c>
      <c r="AC141" s="86">
        <v>44336</v>
      </c>
      <c r="AE141" s="33">
        <f t="shared" ref="AE141:AE143" si="71">AD141-AC141</f>
        <v>-44336</v>
      </c>
      <c r="AF141" s="132" t="s">
        <v>1188</v>
      </c>
      <c r="AG141" s="226"/>
      <c r="AH141" s="196"/>
    </row>
    <row r="142" spans="1:34">
      <c r="A142" s="132" t="s">
        <v>2186</v>
      </c>
      <c r="B142" s="81">
        <v>16</v>
      </c>
      <c r="C142" s="81">
        <v>22</v>
      </c>
      <c r="D142" s="81">
        <v>0</v>
      </c>
      <c r="E142" s="82">
        <v>-68</v>
      </c>
      <c r="F142" s="58">
        <v>41.9</v>
      </c>
      <c r="G142" s="57" t="s">
        <v>637</v>
      </c>
      <c r="H142" s="50" t="s">
        <v>1471</v>
      </c>
      <c r="I142" s="22" t="s">
        <v>638</v>
      </c>
      <c r="J142" s="330">
        <v>39.71</v>
      </c>
      <c r="K142" s="330">
        <v>8.25</v>
      </c>
      <c r="L142" s="330">
        <v>19.47</v>
      </c>
      <c r="N142" s="325">
        <f t="shared" si="68"/>
        <v>67.430000000000007</v>
      </c>
      <c r="S142" s="330">
        <v>16.14</v>
      </c>
      <c r="T142" s="45">
        <v>12</v>
      </c>
      <c r="V142" s="97">
        <v>23.55</v>
      </c>
      <c r="W142" s="36">
        <f>RTD("money.excel",,"1325","Price")</f>
        <v>38.5</v>
      </c>
      <c r="X142" s="233">
        <f>112.5-12</f>
        <v>100.5</v>
      </c>
      <c r="Y142" s="15">
        <f t="shared" si="69"/>
        <v>-62</v>
      </c>
      <c r="Z142" s="64">
        <f t="shared" si="70"/>
        <v>-0.61691542288557211</v>
      </c>
      <c r="AA142" s="104" t="s">
        <v>1922</v>
      </c>
      <c r="AB142" s="22" t="s">
        <v>638</v>
      </c>
      <c r="AC142" s="86">
        <v>44334</v>
      </c>
      <c r="AE142" s="33">
        <f t="shared" si="71"/>
        <v>-44334</v>
      </c>
      <c r="AF142" s="132" t="s">
        <v>1188</v>
      </c>
      <c r="AG142" s="132"/>
      <c r="AH142" s="196"/>
    </row>
    <row r="143" spans="1:34">
      <c r="A143" s="132" t="s">
        <v>2186</v>
      </c>
      <c r="B143" s="81">
        <v>16</v>
      </c>
      <c r="C143" s="81">
        <v>22</v>
      </c>
      <c r="D143" s="81">
        <v>0</v>
      </c>
      <c r="E143" s="82">
        <v>-68</v>
      </c>
      <c r="F143" s="58">
        <v>41.9</v>
      </c>
      <c r="G143" s="57" t="s">
        <v>637</v>
      </c>
      <c r="H143" s="50" t="s">
        <v>1471</v>
      </c>
      <c r="I143" s="22" t="s">
        <v>638</v>
      </c>
      <c r="J143" s="330">
        <v>39.71</v>
      </c>
      <c r="K143" s="330">
        <v>8.25</v>
      </c>
      <c r="L143" s="330">
        <v>19.47</v>
      </c>
      <c r="N143" s="325">
        <f t="shared" si="68"/>
        <v>67.430000000000007</v>
      </c>
      <c r="S143" s="330">
        <v>16.14</v>
      </c>
      <c r="T143" s="45">
        <v>12</v>
      </c>
      <c r="V143" s="97">
        <v>23.55</v>
      </c>
      <c r="W143" s="36">
        <f>RTD("money.excel",,"1325","Price")</f>
        <v>38.5</v>
      </c>
      <c r="X143" s="233">
        <f>111-12</f>
        <v>99</v>
      </c>
      <c r="Y143" s="15">
        <f t="shared" si="69"/>
        <v>-60.5</v>
      </c>
      <c r="Z143" s="64">
        <f t="shared" si="70"/>
        <v>-0.61111111111111116</v>
      </c>
      <c r="AA143" s="104" t="s">
        <v>1922</v>
      </c>
      <c r="AB143" s="22" t="s">
        <v>638</v>
      </c>
      <c r="AC143" s="86">
        <v>44334</v>
      </c>
      <c r="AE143" s="33">
        <f t="shared" si="71"/>
        <v>-44334</v>
      </c>
      <c r="AF143" s="132" t="s">
        <v>1188</v>
      </c>
      <c r="AG143" s="132"/>
      <c r="AH143" s="196"/>
    </row>
    <row r="144" spans="1:34">
      <c r="A144" s="132" t="s">
        <v>2186</v>
      </c>
      <c r="B144" s="81">
        <v>16</v>
      </c>
      <c r="C144" s="81">
        <v>22</v>
      </c>
      <c r="D144" s="81">
        <v>0</v>
      </c>
      <c r="E144" s="82">
        <v>-68</v>
      </c>
      <c r="F144" s="58">
        <v>41.9</v>
      </c>
      <c r="G144" s="57" t="s">
        <v>637</v>
      </c>
      <c r="H144" s="50" t="s">
        <v>1471</v>
      </c>
      <c r="I144" s="22" t="s">
        <v>638</v>
      </c>
      <c r="J144" s="330">
        <v>39.71</v>
      </c>
      <c r="K144" s="330">
        <v>8.25</v>
      </c>
      <c r="L144" s="330">
        <v>19.47</v>
      </c>
      <c r="N144" s="325">
        <f t="shared" si="68"/>
        <v>67.430000000000007</v>
      </c>
      <c r="S144" s="330">
        <v>16.14</v>
      </c>
      <c r="T144" s="45">
        <v>12</v>
      </c>
      <c r="V144" s="97">
        <v>23.55</v>
      </c>
      <c r="W144" s="36">
        <f>RTD("money.excel",,"1325","Price")</f>
        <v>38.5</v>
      </c>
      <c r="X144" s="233">
        <f>109-12</f>
        <v>97</v>
      </c>
      <c r="Y144" s="15">
        <f t="shared" si="69"/>
        <v>-58.5</v>
      </c>
      <c r="Z144" s="64">
        <f t="shared" si="70"/>
        <v>-0.60309278350515461</v>
      </c>
      <c r="AA144" s="104" t="s">
        <v>1922</v>
      </c>
      <c r="AB144" s="22" t="s">
        <v>638</v>
      </c>
      <c r="AC144" s="86">
        <v>44334</v>
      </c>
      <c r="AE144" s="33">
        <f>AD144-AC144</f>
        <v>-44334</v>
      </c>
      <c r="AF144" s="132" t="s">
        <v>1188</v>
      </c>
      <c r="AG144" s="132" t="s">
        <v>1189</v>
      </c>
      <c r="AH144" s="196"/>
    </row>
    <row r="145" spans="1:40">
      <c r="A145" s="132" t="s">
        <v>2186</v>
      </c>
      <c r="B145" s="81">
        <v>16</v>
      </c>
      <c r="C145" s="81">
        <v>22</v>
      </c>
      <c r="D145" s="81">
        <v>0</v>
      </c>
      <c r="E145" s="82">
        <v>-68</v>
      </c>
      <c r="F145" s="58">
        <v>41.9</v>
      </c>
      <c r="G145" s="57" t="s">
        <v>637</v>
      </c>
      <c r="H145" s="30" t="s">
        <v>1531</v>
      </c>
      <c r="I145" s="22" t="s">
        <v>638</v>
      </c>
      <c r="J145" s="330">
        <v>39.71</v>
      </c>
      <c r="K145" s="330">
        <v>8.25</v>
      </c>
      <c r="L145" s="330">
        <v>19.47</v>
      </c>
      <c r="N145" s="325">
        <f t="shared" si="68"/>
        <v>67.430000000000007</v>
      </c>
      <c r="S145" s="330">
        <v>16.14</v>
      </c>
      <c r="T145" s="45">
        <v>12</v>
      </c>
      <c r="V145" s="97">
        <v>23.55</v>
      </c>
      <c r="W145" s="36">
        <f>RTD("money.excel",,"1325","Price")</f>
        <v>38.5</v>
      </c>
      <c r="X145" s="233">
        <f>104.5-12</f>
        <v>92.5</v>
      </c>
      <c r="Y145" s="15">
        <f t="shared" si="69"/>
        <v>-54</v>
      </c>
      <c r="Z145" s="64">
        <f t="shared" si="70"/>
        <v>-0.58378378378378382</v>
      </c>
      <c r="AA145" s="104" t="s">
        <v>1922</v>
      </c>
      <c r="AB145" s="22" t="s">
        <v>638</v>
      </c>
      <c r="AC145" s="86">
        <v>44336</v>
      </c>
      <c r="AE145" s="33">
        <f>AD145-AC145</f>
        <v>-44336</v>
      </c>
      <c r="AF145" s="41" t="s">
        <v>1188</v>
      </c>
      <c r="AG145" s="226"/>
      <c r="AH145" s="196"/>
    </row>
    <row r="146" spans="1:40">
      <c r="A146" s="132" t="s">
        <v>2186</v>
      </c>
      <c r="B146" s="81">
        <v>16</v>
      </c>
      <c r="C146" s="81">
        <v>22</v>
      </c>
      <c r="D146" s="81">
        <v>0</v>
      </c>
      <c r="E146" s="82">
        <v>-68</v>
      </c>
      <c r="F146" s="58">
        <v>41.9</v>
      </c>
      <c r="G146" s="57" t="s">
        <v>637</v>
      </c>
      <c r="H146" s="30" t="s">
        <v>1531</v>
      </c>
      <c r="I146" s="22" t="s">
        <v>638</v>
      </c>
      <c r="J146" s="330">
        <v>39.71</v>
      </c>
      <c r="K146" s="330">
        <v>8.25</v>
      </c>
      <c r="L146" s="330">
        <v>19.47</v>
      </c>
      <c r="N146" s="325">
        <f t="shared" si="68"/>
        <v>67.430000000000007</v>
      </c>
      <c r="S146" s="330">
        <v>16.14</v>
      </c>
      <c r="T146" s="45">
        <v>12</v>
      </c>
      <c r="V146" s="97">
        <v>23.55</v>
      </c>
      <c r="W146" s="36">
        <f>RTD("money.excel",,"1325","Price")</f>
        <v>38.5</v>
      </c>
      <c r="X146" s="233">
        <f>110-12</f>
        <v>98</v>
      </c>
      <c r="Y146" s="15">
        <f t="shared" si="69"/>
        <v>-59.5</v>
      </c>
      <c r="Z146" s="64">
        <f t="shared" si="70"/>
        <v>-0.6071428571428571</v>
      </c>
      <c r="AA146" s="104" t="s">
        <v>1922</v>
      </c>
      <c r="AB146" s="22" t="s">
        <v>638</v>
      </c>
      <c r="AC146" s="86">
        <v>44334</v>
      </c>
      <c r="AE146" s="33">
        <f>AD146-AC146</f>
        <v>-44334</v>
      </c>
      <c r="AF146" s="41" t="s">
        <v>1188</v>
      </c>
      <c r="AG146" s="41" t="s">
        <v>1583</v>
      </c>
      <c r="AH146" s="196"/>
    </row>
    <row r="147" spans="1:40" s="273" customFormat="1">
      <c r="A147" s="147"/>
      <c r="B147" s="81"/>
      <c r="C147" s="81"/>
      <c r="D147" s="81"/>
      <c r="E147" s="81"/>
      <c r="F147" s="6"/>
      <c r="G147" s="41"/>
      <c r="H147" s="8"/>
      <c r="I147" s="160"/>
      <c r="J147" s="330"/>
      <c r="K147" s="330"/>
      <c r="L147" s="330"/>
      <c r="M147" s="325"/>
      <c r="N147" s="325"/>
      <c r="O147" s="329"/>
      <c r="P147" s="390"/>
      <c r="Q147" s="362"/>
      <c r="R147" s="308"/>
      <c r="S147" s="330"/>
      <c r="T147" s="199"/>
      <c r="U147" s="367"/>
      <c r="V147" s="97"/>
      <c r="W147" s="172">
        <f>SUM(W141:W146)</f>
        <v>231</v>
      </c>
      <c r="X147" s="162">
        <f>SUM(X141:X146)</f>
        <v>580.5</v>
      </c>
      <c r="Y147" s="246">
        <f t="shared" si="69"/>
        <v>-349.5</v>
      </c>
      <c r="Z147" s="249">
        <f t="shared" si="70"/>
        <v>-0.6020671834625323</v>
      </c>
      <c r="AA147" s="118"/>
      <c r="AB147" s="160">
        <f>W147*(0.001425*0.5)+W147*0.003+X147*(0.001425*0.5)</f>
        <v>1.2711937500000001</v>
      </c>
      <c r="AC147" s="6">
        <f>Y147-AB147</f>
        <v>-350.77119375000001</v>
      </c>
      <c r="AD147" s="85"/>
      <c r="AE147" s="33"/>
      <c r="AF147" s="41" t="s">
        <v>4046</v>
      </c>
      <c r="AG147" s="170"/>
      <c r="AH147" s="265"/>
    </row>
    <row r="148" spans="1:40">
      <c r="A148" s="132"/>
      <c r="B148" s="95"/>
      <c r="C148" s="95"/>
      <c r="D148" s="81"/>
      <c r="E148" s="82"/>
      <c r="F148" s="58"/>
      <c r="G148" s="57"/>
      <c r="H148" s="30"/>
      <c r="I148" s="22"/>
      <c r="J148" s="75"/>
      <c r="K148" s="330"/>
      <c r="N148" s="325"/>
      <c r="T148" s="67"/>
      <c r="V148" s="97"/>
      <c r="W148" s="36"/>
      <c r="X148" s="67"/>
      <c r="Y148" s="15"/>
      <c r="Z148" s="64"/>
      <c r="AA148" s="104"/>
      <c r="AB148" s="22"/>
      <c r="AE148" s="33"/>
      <c r="AF148" s="41"/>
      <c r="AG148" s="226"/>
      <c r="AH148" s="196"/>
    </row>
    <row r="149" spans="1:40" s="273" customFormat="1">
      <c r="A149" s="132" t="s">
        <v>1854</v>
      </c>
      <c r="B149" s="93" t="s">
        <v>1657</v>
      </c>
      <c r="C149" s="93" t="s">
        <v>1658</v>
      </c>
      <c r="D149" s="93" t="s">
        <v>1659</v>
      </c>
      <c r="E149" s="93" t="s">
        <v>1660</v>
      </c>
      <c r="F149" s="8" t="s">
        <v>1122</v>
      </c>
      <c r="G149" s="26" t="s">
        <v>4231</v>
      </c>
      <c r="H149" s="55" t="s">
        <v>342</v>
      </c>
      <c r="I149" s="1" t="s">
        <v>79</v>
      </c>
      <c r="J149" s="324" t="s">
        <v>1529</v>
      </c>
      <c r="K149" s="324" t="s">
        <v>1217</v>
      </c>
      <c r="L149" s="324" t="s">
        <v>298</v>
      </c>
      <c r="M149" s="324" t="s">
        <v>1115</v>
      </c>
      <c r="N149" s="324" t="s">
        <v>6091</v>
      </c>
      <c r="O149" s="27" t="s">
        <v>6312</v>
      </c>
      <c r="P149" s="56" t="s">
        <v>6219</v>
      </c>
      <c r="Q149" s="26" t="s">
        <v>6313</v>
      </c>
      <c r="R149" s="309" t="s">
        <v>4371</v>
      </c>
      <c r="S149" s="335" t="s">
        <v>4398</v>
      </c>
      <c r="T149" s="14" t="s">
        <v>75</v>
      </c>
      <c r="U149" s="364" t="s">
        <v>6152</v>
      </c>
      <c r="V149" s="69" t="s">
        <v>4406</v>
      </c>
      <c r="W149" s="28" t="s">
        <v>4424</v>
      </c>
      <c r="X149" s="17" t="s">
        <v>1465</v>
      </c>
      <c r="Y149" s="14" t="s">
        <v>2755</v>
      </c>
      <c r="Z149" s="21" t="s">
        <v>3</v>
      </c>
      <c r="AA149" s="25" t="s">
        <v>117</v>
      </c>
      <c r="AB149" s="1" t="s">
        <v>79</v>
      </c>
      <c r="AC149" s="73" t="s">
        <v>1466</v>
      </c>
      <c r="AD149" s="74" t="s">
        <v>1223</v>
      </c>
      <c r="AE149" s="32" t="s">
        <v>1224</v>
      </c>
      <c r="AF149" s="46" t="s">
        <v>6441</v>
      </c>
      <c r="AG149" s="170"/>
    </row>
    <row r="150" spans="1:40">
      <c r="A150" s="132" t="s">
        <v>1809</v>
      </c>
      <c r="B150" s="81">
        <v>285</v>
      </c>
      <c r="C150" s="81">
        <v>110</v>
      </c>
      <c r="D150" s="81">
        <v>18</v>
      </c>
      <c r="E150" s="82">
        <v>-74</v>
      </c>
      <c r="F150" s="58">
        <v>50.43</v>
      </c>
      <c r="G150" s="81">
        <v>4162</v>
      </c>
      <c r="H150" s="50" t="s">
        <v>1471</v>
      </c>
      <c r="I150" s="16" t="s">
        <v>42</v>
      </c>
      <c r="J150" s="75">
        <v>38.11</v>
      </c>
      <c r="K150" s="75">
        <v>4.74</v>
      </c>
      <c r="L150" s="330">
        <v>13.09</v>
      </c>
      <c r="N150" s="325">
        <f t="shared" ref="N150" si="72">K150+J150+L150</f>
        <v>55.94</v>
      </c>
      <c r="R150" s="308" t="s">
        <v>4374</v>
      </c>
      <c r="S150" s="330">
        <v>0.17</v>
      </c>
      <c r="T150" s="34">
        <v>2.5299999999999998</v>
      </c>
      <c r="U150" s="366"/>
      <c r="V150" s="97">
        <v>5.77</v>
      </c>
      <c r="W150" s="36">
        <v>79.2</v>
      </c>
      <c r="X150" s="233">
        <f>68.5-2.53</f>
        <v>65.97</v>
      </c>
      <c r="Y150" s="15">
        <f t="shared" ref="Y150" si="73">W150-X150</f>
        <v>13.230000000000004</v>
      </c>
      <c r="Z150" s="78">
        <f t="shared" ref="Z150" si="74">Y150/X150</f>
        <v>0.20054570259208737</v>
      </c>
      <c r="AA150" s="141" t="s">
        <v>4384</v>
      </c>
      <c r="AB150" s="16" t="s">
        <v>42</v>
      </c>
      <c r="AC150" s="86">
        <v>44348</v>
      </c>
      <c r="AD150" s="85">
        <v>44621</v>
      </c>
      <c r="AE150" s="79">
        <f>AD150-AC150</f>
        <v>273</v>
      </c>
      <c r="AF150" s="132" t="s">
        <v>1188</v>
      </c>
      <c r="AG150" s="240"/>
      <c r="AH150" s="16"/>
      <c r="AI150" s="222"/>
      <c r="AJ150" s="262"/>
      <c r="AK150" s="275"/>
      <c r="AL150" s="277"/>
    </row>
    <row r="151" spans="1:40" s="273" customFormat="1">
      <c r="A151" s="147"/>
      <c r="B151" s="81"/>
      <c r="C151" s="81"/>
      <c r="D151" s="81"/>
      <c r="E151" s="81"/>
      <c r="F151" s="6"/>
      <c r="G151" s="41"/>
      <c r="H151" s="8"/>
      <c r="I151" s="160"/>
      <c r="J151" s="330"/>
      <c r="K151" s="330"/>
      <c r="L151" s="330"/>
      <c r="M151" s="325"/>
      <c r="N151" s="325"/>
      <c r="O151" s="329"/>
      <c r="P151" s="390"/>
      <c r="Q151" s="362"/>
      <c r="R151" s="308"/>
      <c r="S151" s="330"/>
      <c r="T151" s="199"/>
      <c r="U151" s="366"/>
      <c r="V151" s="97"/>
      <c r="W151" s="172">
        <f>SUM(W150)</f>
        <v>79.2</v>
      </c>
      <c r="X151" s="162">
        <f>SUM(X150)</f>
        <v>65.97</v>
      </c>
      <c r="Y151" s="169">
        <f>W151-X151</f>
        <v>13.230000000000004</v>
      </c>
      <c r="Z151" s="171">
        <f>Y151/X151</f>
        <v>0.20054570259208737</v>
      </c>
      <c r="AA151" s="118"/>
      <c r="AB151" s="160">
        <f>W151*(0.001425*0.5)+W151*0.003+X151*(0.001425*0.5)</f>
        <v>0.34103362500000001</v>
      </c>
      <c r="AC151" s="6">
        <f>Y151-AB151</f>
        <v>12.888966375000004</v>
      </c>
      <c r="AD151" s="85"/>
      <c r="AE151" s="33"/>
      <c r="AF151" s="41" t="s">
        <v>1188</v>
      </c>
      <c r="AG151" s="170"/>
    </row>
    <row r="152" spans="1:40" s="273" customFormat="1">
      <c r="A152" s="147"/>
      <c r="B152" s="81"/>
      <c r="C152" s="81"/>
      <c r="D152" s="81"/>
      <c r="E152" s="81"/>
      <c r="F152" s="6"/>
      <c r="G152" s="41"/>
      <c r="H152" s="8"/>
      <c r="I152" s="160"/>
      <c r="J152" s="330"/>
      <c r="K152" s="330"/>
      <c r="L152" s="330"/>
      <c r="M152" s="325"/>
      <c r="N152" s="325"/>
      <c r="O152" s="329"/>
      <c r="P152" s="390"/>
      <c r="Q152" s="362"/>
      <c r="R152" s="308"/>
      <c r="S152" s="330"/>
      <c r="T152" s="199"/>
      <c r="U152" s="367"/>
      <c r="V152" s="97"/>
      <c r="W152" s="172"/>
      <c r="X152" s="162"/>
      <c r="Y152" s="169"/>
      <c r="Z152" s="171"/>
      <c r="AA152" s="118"/>
      <c r="AB152" s="160"/>
      <c r="AC152" s="6"/>
      <c r="AD152" s="85"/>
      <c r="AE152" s="33"/>
      <c r="AF152" s="41"/>
      <c r="AG152" s="170"/>
    </row>
    <row r="153" spans="1:40" s="273" customFormat="1">
      <c r="A153" s="132" t="s">
        <v>1854</v>
      </c>
      <c r="B153" s="93" t="s">
        <v>1657</v>
      </c>
      <c r="C153" s="93" t="s">
        <v>1658</v>
      </c>
      <c r="D153" s="93" t="s">
        <v>1659</v>
      </c>
      <c r="E153" s="93" t="s">
        <v>1660</v>
      </c>
      <c r="F153" s="8" t="s">
        <v>1122</v>
      </c>
      <c r="G153" s="26" t="s">
        <v>4231</v>
      </c>
      <c r="H153" s="55" t="s">
        <v>342</v>
      </c>
      <c r="I153" s="1" t="s">
        <v>79</v>
      </c>
      <c r="J153" s="324" t="s">
        <v>1529</v>
      </c>
      <c r="K153" s="324" t="s">
        <v>1217</v>
      </c>
      <c r="L153" s="324" t="s">
        <v>298</v>
      </c>
      <c r="M153" s="324" t="s">
        <v>1115</v>
      </c>
      <c r="N153" s="324" t="s">
        <v>6091</v>
      </c>
      <c r="O153" s="27" t="s">
        <v>6312</v>
      </c>
      <c r="P153" s="56" t="s">
        <v>6219</v>
      </c>
      <c r="Q153" s="26" t="s">
        <v>6313</v>
      </c>
      <c r="R153" s="309" t="s">
        <v>4371</v>
      </c>
      <c r="S153" s="335" t="s">
        <v>4398</v>
      </c>
      <c r="T153" s="14" t="s">
        <v>75</v>
      </c>
      <c r="U153" s="364" t="s">
        <v>6152</v>
      </c>
      <c r="V153" s="69" t="s">
        <v>4406</v>
      </c>
      <c r="W153" s="28" t="s">
        <v>4424</v>
      </c>
      <c r="X153" s="17" t="s">
        <v>1465</v>
      </c>
      <c r="Y153" s="14" t="s">
        <v>2755</v>
      </c>
      <c r="Z153" s="21" t="s">
        <v>3</v>
      </c>
      <c r="AA153" s="25" t="s">
        <v>117</v>
      </c>
      <c r="AB153" s="1" t="s">
        <v>79</v>
      </c>
      <c r="AC153" s="73" t="s">
        <v>1466</v>
      </c>
      <c r="AD153" s="74" t="s">
        <v>1223</v>
      </c>
      <c r="AE153" s="32" t="s">
        <v>1224</v>
      </c>
      <c r="AF153" s="46" t="s">
        <v>6362</v>
      </c>
      <c r="AG153" s="170"/>
    </row>
    <row r="154" spans="1:40" s="273" customFormat="1">
      <c r="A154" s="132" t="s">
        <v>1982</v>
      </c>
      <c r="B154" s="81">
        <v>23</v>
      </c>
      <c r="C154" s="81">
        <v>35</v>
      </c>
      <c r="D154" s="81">
        <v>2</v>
      </c>
      <c r="E154" s="81">
        <v>28</v>
      </c>
      <c r="F154" s="58">
        <v>24.05</v>
      </c>
      <c r="G154" s="81">
        <v>6592</v>
      </c>
      <c r="H154" s="30" t="s">
        <v>1531</v>
      </c>
      <c r="I154" s="160" t="s">
        <v>1973</v>
      </c>
      <c r="J154" s="75">
        <v>79.08</v>
      </c>
      <c r="K154" s="75">
        <v>28.37</v>
      </c>
      <c r="L154" s="330">
        <v>1.49</v>
      </c>
      <c r="M154" s="75">
        <v>68.400000000000006</v>
      </c>
      <c r="N154" s="75">
        <f>K154+J154+L154+M154</f>
        <v>177.34</v>
      </c>
      <c r="O154" s="27" t="s">
        <v>1581</v>
      </c>
      <c r="P154" s="56" t="s">
        <v>1581</v>
      </c>
      <c r="Q154" s="26" t="s">
        <v>1581</v>
      </c>
      <c r="R154" s="308" t="s">
        <v>4373</v>
      </c>
      <c r="S154" s="366">
        <f>T154/W154</f>
        <v>2.8000000000000001E-2</v>
      </c>
      <c r="T154" s="66">
        <v>3.5</v>
      </c>
      <c r="U154" s="330">
        <v>0.37</v>
      </c>
      <c r="V154" s="58">
        <v>5.73</v>
      </c>
      <c r="W154" s="168">
        <v>125</v>
      </c>
      <c r="X154" s="264">
        <v>115</v>
      </c>
      <c r="Y154" s="169">
        <f t="shared" ref="Y154" si="75">W154-X154</f>
        <v>10</v>
      </c>
      <c r="Z154" s="165">
        <f t="shared" ref="Z154" si="76">Y154/X154</f>
        <v>8.6956521739130432E-2</v>
      </c>
      <c r="AA154" s="102" t="s">
        <v>6425</v>
      </c>
      <c r="AB154" s="160" t="s">
        <v>1973</v>
      </c>
      <c r="AC154" s="86">
        <v>44607</v>
      </c>
      <c r="AD154" s="86">
        <v>44616</v>
      </c>
      <c r="AE154" s="33">
        <f>AD154-AC154</f>
        <v>9</v>
      </c>
      <c r="AF154" s="41" t="s">
        <v>1188</v>
      </c>
      <c r="AG154" s="240"/>
      <c r="AH154" s="160"/>
      <c r="AI154" s="64"/>
      <c r="AJ154" s="313"/>
      <c r="AK154" s="22"/>
      <c r="AL154" s="41"/>
      <c r="AM154" s="308"/>
    </row>
    <row r="155" spans="1:40" s="273" customFormat="1">
      <c r="A155" s="147"/>
      <c r="B155" s="81"/>
      <c r="C155" s="81"/>
      <c r="D155" s="81"/>
      <c r="E155" s="81"/>
      <c r="F155" s="6"/>
      <c r="G155" s="41"/>
      <c r="H155" s="8"/>
      <c r="I155" s="160"/>
      <c r="J155" s="330"/>
      <c r="K155" s="330"/>
      <c r="L155" s="330"/>
      <c r="M155" s="325"/>
      <c r="N155" s="325"/>
      <c r="O155" s="329"/>
      <c r="P155" s="390"/>
      <c r="Q155" s="362"/>
      <c r="R155" s="308"/>
      <c r="S155" s="330"/>
      <c r="T155" s="199"/>
      <c r="U155" s="365"/>
      <c r="V155" s="97"/>
      <c r="W155" s="172">
        <f>SUM(W154)</f>
        <v>125</v>
      </c>
      <c r="X155" s="162">
        <f>SUM(X154)</f>
        <v>115</v>
      </c>
      <c r="Y155" s="169">
        <f>W155-X155</f>
        <v>10</v>
      </c>
      <c r="Z155" s="165">
        <f>Y155/X155</f>
        <v>8.6956521739130432E-2</v>
      </c>
      <c r="AA155" s="118"/>
      <c r="AB155" s="160">
        <f>W155*(0.001425*0.5)+W155*0.003+X155*(0.001425*0.5)</f>
        <v>0.54600000000000004</v>
      </c>
      <c r="AC155" s="6">
        <f>Y155-AB155</f>
        <v>9.4540000000000006</v>
      </c>
      <c r="AD155" s="85"/>
      <c r="AE155" s="33"/>
      <c r="AF155" s="41" t="s">
        <v>1188</v>
      </c>
      <c r="AG155" s="170"/>
    </row>
    <row r="156" spans="1:40" s="273" customFormat="1">
      <c r="A156" s="147"/>
      <c r="B156" s="81"/>
      <c r="C156" s="81"/>
      <c r="D156" s="81"/>
      <c r="E156" s="81"/>
      <c r="F156" s="6"/>
      <c r="G156" s="41"/>
      <c r="H156" s="8"/>
      <c r="I156" s="160"/>
      <c r="J156" s="330"/>
      <c r="K156" s="330"/>
      <c r="L156" s="330"/>
      <c r="M156" s="325"/>
      <c r="N156" s="325"/>
      <c r="O156" s="329"/>
      <c r="P156" s="390"/>
      <c r="Q156" s="362"/>
      <c r="R156" s="308"/>
      <c r="S156" s="330"/>
      <c r="T156" s="199"/>
      <c r="U156" s="367"/>
      <c r="V156" s="97"/>
      <c r="W156" s="172"/>
      <c r="X156" s="162"/>
      <c r="Y156" s="169"/>
      <c r="Z156" s="171"/>
      <c r="AA156" s="118"/>
      <c r="AB156" s="160"/>
      <c r="AC156" s="6"/>
      <c r="AD156" s="85"/>
      <c r="AE156" s="33"/>
      <c r="AF156" s="41"/>
      <c r="AG156" s="170"/>
    </row>
    <row r="157" spans="1:40" s="273" customFormat="1">
      <c r="A157" s="132" t="s">
        <v>1854</v>
      </c>
      <c r="B157" s="93" t="s">
        <v>1657</v>
      </c>
      <c r="C157" s="93" t="s">
        <v>1658</v>
      </c>
      <c r="D157" s="93" t="s">
        <v>1659</v>
      </c>
      <c r="E157" s="93" t="s">
        <v>1660</v>
      </c>
      <c r="F157" s="8" t="s">
        <v>1122</v>
      </c>
      <c r="G157" s="26" t="s">
        <v>4231</v>
      </c>
      <c r="H157" s="55" t="s">
        <v>342</v>
      </c>
      <c r="I157" s="1" t="s">
        <v>2750</v>
      </c>
      <c r="J157" s="324" t="s">
        <v>1529</v>
      </c>
      <c r="K157" s="324" t="s">
        <v>1217</v>
      </c>
      <c r="L157" s="324" t="s">
        <v>298</v>
      </c>
      <c r="M157" s="324" t="s">
        <v>1115</v>
      </c>
      <c r="N157" s="324" t="s">
        <v>6091</v>
      </c>
      <c r="O157" s="27" t="s">
        <v>6312</v>
      </c>
      <c r="P157" s="56" t="s">
        <v>6219</v>
      </c>
      <c r="Q157" s="26" t="s">
        <v>6313</v>
      </c>
      <c r="R157" s="309" t="s">
        <v>4371</v>
      </c>
      <c r="S157" s="335" t="s">
        <v>4398</v>
      </c>
      <c r="T157" s="14" t="s">
        <v>75</v>
      </c>
      <c r="U157" s="364" t="s">
        <v>6152</v>
      </c>
      <c r="V157" s="69" t="s">
        <v>4406</v>
      </c>
      <c r="W157" s="28" t="s">
        <v>4424</v>
      </c>
      <c r="X157" s="17" t="s">
        <v>1465</v>
      </c>
      <c r="Y157" s="14" t="s">
        <v>2755</v>
      </c>
      <c r="Z157" s="21" t="s">
        <v>1539</v>
      </c>
      <c r="AA157" s="25" t="s">
        <v>117</v>
      </c>
      <c r="AB157" s="1" t="s">
        <v>2750</v>
      </c>
      <c r="AC157" s="73" t="s">
        <v>1466</v>
      </c>
      <c r="AD157" s="74" t="s">
        <v>1223</v>
      </c>
      <c r="AE157" s="32" t="s">
        <v>1224</v>
      </c>
      <c r="AF157" s="46" t="s">
        <v>6077</v>
      </c>
      <c r="AG157" s="170"/>
    </row>
    <row r="158" spans="1:40" s="273" customFormat="1">
      <c r="A158" s="132" t="s">
        <v>1982</v>
      </c>
      <c r="B158" s="81">
        <v>39</v>
      </c>
      <c r="C158" s="81">
        <v>43</v>
      </c>
      <c r="D158" s="81">
        <v>4</v>
      </c>
      <c r="E158" s="81">
        <v>31</v>
      </c>
      <c r="F158" s="58">
        <v>27.4</v>
      </c>
      <c r="G158" s="41" t="s">
        <v>1972</v>
      </c>
      <c r="H158" s="30" t="s">
        <v>1531</v>
      </c>
      <c r="I158" s="160" t="s">
        <v>1973</v>
      </c>
      <c r="J158" s="75">
        <v>78.739999999999995</v>
      </c>
      <c r="K158" s="75">
        <v>28.34</v>
      </c>
      <c r="L158" s="75">
        <v>0.71</v>
      </c>
      <c r="M158" s="325"/>
      <c r="N158" s="75">
        <f>K158+J158+L158</f>
        <v>107.78999999999999</v>
      </c>
      <c r="O158" s="329"/>
      <c r="P158" s="390"/>
      <c r="Q158" s="362"/>
      <c r="R158" s="308"/>
      <c r="S158" s="330">
        <v>0.11</v>
      </c>
      <c r="T158" s="66">
        <v>3.5</v>
      </c>
      <c r="U158" s="367"/>
      <c r="V158" s="58">
        <v>5.35</v>
      </c>
      <c r="W158" s="168">
        <v>107.5</v>
      </c>
      <c r="X158" s="264">
        <f>85.5-3.5</f>
        <v>82</v>
      </c>
      <c r="Y158" s="169">
        <f t="shared" ref="Y158" si="77">W158-X158</f>
        <v>25.5</v>
      </c>
      <c r="Z158" s="165">
        <f t="shared" ref="Z158" si="78">Y158/X158</f>
        <v>0.31097560975609756</v>
      </c>
      <c r="AA158" s="198" t="s">
        <v>2250</v>
      </c>
      <c r="AB158" s="160" t="s">
        <v>1973</v>
      </c>
      <c r="AC158" s="86">
        <v>44312</v>
      </c>
      <c r="AD158" s="85"/>
      <c r="AE158" s="79">
        <f>AD158-AC158</f>
        <v>-44312</v>
      </c>
      <c r="AF158" s="41" t="s">
        <v>1188</v>
      </c>
      <c r="AG158" s="226"/>
      <c r="AH158" s="196"/>
    </row>
    <row r="159" spans="1:40">
      <c r="A159" s="148" t="s">
        <v>2326</v>
      </c>
      <c r="B159" s="81">
        <v>171</v>
      </c>
      <c r="C159" s="81">
        <v>391</v>
      </c>
      <c r="D159" s="81">
        <v>0</v>
      </c>
      <c r="E159" s="81">
        <v>41</v>
      </c>
      <c r="F159" s="6">
        <v>9.7100000000000009</v>
      </c>
      <c r="G159" s="41" t="s">
        <v>304</v>
      </c>
      <c r="H159" s="30" t="s">
        <v>1531</v>
      </c>
      <c r="I159" s="16" t="s">
        <v>305</v>
      </c>
      <c r="J159" s="330">
        <v>49.96</v>
      </c>
      <c r="K159" s="330">
        <v>6.67</v>
      </c>
      <c r="L159" s="330">
        <v>16.91</v>
      </c>
      <c r="N159" s="342">
        <f t="shared" ref="N159" si="79">K159+J159+L159</f>
        <v>73.540000000000006</v>
      </c>
      <c r="S159" s="330">
        <v>1.92</v>
      </c>
      <c r="T159" s="34">
        <v>1</v>
      </c>
      <c r="V159" s="97">
        <v>3.17</v>
      </c>
      <c r="W159" s="36">
        <v>74</v>
      </c>
      <c r="X159" s="233">
        <v>56.7</v>
      </c>
      <c r="Y159" s="15">
        <f t="shared" ref="Y159" si="80">W159-X159</f>
        <v>17.299999999999997</v>
      </c>
      <c r="Z159" s="64">
        <f t="shared" ref="Z159" si="81">Y159/X159</f>
        <v>0.30511463844797171</v>
      </c>
      <c r="AA159" s="104" t="s">
        <v>6078</v>
      </c>
      <c r="AB159" s="16" t="s">
        <v>305</v>
      </c>
      <c r="AC159" s="86">
        <v>44454</v>
      </c>
      <c r="AD159" s="85">
        <v>44566</v>
      </c>
      <c r="AE159" s="79">
        <f>AD159-AC159</f>
        <v>112</v>
      </c>
      <c r="AF159" s="41" t="s">
        <v>1188</v>
      </c>
      <c r="AG159" s="240"/>
      <c r="AH159" s="267"/>
      <c r="AI159" s="41"/>
      <c r="AJ159" s="16"/>
      <c r="AK159" s="222"/>
      <c r="AL159" s="262"/>
      <c r="AM159" s="275"/>
      <c r="AN159" s="277"/>
    </row>
    <row r="160" spans="1:40">
      <c r="A160" s="148" t="s">
        <v>2326</v>
      </c>
      <c r="B160" s="81">
        <v>171</v>
      </c>
      <c r="C160" s="81">
        <v>391</v>
      </c>
      <c r="D160" s="81">
        <v>0</v>
      </c>
      <c r="E160" s="81">
        <v>41</v>
      </c>
      <c r="F160" s="6">
        <v>9.7100000000000009</v>
      </c>
      <c r="G160" s="41" t="s">
        <v>2766</v>
      </c>
      <c r="H160" s="30" t="s">
        <v>1531</v>
      </c>
      <c r="I160" s="16" t="s">
        <v>305</v>
      </c>
      <c r="J160" s="330">
        <v>49.96</v>
      </c>
      <c r="K160" s="330">
        <v>6.67</v>
      </c>
      <c r="L160" s="330">
        <v>16.91</v>
      </c>
      <c r="N160" s="342">
        <f t="shared" ref="N160" si="82">K160+J160+L160</f>
        <v>73.540000000000006</v>
      </c>
      <c r="S160" s="330">
        <v>1.92</v>
      </c>
      <c r="T160" s="34">
        <v>1</v>
      </c>
      <c r="V160" s="97">
        <v>3.17</v>
      </c>
      <c r="W160" s="36">
        <v>74</v>
      </c>
      <c r="X160" s="233">
        <f>76.9-1</f>
        <v>75.900000000000006</v>
      </c>
      <c r="Y160" s="15">
        <f t="shared" ref="Y160" si="83">W160-X160</f>
        <v>-1.9000000000000057</v>
      </c>
      <c r="Z160" s="78">
        <f t="shared" ref="Z160" si="84">Y160/X160</f>
        <v>-2.5032938076416409E-2</v>
      </c>
      <c r="AA160" s="141" t="s">
        <v>4278</v>
      </c>
      <c r="AB160" s="16" t="s">
        <v>305</v>
      </c>
      <c r="AC160" s="86">
        <v>44393</v>
      </c>
      <c r="AD160" s="85">
        <v>44566</v>
      </c>
      <c r="AE160" s="79">
        <f>AD160-AC160</f>
        <v>173</v>
      </c>
      <c r="AF160" s="41" t="s">
        <v>1188</v>
      </c>
      <c r="AG160" s="240"/>
      <c r="AH160" s="267"/>
      <c r="AI160" s="41"/>
      <c r="AJ160" s="16"/>
      <c r="AK160" s="222"/>
      <c r="AL160" s="262"/>
      <c r="AM160" s="275"/>
      <c r="AN160" s="277"/>
    </row>
    <row r="161" spans="1:38">
      <c r="A161" s="148" t="s">
        <v>2277</v>
      </c>
      <c r="B161" s="82">
        <v>-34</v>
      </c>
      <c r="C161" s="82">
        <v>-42</v>
      </c>
      <c r="D161" s="82">
        <v>-4</v>
      </c>
      <c r="E161" s="82">
        <v>-46</v>
      </c>
      <c r="F161" s="6">
        <v>9.8000000000000007</v>
      </c>
      <c r="G161" s="57" t="s">
        <v>482</v>
      </c>
      <c r="H161" s="30" t="s">
        <v>1531</v>
      </c>
      <c r="I161" s="22" t="s">
        <v>483</v>
      </c>
      <c r="J161" s="330">
        <v>44.47</v>
      </c>
      <c r="K161" s="330">
        <v>8.66</v>
      </c>
      <c r="L161" s="75">
        <v>20.92</v>
      </c>
      <c r="N161" s="325">
        <f>K161+J161+L161</f>
        <v>74.05</v>
      </c>
      <c r="S161" s="330">
        <v>0.89</v>
      </c>
      <c r="T161" s="34">
        <v>1.1399999999999999</v>
      </c>
      <c r="V161" s="97">
        <v>2.54</v>
      </c>
      <c r="W161" s="36">
        <v>55</v>
      </c>
      <c r="X161" s="259">
        <f>50.2-1.14</f>
        <v>49.06</v>
      </c>
      <c r="Y161" s="15">
        <f>W161-X161</f>
        <v>5.9399999999999977</v>
      </c>
      <c r="Z161" s="64">
        <f>Y161/X161</f>
        <v>0.12107623318385645</v>
      </c>
      <c r="AA161" s="104" t="s">
        <v>6079</v>
      </c>
      <c r="AB161" s="22" t="s">
        <v>483</v>
      </c>
      <c r="AC161" s="86">
        <v>44364</v>
      </c>
      <c r="AD161" s="85">
        <v>44566</v>
      </c>
      <c r="AE161" s="79">
        <f>AD161-AC161</f>
        <v>202</v>
      </c>
      <c r="AF161" s="41" t="s">
        <v>1188</v>
      </c>
      <c r="AG161" s="240"/>
      <c r="AH161" s="267"/>
    </row>
    <row r="162" spans="1:38">
      <c r="A162" s="148" t="s">
        <v>1928</v>
      </c>
      <c r="B162" s="82">
        <v>-47</v>
      </c>
      <c r="C162" s="82">
        <v>-47</v>
      </c>
      <c r="D162" s="81">
        <v>69</v>
      </c>
      <c r="E162" s="81">
        <v>4</v>
      </c>
      <c r="F162" s="6">
        <v>4.82</v>
      </c>
      <c r="G162" s="57" t="s">
        <v>2433</v>
      </c>
      <c r="H162" s="30" t="s">
        <v>1531</v>
      </c>
      <c r="I162" s="22" t="s">
        <v>748</v>
      </c>
      <c r="J162" s="75">
        <v>43.09</v>
      </c>
      <c r="K162" s="330">
        <v>3.36</v>
      </c>
      <c r="L162" s="330">
        <v>16.559999999999999</v>
      </c>
      <c r="N162" s="325">
        <f t="shared" ref="N162" si="85">K162+J162+L162</f>
        <v>63.010000000000005</v>
      </c>
      <c r="S162" s="330">
        <v>17.05</v>
      </c>
      <c r="T162" s="45">
        <v>3</v>
      </c>
      <c r="V162" s="97">
        <v>4.32</v>
      </c>
      <c r="W162" s="36">
        <v>32.1</v>
      </c>
      <c r="X162" s="233">
        <f>41.9-3</f>
        <v>38.9</v>
      </c>
      <c r="Y162" s="15">
        <f t="shared" ref="Y162" si="86">W162-X162</f>
        <v>-6.7999999999999972</v>
      </c>
      <c r="Z162" s="78">
        <f t="shared" ref="Z162" si="87">Y162/X162</f>
        <v>-0.17480719794344465</v>
      </c>
      <c r="AA162" s="103" t="s">
        <v>6134</v>
      </c>
      <c r="AB162" s="22" t="s">
        <v>748</v>
      </c>
      <c r="AC162" s="86">
        <v>44336</v>
      </c>
      <c r="AE162" s="79">
        <f t="shared" ref="AE162" si="88">AD162-AC162</f>
        <v>-44336</v>
      </c>
      <c r="AF162" s="41" t="s">
        <v>1188</v>
      </c>
      <c r="AG162" s="240"/>
      <c r="AH162" s="8"/>
    </row>
    <row r="163" spans="1:38">
      <c r="A163" s="148" t="s">
        <v>1928</v>
      </c>
      <c r="B163" s="82">
        <v>-47</v>
      </c>
      <c r="C163" s="82">
        <v>-47</v>
      </c>
      <c r="D163" s="81">
        <v>69</v>
      </c>
      <c r="E163" s="81">
        <v>4</v>
      </c>
      <c r="F163" s="6">
        <v>4.82</v>
      </c>
      <c r="G163" s="57" t="s">
        <v>2433</v>
      </c>
      <c r="H163" s="30" t="s">
        <v>1531</v>
      </c>
      <c r="I163" s="22" t="s">
        <v>748</v>
      </c>
      <c r="J163" s="75">
        <v>43.09</v>
      </c>
      <c r="K163" s="330">
        <v>3.36</v>
      </c>
      <c r="L163" s="330">
        <v>16.559999999999999</v>
      </c>
      <c r="N163" s="325">
        <f t="shared" ref="N163" si="89">K163+J163+L163</f>
        <v>63.010000000000005</v>
      </c>
      <c r="S163" s="330">
        <v>17.05</v>
      </c>
      <c r="T163" s="45">
        <v>3</v>
      </c>
      <c r="V163" s="97">
        <v>4.32</v>
      </c>
      <c r="W163" s="36">
        <v>32.15</v>
      </c>
      <c r="X163" s="233">
        <f>44.5-3</f>
        <v>41.5</v>
      </c>
      <c r="Y163" s="15">
        <f t="shared" ref="Y163" si="90">W163-X163</f>
        <v>-9.3500000000000014</v>
      </c>
      <c r="Z163" s="78">
        <f t="shared" ref="Z163" si="91">Y163/X163</f>
        <v>-0.22530120481927715</v>
      </c>
      <c r="AA163" s="103" t="s">
        <v>6135</v>
      </c>
      <c r="AB163" s="22" t="s">
        <v>748</v>
      </c>
      <c r="AC163" s="86">
        <v>44334</v>
      </c>
      <c r="AE163" s="79">
        <f t="shared" ref="AE163" si="92">AD163-AC163</f>
        <v>-44334</v>
      </c>
      <c r="AF163" s="41" t="s">
        <v>1188</v>
      </c>
      <c r="AG163" s="240"/>
      <c r="AH163" s="8"/>
    </row>
    <row r="164" spans="1:38" s="273" customFormat="1">
      <c r="A164" s="147"/>
      <c r="B164" s="81"/>
      <c r="C164" s="81"/>
      <c r="D164" s="81"/>
      <c r="E164" s="81"/>
      <c r="F164" s="6"/>
      <c r="G164" s="41"/>
      <c r="H164" s="8"/>
      <c r="I164" s="160"/>
      <c r="J164" s="330"/>
      <c r="K164" s="330"/>
      <c r="L164" s="330"/>
      <c r="M164" s="325"/>
      <c r="N164" s="325"/>
      <c r="O164" s="329"/>
      <c r="P164" s="390"/>
      <c r="Q164" s="362"/>
      <c r="R164" s="308"/>
      <c r="S164" s="330"/>
      <c r="T164" s="199"/>
      <c r="U164" s="367"/>
      <c r="V164" s="97"/>
      <c r="W164" s="172">
        <f>SUM(W158:W163)</f>
        <v>374.75</v>
      </c>
      <c r="X164" s="162">
        <f>SUM(X158:X163)</f>
        <v>344.05999999999995</v>
      </c>
      <c r="Y164" s="169">
        <f>W164-X164</f>
        <v>30.690000000000055</v>
      </c>
      <c r="Z164" s="165">
        <f>Y164/X164</f>
        <v>8.9199558216590299E-2</v>
      </c>
      <c r="AA164" s="118"/>
      <c r="AB164" s="160">
        <f>W164*(0.001425*0.5)+W164*0.003+X164*(0.001425*0.5)</f>
        <v>1.636402125</v>
      </c>
      <c r="AC164" s="6">
        <f>Y164-AB164</f>
        <v>29.053597875000055</v>
      </c>
      <c r="AD164" s="85"/>
      <c r="AE164" s="33"/>
      <c r="AF164" s="41"/>
      <c r="AG164" s="170"/>
      <c r="AH164" s="265"/>
    </row>
    <row r="165" spans="1:38" s="273" customFormat="1">
      <c r="A165" s="147"/>
      <c r="B165" s="81"/>
      <c r="C165" s="81"/>
      <c r="D165" s="81"/>
      <c r="E165" s="81"/>
      <c r="F165" s="6"/>
      <c r="G165" s="41"/>
      <c r="H165" s="8"/>
      <c r="I165" s="160"/>
      <c r="J165" s="330"/>
      <c r="K165" s="330"/>
      <c r="L165" s="330"/>
      <c r="M165" s="325"/>
      <c r="N165" s="325"/>
      <c r="O165" s="329"/>
      <c r="P165" s="390"/>
      <c r="Q165" s="362"/>
      <c r="R165" s="308"/>
      <c r="S165" s="330"/>
      <c r="T165" s="199"/>
      <c r="U165" s="367"/>
      <c r="V165" s="97"/>
      <c r="W165" s="172"/>
      <c r="X165" s="162"/>
      <c r="Y165" s="169"/>
      <c r="Z165" s="171"/>
      <c r="AA165" s="118"/>
      <c r="AB165" s="160"/>
      <c r="AC165" s="6"/>
      <c r="AD165" s="85"/>
      <c r="AE165" s="33"/>
      <c r="AF165" s="41"/>
      <c r="AG165" s="170"/>
    </row>
    <row r="166" spans="1:38" s="273" customFormat="1">
      <c r="A166" s="132" t="s">
        <v>1854</v>
      </c>
      <c r="B166" s="93" t="s">
        <v>1657</v>
      </c>
      <c r="C166" s="93" t="s">
        <v>1658</v>
      </c>
      <c r="D166" s="93" t="s">
        <v>1659</v>
      </c>
      <c r="E166" s="93" t="s">
        <v>1660</v>
      </c>
      <c r="F166" s="8" t="s">
        <v>1122</v>
      </c>
      <c r="G166" s="26" t="s">
        <v>4231</v>
      </c>
      <c r="H166" s="55" t="s">
        <v>342</v>
      </c>
      <c r="I166" s="1" t="s">
        <v>79</v>
      </c>
      <c r="J166" s="324" t="s">
        <v>1529</v>
      </c>
      <c r="K166" s="324" t="s">
        <v>1217</v>
      </c>
      <c r="L166" s="324" t="s">
        <v>298</v>
      </c>
      <c r="M166" s="324" t="s">
        <v>1115</v>
      </c>
      <c r="N166" s="324" t="s">
        <v>6091</v>
      </c>
      <c r="O166" s="27" t="s">
        <v>6312</v>
      </c>
      <c r="P166" s="56" t="s">
        <v>6219</v>
      </c>
      <c r="Q166" s="26" t="s">
        <v>6313</v>
      </c>
      <c r="R166" s="309" t="s">
        <v>4371</v>
      </c>
      <c r="S166" s="335" t="s">
        <v>4398</v>
      </c>
      <c r="T166" s="14" t="s">
        <v>75</v>
      </c>
      <c r="U166" s="364" t="s">
        <v>6152</v>
      </c>
      <c r="V166" s="69" t="s">
        <v>4406</v>
      </c>
      <c r="W166" s="28" t="s">
        <v>4424</v>
      </c>
      <c r="X166" s="17" t="s">
        <v>1465</v>
      </c>
      <c r="Y166" s="14" t="s">
        <v>2755</v>
      </c>
      <c r="Z166" s="21" t="s">
        <v>1539</v>
      </c>
      <c r="AA166" s="25" t="s">
        <v>117</v>
      </c>
      <c r="AB166" s="1" t="s">
        <v>79</v>
      </c>
      <c r="AC166" s="73" t="s">
        <v>1466</v>
      </c>
      <c r="AD166" s="74" t="s">
        <v>1223</v>
      </c>
      <c r="AE166" s="32" t="s">
        <v>1224</v>
      </c>
      <c r="AF166" s="46" t="s">
        <v>4290</v>
      </c>
      <c r="AG166" s="170"/>
    </row>
    <row r="167" spans="1:38">
      <c r="A167" s="148" t="s">
        <v>3545</v>
      </c>
      <c r="B167" s="81">
        <v>294</v>
      </c>
      <c r="C167" s="81">
        <v>351</v>
      </c>
      <c r="D167" s="81">
        <v>57</v>
      </c>
      <c r="E167" s="81">
        <v>91</v>
      </c>
      <c r="F167" s="6">
        <v>7.57</v>
      </c>
      <c r="G167" s="82">
        <v>3162</v>
      </c>
      <c r="H167" s="30" t="s">
        <v>1531</v>
      </c>
      <c r="I167" s="16" t="s">
        <v>566</v>
      </c>
      <c r="J167" s="330">
        <v>57.54</v>
      </c>
      <c r="K167" s="75">
        <v>59.11</v>
      </c>
      <c r="L167" s="330"/>
      <c r="N167" s="75">
        <f t="shared" ref="N167" si="93">K167+J167+L167</f>
        <v>116.65</v>
      </c>
      <c r="T167" s="34">
        <v>0</v>
      </c>
      <c r="V167" s="58">
        <v>7.0000000000000007E-2</v>
      </c>
      <c r="W167" s="13">
        <v>49.3</v>
      </c>
      <c r="X167" s="67">
        <v>40</v>
      </c>
      <c r="Y167" s="15">
        <f t="shared" ref="Y167" si="94">W167-X167</f>
        <v>9.2999999999999972</v>
      </c>
      <c r="Z167" s="64">
        <f t="shared" ref="Z167" si="95">Y167/X167</f>
        <v>0.23249999999999993</v>
      </c>
      <c r="AA167" s="104" t="s">
        <v>6080</v>
      </c>
      <c r="AB167" s="16" t="s">
        <v>566</v>
      </c>
      <c r="AC167" s="86">
        <v>44470</v>
      </c>
      <c r="AD167" s="85">
        <v>44477</v>
      </c>
      <c r="AE167" s="33">
        <f t="shared" ref="AE167" si="96">AD167-AC167</f>
        <v>7</v>
      </c>
      <c r="AF167" s="41" t="s">
        <v>1188</v>
      </c>
      <c r="AG167" s="240"/>
      <c r="AH167" s="16"/>
      <c r="AI167" s="222"/>
      <c r="AJ167" s="262"/>
      <c r="AK167" s="275"/>
      <c r="AL167" s="277"/>
    </row>
    <row r="168" spans="1:38" s="273" customFormat="1">
      <c r="A168" s="147"/>
      <c r="B168" s="81"/>
      <c r="C168" s="81"/>
      <c r="D168" s="81"/>
      <c r="E168" s="81"/>
      <c r="F168" s="6"/>
      <c r="G168" s="41"/>
      <c r="H168" s="8"/>
      <c r="I168" s="160"/>
      <c r="J168" s="330"/>
      <c r="K168" s="330"/>
      <c r="L168" s="330"/>
      <c r="M168" s="325"/>
      <c r="N168" s="325"/>
      <c r="O168" s="329"/>
      <c r="P168" s="390"/>
      <c r="Q168" s="362"/>
      <c r="R168" s="308"/>
      <c r="S168" s="330"/>
      <c r="T168" s="199"/>
      <c r="U168" s="367"/>
      <c r="V168" s="97"/>
      <c r="W168" s="172">
        <f>SUM(W167)</f>
        <v>49.3</v>
      </c>
      <c r="X168" s="162">
        <f>SUM(X167)</f>
        <v>40</v>
      </c>
      <c r="Y168" s="169">
        <f>W168-X168</f>
        <v>9.2999999999999972</v>
      </c>
      <c r="Z168" s="165">
        <f>Y168/X168</f>
        <v>0.23249999999999993</v>
      </c>
      <c r="AA168" s="118"/>
      <c r="AB168" s="160">
        <f>W168*(0.001425*0.5)+W168*0.003+X168*(0.001425*0.5)</f>
        <v>0.21152625</v>
      </c>
      <c r="AC168" s="6">
        <f>Y168-AB168</f>
        <v>9.0884737499999968</v>
      </c>
      <c r="AD168" s="85"/>
      <c r="AE168" s="33"/>
      <c r="AF168" s="41"/>
      <c r="AG168" s="170"/>
    </row>
    <row r="169" spans="1:38" s="273" customFormat="1">
      <c r="A169" s="147"/>
      <c r="B169" s="81"/>
      <c r="C169" s="81"/>
      <c r="D169" s="81"/>
      <c r="E169" s="81"/>
      <c r="F169" s="6"/>
      <c r="G169" s="41"/>
      <c r="H169" s="8"/>
      <c r="I169" s="160"/>
      <c r="J169" s="330"/>
      <c r="K169" s="330"/>
      <c r="L169" s="330"/>
      <c r="M169" s="325"/>
      <c r="N169" s="325"/>
      <c r="O169" s="329"/>
      <c r="P169" s="390"/>
      <c r="Q169" s="362"/>
      <c r="R169" s="308"/>
      <c r="S169" s="330"/>
      <c r="T169" s="199"/>
      <c r="U169" s="367"/>
      <c r="V169" s="97"/>
      <c r="W169" s="172"/>
      <c r="X169" s="162"/>
      <c r="Y169" s="169"/>
      <c r="Z169" s="171"/>
      <c r="AA169" s="118"/>
      <c r="AB169" s="160"/>
      <c r="AC169" s="6"/>
      <c r="AD169" s="85"/>
      <c r="AE169" s="33"/>
      <c r="AF169" s="41"/>
      <c r="AG169" s="170"/>
    </row>
    <row r="170" spans="1:38" s="282" customFormat="1">
      <c r="A170" s="132" t="s">
        <v>1854</v>
      </c>
      <c r="B170" s="93" t="s">
        <v>1657</v>
      </c>
      <c r="C170" s="93" t="s">
        <v>1658</v>
      </c>
      <c r="D170" s="93" t="s">
        <v>1659</v>
      </c>
      <c r="E170" s="93" t="s">
        <v>1660</v>
      </c>
      <c r="F170" s="8" t="s">
        <v>1122</v>
      </c>
      <c r="G170" s="26" t="s">
        <v>4231</v>
      </c>
      <c r="H170" s="55" t="s">
        <v>342</v>
      </c>
      <c r="I170" s="1" t="s">
        <v>2750</v>
      </c>
      <c r="J170" s="324" t="s">
        <v>1529</v>
      </c>
      <c r="K170" s="324" t="s">
        <v>1217</v>
      </c>
      <c r="L170" s="324" t="s">
        <v>298</v>
      </c>
      <c r="M170" s="324" t="s">
        <v>1115</v>
      </c>
      <c r="N170" s="324" t="s">
        <v>6091</v>
      </c>
      <c r="O170" s="27" t="s">
        <v>6312</v>
      </c>
      <c r="P170" s="56" t="s">
        <v>6219</v>
      </c>
      <c r="Q170" s="26" t="s">
        <v>6313</v>
      </c>
      <c r="R170" s="309" t="s">
        <v>4371</v>
      </c>
      <c r="S170" s="335" t="s">
        <v>4398</v>
      </c>
      <c r="T170" s="14" t="s">
        <v>75</v>
      </c>
      <c r="U170" s="364" t="s">
        <v>6152</v>
      </c>
      <c r="V170" s="69" t="s">
        <v>4406</v>
      </c>
      <c r="W170" s="28" t="s">
        <v>4424</v>
      </c>
      <c r="X170" s="17" t="s">
        <v>1465</v>
      </c>
      <c r="Y170" s="14" t="s">
        <v>2755</v>
      </c>
      <c r="Z170" s="21" t="s">
        <v>1539</v>
      </c>
      <c r="AA170" s="25" t="s">
        <v>117</v>
      </c>
      <c r="AB170" s="1" t="s">
        <v>2750</v>
      </c>
      <c r="AC170" s="73" t="s">
        <v>1466</v>
      </c>
      <c r="AD170" s="74" t="s">
        <v>1223</v>
      </c>
      <c r="AE170" s="32" t="s">
        <v>1224</v>
      </c>
      <c r="AF170" s="46" t="s">
        <v>4205</v>
      </c>
      <c r="AG170" s="170"/>
    </row>
    <row r="171" spans="1:38" s="273" customFormat="1">
      <c r="A171" s="132" t="s">
        <v>1819</v>
      </c>
      <c r="B171" s="81">
        <v>6</v>
      </c>
      <c r="C171" s="81">
        <v>3</v>
      </c>
      <c r="D171" s="81">
        <v>2</v>
      </c>
      <c r="E171" s="81">
        <v>15</v>
      </c>
      <c r="F171" s="58">
        <v>10.6</v>
      </c>
      <c r="G171" s="57" t="s">
        <v>3849</v>
      </c>
      <c r="H171" s="30" t="s">
        <v>1531</v>
      </c>
      <c r="I171" s="173" t="s">
        <v>191</v>
      </c>
      <c r="J171" s="75">
        <v>60.36</v>
      </c>
      <c r="K171" s="330">
        <v>41.93</v>
      </c>
      <c r="L171" s="75">
        <v>18.29</v>
      </c>
      <c r="M171" s="325"/>
      <c r="N171" s="75">
        <f>K171+J171+L171</f>
        <v>120.57999999999998</v>
      </c>
      <c r="O171" s="329"/>
      <c r="P171" s="390"/>
      <c r="Q171" s="362"/>
      <c r="R171" s="308"/>
      <c r="S171" s="330">
        <v>2.96</v>
      </c>
      <c r="T171" s="199">
        <v>2.1</v>
      </c>
      <c r="U171" s="367"/>
      <c r="V171" s="58">
        <v>4.29</v>
      </c>
      <c r="W171" s="172">
        <v>87.5</v>
      </c>
      <c r="X171" s="66">
        <f>81-2.1</f>
        <v>78.900000000000006</v>
      </c>
      <c r="Y171" s="109">
        <f t="shared" ref="Y171:Y178" si="97">W171-X171</f>
        <v>8.5999999999999943</v>
      </c>
      <c r="Z171" s="165">
        <f t="shared" ref="Z171:Z178" si="98">Y171/X171</f>
        <v>0.10899873257287698</v>
      </c>
      <c r="AA171" s="174" t="s">
        <v>3545</v>
      </c>
      <c r="AB171" s="173" t="s">
        <v>191</v>
      </c>
      <c r="AC171" s="86">
        <v>44399</v>
      </c>
      <c r="AD171" s="85"/>
      <c r="AE171" s="33">
        <f t="shared" ref="AE171:AE177" si="99">AD171-AC171</f>
        <v>-44399</v>
      </c>
      <c r="AF171" s="41" t="s">
        <v>1188</v>
      </c>
      <c r="AG171" s="228"/>
      <c r="AH171" s="24"/>
    </row>
    <row r="172" spans="1:38" s="273" customFormat="1">
      <c r="A172" s="132" t="s">
        <v>1819</v>
      </c>
      <c r="B172" s="81">
        <v>6</v>
      </c>
      <c r="C172" s="81">
        <v>3</v>
      </c>
      <c r="D172" s="81">
        <v>2</v>
      </c>
      <c r="E172" s="81">
        <v>15</v>
      </c>
      <c r="F172" s="58">
        <v>10.6</v>
      </c>
      <c r="G172" s="57" t="s">
        <v>3849</v>
      </c>
      <c r="H172" s="30" t="s">
        <v>1531</v>
      </c>
      <c r="I172" s="173" t="s">
        <v>191</v>
      </c>
      <c r="J172" s="75">
        <v>60.36</v>
      </c>
      <c r="K172" s="330">
        <v>41.93</v>
      </c>
      <c r="L172" s="75">
        <v>18.29</v>
      </c>
      <c r="M172" s="325"/>
      <c r="N172" s="75">
        <f>K172+J172+L172</f>
        <v>120.57999999999998</v>
      </c>
      <c r="O172" s="329"/>
      <c r="P172" s="390"/>
      <c r="Q172" s="362"/>
      <c r="R172" s="308"/>
      <c r="S172" s="330">
        <v>2.96</v>
      </c>
      <c r="T172" s="199">
        <v>2.1</v>
      </c>
      <c r="U172" s="367"/>
      <c r="V172" s="58">
        <v>4.29</v>
      </c>
      <c r="W172" s="172">
        <v>87.5</v>
      </c>
      <c r="X172" s="66">
        <f>69.6-2.1</f>
        <v>67.5</v>
      </c>
      <c r="Y172" s="109">
        <f t="shared" si="97"/>
        <v>20</v>
      </c>
      <c r="Z172" s="165">
        <f t="shared" si="98"/>
        <v>0.29629629629629628</v>
      </c>
      <c r="AA172" s="174" t="s">
        <v>4213</v>
      </c>
      <c r="AB172" s="173" t="s">
        <v>191</v>
      </c>
      <c r="AC172" s="86">
        <v>44364</v>
      </c>
      <c r="AD172" s="85"/>
      <c r="AE172" s="33">
        <f t="shared" si="99"/>
        <v>-44364</v>
      </c>
      <c r="AF172" s="41" t="s">
        <v>1188</v>
      </c>
      <c r="AG172" s="228"/>
      <c r="AH172" s="24"/>
    </row>
    <row r="173" spans="1:38" s="273" customFormat="1">
      <c r="A173" s="132" t="s">
        <v>1819</v>
      </c>
      <c r="B173" s="81">
        <v>6</v>
      </c>
      <c r="C173" s="81">
        <v>3</v>
      </c>
      <c r="D173" s="81">
        <v>2</v>
      </c>
      <c r="E173" s="81">
        <v>15</v>
      </c>
      <c r="F173" s="58">
        <v>10.6</v>
      </c>
      <c r="G173" s="57" t="s">
        <v>3849</v>
      </c>
      <c r="H173" s="30" t="s">
        <v>1531</v>
      </c>
      <c r="I173" s="173" t="s">
        <v>191</v>
      </c>
      <c r="J173" s="75">
        <v>60.36</v>
      </c>
      <c r="K173" s="330">
        <v>41.93</v>
      </c>
      <c r="L173" s="75">
        <v>18.29</v>
      </c>
      <c r="M173" s="325"/>
      <c r="N173" s="75">
        <f t="shared" ref="N173:N174" si="100">K173+J173+L173</f>
        <v>120.57999999999998</v>
      </c>
      <c r="O173" s="329"/>
      <c r="P173" s="390"/>
      <c r="Q173" s="362"/>
      <c r="R173" s="308"/>
      <c r="S173" s="330">
        <v>2.96</v>
      </c>
      <c r="T173" s="199">
        <v>2.1</v>
      </c>
      <c r="U173" s="367"/>
      <c r="V173" s="58">
        <v>4.29</v>
      </c>
      <c r="W173" s="172">
        <v>87.5</v>
      </c>
      <c r="X173" s="66">
        <f>81.9-2.1</f>
        <v>79.800000000000011</v>
      </c>
      <c r="Y173" s="109">
        <f t="shared" si="97"/>
        <v>7.6999999999999886</v>
      </c>
      <c r="Z173" s="165">
        <f t="shared" si="98"/>
        <v>9.6491228070175281E-2</v>
      </c>
      <c r="AA173" s="174" t="s">
        <v>4214</v>
      </c>
      <c r="AB173" s="173" t="s">
        <v>191</v>
      </c>
      <c r="AC173" s="86">
        <v>44309</v>
      </c>
      <c r="AD173" s="85"/>
      <c r="AE173" s="33">
        <f t="shared" si="99"/>
        <v>-44309</v>
      </c>
      <c r="AF173" s="41" t="s">
        <v>1188</v>
      </c>
      <c r="AG173" s="228"/>
      <c r="AH173" s="24"/>
    </row>
    <row r="174" spans="1:38" s="273" customFormat="1">
      <c r="A174" s="132" t="s">
        <v>1819</v>
      </c>
      <c r="B174" s="81">
        <v>6</v>
      </c>
      <c r="C174" s="81">
        <v>3</v>
      </c>
      <c r="D174" s="81">
        <v>2</v>
      </c>
      <c r="E174" s="81">
        <v>15</v>
      </c>
      <c r="F174" s="58">
        <v>10.6</v>
      </c>
      <c r="G174" s="57" t="s">
        <v>3849</v>
      </c>
      <c r="H174" s="30" t="s">
        <v>1531</v>
      </c>
      <c r="I174" s="173" t="s">
        <v>191</v>
      </c>
      <c r="J174" s="75">
        <v>60.36</v>
      </c>
      <c r="K174" s="330">
        <v>41.93</v>
      </c>
      <c r="L174" s="75">
        <v>18.29</v>
      </c>
      <c r="M174" s="325"/>
      <c r="N174" s="75">
        <f t="shared" si="100"/>
        <v>120.57999999999998</v>
      </c>
      <c r="O174" s="329"/>
      <c r="P174" s="390"/>
      <c r="Q174" s="362"/>
      <c r="R174" s="308"/>
      <c r="S174" s="330">
        <v>2.96</v>
      </c>
      <c r="T174" s="199">
        <v>2.1</v>
      </c>
      <c r="U174" s="367"/>
      <c r="V174" s="58">
        <v>4.29</v>
      </c>
      <c r="W174" s="172">
        <v>87.5</v>
      </c>
      <c r="X174" s="66">
        <f>85.9-2.1</f>
        <v>83.800000000000011</v>
      </c>
      <c r="Y174" s="109">
        <f t="shared" si="97"/>
        <v>3.6999999999999886</v>
      </c>
      <c r="Z174" s="165">
        <f t="shared" si="98"/>
        <v>4.4152744630071454E-2</v>
      </c>
      <c r="AA174" s="174" t="s">
        <v>2230</v>
      </c>
      <c r="AB174" s="173" t="s">
        <v>191</v>
      </c>
      <c r="AC174" s="86">
        <v>44302</v>
      </c>
      <c r="AD174" s="85"/>
      <c r="AE174" s="33">
        <f t="shared" si="99"/>
        <v>-44302</v>
      </c>
      <c r="AF174" s="41" t="s">
        <v>1188</v>
      </c>
      <c r="AG174" s="228"/>
      <c r="AH174" s="24"/>
    </row>
    <row r="175" spans="1:38" s="273" customFormat="1">
      <c r="A175" s="132" t="s">
        <v>2743</v>
      </c>
      <c r="B175" s="81">
        <v>30</v>
      </c>
      <c r="C175" s="81">
        <v>29</v>
      </c>
      <c r="D175" s="81">
        <v>3</v>
      </c>
      <c r="E175" s="81">
        <v>45</v>
      </c>
      <c r="F175" s="58">
        <v>22.5</v>
      </c>
      <c r="G175" s="41" t="s">
        <v>1125</v>
      </c>
      <c r="H175" s="30" t="s">
        <v>1531</v>
      </c>
      <c r="I175" s="173" t="s">
        <v>45</v>
      </c>
      <c r="J175" s="330">
        <v>65.13</v>
      </c>
      <c r="K175" s="75">
        <v>48.45</v>
      </c>
      <c r="L175" s="75">
        <v>5.16</v>
      </c>
      <c r="M175" s="325"/>
      <c r="N175" s="75">
        <f t="shared" ref="N175:N177" si="101">K175+J175+L175</f>
        <v>118.74</v>
      </c>
      <c r="O175" s="329"/>
      <c r="P175" s="390"/>
      <c r="Q175" s="362"/>
      <c r="R175" s="308"/>
      <c r="S175" s="330">
        <v>1.1100000000000001</v>
      </c>
      <c r="T175" s="66">
        <v>3.8</v>
      </c>
      <c r="U175" s="367"/>
      <c r="V175" s="58">
        <v>6.01</v>
      </c>
      <c r="W175" s="172">
        <v>85.5</v>
      </c>
      <c r="X175" s="264">
        <f>75.7-3.8</f>
        <v>71.900000000000006</v>
      </c>
      <c r="Y175" s="109">
        <f t="shared" si="97"/>
        <v>13.599999999999994</v>
      </c>
      <c r="Z175" s="165">
        <f t="shared" si="98"/>
        <v>0.18915159944367166</v>
      </c>
      <c r="AA175" s="174" t="s">
        <v>4215</v>
      </c>
      <c r="AB175" s="173" t="s">
        <v>45</v>
      </c>
      <c r="AC175" s="86">
        <v>44309</v>
      </c>
      <c r="AD175" s="85"/>
      <c r="AE175" s="33">
        <f t="shared" si="99"/>
        <v>-44309</v>
      </c>
      <c r="AF175" s="41" t="s">
        <v>1188</v>
      </c>
      <c r="AG175" s="194"/>
      <c r="AH175" s="193"/>
    </row>
    <row r="176" spans="1:38" s="273" customFormat="1">
      <c r="A176" s="132" t="s">
        <v>2743</v>
      </c>
      <c r="B176" s="81">
        <v>30</v>
      </c>
      <c r="C176" s="81">
        <v>29</v>
      </c>
      <c r="D176" s="81">
        <v>3</v>
      </c>
      <c r="E176" s="81">
        <v>45</v>
      </c>
      <c r="F176" s="58">
        <v>22.5</v>
      </c>
      <c r="G176" s="41" t="s">
        <v>1125</v>
      </c>
      <c r="H176" s="30" t="s">
        <v>1531</v>
      </c>
      <c r="I176" s="173" t="s">
        <v>45</v>
      </c>
      <c r="J176" s="330">
        <v>65.13</v>
      </c>
      <c r="K176" s="75">
        <v>48.45</v>
      </c>
      <c r="L176" s="75">
        <v>5.16</v>
      </c>
      <c r="M176" s="325"/>
      <c r="N176" s="75">
        <f t="shared" si="101"/>
        <v>118.74</v>
      </c>
      <c r="O176" s="329"/>
      <c r="P176" s="390"/>
      <c r="Q176" s="362"/>
      <c r="R176" s="308"/>
      <c r="S176" s="330">
        <v>1.1100000000000001</v>
      </c>
      <c r="T176" s="66">
        <v>3.8</v>
      </c>
      <c r="U176" s="367"/>
      <c r="V176" s="58">
        <v>6.01</v>
      </c>
      <c r="W176" s="172">
        <v>85.5</v>
      </c>
      <c r="X176" s="264">
        <f>75.3-3.8</f>
        <v>71.5</v>
      </c>
      <c r="Y176" s="109">
        <f t="shared" si="97"/>
        <v>14</v>
      </c>
      <c r="Z176" s="165">
        <f t="shared" si="98"/>
        <v>0.19580419580419581</v>
      </c>
      <c r="AA176" s="174" t="s">
        <v>4216</v>
      </c>
      <c r="AB176" s="173" t="s">
        <v>45</v>
      </c>
      <c r="AC176" s="86">
        <v>44299</v>
      </c>
      <c r="AD176" s="85"/>
      <c r="AE176" s="33">
        <f t="shared" si="99"/>
        <v>-44299</v>
      </c>
      <c r="AF176" s="41" t="s">
        <v>1188</v>
      </c>
      <c r="AG176" s="194"/>
      <c r="AH176" s="193"/>
    </row>
    <row r="177" spans="1:40" s="273" customFormat="1">
      <c r="A177" s="132" t="s">
        <v>2743</v>
      </c>
      <c r="B177" s="81">
        <v>30</v>
      </c>
      <c r="C177" s="81">
        <v>29</v>
      </c>
      <c r="D177" s="81">
        <v>3</v>
      </c>
      <c r="E177" s="81">
        <v>45</v>
      </c>
      <c r="F177" s="58">
        <v>22.5</v>
      </c>
      <c r="G177" s="41" t="s">
        <v>1125</v>
      </c>
      <c r="H177" s="30" t="s">
        <v>1531</v>
      </c>
      <c r="I177" s="173" t="s">
        <v>45</v>
      </c>
      <c r="J177" s="330">
        <v>65.13</v>
      </c>
      <c r="K177" s="75">
        <v>48.45</v>
      </c>
      <c r="L177" s="75">
        <v>5.16</v>
      </c>
      <c r="M177" s="325"/>
      <c r="N177" s="75">
        <f t="shared" si="101"/>
        <v>118.74</v>
      </c>
      <c r="O177" s="329"/>
      <c r="P177" s="390"/>
      <c r="Q177" s="362"/>
      <c r="R177" s="308"/>
      <c r="S177" s="330">
        <v>1.1100000000000001</v>
      </c>
      <c r="T177" s="66">
        <v>3.8</v>
      </c>
      <c r="U177" s="367"/>
      <c r="V177" s="58">
        <v>6.01</v>
      </c>
      <c r="W177" s="172">
        <v>85.5</v>
      </c>
      <c r="X177" s="264">
        <f>78-3.8</f>
        <v>74.2</v>
      </c>
      <c r="Y177" s="109">
        <f t="shared" si="97"/>
        <v>11.299999999999997</v>
      </c>
      <c r="Z177" s="165">
        <f t="shared" si="98"/>
        <v>0.15229110512129376</v>
      </c>
      <c r="AA177" s="174" t="s">
        <v>4217</v>
      </c>
      <c r="AB177" s="173" t="s">
        <v>45</v>
      </c>
      <c r="AC177" s="86">
        <v>44294</v>
      </c>
      <c r="AD177" s="85"/>
      <c r="AE177" s="33">
        <f t="shared" si="99"/>
        <v>-44294</v>
      </c>
      <c r="AF177" s="41" t="s">
        <v>1188</v>
      </c>
      <c r="AG177" s="194"/>
      <c r="AH177" s="193"/>
    </row>
    <row r="178" spans="1:40" s="273" customFormat="1">
      <c r="A178" s="147"/>
      <c r="B178" s="81"/>
      <c r="C178" s="81"/>
      <c r="D178" s="81"/>
      <c r="E178" s="81"/>
      <c r="F178" s="6"/>
      <c r="G178" s="41"/>
      <c r="H178" s="8"/>
      <c r="I178" s="160"/>
      <c r="J178" s="330"/>
      <c r="K178" s="330"/>
      <c r="L178" s="330"/>
      <c r="M178" s="325"/>
      <c r="N178" s="325"/>
      <c r="O178" s="329"/>
      <c r="P178" s="390"/>
      <c r="Q178" s="362"/>
      <c r="R178" s="308"/>
      <c r="S178" s="330"/>
      <c r="T178" s="199"/>
      <c r="U178" s="367"/>
      <c r="V178" s="97"/>
      <c r="W178" s="172">
        <f>SUM(W171:W177)</f>
        <v>606.5</v>
      </c>
      <c r="X178" s="162">
        <f>SUM(X171:X177)</f>
        <v>527.6</v>
      </c>
      <c r="Y178" s="169">
        <f t="shared" si="97"/>
        <v>78.899999999999977</v>
      </c>
      <c r="Z178" s="165">
        <f t="shared" si="98"/>
        <v>0.14954510993176645</v>
      </c>
      <c r="AA178" s="118"/>
      <c r="AB178" s="160">
        <f>W178*(0.001425*0.5)+W178*0.003+X178*(0.001425*0.5)</f>
        <v>2.62754625</v>
      </c>
      <c r="AC178" s="6">
        <f>Y178-AB178</f>
        <v>76.272453749999983</v>
      </c>
      <c r="AD178" s="85"/>
      <c r="AE178" s="33"/>
      <c r="AF178" s="41"/>
      <c r="AG178" s="170"/>
      <c r="AH178" s="265"/>
    </row>
    <row r="179" spans="1:40" s="273" customFormat="1">
      <c r="A179" s="147"/>
      <c r="B179" s="81"/>
      <c r="C179" s="82"/>
      <c r="D179" s="81"/>
      <c r="E179" s="82"/>
      <c r="F179" s="6"/>
      <c r="G179" s="41"/>
      <c r="H179" s="50"/>
      <c r="I179" s="173"/>
      <c r="J179" s="330"/>
      <c r="K179" s="330"/>
      <c r="L179" s="75"/>
      <c r="M179" s="325"/>
      <c r="N179" s="325"/>
      <c r="O179" s="329"/>
      <c r="P179" s="390"/>
      <c r="Q179" s="362"/>
      <c r="R179" s="308"/>
      <c r="S179" s="330"/>
      <c r="T179" s="199"/>
      <c r="U179" s="367"/>
      <c r="V179" s="97"/>
      <c r="W179" s="172"/>
      <c r="X179" s="162"/>
      <c r="Y179" s="169"/>
      <c r="Z179" s="171"/>
      <c r="AA179" s="118"/>
      <c r="AB179" s="160"/>
      <c r="AC179" s="6"/>
      <c r="AD179" s="85"/>
      <c r="AE179" s="33"/>
      <c r="AF179" s="132"/>
      <c r="AG179" s="170"/>
    </row>
    <row r="180" spans="1:40" s="282" customFormat="1">
      <c r="A180" s="132" t="s">
        <v>1854</v>
      </c>
      <c r="B180" s="93" t="s">
        <v>1657</v>
      </c>
      <c r="C180" s="93" t="s">
        <v>1658</v>
      </c>
      <c r="D180" s="93" t="s">
        <v>1659</v>
      </c>
      <c r="E180" s="93" t="s">
        <v>1660</v>
      </c>
      <c r="F180" s="8" t="s">
        <v>1122</v>
      </c>
      <c r="G180" s="26" t="s">
        <v>4231</v>
      </c>
      <c r="H180" s="55" t="s">
        <v>342</v>
      </c>
      <c r="I180" s="1" t="s">
        <v>2750</v>
      </c>
      <c r="J180" s="324" t="s">
        <v>1529</v>
      </c>
      <c r="K180" s="324" t="s">
        <v>1217</v>
      </c>
      <c r="L180" s="324" t="s">
        <v>298</v>
      </c>
      <c r="M180" s="324" t="s">
        <v>1115</v>
      </c>
      <c r="N180" s="324" t="s">
        <v>6091</v>
      </c>
      <c r="O180" s="27" t="s">
        <v>6151</v>
      </c>
      <c r="P180" s="391" t="s">
        <v>4397</v>
      </c>
      <c r="Q180" s="307" t="s">
        <v>4397</v>
      </c>
      <c r="R180" s="309" t="s">
        <v>4371</v>
      </c>
      <c r="S180" s="335" t="s">
        <v>4398</v>
      </c>
      <c r="T180" s="14" t="s">
        <v>75</v>
      </c>
      <c r="U180" s="364" t="s">
        <v>6152</v>
      </c>
      <c r="V180" s="69" t="s">
        <v>4406</v>
      </c>
      <c r="W180" s="28" t="s">
        <v>3762</v>
      </c>
      <c r="X180" s="69" t="s">
        <v>1465</v>
      </c>
      <c r="Y180" s="14" t="s">
        <v>2755</v>
      </c>
      <c r="Z180" s="21" t="s">
        <v>1539</v>
      </c>
      <c r="AA180" s="25" t="s">
        <v>117</v>
      </c>
      <c r="AB180" s="1" t="s">
        <v>2750</v>
      </c>
      <c r="AC180" s="73" t="s">
        <v>1466</v>
      </c>
      <c r="AD180" s="74" t="s">
        <v>1223</v>
      </c>
      <c r="AE180" s="32" t="s">
        <v>1224</v>
      </c>
      <c r="AF180" s="46" t="s">
        <v>4123</v>
      </c>
      <c r="AG180" s="170"/>
    </row>
    <row r="181" spans="1:40">
      <c r="A181" s="132" t="s">
        <v>1860</v>
      </c>
      <c r="B181" s="81">
        <v>86</v>
      </c>
      <c r="C181" s="81">
        <v>124</v>
      </c>
      <c r="D181" s="82">
        <v>-5</v>
      </c>
      <c r="E181" s="81">
        <v>7</v>
      </c>
      <c r="F181" s="58">
        <v>25.67</v>
      </c>
      <c r="G181" s="41" t="s">
        <v>380</v>
      </c>
      <c r="H181" s="30" t="s">
        <v>1531</v>
      </c>
      <c r="I181" s="22" t="s">
        <v>381</v>
      </c>
      <c r="J181" s="330">
        <v>27.11</v>
      </c>
      <c r="K181" s="330">
        <v>16.82</v>
      </c>
      <c r="L181" s="75">
        <v>17.420000000000002</v>
      </c>
      <c r="N181" s="325">
        <f t="shared" ref="N181" si="102">K181+J181+L181</f>
        <v>61.35</v>
      </c>
      <c r="S181" s="330">
        <v>0.44</v>
      </c>
      <c r="T181" s="67">
        <v>5.7</v>
      </c>
      <c r="V181" s="97">
        <v>6.85</v>
      </c>
      <c r="W181" s="36">
        <v>117</v>
      </c>
      <c r="X181" s="67">
        <v>95.3</v>
      </c>
      <c r="Y181" s="15">
        <f t="shared" ref="Y181" si="103">W181-X181</f>
        <v>21.700000000000003</v>
      </c>
      <c r="Z181" s="64">
        <f t="shared" ref="Z181" si="104">Y181/X181</f>
        <v>0.22770199370409239</v>
      </c>
      <c r="AA181" s="102" t="s">
        <v>4152</v>
      </c>
      <c r="AB181" s="22" t="s">
        <v>381</v>
      </c>
      <c r="AC181" s="86">
        <v>44364</v>
      </c>
      <c r="AD181" s="85">
        <v>44398</v>
      </c>
      <c r="AE181" s="33">
        <f t="shared" ref="AE181:AE186" si="105">AD181-AC181</f>
        <v>34</v>
      </c>
      <c r="AF181" s="41" t="s">
        <v>1188</v>
      </c>
      <c r="AG181" s="240"/>
      <c r="AH181" s="267"/>
    </row>
    <row r="182" spans="1:40" s="273" customFormat="1" ht="15.75" customHeight="1">
      <c r="A182" s="148" t="s">
        <v>2504</v>
      </c>
      <c r="B182" s="82">
        <v>-19</v>
      </c>
      <c r="C182" s="82">
        <v>-15</v>
      </c>
      <c r="D182" s="81">
        <v>1</v>
      </c>
      <c r="E182" s="81">
        <v>2</v>
      </c>
      <c r="F182" s="6">
        <v>9.98</v>
      </c>
      <c r="G182" s="57" t="s">
        <v>46</v>
      </c>
      <c r="H182" s="30" t="s">
        <v>1531</v>
      </c>
      <c r="I182" s="173" t="s">
        <v>3836</v>
      </c>
      <c r="J182" s="330">
        <v>63.54</v>
      </c>
      <c r="K182" s="75">
        <v>52.55</v>
      </c>
      <c r="L182" s="75">
        <v>5.22</v>
      </c>
      <c r="M182" s="325"/>
      <c r="N182" s="75">
        <f>K182+J182+L182</f>
        <v>121.31</v>
      </c>
      <c r="O182" s="329"/>
      <c r="P182" s="390"/>
      <c r="Q182" s="362"/>
      <c r="R182" s="308"/>
      <c r="S182" s="330">
        <v>0.89</v>
      </c>
      <c r="T182" s="66">
        <v>4.8</v>
      </c>
      <c r="U182" s="367"/>
      <c r="V182" s="58">
        <v>6.36</v>
      </c>
      <c r="W182" s="172">
        <v>118.5</v>
      </c>
      <c r="X182" s="66">
        <v>102.5</v>
      </c>
      <c r="Y182" s="169">
        <f t="shared" ref="Y182:Y183" si="106">W182-X182</f>
        <v>16</v>
      </c>
      <c r="Z182" s="165">
        <f t="shared" ref="Z182:Z183" si="107">Y182/X182</f>
        <v>0.15609756097560976</v>
      </c>
      <c r="AA182" s="174" t="s">
        <v>4133</v>
      </c>
      <c r="AB182" s="173" t="s">
        <v>3836</v>
      </c>
      <c r="AC182" s="86">
        <v>44348</v>
      </c>
      <c r="AD182" s="85">
        <v>44386</v>
      </c>
      <c r="AE182" s="33">
        <f t="shared" si="105"/>
        <v>38</v>
      </c>
      <c r="AF182" s="41" t="s">
        <v>1188</v>
      </c>
      <c r="AG182" s="228"/>
      <c r="AH182" s="229"/>
    </row>
    <row r="183" spans="1:40" s="273" customFormat="1" ht="15.75" customHeight="1">
      <c r="A183" s="148" t="s">
        <v>2504</v>
      </c>
      <c r="B183" s="82">
        <v>-19</v>
      </c>
      <c r="C183" s="82">
        <v>-15</v>
      </c>
      <c r="D183" s="81">
        <v>1</v>
      </c>
      <c r="E183" s="81">
        <v>2</v>
      </c>
      <c r="F183" s="6">
        <v>9.98</v>
      </c>
      <c r="G183" s="57" t="s">
        <v>46</v>
      </c>
      <c r="H183" s="30" t="s">
        <v>1531</v>
      </c>
      <c r="I183" s="173" t="s">
        <v>3836</v>
      </c>
      <c r="J183" s="330">
        <v>63.54</v>
      </c>
      <c r="K183" s="75">
        <v>52.55</v>
      </c>
      <c r="L183" s="75">
        <v>5.22</v>
      </c>
      <c r="M183" s="325"/>
      <c r="N183" s="75">
        <f>K183+J183+L183</f>
        <v>121.31</v>
      </c>
      <c r="O183" s="329"/>
      <c r="P183" s="390"/>
      <c r="Q183" s="362"/>
      <c r="R183" s="308"/>
      <c r="S183" s="330">
        <v>0.89</v>
      </c>
      <c r="T183" s="66">
        <v>4.8</v>
      </c>
      <c r="U183" s="367"/>
      <c r="V183" s="58">
        <v>6.36</v>
      </c>
      <c r="W183" s="172">
        <v>118.5</v>
      </c>
      <c r="X183" s="66">
        <v>120.5</v>
      </c>
      <c r="Y183" s="169">
        <f t="shared" si="106"/>
        <v>-2</v>
      </c>
      <c r="Z183" s="171">
        <f t="shared" si="107"/>
        <v>-1.6597510373443983E-2</v>
      </c>
      <c r="AA183" s="175" t="s">
        <v>4073</v>
      </c>
      <c r="AB183" s="173" t="s">
        <v>3836</v>
      </c>
      <c r="AC183" s="86">
        <v>44309</v>
      </c>
      <c r="AD183" s="85">
        <v>44386</v>
      </c>
      <c r="AE183" s="33">
        <f t="shared" si="105"/>
        <v>77</v>
      </c>
      <c r="AF183" s="41" t="s">
        <v>1188</v>
      </c>
      <c r="AG183" s="228"/>
      <c r="AH183" s="229"/>
    </row>
    <row r="184" spans="1:40">
      <c r="A184" s="148" t="s">
        <v>2326</v>
      </c>
      <c r="B184" s="81">
        <v>171</v>
      </c>
      <c r="C184" s="81">
        <v>391</v>
      </c>
      <c r="D184" s="81">
        <v>0</v>
      </c>
      <c r="E184" s="81">
        <v>41</v>
      </c>
      <c r="F184" s="6">
        <v>9.7100000000000009</v>
      </c>
      <c r="G184" s="41" t="s">
        <v>2766</v>
      </c>
      <c r="H184" s="30" t="s">
        <v>1531</v>
      </c>
      <c r="I184" s="16" t="s">
        <v>305</v>
      </c>
      <c r="J184" s="330">
        <v>49.96</v>
      </c>
      <c r="K184" s="330">
        <v>6.67</v>
      </c>
      <c r="L184" s="330">
        <v>16.91</v>
      </c>
      <c r="N184" s="342">
        <f t="shared" ref="N184" si="108">K184+J184+L184</f>
        <v>73.540000000000006</v>
      </c>
      <c r="S184" s="330">
        <v>1.92</v>
      </c>
      <c r="T184" s="34">
        <v>1</v>
      </c>
      <c r="V184" s="97">
        <v>3.17</v>
      </c>
      <c r="W184" s="36">
        <v>72</v>
      </c>
      <c r="X184" s="67">
        <v>61.7</v>
      </c>
      <c r="Y184" s="15">
        <f t="shared" ref="Y184" si="109">W184-X184</f>
        <v>10.299999999999997</v>
      </c>
      <c r="Z184" s="64">
        <f t="shared" ref="Z184" si="110">Y184/X184</f>
        <v>0.16693679092382491</v>
      </c>
      <c r="AA184" s="104" t="s">
        <v>4130</v>
      </c>
      <c r="AB184" s="16" t="s">
        <v>305</v>
      </c>
      <c r="AC184" s="86">
        <v>44357</v>
      </c>
      <c r="AD184" s="85">
        <v>44384</v>
      </c>
      <c r="AE184" s="33">
        <f t="shared" si="105"/>
        <v>27</v>
      </c>
      <c r="AF184" s="41" t="s">
        <v>1188</v>
      </c>
      <c r="AG184" s="240"/>
      <c r="AH184" s="267"/>
      <c r="AI184" s="41"/>
      <c r="AJ184" s="16"/>
      <c r="AK184" s="222"/>
      <c r="AL184" s="262"/>
      <c r="AM184" s="275"/>
      <c r="AN184" s="277"/>
    </row>
    <row r="185" spans="1:40">
      <c r="A185" s="132" t="s">
        <v>2308</v>
      </c>
      <c r="B185" s="81">
        <v>237</v>
      </c>
      <c r="C185" s="81">
        <v>275</v>
      </c>
      <c r="D185" s="82">
        <v>-2</v>
      </c>
      <c r="E185" s="81">
        <v>60</v>
      </c>
      <c r="F185" s="58">
        <v>13</v>
      </c>
      <c r="G185" s="41" t="s">
        <v>335</v>
      </c>
      <c r="H185" s="30" t="s">
        <v>1531</v>
      </c>
      <c r="I185" s="22" t="s">
        <v>336</v>
      </c>
      <c r="J185" s="330">
        <v>47.42</v>
      </c>
      <c r="K185" s="330">
        <v>6.37</v>
      </c>
      <c r="L185" s="330">
        <v>11.66</v>
      </c>
      <c r="N185" s="325">
        <f t="shared" ref="N185:N186" si="111">K185+J185+L185</f>
        <v>65.45</v>
      </c>
      <c r="S185" s="330">
        <v>2.65</v>
      </c>
      <c r="T185" s="67">
        <v>3</v>
      </c>
      <c r="V185" s="97">
        <v>6.58</v>
      </c>
      <c r="W185" s="36">
        <v>51.3</v>
      </c>
      <c r="X185" s="67">
        <v>44.05</v>
      </c>
      <c r="Y185" s="15">
        <f t="shared" ref="Y185:Y186" si="112">W185-X185</f>
        <v>7.25</v>
      </c>
      <c r="Z185" s="64">
        <f t="shared" ref="Z185:Z186" si="113">Y185/X185</f>
        <v>0.1645856980703746</v>
      </c>
      <c r="AA185" s="102" t="s">
        <v>4131</v>
      </c>
      <c r="AB185" s="22" t="s">
        <v>336</v>
      </c>
      <c r="AC185" s="86">
        <v>44351</v>
      </c>
      <c r="AD185" s="85">
        <v>44379</v>
      </c>
      <c r="AE185" s="33">
        <f t="shared" si="105"/>
        <v>28</v>
      </c>
      <c r="AF185" s="41" t="s">
        <v>1188</v>
      </c>
      <c r="AG185" s="240"/>
      <c r="AH185" s="229"/>
    </row>
    <row r="186" spans="1:40">
      <c r="A186" s="132" t="s">
        <v>2308</v>
      </c>
      <c r="B186" s="81">
        <v>237</v>
      </c>
      <c r="C186" s="81">
        <v>275</v>
      </c>
      <c r="D186" s="82">
        <v>-2</v>
      </c>
      <c r="E186" s="81">
        <v>60</v>
      </c>
      <c r="F186" s="58">
        <v>13</v>
      </c>
      <c r="G186" s="41" t="s">
        <v>335</v>
      </c>
      <c r="H186" s="30" t="s">
        <v>1531</v>
      </c>
      <c r="I186" s="22" t="s">
        <v>336</v>
      </c>
      <c r="J186" s="330">
        <v>47.42</v>
      </c>
      <c r="K186" s="330">
        <v>6.37</v>
      </c>
      <c r="L186" s="330">
        <v>11.66</v>
      </c>
      <c r="N186" s="325">
        <f t="shared" si="111"/>
        <v>65.45</v>
      </c>
      <c r="S186" s="330">
        <v>2.65</v>
      </c>
      <c r="T186" s="67">
        <v>3</v>
      </c>
      <c r="V186" s="97">
        <v>6.58</v>
      </c>
      <c r="W186" s="36">
        <v>51.3</v>
      </c>
      <c r="X186" s="67">
        <v>40.1</v>
      </c>
      <c r="Y186" s="15">
        <f t="shared" si="112"/>
        <v>11.199999999999996</v>
      </c>
      <c r="Z186" s="64">
        <f t="shared" si="113"/>
        <v>0.27930174563591009</v>
      </c>
      <c r="AA186" s="102" t="s">
        <v>4132</v>
      </c>
      <c r="AB186" s="22" t="s">
        <v>336</v>
      </c>
      <c r="AC186" s="86">
        <v>44343</v>
      </c>
      <c r="AD186" s="85">
        <v>44379</v>
      </c>
      <c r="AE186" s="33">
        <f t="shared" si="105"/>
        <v>36</v>
      </c>
      <c r="AF186" s="41" t="s">
        <v>1188</v>
      </c>
      <c r="AG186" s="240"/>
      <c r="AH186" s="229"/>
    </row>
    <row r="187" spans="1:40" s="273" customFormat="1">
      <c r="A187" s="147"/>
      <c r="B187" s="81"/>
      <c r="C187" s="81"/>
      <c r="D187" s="81"/>
      <c r="E187" s="81"/>
      <c r="F187" s="6"/>
      <c r="G187" s="41"/>
      <c r="H187" s="8"/>
      <c r="I187" s="160"/>
      <c r="J187" s="330"/>
      <c r="K187" s="330"/>
      <c r="L187" s="330"/>
      <c r="M187" s="325"/>
      <c r="N187" s="325"/>
      <c r="O187" s="329"/>
      <c r="P187" s="390"/>
      <c r="Q187" s="362"/>
      <c r="R187" s="308"/>
      <c r="S187" s="330"/>
      <c r="T187" s="199"/>
      <c r="U187" s="367"/>
      <c r="V187" s="97"/>
      <c r="W187" s="172">
        <f>SUM(W181:W186)</f>
        <v>528.6</v>
      </c>
      <c r="X187" s="162">
        <f>SUM(X181:X186)</f>
        <v>464.15000000000003</v>
      </c>
      <c r="Y187" s="169">
        <f>W187-X187</f>
        <v>64.449999999999989</v>
      </c>
      <c r="Z187" s="165">
        <f>Y187/X187</f>
        <v>0.1388559732844985</v>
      </c>
      <c r="AA187" s="118"/>
      <c r="AB187" s="160">
        <f>W187*(0.001425*0.5)+W187*0.003+X187*(0.001425*0.5)</f>
        <v>2.2931343750000002</v>
      </c>
      <c r="AC187" s="6">
        <f>Y187-AB187</f>
        <v>62.156865624999988</v>
      </c>
      <c r="AD187" s="85"/>
      <c r="AE187" s="33"/>
      <c r="AF187" s="41" t="s">
        <v>1583</v>
      </c>
      <c r="AG187" s="170"/>
    </row>
    <row r="188" spans="1:40" s="282" customFormat="1">
      <c r="A188" s="132"/>
      <c r="B188" s="93"/>
      <c r="C188" s="93"/>
      <c r="D188" s="93"/>
      <c r="E188" s="93"/>
      <c r="F188" s="8"/>
      <c r="G188" s="25"/>
      <c r="H188" s="55"/>
      <c r="I188" s="1"/>
      <c r="J188" s="324"/>
      <c r="K188" s="324"/>
      <c r="L188" s="324"/>
      <c r="M188" s="324"/>
      <c r="N188" s="324"/>
      <c r="O188" s="329"/>
      <c r="P188" s="390"/>
      <c r="Q188" s="362"/>
      <c r="R188" s="308"/>
      <c r="S188" s="335"/>
      <c r="T188" s="14"/>
      <c r="U188" s="367"/>
      <c r="V188" s="69"/>
      <c r="W188" s="28"/>
      <c r="X188" s="69"/>
      <c r="Y188" s="14"/>
      <c r="Z188" s="21"/>
      <c r="AA188" s="25"/>
      <c r="AB188" s="247">
        <f>W187*(0.001425*0.28)+W187*0.003+X187*(0.001425*0.28)</f>
        <v>1.9819072500000001</v>
      </c>
      <c r="AC188" s="73"/>
      <c r="AD188" s="74"/>
      <c r="AE188" s="32"/>
      <c r="AF188" s="46"/>
      <c r="AG188" s="170"/>
    </row>
    <row r="189" spans="1:40" s="273" customFormat="1">
      <c r="A189" s="147"/>
      <c r="B189" s="81"/>
      <c r="C189" s="82"/>
      <c r="D189" s="81"/>
      <c r="E189" s="82"/>
      <c r="F189" s="6"/>
      <c r="G189" s="41"/>
      <c r="H189" s="50"/>
      <c r="I189" s="173"/>
      <c r="J189" s="330"/>
      <c r="K189" s="330"/>
      <c r="L189" s="75"/>
      <c r="M189" s="325"/>
      <c r="N189" s="325"/>
      <c r="O189" s="329"/>
      <c r="P189" s="390"/>
      <c r="Q189" s="362"/>
      <c r="R189" s="308"/>
      <c r="S189" s="330"/>
      <c r="T189" s="199"/>
      <c r="U189" s="367"/>
      <c r="V189" s="97"/>
      <c r="W189" s="172"/>
      <c r="X189" s="162"/>
      <c r="Y189" s="169"/>
      <c r="Z189" s="171"/>
      <c r="AA189" s="118"/>
      <c r="AB189" s="160"/>
      <c r="AC189" s="6"/>
      <c r="AD189" s="85"/>
      <c r="AE189" s="33"/>
      <c r="AF189" s="132"/>
      <c r="AG189" s="170"/>
    </row>
    <row r="190" spans="1:40" s="282" customFormat="1">
      <c r="A190" s="132" t="s">
        <v>1854</v>
      </c>
      <c r="B190" s="93" t="s">
        <v>1657</v>
      </c>
      <c r="C190" s="93" t="s">
        <v>1658</v>
      </c>
      <c r="D190" s="93" t="s">
        <v>1659</v>
      </c>
      <c r="E190" s="93" t="s">
        <v>1660</v>
      </c>
      <c r="F190" s="8" t="s">
        <v>1122</v>
      </c>
      <c r="G190" s="26" t="s">
        <v>4231</v>
      </c>
      <c r="H190" s="55" t="s">
        <v>342</v>
      </c>
      <c r="I190" s="1" t="s">
        <v>2750</v>
      </c>
      <c r="J190" s="324" t="s">
        <v>1529</v>
      </c>
      <c r="K190" s="324" t="s">
        <v>1217</v>
      </c>
      <c r="L190" s="324" t="s">
        <v>298</v>
      </c>
      <c r="M190" s="324" t="s">
        <v>1115</v>
      </c>
      <c r="N190" s="324" t="s">
        <v>4394</v>
      </c>
      <c r="O190" s="27" t="s">
        <v>6151</v>
      </c>
      <c r="P190" s="391" t="s">
        <v>4232</v>
      </c>
      <c r="Q190" s="307" t="s">
        <v>4232</v>
      </c>
      <c r="R190" s="309" t="s">
        <v>4371</v>
      </c>
      <c r="S190" s="335" t="s">
        <v>4398</v>
      </c>
      <c r="T190" s="14" t="s">
        <v>75</v>
      </c>
      <c r="U190" s="364" t="s">
        <v>6152</v>
      </c>
      <c r="V190" s="69" t="s">
        <v>4406</v>
      </c>
      <c r="W190" s="28" t="s">
        <v>3762</v>
      </c>
      <c r="X190" s="69" t="s">
        <v>1465</v>
      </c>
      <c r="Y190" s="14" t="s">
        <v>2755</v>
      </c>
      <c r="Z190" s="21" t="s">
        <v>1539</v>
      </c>
      <c r="AA190" s="25" t="s">
        <v>117</v>
      </c>
      <c r="AB190" s="1" t="s">
        <v>2750</v>
      </c>
      <c r="AC190" s="73" t="s">
        <v>1466</v>
      </c>
      <c r="AD190" s="74" t="s">
        <v>1223</v>
      </c>
      <c r="AE190" s="32" t="s">
        <v>1224</v>
      </c>
      <c r="AF190" s="46" t="s">
        <v>4100</v>
      </c>
      <c r="AG190" s="170"/>
    </row>
    <row r="191" spans="1:40">
      <c r="A191" s="148" t="s">
        <v>2277</v>
      </c>
      <c r="B191" s="82">
        <v>-34</v>
      </c>
      <c r="C191" s="82">
        <v>-42</v>
      </c>
      <c r="D191" s="82">
        <v>-3</v>
      </c>
      <c r="E191" s="82">
        <v>-34</v>
      </c>
      <c r="F191" s="6">
        <v>9.8000000000000007</v>
      </c>
      <c r="G191" s="57" t="s">
        <v>482</v>
      </c>
      <c r="H191" s="30" t="s">
        <v>1531</v>
      </c>
      <c r="I191" s="22" t="s">
        <v>483</v>
      </c>
      <c r="J191" s="75">
        <v>43.17</v>
      </c>
      <c r="K191" s="75">
        <v>14.15</v>
      </c>
      <c r="L191" s="75">
        <v>19.73</v>
      </c>
      <c r="N191" s="325">
        <f t="shared" ref="N191" si="114">K191+J191+L191</f>
        <v>77.05</v>
      </c>
      <c r="S191" s="330">
        <v>0.71</v>
      </c>
      <c r="T191" s="34">
        <v>1.1399999999999999</v>
      </c>
      <c r="V191" s="97">
        <v>2.56</v>
      </c>
      <c r="W191" s="36">
        <v>50.4</v>
      </c>
      <c r="X191" s="67">
        <v>45.7</v>
      </c>
      <c r="Y191" s="15">
        <f t="shared" ref="Y191" si="115">W191-X191</f>
        <v>4.6999999999999957</v>
      </c>
      <c r="Z191" s="64">
        <f t="shared" ref="Z191" si="116">Y191/X191</f>
        <v>0.10284463894967168</v>
      </c>
      <c r="AA191" s="104" t="s">
        <v>4116</v>
      </c>
      <c r="AB191" s="22" t="s">
        <v>483</v>
      </c>
      <c r="AC191" s="86">
        <v>44336</v>
      </c>
      <c r="AD191" s="85">
        <v>44364</v>
      </c>
      <c r="AE191" s="33">
        <f t="shared" ref="AE191" si="117">AD191-AC191</f>
        <v>28</v>
      </c>
      <c r="AF191" s="41" t="s">
        <v>1188</v>
      </c>
      <c r="AH191" s="8"/>
    </row>
    <row r="192" spans="1:40">
      <c r="A192" s="132" t="s">
        <v>1860</v>
      </c>
      <c r="B192" s="81">
        <v>86</v>
      </c>
      <c r="C192" s="81">
        <v>124</v>
      </c>
      <c r="D192" s="81">
        <v>9</v>
      </c>
      <c r="E192" s="82">
        <v>-1</v>
      </c>
      <c r="F192" s="58">
        <v>25.67</v>
      </c>
      <c r="G192" s="41" t="s">
        <v>380</v>
      </c>
      <c r="H192" s="30" t="s">
        <v>1531</v>
      </c>
      <c r="I192" s="22" t="s">
        <v>381</v>
      </c>
      <c r="J192" s="75">
        <v>29.01</v>
      </c>
      <c r="K192" s="75">
        <v>19.100000000000001</v>
      </c>
      <c r="L192" s="75">
        <v>15.78</v>
      </c>
      <c r="N192" s="325">
        <f t="shared" ref="N192" si="118">K192+J192+L192</f>
        <v>63.89</v>
      </c>
      <c r="S192" s="330">
        <v>0.22</v>
      </c>
      <c r="T192" s="67">
        <v>5.7</v>
      </c>
      <c r="V192" s="97">
        <v>6.85</v>
      </c>
      <c r="W192" s="36">
        <v>97.6</v>
      </c>
      <c r="X192" s="67">
        <v>91.7</v>
      </c>
      <c r="Y192" s="15">
        <f t="shared" ref="Y192" si="119">W192-X192</f>
        <v>5.8999999999999915</v>
      </c>
      <c r="Z192" s="64">
        <f t="shared" ref="Z192" si="120">Y192/X192</f>
        <v>6.4340239912758904E-2</v>
      </c>
      <c r="AA192" s="102" t="s">
        <v>3570</v>
      </c>
      <c r="AB192" s="22" t="s">
        <v>381</v>
      </c>
      <c r="AC192" s="86">
        <v>44342</v>
      </c>
      <c r="AD192" s="85">
        <v>44357</v>
      </c>
      <c r="AE192" s="33">
        <f>AD192-AC192</f>
        <v>15</v>
      </c>
      <c r="AF192" s="41" t="s">
        <v>1188</v>
      </c>
      <c r="AG192" s="240"/>
      <c r="AH192" s="229"/>
    </row>
    <row r="193" spans="1:34">
      <c r="A193" s="148" t="s">
        <v>2187</v>
      </c>
      <c r="B193" s="82">
        <v>-22</v>
      </c>
      <c r="C193" s="82">
        <v>-26</v>
      </c>
      <c r="D193" s="81">
        <v>4</v>
      </c>
      <c r="E193" s="82">
        <v>-35</v>
      </c>
      <c r="F193" s="6">
        <v>3.86</v>
      </c>
      <c r="G193" s="57" t="s">
        <v>656</v>
      </c>
      <c r="H193" s="50" t="s">
        <v>1471</v>
      </c>
      <c r="I193" s="16" t="s">
        <v>657</v>
      </c>
      <c r="J193" s="330">
        <v>44.55</v>
      </c>
      <c r="K193" s="75">
        <v>1.26</v>
      </c>
      <c r="L193" s="75">
        <v>12.87</v>
      </c>
      <c r="N193" s="325">
        <f t="shared" ref="N193" si="121">K193+J193+L193</f>
        <v>58.679999999999993</v>
      </c>
      <c r="S193" s="330">
        <v>0</v>
      </c>
      <c r="T193" s="34">
        <v>0.56000000000000005</v>
      </c>
      <c r="V193" s="97">
        <f t="shared" ref="V193" si="122">T193/W193</f>
        <v>2.0664206642066422E-2</v>
      </c>
      <c r="W193" s="36">
        <v>27.1</v>
      </c>
      <c r="X193" s="67">
        <v>22.9</v>
      </c>
      <c r="Y193" s="15">
        <f t="shared" ref="Y193" si="123">W193-X193</f>
        <v>4.2000000000000028</v>
      </c>
      <c r="Z193" s="64">
        <f t="shared" ref="Z193" si="124">Y193/X193</f>
        <v>0.18340611353711803</v>
      </c>
      <c r="AA193" s="102" t="s">
        <v>4107</v>
      </c>
      <c r="AB193" s="16" t="s">
        <v>657</v>
      </c>
      <c r="AC193" s="86">
        <v>44299</v>
      </c>
      <c r="AD193" s="85">
        <v>44356</v>
      </c>
      <c r="AE193" s="33">
        <f t="shared" ref="AE193" si="125">AD193-AC193</f>
        <v>57</v>
      </c>
      <c r="AF193" s="132" t="s">
        <v>1188</v>
      </c>
      <c r="AH193" s="8"/>
    </row>
    <row r="194" spans="1:34" s="273" customFormat="1">
      <c r="A194" s="147"/>
      <c r="B194" s="81"/>
      <c r="C194" s="81"/>
      <c r="D194" s="81"/>
      <c r="E194" s="81"/>
      <c r="F194" s="6"/>
      <c r="G194" s="41"/>
      <c r="H194" s="8"/>
      <c r="I194" s="160"/>
      <c r="J194" s="330"/>
      <c r="K194" s="330"/>
      <c r="L194" s="330"/>
      <c r="M194" s="325"/>
      <c r="N194" s="325"/>
      <c r="O194" s="329"/>
      <c r="P194" s="390"/>
      <c r="Q194" s="362"/>
      <c r="R194" s="308"/>
      <c r="S194" s="330"/>
      <c r="T194" s="199"/>
      <c r="U194" s="367"/>
      <c r="V194" s="97"/>
      <c r="W194" s="172">
        <f>SUM(W191:W193)</f>
        <v>175.1</v>
      </c>
      <c r="X194" s="162">
        <f>SUM(X191:X193)</f>
        <v>160.30000000000001</v>
      </c>
      <c r="Y194" s="169">
        <f>W194-X194</f>
        <v>14.799999999999983</v>
      </c>
      <c r="Z194" s="165">
        <f>Y194/X194</f>
        <v>9.23268870867123E-2</v>
      </c>
      <c r="AA194" s="118"/>
      <c r="AB194" s="160">
        <f>W194*(0.001425*0.5)+W194*0.003+X194*(0.001425*0.5)</f>
        <v>0.76427250000000002</v>
      </c>
      <c r="AC194" s="6">
        <f>Y194-AB194</f>
        <v>14.035727499999982</v>
      </c>
      <c r="AD194" s="85"/>
      <c r="AE194" s="33"/>
      <c r="AF194" s="41" t="s">
        <v>1188</v>
      </c>
      <c r="AG194" s="170"/>
    </row>
    <row r="195" spans="1:34" s="282" customFormat="1">
      <c r="A195" s="132"/>
      <c r="B195" s="93"/>
      <c r="C195" s="93"/>
      <c r="D195" s="93"/>
      <c r="E195" s="93"/>
      <c r="F195" s="8"/>
      <c r="G195" s="25"/>
      <c r="H195" s="55"/>
      <c r="I195" s="1"/>
      <c r="J195" s="324"/>
      <c r="K195" s="324"/>
      <c r="L195" s="324"/>
      <c r="M195" s="324"/>
      <c r="N195" s="324"/>
      <c r="O195" s="329"/>
      <c r="P195" s="390"/>
      <c r="Q195" s="362"/>
      <c r="R195" s="308"/>
      <c r="S195" s="335"/>
      <c r="T195" s="14"/>
      <c r="U195" s="367"/>
      <c r="V195" s="69"/>
      <c r="W195" s="28"/>
      <c r="X195" s="69"/>
      <c r="Y195" s="14"/>
      <c r="Z195" s="21"/>
      <c r="AA195" s="25"/>
      <c r="AB195" s="247">
        <f>W194*(0.001425*0.28)+W194*0.003+X194*(0.001425*0.28)</f>
        <v>0.65912459999999995</v>
      </c>
      <c r="AC195" s="73"/>
      <c r="AD195" s="74"/>
      <c r="AE195" s="32"/>
      <c r="AF195" s="46"/>
      <c r="AG195" s="170"/>
    </row>
    <row r="196" spans="1:34" s="273" customFormat="1">
      <c r="A196" s="147"/>
      <c r="B196" s="81"/>
      <c r="C196" s="81"/>
      <c r="D196" s="81"/>
      <c r="E196" s="81"/>
      <c r="F196" s="6"/>
      <c r="G196" s="41"/>
      <c r="H196" s="8"/>
      <c r="I196" s="160"/>
      <c r="J196" s="330"/>
      <c r="K196" s="330"/>
      <c r="L196" s="330"/>
      <c r="M196" s="325"/>
      <c r="N196" s="325"/>
      <c r="O196" s="329"/>
      <c r="P196" s="390"/>
      <c r="Q196" s="362"/>
      <c r="R196" s="308"/>
      <c r="S196" s="330"/>
      <c r="T196" s="199"/>
      <c r="U196" s="367"/>
      <c r="V196" s="97"/>
      <c r="W196" s="172"/>
      <c r="X196" s="162"/>
      <c r="Y196" s="169"/>
      <c r="Z196" s="171"/>
      <c r="AA196" s="118"/>
      <c r="AB196" s="160"/>
      <c r="AC196" s="6"/>
      <c r="AD196" s="85"/>
      <c r="AE196" s="33"/>
      <c r="AF196" s="41"/>
      <c r="AG196" s="170"/>
    </row>
    <row r="197" spans="1:34" s="282" customFormat="1">
      <c r="A197" s="132" t="s">
        <v>1854</v>
      </c>
      <c r="B197" s="93" t="s">
        <v>1657</v>
      </c>
      <c r="C197" s="93" t="s">
        <v>1658</v>
      </c>
      <c r="D197" s="93" t="s">
        <v>1659</v>
      </c>
      <c r="E197" s="93" t="s">
        <v>1660</v>
      </c>
      <c r="F197" s="8" t="s">
        <v>1122</v>
      </c>
      <c r="G197" s="26" t="s">
        <v>4231</v>
      </c>
      <c r="H197" s="55" t="s">
        <v>342</v>
      </c>
      <c r="I197" s="1" t="s">
        <v>2750</v>
      </c>
      <c r="J197" s="324" t="s">
        <v>1529</v>
      </c>
      <c r="K197" s="324" t="s">
        <v>1217</v>
      </c>
      <c r="L197" s="324" t="s">
        <v>298</v>
      </c>
      <c r="M197" s="324" t="s">
        <v>1115</v>
      </c>
      <c r="N197" s="324" t="s">
        <v>4394</v>
      </c>
      <c r="O197" s="27" t="s">
        <v>6151</v>
      </c>
      <c r="P197" s="391" t="s">
        <v>4232</v>
      </c>
      <c r="Q197" s="307" t="s">
        <v>4232</v>
      </c>
      <c r="R197" s="309" t="s">
        <v>4371</v>
      </c>
      <c r="S197" s="335" t="s">
        <v>4398</v>
      </c>
      <c r="T197" s="14" t="s">
        <v>75</v>
      </c>
      <c r="U197" s="364" t="s">
        <v>6152</v>
      </c>
      <c r="V197" s="69" t="s">
        <v>4406</v>
      </c>
      <c r="W197" s="28" t="s">
        <v>3762</v>
      </c>
      <c r="X197" s="69" t="s">
        <v>1465</v>
      </c>
      <c r="Y197" s="14" t="s">
        <v>2755</v>
      </c>
      <c r="Z197" s="21" t="s">
        <v>1539</v>
      </c>
      <c r="AA197" s="25" t="s">
        <v>117</v>
      </c>
      <c r="AB197" s="1" t="s">
        <v>2750</v>
      </c>
      <c r="AC197" s="73" t="s">
        <v>1466</v>
      </c>
      <c r="AD197" s="74" t="s">
        <v>1223</v>
      </c>
      <c r="AE197" s="32" t="s">
        <v>1224</v>
      </c>
      <c r="AF197" s="46" t="s">
        <v>4026</v>
      </c>
      <c r="AG197" s="170"/>
    </row>
    <row r="198" spans="1:34">
      <c r="A198" s="148" t="s">
        <v>4081</v>
      </c>
      <c r="B198" s="95">
        <v>2312</v>
      </c>
      <c r="C198" s="95">
        <v>3731</v>
      </c>
      <c r="D198" s="82">
        <v>-10</v>
      </c>
      <c r="E198" s="81">
        <v>269</v>
      </c>
      <c r="F198" s="6">
        <v>3.78</v>
      </c>
      <c r="G198" s="41" t="s">
        <v>1472</v>
      </c>
      <c r="H198" s="50" t="s">
        <v>1471</v>
      </c>
      <c r="I198" s="22" t="s">
        <v>130</v>
      </c>
      <c r="J198" s="330">
        <v>59.67</v>
      </c>
      <c r="K198" s="330">
        <v>4.63</v>
      </c>
      <c r="L198" s="330">
        <v>26.14</v>
      </c>
      <c r="N198" s="325">
        <f t="shared" ref="N198" si="126">K198+J198+L198</f>
        <v>90.44</v>
      </c>
      <c r="S198" s="330">
        <v>3.99</v>
      </c>
      <c r="T198" s="71">
        <v>0.8</v>
      </c>
      <c r="V198" s="58">
        <v>2.52</v>
      </c>
      <c r="W198" s="36">
        <v>81.2</v>
      </c>
      <c r="X198" s="67">
        <v>81.2</v>
      </c>
      <c r="Y198" s="45">
        <f t="shared" ref="Y198" si="127">W198-X198</f>
        <v>0</v>
      </c>
      <c r="Z198" s="64">
        <f t="shared" ref="Z198" si="128">Y198/X198</f>
        <v>0</v>
      </c>
      <c r="AA198" s="104" t="s">
        <v>1581</v>
      </c>
      <c r="AB198" s="22" t="s">
        <v>130</v>
      </c>
      <c r="AC198" s="86">
        <v>44335</v>
      </c>
      <c r="AD198" s="85">
        <v>44347</v>
      </c>
      <c r="AE198" s="33">
        <f>AD198-AC198</f>
        <v>12</v>
      </c>
      <c r="AF198" s="132" t="s">
        <v>1188</v>
      </c>
      <c r="AG198" s="240"/>
      <c r="AH198" s="229"/>
    </row>
    <row r="199" spans="1:34">
      <c r="A199" s="148" t="s">
        <v>4081</v>
      </c>
      <c r="B199" s="95">
        <v>2312</v>
      </c>
      <c r="C199" s="95">
        <v>3731</v>
      </c>
      <c r="D199" s="82">
        <v>-10</v>
      </c>
      <c r="E199" s="81">
        <v>269</v>
      </c>
      <c r="F199" s="6">
        <v>3.78</v>
      </c>
      <c r="G199" s="41" t="s">
        <v>1472</v>
      </c>
      <c r="H199" s="50" t="s">
        <v>1471</v>
      </c>
      <c r="I199" s="22" t="s">
        <v>130</v>
      </c>
      <c r="J199" s="330">
        <v>59.67</v>
      </c>
      <c r="K199" s="330">
        <v>4.63</v>
      </c>
      <c r="L199" s="330">
        <v>26.14</v>
      </c>
      <c r="N199" s="325">
        <f t="shared" ref="N199" si="129">K199+J199+L199</f>
        <v>90.44</v>
      </c>
      <c r="S199" s="330">
        <v>3.99</v>
      </c>
      <c r="T199" s="71">
        <v>0.8</v>
      </c>
      <c r="V199" s="58">
        <v>2.52</v>
      </c>
      <c r="W199" s="36">
        <v>81.2</v>
      </c>
      <c r="X199" s="67">
        <v>66.599999999999994</v>
      </c>
      <c r="Y199" s="45">
        <f t="shared" ref="Y199" si="130">W199-X199</f>
        <v>14.600000000000009</v>
      </c>
      <c r="Z199" s="64">
        <f t="shared" ref="Z199" si="131">Y199/X199</f>
        <v>0.21921921921921936</v>
      </c>
      <c r="AA199" s="104" t="s">
        <v>4104</v>
      </c>
      <c r="AB199" s="22" t="s">
        <v>130</v>
      </c>
      <c r="AC199" s="86">
        <v>44335</v>
      </c>
      <c r="AD199" s="85">
        <v>44347</v>
      </c>
      <c r="AE199" s="33">
        <f>AD199-AC199</f>
        <v>12</v>
      </c>
      <c r="AF199" s="132" t="s">
        <v>1188</v>
      </c>
      <c r="AG199" s="240"/>
      <c r="AH199" s="229"/>
    </row>
    <row r="200" spans="1:34">
      <c r="A200" s="148" t="s">
        <v>2524</v>
      </c>
      <c r="B200" s="81">
        <v>179</v>
      </c>
      <c r="C200" s="81">
        <v>251</v>
      </c>
      <c r="D200" s="82">
        <v>-11</v>
      </c>
      <c r="E200" s="81">
        <v>61</v>
      </c>
      <c r="F200" s="6">
        <v>8.2799999999999994</v>
      </c>
      <c r="G200" s="41" t="s">
        <v>1002</v>
      </c>
      <c r="H200" s="30" t="s">
        <v>1531</v>
      </c>
      <c r="I200" s="22" t="s">
        <v>1003</v>
      </c>
      <c r="J200" s="75">
        <v>64.349999999999994</v>
      </c>
      <c r="K200" s="75">
        <v>3.65</v>
      </c>
      <c r="L200" s="75">
        <v>11.49</v>
      </c>
      <c r="N200" s="325">
        <f t="shared" ref="N200" si="132">K200+J200+L200</f>
        <v>79.489999999999995</v>
      </c>
      <c r="S200" s="330">
        <v>2</v>
      </c>
      <c r="T200" s="34">
        <v>0.7</v>
      </c>
      <c r="V200" s="58">
        <v>5.32</v>
      </c>
      <c r="W200" s="36">
        <v>27.5</v>
      </c>
      <c r="X200" s="67">
        <v>28.75</v>
      </c>
      <c r="Y200" s="15">
        <f t="shared" ref="Y200" si="133">W200-X200</f>
        <v>-1.25</v>
      </c>
      <c r="Z200" s="78">
        <f t="shared" ref="Z200" si="134">Y200/X200</f>
        <v>-4.3478260869565216E-2</v>
      </c>
      <c r="AA200" s="141" t="s">
        <v>4099</v>
      </c>
      <c r="AB200" s="22" t="s">
        <v>1003</v>
      </c>
      <c r="AC200" s="86">
        <v>44347</v>
      </c>
      <c r="AD200" s="85">
        <v>44347</v>
      </c>
      <c r="AE200" s="33">
        <f>AD200-AC200</f>
        <v>0</v>
      </c>
      <c r="AF200" s="41" t="s">
        <v>1188</v>
      </c>
      <c r="AG200" s="240"/>
      <c r="AH200" s="229"/>
    </row>
    <row r="201" spans="1:34">
      <c r="A201" s="148" t="s">
        <v>2187</v>
      </c>
      <c r="B201" s="82">
        <v>-22</v>
      </c>
      <c r="C201" s="82">
        <v>-26</v>
      </c>
      <c r="D201" s="81">
        <v>4</v>
      </c>
      <c r="E201" s="82">
        <v>-35</v>
      </c>
      <c r="F201" s="6">
        <v>3.86</v>
      </c>
      <c r="G201" s="57" t="s">
        <v>656</v>
      </c>
      <c r="H201" s="30" t="s">
        <v>1531</v>
      </c>
      <c r="I201" s="16" t="s">
        <v>657</v>
      </c>
      <c r="J201" s="330">
        <v>44.55</v>
      </c>
      <c r="K201" s="75">
        <v>1.26</v>
      </c>
      <c r="L201" s="75">
        <v>12.87</v>
      </c>
      <c r="N201" s="325">
        <f t="shared" ref="N201:N202" si="135">K201+J201+L201</f>
        <v>58.679999999999993</v>
      </c>
      <c r="S201" s="330">
        <v>0</v>
      </c>
      <c r="T201" s="34">
        <v>0.56000000000000005</v>
      </c>
      <c r="V201" s="97">
        <f t="shared" ref="V201:V202" si="136">T201/W201</f>
        <v>2.3578947368421053E-2</v>
      </c>
      <c r="W201" s="36">
        <v>23.75</v>
      </c>
      <c r="X201" s="67">
        <v>21.9</v>
      </c>
      <c r="Y201" s="15">
        <f t="shared" ref="Y201:Y202" si="137">W201-X201</f>
        <v>1.8500000000000014</v>
      </c>
      <c r="Z201" s="64">
        <f t="shared" ref="Z201:Z202" si="138">Y201/X201</f>
        <v>8.4474885844748923E-2</v>
      </c>
      <c r="AA201" s="102" t="s">
        <v>4096</v>
      </c>
      <c r="AB201" s="16" t="s">
        <v>657</v>
      </c>
      <c r="AC201" s="86">
        <v>44301</v>
      </c>
      <c r="AD201" s="85">
        <v>44347</v>
      </c>
      <c r="AE201" s="33">
        <f t="shared" ref="AE201:AE202" si="139">AD201-AC201</f>
        <v>46</v>
      </c>
      <c r="AF201" s="41" t="s">
        <v>1188</v>
      </c>
      <c r="AH201" s="8"/>
    </row>
    <row r="202" spans="1:34">
      <c r="A202" s="148" t="s">
        <v>2187</v>
      </c>
      <c r="B202" s="82">
        <v>-22</v>
      </c>
      <c r="C202" s="82">
        <v>-26</v>
      </c>
      <c r="D202" s="81">
        <v>4</v>
      </c>
      <c r="E202" s="82">
        <v>-35</v>
      </c>
      <c r="F202" s="6">
        <v>3.86</v>
      </c>
      <c r="G202" s="57" t="s">
        <v>656</v>
      </c>
      <c r="H202" s="30" t="s">
        <v>1531</v>
      </c>
      <c r="I202" s="16" t="s">
        <v>657</v>
      </c>
      <c r="J202" s="330">
        <v>44.55</v>
      </c>
      <c r="K202" s="75">
        <v>1.26</v>
      </c>
      <c r="L202" s="75">
        <v>12.87</v>
      </c>
      <c r="N202" s="325">
        <f t="shared" si="135"/>
        <v>58.679999999999993</v>
      </c>
      <c r="S202" s="330">
        <v>0</v>
      </c>
      <c r="T202" s="34">
        <v>0.56000000000000005</v>
      </c>
      <c r="V202" s="97">
        <f t="shared" si="136"/>
        <v>2.3578947368421053E-2</v>
      </c>
      <c r="W202" s="36">
        <v>23.75</v>
      </c>
      <c r="X202" s="67">
        <v>22.95</v>
      </c>
      <c r="Y202" s="15">
        <f t="shared" si="137"/>
        <v>0.80000000000000071</v>
      </c>
      <c r="Z202" s="64">
        <f t="shared" si="138"/>
        <v>3.4858387799564301E-2</v>
      </c>
      <c r="AA202" s="102" t="s">
        <v>4097</v>
      </c>
      <c r="AB202" s="16" t="s">
        <v>657</v>
      </c>
      <c r="AC202" s="86">
        <v>44299</v>
      </c>
      <c r="AD202" s="85">
        <v>44347</v>
      </c>
      <c r="AE202" s="33">
        <f t="shared" si="139"/>
        <v>48</v>
      </c>
      <c r="AF202" s="41" t="s">
        <v>1188</v>
      </c>
      <c r="AG202" s="41" t="s">
        <v>1583</v>
      </c>
      <c r="AH202" s="8"/>
    </row>
    <row r="203" spans="1:34">
      <c r="A203" s="132" t="s">
        <v>4092</v>
      </c>
      <c r="B203" s="95">
        <v>5673</v>
      </c>
      <c r="C203" s="95">
        <v>8760</v>
      </c>
      <c r="D203" s="82">
        <v>-13</v>
      </c>
      <c r="E203" s="81">
        <v>95</v>
      </c>
      <c r="F203" s="58">
        <v>48.9</v>
      </c>
      <c r="G203" s="41" t="s">
        <v>37</v>
      </c>
      <c r="H203" s="50" t="s">
        <v>1471</v>
      </c>
      <c r="I203" s="22" t="s">
        <v>280</v>
      </c>
      <c r="J203" s="330">
        <v>64.83</v>
      </c>
      <c r="K203" s="75">
        <v>34.36</v>
      </c>
      <c r="L203" s="75">
        <v>20.86</v>
      </c>
      <c r="N203" s="75">
        <f t="shared" ref="N203" si="140">K203+J203+L203</f>
        <v>120.05</v>
      </c>
      <c r="S203" s="330">
        <v>1.89</v>
      </c>
      <c r="T203" s="34">
        <v>2.5</v>
      </c>
      <c r="V203" s="58">
        <v>12.45</v>
      </c>
      <c r="W203" s="36">
        <v>95.3</v>
      </c>
      <c r="X203" s="45">
        <v>88.4</v>
      </c>
      <c r="Y203" s="15">
        <f t="shared" ref="Y203" si="141">W203-X203</f>
        <v>6.8999999999999915</v>
      </c>
      <c r="Z203" s="64">
        <f t="shared" ref="Z203" si="142">Y203/X203</f>
        <v>7.805429864253384E-2</v>
      </c>
      <c r="AA203" s="104" t="s">
        <v>4098</v>
      </c>
      <c r="AB203" s="22" t="s">
        <v>280</v>
      </c>
      <c r="AC203" s="86">
        <v>44335</v>
      </c>
      <c r="AD203" s="85">
        <v>44335</v>
      </c>
      <c r="AE203" s="33">
        <f t="shared" ref="AE203" si="143">AD203-AC203</f>
        <v>0</v>
      </c>
      <c r="AF203" s="132" t="s">
        <v>1188</v>
      </c>
      <c r="AG203" s="269"/>
      <c r="AH203" s="8"/>
    </row>
    <row r="204" spans="1:34">
      <c r="A204" s="132" t="s">
        <v>1709</v>
      </c>
      <c r="B204" s="95">
        <v>1185</v>
      </c>
      <c r="C204" s="95">
        <v>1672</v>
      </c>
      <c r="D204" s="81">
        <v>13</v>
      </c>
      <c r="E204" s="81">
        <v>108</v>
      </c>
      <c r="F204" s="58">
        <v>18.190000000000001</v>
      </c>
      <c r="G204" s="41" t="s">
        <v>4076</v>
      </c>
      <c r="H204" s="30" t="s">
        <v>1531</v>
      </c>
      <c r="I204" s="16" t="s">
        <v>409</v>
      </c>
      <c r="J204" s="75">
        <v>5.23</v>
      </c>
      <c r="K204" s="75">
        <v>12.1</v>
      </c>
      <c r="L204" s="75">
        <v>22.41</v>
      </c>
      <c r="N204" s="325">
        <f>K204+J204+L204</f>
        <v>39.739999999999995</v>
      </c>
      <c r="S204" s="330">
        <v>3.03</v>
      </c>
      <c r="T204" s="45">
        <v>3.5</v>
      </c>
      <c r="V204" s="97">
        <v>5.68</v>
      </c>
      <c r="W204" s="36">
        <v>100</v>
      </c>
      <c r="X204" s="67">
        <v>94.7</v>
      </c>
      <c r="Y204" s="15">
        <f>W204-X204</f>
        <v>5.2999999999999972</v>
      </c>
      <c r="Z204" s="64">
        <f>Y204/X204</f>
        <v>5.5966209081309365E-2</v>
      </c>
      <c r="AA204" s="104" t="s">
        <v>4090</v>
      </c>
      <c r="AB204" s="16" t="s">
        <v>409</v>
      </c>
      <c r="AC204" s="86">
        <v>44336</v>
      </c>
      <c r="AD204" s="85">
        <v>44341</v>
      </c>
      <c r="AE204" s="33">
        <f>AD204-AC204</f>
        <v>5</v>
      </c>
      <c r="AF204" s="41" t="s">
        <v>1188</v>
      </c>
      <c r="AH204" s="8"/>
    </row>
    <row r="205" spans="1:34">
      <c r="A205" s="148" t="s">
        <v>2470</v>
      </c>
      <c r="B205" s="95">
        <v>1721</v>
      </c>
      <c r="C205" s="81">
        <v>109</v>
      </c>
      <c r="D205" s="81">
        <v>101</v>
      </c>
      <c r="E205" s="81">
        <v>51</v>
      </c>
      <c r="F205" s="6">
        <v>4.4800000000000004</v>
      </c>
      <c r="G205" s="57" t="s">
        <v>767</v>
      </c>
      <c r="H205" s="30" t="s">
        <v>1531</v>
      </c>
      <c r="I205" s="16" t="s">
        <v>768</v>
      </c>
      <c r="J205" s="330">
        <v>47.97</v>
      </c>
      <c r="K205" s="75">
        <v>0.52</v>
      </c>
      <c r="L205" s="75">
        <v>8.0500000000000007</v>
      </c>
      <c r="N205" s="325">
        <f>K205+J205+L205</f>
        <v>56.540000000000006</v>
      </c>
      <c r="S205" s="330">
        <v>7.0000000000000007E-2</v>
      </c>
      <c r="T205" s="34">
        <v>2</v>
      </c>
      <c r="V205" s="97">
        <f>T205/W205</f>
        <v>4.77326968973747E-2</v>
      </c>
      <c r="W205" s="36">
        <v>41.9</v>
      </c>
      <c r="X205" s="67">
        <v>40.950000000000003</v>
      </c>
      <c r="Y205" s="15">
        <f>W205-X205</f>
        <v>0.94999999999999574</v>
      </c>
      <c r="Z205" s="64">
        <f>Y205/X205</f>
        <v>2.3199023199023092E-2</v>
      </c>
      <c r="AA205" s="104" t="s">
        <v>4088</v>
      </c>
      <c r="AB205" s="16" t="s">
        <v>768</v>
      </c>
      <c r="AC205" s="86">
        <v>44299</v>
      </c>
      <c r="AD205" s="85">
        <v>44340</v>
      </c>
      <c r="AE205" s="33">
        <f>AD205-AC205</f>
        <v>41</v>
      </c>
      <c r="AF205" s="41" t="s">
        <v>1188</v>
      </c>
      <c r="AH205" s="8"/>
    </row>
    <row r="206" spans="1:34" s="273" customFormat="1" ht="15.75" customHeight="1">
      <c r="A206" s="132" t="s">
        <v>3596</v>
      </c>
      <c r="B206" s="81">
        <v>33</v>
      </c>
      <c r="C206" s="82">
        <v>-11</v>
      </c>
      <c r="D206" s="82">
        <v>-23</v>
      </c>
      <c r="E206" s="82">
        <v>-48</v>
      </c>
      <c r="F206" s="58">
        <v>26.29</v>
      </c>
      <c r="G206" s="57" t="s">
        <v>2065</v>
      </c>
      <c r="H206" s="30" t="s">
        <v>1531</v>
      </c>
      <c r="I206" s="173" t="s">
        <v>43</v>
      </c>
      <c r="J206" s="330">
        <v>41.12</v>
      </c>
      <c r="K206" s="75">
        <v>7.2</v>
      </c>
      <c r="L206" s="75">
        <v>16.53</v>
      </c>
      <c r="M206" s="325"/>
      <c r="N206" s="325">
        <f>K206+J206+L206</f>
        <v>64.849999999999994</v>
      </c>
      <c r="O206" s="329"/>
      <c r="P206" s="390"/>
      <c r="Q206" s="362"/>
      <c r="R206" s="308"/>
      <c r="S206" s="330">
        <v>0.18</v>
      </c>
      <c r="T206" s="66">
        <v>11.5</v>
      </c>
      <c r="U206" s="367"/>
      <c r="V206" s="97">
        <v>18.309999999999999</v>
      </c>
      <c r="W206" s="168">
        <v>191</v>
      </c>
      <c r="X206" s="66">
        <v>190</v>
      </c>
      <c r="Y206" s="169">
        <f>W206-X206</f>
        <v>1</v>
      </c>
      <c r="Z206" s="165">
        <f>Y206/X206</f>
        <v>5.263157894736842E-3</v>
      </c>
      <c r="AA206" s="174" t="s">
        <v>4082</v>
      </c>
      <c r="AB206" s="173" t="s">
        <v>43</v>
      </c>
      <c r="AC206" s="86">
        <v>44334</v>
      </c>
      <c r="AD206" s="85">
        <v>44337</v>
      </c>
      <c r="AE206" s="33">
        <f t="shared" ref="AE206" si="144">AD206-AC206</f>
        <v>3</v>
      </c>
      <c r="AF206" s="41" t="s">
        <v>1188</v>
      </c>
      <c r="AG206" s="228"/>
      <c r="AH206" s="229"/>
    </row>
    <row r="207" spans="1:34">
      <c r="A207" s="132" t="s">
        <v>1864</v>
      </c>
      <c r="B207" s="81">
        <v>71</v>
      </c>
      <c r="C207" s="81">
        <v>66</v>
      </c>
      <c r="D207" s="82">
        <v>-9</v>
      </c>
      <c r="E207" s="81">
        <v>38</v>
      </c>
      <c r="F207" s="58">
        <v>23.43</v>
      </c>
      <c r="G207" s="41" t="s">
        <v>2301</v>
      </c>
      <c r="H207" s="50" t="s">
        <v>1471</v>
      </c>
      <c r="I207" s="22" t="s">
        <v>109</v>
      </c>
      <c r="J207" s="330">
        <v>28.52</v>
      </c>
      <c r="K207" s="330">
        <v>22.9</v>
      </c>
      <c r="L207" s="330">
        <v>12.17</v>
      </c>
      <c r="N207" s="325">
        <f t="shared" ref="N207" si="145">K207+J207+L207</f>
        <v>63.59</v>
      </c>
      <c r="S207" s="330">
        <v>0.53</v>
      </c>
      <c r="T207" s="67">
        <v>6</v>
      </c>
      <c r="V207" s="97">
        <v>5.83</v>
      </c>
      <c r="W207" s="36">
        <v>112.5</v>
      </c>
      <c r="X207" s="67">
        <v>111</v>
      </c>
      <c r="Y207" s="15">
        <f t="shared" ref="Y207" si="146">W207-X207</f>
        <v>1.5</v>
      </c>
      <c r="Z207" s="64">
        <f t="shared" ref="Z207" si="147">Y207/X207</f>
        <v>1.3513513513513514E-2</v>
      </c>
      <c r="AA207" s="102" t="s">
        <v>4074</v>
      </c>
      <c r="AB207" s="22" t="s">
        <v>109</v>
      </c>
      <c r="AC207" s="86">
        <v>44335</v>
      </c>
      <c r="AD207" s="85">
        <v>44335</v>
      </c>
      <c r="AE207" s="33">
        <f t="shared" ref="AE207" si="148">AD207-AC207</f>
        <v>0</v>
      </c>
      <c r="AF207" s="132" t="s">
        <v>1188</v>
      </c>
      <c r="AH207" s="8"/>
    </row>
    <row r="208" spans="1:34">
      <c r="A208" s="148" t="s">
        <v>1776</v>
      </c>
      <c r="B208" s="81">
        <v>480</v>
      </c>
      <c r="C208" s="81">
        <v>91</v>
      </c>
      <c r="D208" s="81">
        <v>329</v>
      </c>
      <c r="E208" s="82">
        <v>-4</v>
      </c>
      <c r="F208" s="6">
        <v>-1.38</v>
      </c>
      <c r="G208" s="57" t="s">
        <v>677</v>
      </c>
      <c r="H208" s="50" t="s">
        <v>1471</v>
      </c>
      <c r="I208" s="22" t="s">
        <v>678</v>
      </c>
      <c r="J208" s="330">
        <v>37.119999999999997</v>
      </c>
      <c r="K208" s="75">
        <v>10.54</v>
      </c>
      <c r="L208" s="75">
        <v>23.08</v>
      </c>
      <c r="N208" s="325">
        <f t="shared" ref="N208" si="149">K208+J208+L208</f>
        <v>70.739999999999995</v>
      </c>
      <c r="S208" s="330">
        <v>0.69</v>
      </c>
      <c r="T208" s="34">
        <v>0.5</v>
      </c>
      <c r="V208" s="97">
        <v>3.08</v>
      </c>
      <c r="W208" s="36">
        <v>59.1</v>
      </c>
      <c r="X208" s="67">
        <v>60.1</v>
      </c>
      <c r="Y208" s="15">
        <f t="shared" ref="Y208" si="150">W208-X208</f>
        <v>-1</v>
      </c>
      <c r="Z208" s="78">
        <f t="shared" ref="Z208" si="151">Y208/X208</f>
        <v>-1.6638935108153077E-2</v>
      </c>
      <c r="AA208" s="141" t="s">
        <v>4073</v>
      </c>
      <c r="AB208" s="22" t="s">
        <v>678</v>
      </c>
      <c r="AC208" s="86">
        <v>44335</v>
      </c>
      <c r="AD208" s="85">
        <v>44335</v>
      </c>
      <c r="AE208" s="33">
        <f t="shared" ref="AE208" si="152">AD208-AC208</f>
        <v>0</v>
      </c>
      <c r="AF208" s="132" t="s">
        <v>1188</v>
      </c>
      <c r="AG208" s="132"/>
      <c r="AH208" s="229"/>
    </row>
    <row r="209" spans="1:34">
      <c r="A209" s="132" t="s">
        <v>2266</v>
      </c>
      <c r="B209" s="95">
        <v>1180</v>
      </c>
      <c r="C209" s="81">
        <v>471</v>
      </c>
      <c r="D209" s="81">
        <v>0</v>
      </c>
      <c r="E209" s="81">
        <v>38</v>
      </c>
      <c r="F209" s="58">
        <v>13.34</v>
      </c>
      <c r="G209" s="57" t="s">
        <v>2698</v>
      </c>
      <c r="H209" s="30" t="s">
        <v>1531</v>
      </c>
      <c r="I209" s="16" t="s">
        <v>188</v>
      </c>
      <c r="J209" s="330">
        <v>26.78</v>
      </c>
      <c r="K209" s="75">
        <v>4.28</v>
      </c>
      <c r="L209" s="330">
        <v>24.52</v>
      </c>
      <c r="N209" s="325">
        <f>K209+J209+L209</f>
        <v>55.58</v>
      </c>
      <c r="S209" s="330">
        <v>0.28999999999999998</v>
      </c>
      <c r="T209" s="67">
        <v>4.5</v>
      </c>
      <c r="V209" s="97">
        <v>9.01</v>
      </c>
      <c r="W209" s="36">
        <v>67.5</v>
      </c>
      <c r="X209" s="67">
        <v>65.7</v>
      </c>
      <c r="Y209" s="15">
        <f>W209-X209</f>
        <v>1.7999999999999972</v>
      </c>
      <c r="Z209" s="64">
        <f>Y209/X209</f>
        <v>2.739726027397256E-2</v>
      </c>
      <c r="AA209" s="104" t="s">
        <v>4069</v>
      </c>
      <c r="AB209" s="16" t="s">
        <v>188</v>
      </c>
      <c r="AC209" s="86">
        <v>44335</v>
      </c>
      <c r="AD209" s="85">
        <v>44335</v>
      </c>
      <c r="AE209" s="33">
        <f>AD209-AC209</f>
        <v>0</v>
      </c>
      <c r="AF209" s="41" t="s">
        <v>1188</v>
      </c>
      <c r="AG209" s="240"/>
      <c r="AH209" s="229"/>
    </row>
    <row r="210" spans="1:34">
      <c r="A210" s="132" t="s">
        <v>2144</v>
      </c>
      <c r="B210" s="81">
        <v>340</v>
      </c>
      <c r="C210" s="81">
        <v>392</v>
      </c>
      <c r="D210" s="82">
        <v>-32</v>
      </c>
      <c r="E210" s="82">
        <v>-22</v>
      </c>
      <c r="F210" s="58">
        <v>50.71</v>
      </c>
      <c r="G210" s="57" t="s">
        <v>1095</v>
      </c>
      <c r="H210" s="30" t="s">
        <v>1531</v>
      </c>
      <c r="I210" s="16" t="s">
        <v>1096</v>
      </c>
      <c r="J210" s="330">
        <v>33.57</v>
      </c>
      <c r="K210" s="75">
        <v>19.8</v>
      </c>
      <c r="L210" s="75">
        <v>11.88</v>
      </c>
      <c r="N210" s="325">
        <f>K210+J210+L210</f>
        <v>65.25</v>
      </c>
      <c r="S210" s="330">
        <v>0.03</v>
      </c>
      <c r="T210" s="67">
        <v>3.83</v>
      </c>
      <c r="V210" s="97">
        <v>8.31</v>
      </c>
      <c r="W210" s="36">
        <v>175.5</v>
      </c>
      <c r="X210" s="67">
        <v>173</v>
      </c>
      <c r="Y210" s="15">
        <f t="shared" ref="Y210" si="153">W210-X210</f>
        <v>2.5</v>
      </c>
      <c r="Z210" s="64">
        <f t="shared" ref="Z210" si="154">Y210/X210</f>
        <v>1.4450867052023121E-2</v>
      </c>
      <c r="AA210" s="104" t="s">
        <v>4070</v>
      </c>
      <c r="AB210" s="16" t="s">
        <v>1096</v>
      </c>
      <c r="AC210" s="86">
        <v>44335</v>
      </c>
      <c r="AD210" s="85">
        <v>44335</v>
      </c>
      <c r="AE210" s="33">
        <f>AD210-AC210</f>
        <v>0</v>
      </c>
      <c r="AF210" s="41" t="s">
        <v>1188</v>
      </c>
      <c r="AG210" s="240"/>
      <c r="AH210" s="229"/>
    </row>
    <row r="211" spans="1:34">
      <c r="A211" s="132" t="s">
        <v>1820</v>
      </c>
      <c r="B211" s="82">
        <v>-1</v>
      </c>
      <c r="C211" s="81">
        <v>6</v>
      </c>
      <c r="D211" s="82">
        <v>-10</v>
      </c>
      <c r="E211" s="81">
        <v>14</v>
      </c>
      <c r="F211" s="58">
        <v>24.68</v>
      </c>
      <c r="G211" s="41" t="s">
        <v>72</v>
      </c>
      <c r="H211" s="50" t="s">
        <v>1471</v>
      </c>
      <c r="I211" s="16" t="s">
        <v>157</v>
      </c>
      <c r="J211" s="330">
        <v>57.43</v>
      </c>
      <c r="K211" s="330">
        <v>28.97</v>
      </c>
      <c r="L211" s="330">
        <v>8.64</v>
      </c>
      <c r="N211" s="342">
        <f t="shared" ref="N211" si="155">K211+J211+L211</f>
        <v>95.04</v>
      </c>
      <c r="S211" s="330">
        <v>0.35</v>
      </c>
      <c r="T211" s="67">
        <v>5.5</v>
      </c>
      <c r="V211" s="58">
        <v>10.94</v>
      </c>
      <c r="W211" s="36">
        <v>153.5</v>
      </c>
      <c r="X211" s="67">
        <v>152</v>
      </c>
      <c r="Y211" s="15">
        <f t="shared" ref="Y211" si="156">W211-X211</f>
        <v>1.5</v>
      </c>
      <c r="Z211" s="64">
        <f t="shared" ref="Z211" si="157">Y211/X211</f>
        <v>9.8684210526315784E-3</v>
      </c>
      <c r="AA211" s="174" t="s">
        <v>4071</v>
      </c>
      <c r="AB211" s="16" t="s">
        <v>157</v>
      </c>
      <c r="AC211" s="86">
        <v>44334</v>
      </c>
      <c r="AD211" s="85">
        <v>44334</v>
      </c>
      <c r="AE211" s="33">
        <f t="shared" ref="AE211:AE221" si="158">AD211-AC211</f>
        <v>0</v>
      </c>
      <c r="AF211" s="132" t="s">
        <v>1188</v>
      </c>
      <c r="AG211" s="240"/>
      <c r="AH211" s="230"/>
    </row>
    <row r="212" spans="1:34">
      <c r="A212" s="132" t="s">
        <v>2144</v>
      </c>
      <c r="B212" s="81">
        <v>340</v>
      </c>
      <c r="C212" s="81">
        <v>392</v>
      </c>
      <c r="D212" s="82">
        <v>-32</v>
      </c>
      <c r="E212" s="82">
        <v>-22</v>
      </c>
      <c r="F212" s="58">
        <v>50.71</v>
      </c>
      <c r="G212" s="57" t="s">
        <v>1095</v>
      </c>
      <c r="H212" s="30" t="s">
        <v>1531</v>
      </c>
      <c r="I212" s="16" t="s">
        <v>1096</v>
      </c>
      <c r="J212" s="330">
        <v>33.57</v>
      </c>
      <c r="K212" s="75">
        <v>19.8</v>
      </c>
      <c r="L212" s="75">
        <v>11.88</v>
      </c>
      <c r="N212" s="325">
        <f>K212+J212+L212</f>
        <v>65.25</v>
      </c>
      <c r="S212" s="330">
        <v>0.03</v>
      </c>
      <c r="T212" s="67">
        <v>3.83</v>
      </c>
      <c r="V212" s="97">
        <v>8.31</v>
      </c>
      <c r="W212" s="36">
        <v>167.5</v>
      </c>
      <c r="X212" s="67">
        <v>165.5</v>
      </c>
      <c r="Y212" s="15">
        <f t="shared" ref="Y212" si="159">W212-X212</f>
        <v>2</v>
      </c>
      <c r="Z212" s="64">
        <f t="shared" ref="Z212" si="160">Y212/X212</f>
        <v>1.2084592145015106E-2</v>
      </c>
      <c r="AA212" s="104" t="s">
        <v>4072</v>
      </c>
      <c r="AB212" s="16" t="s">
        <v>1096</v>
      </c>
      <c r="AC212" s="86">
        <v>44334</v>
      </c>
      <c r="AD212" s="85">
        <v>44334</v>
      </c>
      <c r="AE212" s="33">
        <f t="shared" si="158"/>
        <v>0</v>
      </c>
      <c r="AF212" s="41" t="s">
        <v>1188</v>
      </c>
      <c r="AG212" s="240"/>
      <c r="AH212" s="229"/>
    </row>
    <row r="213" spans="1:34">
      <c r="A213" s="148" t="s">
        <v>1928</v>
      </c>
      <c r="B213" s="82">
        <v>-47</v>
      </c>
      <c r="C213" s="82">
        <v>-47</v>
      </c>
      <c r="D213" s="82">
        <v>-17</v>
      </c>
      <c r="E213" s="82">
        <v>-38</v>
      </c>
      <c r="F213" s="223">
        <v>4.82</v>
      </c>
      <c r="G213" s="57" t="s">
        <v>2433</v>
      </c>
      <c r="H213" s="50" t="s">
        <v>1471</v>
      </c>
      <c r="I213" s="22" t="s">
        <v>748</v>
      </c>
      <c r="J213" s="75">
        <v>47.39</v>
      </c>
      <c r="K213" s="75">
        <v>5.49</v>
      </c>
      <c r="L213" s="75">
        <v>22.08</v>
      </c>
      <c r="N213" s="325">
        <f t="shared" ref="N213" si="161">K213+J213+L213</f>
        <v>74.960000000000008</v>
      </c>
      <c r="S213" s="330">
        <v>6.73</v>
      </c>
      <c r="T213" s="67">
        <v>3</v>
      </c>
      <c r="V213" s="97">
        <v>4.32</v>
      </c>
      <c r="W213" s="36">
        <v>43.9</v>
      </c>
      <c r="X213" s="67">
        <v>44.85</v>
      </c>
      <c r="Y213" s="15">
        <f t="shared" ref="Y213" si="162">W213-X213</f>
        <v>-0.95000000000000284</v>
      </c>
      <c r="Z213" s="78">
        <f t="shared" ref="Z213" si="163">Y213/X213</f>
        <v>-2.118171683389081E-2</v>
      </c>
      <c r="AA213" s="103" t="s">
        <v>4066</v>
      </c>
      <c r="AB213" s="22" t="s">
        <v>748</v>
      </c>
      <c r="AC213" s="86">
        <v>44334</v>
      </c>
      <c r="AD213" s="85">
        <v>44334</v>
      </c>
      <c r="AE213" s="33">
        <f t="shared" si="158"/>
        <v>0</v>
      </c>
      <c r="AF213" s="132" t="s">
        <v>1188</v>
      </c>
      <c r="AG213" s="240"/>
      <c r="AH213" s="8"/>
    </row>
    <row r="214" spans="1:34">
      <c r="A214" s="132" t="s">
        <v>2186</v>
      </c>
      <c r="B214" s="95">
        <v>5707</v>
      </c>
      <c r="C214" s="95">
        <v>7419</v>
      </c>
      <c r="D214" s="81">
        <v>24</v>
      </c>
      <c r="E214" s="82">
        <v>-46</v>
      </c>
      <c r="F214" s="58">
        <v>62.23</v>
      </c>
      <c r="G214" s="57" t="s">
        <v>637</v>
      </c>
      <c r="H214" s="30" t="s">
        <v>1531</v>
      </c>
      <c r="I214" s="22" t="s">
        <v>638</v>
      </c>
      <c r="J214" s="75">
        <v>42.85</v>
      </c>
      <c r="K214" s="330">
        <v>7.48</v>
      </c>
      <c r="L214" s="75">
        <v>21.94</v>
      </c>
      <c r="N214" s="325">
        <f>K214+J214+L214</f>
        <v>72.27</v>
      </c>
      <c r="S214" s="330">
        <v>4.46</v>
      </c>
      <c r="T214" s="67">
        <v>12</v>
      </c>
      <c r="V214" s="97">
        <v>23.16</v>
      </c>
      <c r="W214" s="233">
        <v>112.5</v>
      </c>
      <c r="X214" s="233">
        <v>110</v>
      </c>
      <c r="Y214" s="15">
        <f>W214-X214</f>
        <v>2.5</v>
      </c>
      <c r="Z214" s="64">
        <f>Y214/X214</f>
        <v>2.2727272727272728E-2</v>
      </c>
      <c r="AA214" s="104" t="s">
        <v>1922</v>
      </c>
      <c r="AB214" s="22" t="s">
        <v>638</v>
      </c>
      <c r="AC214" s="86">
        <v>44334</v>
      </c>
      <c r="AD214" s="85">
        <v>44334</v>
      </c>
      <c r="AE214" s="33">
        <f t="shared" si="158"/>
        <v>0</v>
      </c>
      <c r="AF214" s="41" t="s">
        <v>1188</v>
      </c>
      <c r="AG214" s="226"/>
      <c r="AH214" s="196"/>
    </row>
    <row r="215" spans="1:34">
      <c r="A215" s="132" t="s">
        <v>2144</v>
      </c>
      <c r="B215" s="81">
        <v>340</v>
      </c>
      <c r="C215" s="81">
        <v>392</v>
      </c>
      <c r="D215" s="82">
        <v>-32</v>
      </c>
      <c r="E215" s="82">
        <v>-22</v>
      </c>
      <c r="F215" s="58">
        <v>50.71</v>
      </c>
      <c r="G215" s="57" t="s">
        <v>1095</v>
      </c>
      <c r="H215" s="30" t="s">
        <v>1531</v>
      </c>
      <c r="I215" s="16" t="s">
        <v>1096</v>
      </c>
      <c r="J215" s="330">
        <v>33.57</v>
      </c>
      <c r="K215" s="75">
        <v>19.8</v>
      </c>
      <c r="L215" s="75">
        <v>11.88</v>
      </c>
      <c r="N215" s="325">
        <f>K215+J215+L215</f>
        <v>65.25</v>
      </c>
      <c r="S215" s="330">
        <v>0.03</v>
      </c>
      <c r="T215" s="67">
        <v>3.83</v>
      </c>
      <c r="V215" s="97">
        <v>8.31</v>
      </c>
      <c r="W215" s="36">
        <v>168.5</v>
      </c>
      <c r="X215" s="67">
        <v>166</v>
      </c>
      <c r="Y215" s="15">
        <f t="shared" ref="Y215" si="164">W215-X215</f>
        <v>2.5</v>
      </c>
      <c r="Z215" s="64">
        <f t="shared" ref="Z215" si="165">Y215/X215</f>
        <v>1.5060240963855422E-2</v>
      </c>
      <c r="AA215" s="104" t="s">
        <v>4065</v>
      </c>
      <c r="AB215" s="16" t="s">
        <v>1096</v>
      </c>
      <c r="AC215" s="86">
        <v>44330</v>
      </c>
      <c r="AD215" s="85">
        <v>44334</v>
      </c>
      <c r="AE215" s="33">
        <f t="shared" si="158"/>
        <v>4</v>
      </c>
      <c r="AF215" s="41" t="s">
        <v>1188</v>
      </c>
      <c r="AG215" s="240"/>
      <c r="AH215" s="229"/>
    </row>
    <row r="216" spans="1:34">
      <c r="A216" s="132" t="s">
        <v>1820</v>
      </c>
      <c r="B216" s="82">
        <v>-1</v>
      </c>
      <c r="C216" s="81">
        <v>6</v>
      </c>
      <c r="D216" s="82">
        <v>-10</v>
      </c>
      <c r="E216" s="81">
        <v>14</v>
      </c>
      <c r="F216" s="58">
        <v>24.68</v>
      </c>
      <c r="G216" s="41" t="s">
        <v>72</v>
      </c>
      <c r="H216" s="50" t="s">
        <v>1471</v>
      </c>
      <c r="I216" s="16" t="s">
        <v>157</v>
      </c>
      <c r="J216" s="330">
        <v>57.43</v>
      </c>
      <c r="K216" s="330">
        <v>28.97</v>
      </c>
      <c r="L216" s="330">
        <v>8.64</v>
      </c>
      <c r="N216" s="342">
        <f t="shared" ref="N216" si="166">K216+J216+L216</f>
        <v>95.04</v>
      </c>
      <c r="S216" s="330">
        <v>0.35</v>
      </c>
      <c r="T216" s="67">
        <v>5.5</v>
      </c>
      <c r="V216" s="58">
        <v>10.94</v>
      </c>
      <c r="W216" s="36">
        <v>150.5</v>
      </c>
      <c r="X216" s="67">
        <v>150</v>
      </c>
      <c r="Y216" s="15">
        <f t="shared" ref="Y216" si="167">W216-X216</f>
        <v>0.5</v>
      </c>
      <c r="Z216" s="64">
        <f t="shared" ref="Z216" si="168">Y216/X216</f>
        <v>3.3333333333333335E-3</v>
      </c>
      <c r="AA216" s="174" t="s">
        <v>4064</v>
      </c>
      <c r="AB216" s="16" t="s">
        <v>157</v>
      </c>
      <c r="AC216" s="86">
        <v>44333</v>
      </c>
      <c r="AD216" s="85">
        <v>44334</v>
      </c>
      <c r="AE216" s="33">
        <f t="shared" si="158"/>
        <v>1</v>
      </c>
      <c r="AF216" s="132" t="s">
        <v>1188</v>
      </c>
      <c r="AG216" s="240"/>
      <c r="AH216" s="230"/>
    </row>
    <row r="217" spans="1:34">
      <c r="A217" s="132" t="s">
        <v>1820</v>
      </c>
      <c r="B217" s="82">
        <v>-1</v>
      </c>
      <c r="C217" s="81">
        <v>6</v>
      </c>
      <c r="D217" s="82">
        <v>-10</v>
      </c>
      <c r="E217" s="81">
        <v>14</v>
      </c>
      <c r="F217" s="58">
        <v>24.68</v>
      </c>
      <c r="G217" s="41" t="s">
        <v>72</v>
      </c>
      <c r="H217" s="30" t="s">
        <v>1531</v>
      </c>
      <c r="I217" s="16" t="s">
        <v>157</v>
      </c>
      <c r="J217" s="330">
        <v>57.43</v>
      </c>
      <c r="K217" s="330">
        <v>28.97</v>
      </c>
      <c r="L217" s="330">
        <v>8.64</v>
      </c>
      <c r="N217" s="342">
        <f t="shared" ref="N217" si="169">K217+J217+L217</f>
        <v>95.04</v>
      </c>
      <c r="S217" s="330">
        <v>0.35</v>
      </c>
      <c r="T217" s="67">
        <v>5.5</v>
      </c>
      <c r="V217" s="58">
        <v>10.94</v>
      </c>
      <c r="W217" s="36">
        <v>150</v>
      </c>
      <c r="X217" s="67">
        <v>150</v>
      </c>
      <c r="Y217" s="15">
        <f t="shared" ref="Y217" si="170">W217-X217</f>
        <v>0</v>
      </c>
      <c r="Z217" s="64">
        <f t="shared" ref="Z217" si="171">Y217/X217</f>
        <v>0</v>
      </c>
      <c r="AA217" s="174" t="s">
        <v>1581</v>
      </c>
      <c r="AB217" s="16" t="s">
        <v>157</v>
      </c>
      <c r="AC217" s="86">
        <v>44333</v>
      </c>
      <c r="AD217" s="85">
        <v>44334</v>
      </c>
      <c r="AE217" s="33">
        <f t="shared" si="158"/>
        <v>1</v>
      </c>
      <c r="AF217" s="41" t="s">
        <v>1188</v>
      </c>
      <c r="AG217" s="240"/>
      <c r="AH217" s="230"/>
    </row>
    <row r="218" spans="1:34">
      <c r="A218" s="132" t="s">
        <v>2144</v>
      </c>
      <c r="B218" s="81">
        <v>340</v>
      </c>
      <c r="C218" s="81">
        <v>392</v>
      </c>
      <c r="D218" s="82">
        <v>-32</v>
      </c>
      <c r="E218" s="82">
        <v>-22</v>
      </c>
      <c r="F218" s="58">
        <v>50.71</v>
      </c>
      <c r="G218" s="57" t="s">
        <v>1095</v>
      </c>
      <c r="H218" s="30" t="s">
        <v>1531</v>
      </c>
      <c r="I218" s="16" t="s">
        <v>1096</v>
      </c>
      <c r="J218" s="330">
        <v>33.57</v>
      </c>
      <c r="K218" s="75">
        <v>19.8</v>
      </c>
      <c r="L218" s="75">
        <v>11.88</v>
      </c>
      <c r="N218" s="325">
        <f>K218+J218+L218</f>
        <v>65.25</v>
      </c>
      <c r="S218" s="330">
        <v>0.03</v>
      </c>
      <c r="T218" s="67">
        <v>3.83</v>
      </c>
      <c r="V218" s="97">
        <v>8.31</v>
      </c>
      <c r="W218" s="36">
        <v>161</v>
      </c>
      <c r="X218" s="67">
        <v>134.5</v>
      </c>
      <c r="Y218" s="15">
        <f t="shared" ref="Y218" si="172">W218-X218</f>
        <v>26.5</v>
      </c>
      <c r="Z218" s="64">
        <f t="shared" ref="Z218" si="173">Y218/X218</f>
        <v>0.19702602230483271</v>
      </c>
      <c r="AA218" s="104" t="s">
        <v>1840</v>
      </c>
      <c r="AB218" s="16" t="s">
        <v>1096</v>
      </c>
      <c r="AC218" s="86">
        <v>44330</v>
      </c>
      <c r="AD218" s="85">
        <v>44334</v>
      </c>
      <c r="AE218" s="33">
        <f t="shared" si="158"/>
        <v>4</v>
      </c>
      <c r="AF218" s="41" t="s">
        <v>1188</v>
      </c>
      <c r="AG218" s="240"/>
      <c r="AH218" s="229"/>
    </row>
    <row r="219" spans="1:34">
      <c r="A219" s="148" t="s">
        <v>1776</v>
      </c>
      <c r="B219" s="81">
        <v>480</v>
      </c>
      <c r="C219" s="81">
        <v>91</v>
      </c>
      <c r="D219" s="81">
        <v>329</v>
      </c>
      <c r="E219" s="82">
        <v>-4</v>
      </c>
      <c r="F219" s="6">
        <v>-1.38</v>
      </c>
      <c r="G219" s="57" t="s">
        <v>677</v>
      </c>
      <c r="H219" s="50" t="s">
        <v>1471</v>
      </c>
      <c r="I219" s="22" t="s">
        <v>678</v>
      </c>
      <c r="J219" s="330">
        <v>37.119999999999997</v>
      </c>
      <c r="K219" s="75">
        <v>10.54</v>
      </c>
      <c r="L219" s="75">
        <v>23.08</v>
      </c>
      <c r="N219" s="325">
        <f t="shared" ref="N219:N221" si="174">K219+J219+L219</f>
        <v>70.739999999999995</v>
      </c>
      <c r="S219" s="330">
        <v>0.69</v>
      </c>
      <c r="T219" s="34">
        <v>0.5</v>
      </c>
      <c r="V219" s="97">
        <v>3.08</v>
      </c>
      <c r="W219" s="36">
        <v>61.2</v>
      </c>
      <c r="X219" s="67">
        <v>62.3</v>
      </c>
      <c r="Y219" s="15">
        <f t="shared" ref="Y219:Y225" si="175">W219-X219</f>
        <v>-1.0999999999999943</v>
      </c>
      <c r="Z219" s="78">
        <f t="shared" ref="Z219:Z221" si="176">Y219/X219</f>
        <v>-1.7656500802568129E-2</v>
      </c>
      <c r="AA219" s="141" t="s">
        <v>3750</v>
      </c>
      <c r="AB219" s="22" t="s">
        <v>678</v>
      </c>
      <c r="AC219" s="86">
        <v>44333</v>
      </c>
      <c r="AD219" s="85">
        <v>44334</v>
      </c>
      <c r="AE219" s="33">
        <f t="shared" si="158"/>
        <v>1</v>
      </c>
      <c r="AF219" s="132" t="s">
        <v>1188</v>
      </c>
      <c r="AG219" s="228"/>
      <c r="AH219" s="229"/>
    </row>
    <row r="220" spans="1:34">
      <c r="A220" s="148" t="s">
        <v>1776</v>
      </c>
      <c r="B220" s="81">
        <v>480</v>
      </c>
      <c r="C220" s="81">
        <v>91</v>
      </c>
      <c r="D220" s="81">
        <v>329</v>
      </c>
      <c r="E220" s="82">
        <v>-4</v>
      </c>
      <c r="F220" s="6">
        <v>-1.38</v>
      </c>
      <c r="G220" s="57" t="s">
        <v>677</v>
      </c>
      <c r="H220" s="50" t="s">
        <v>1471</v>
      </c>
      <c r="I220" s="22" t="s">
        <v>678</v>
      </c>
      <c r="J220" s="330">
        <v>37.119999999999997</v>
      </c>
      <c r="K220" s="75">
        <v>10.54</v>
      </c>
      <c r="L220" s="75">
        <v>23.08</v>
      </c>
      <c r="N220" s="325">
        <f t="shared" si="174"/>
        <v>70.739999999999995</v>
      </c>
      <c r="S220" s="330">
        <v>0.69</v>
      </c>
      <c r="T220" s="34">
        <v>0.5</v>
      </c>
      <c r="V220" s="97">
        <v>3.08</v>
      </c>
      <c r="W220" s="36">
        <v>61.2</v>
      </c>
      <c r="X220" s="67">
        <v>62.4</v>
      </c>
      <c r="Y220" s="15">
        <f t="shared" si="175"/>
        <v>-1.1999999999999957</v>
      </c>
      <c r="Z220" s="78">
        <f t="shared" si="176"/>
        <v>-1.9230769230769162E-2</v>
      </c>
      <c r="AA220" s="141" t="s">
        <v>4060</v>
      </c>
      <c r="AB220" s="22" t="s">
        <v>678</v>
      </c>
      <c r="AC220" s="86">
        <v>44333</v>
      </c>
      <c r="AD220" s="85">
        <v>44334</v>
      </c>
      <c r="AE220" s="33">
        <f t="shared" si="158"/>
        <v>1</v>
      </c>
      <c r="AF220" s="132" t="s">
        <v>1188</v>
      </c>
      <c r="AG220" s="132" t="s">
        <v>1583</v>
      </c>
      <c r="AH220" s="229"/>
    </row>
    <row r="221" spans="1:34">
      <c r="A221" s="148" t="s">
        <v>1776</v>
      </c>
      <c r="B221" s="81">
        <v>480</v>
      </c>
      <c r="C221" s="81">
        <v>91</v>
      </c>
      <c r="D221" s="81">
        <v>329</v>
      </c>
      <c r="E221" s="82">
        <v>-4</v>
      </c>
      <c r="F221" s="6">
        <v>-1.38</v>
      </c>
      <c r="G221" s="57" t="s">
        <v>677</v>
      </c>
      <c r="H221" s="30" t="s">
        <v>1531</v>
      </c>
      <c r="I221" s="22" t="s">
        <v>678</v>
      </c>
      <c r="J221" s="330">
        <v>37.119999999999997</v>
      </c>
      <c r="K221" s="75">
        <v>10.54</v>
      </c>
      <c r="L221" s="75">
        <v>23.08</v>
      </c>
      <c r="N221" s="325">
        <f t="shared" si="174"/>
        <v>70.739999999999995</v>
      </c>
      <c r="S221" s="330">
        <v>0.69</v>
      </c>
      <c r="T221" s="34">
        <v>0.5</v>
      </c>
      <c r="V221" s="97">
        <v>3.08</v>
      </c>
      <c r="W221" s="36">
        <v>61.1</v>
      </c>
      <c r="X221" s="67">
        <v>62.3</v>
      </c>
      <c r="Y221" s="15">
        <f t="shared" si="175"/>
        <v>-1.1999999999999957</v>
      </c>
      <c r="Z221" s="78">
        <f t="shared" si="176"/>
        <v>-1.9261637239165262E-2</v>
      </c>
      <c r="AA221" s="141" t="s">
        <v>4061</v>
      </c>
      <c r="AB221" s="22" t="s">
        <v>678</v>
      </c>
      <c r="AC221" s="86">
        <v>44333</v>
      </c>
      <c r="AD221" s="85">
        <v>44334</v>
      </c>
      <c r="AE221" s="33">
        <f t="shared" si="158"/>
        <v>1</v>
      </c>
      <c r="AF221" s="41" t="s">
        <v>1188</v>
      </c>
      <c r="AG221" s="228"/>
      <c r="AH221" s="229"/>
    </row>
    <row r="222" spans="1:34">
      <c r="A222" s="148" t="s">
        <v>1885</v>
      </c>
      <c r="B222" s="81">
        <v>369</v>
      </c>
      <c r="C222" s="81">
        <v>78</v>
      </c>
      <c r="D222" s="82">
        <v>-10</v>
      </c>
      <c r="E222" s="81">
        <v>27</v>
      </c>
      <c r="F222" s="6">
        <v>-2.17</v>
      </c>
      <c r="G222" s="57" t="s">
        <v>643</v>
      </c>
      <c r="H222" s="50" t="s">
        <v>1471</v>
      </c>
      <c r="I222" s="16" t="s">
        <v>644</v>
      </c>
      <c r="J222" s="75">
        <v>27.85</v>
      </c>
      <c r="K222" s="75">
        <v>0.28999999999999998</v>
      </c>
      <c r="N222" s="325">
        <f>K222+J222+L222</f>
        <v>28.14</v>
      </c>
      <c r="T222" s="34">
        <v>0</v>
      </c>
      <c r="V222" s="97">
        <v>4.3499999999999996</v>
      </c>
      <c r="W222" s="36">
        <v>29.5</v>
      </c>
      <c r="X222" s="67">
        <v>24.55</v>
      </c>
      <c r="Y222" s="15">
        <f t="shared" si="175"/>
        <v>4.9499999999999993</v>
      </c>
      <c r="Z222" s="64">
        <f t="shared" ref="Z222" si="177">Y222/X222</f>
        <v>0.20162932790224028</v>
      </c>
      <c r="AA222" s="104" t="s">
        <v>4062</v>
      </c>
      <c r="AB222" s="16" t="s">
        <v>644</v>
      </c>
      <c r="AC222" s="86">
        <v>44330</v>
      </c>
      <c r="AD222" s="85">
        <v>44334</v>
      </c>
      <c r="AE222" s="33">
        <f t="shared" ref="AE222" si="178">AD222-AC222</f>
        <v>4</v>
      </c>
      <c r="AF222" s="132" t="s">
        <v>1188</v>
      </c>
      <c r="AG222" s="240"/>
      <c r="AH222" s="229"/>
    </row>
    <row r="223" spans="1:34">
      <c r="A223" s="132" t="s">
        <v>2186</v>
      </c>
      <c r="B223" s="95">
        <v>5707</v>
      </c>
      <c r="C223" s="95">
        <v>7419</v>
      </c>
      <c r="D223" s="81">
        <v>24</v>
      </c>
      <c r="E223" s="82">
        <v>-46</v>
      </c>
      <c r="F223" s="58">
        <v>62.23</v>
      </c>
      <c r="G223" s="57" t="s">
        <v>637</v>
      </c>
      <c r="H223" s="50" t="s">
        <v>1471</v>
      </c>
      <c r="I223" s="22" t="s">
        <v>638</v>
      </c>
      <c r="J223" s="75">
        <v>42.85</v>
      </c>
      <c r="K223" s="330">
        <v>7.48</v>
      </c>
      <c r="L223" s="75">
        <v>21.94</v>
      </c>
      <c r="N223" s="325">
        <f>K223+J223+L223</f>
        <v>72.27</v>
      </c>
      <c r="S223" s="330">
        <v>4.46</v>
      </c>
      <c r="T223" s="67">
        <v>12</v>
      </c>
      <c r="V223" s="97">
        <v>23.16</v>
      </c>
      <c r="W223" s="233">
        <v>115.5</v>
      </c>
      <c r="X223" s="233">
        <v>107.5</v>
      </c>
      <c r="Y223" s="15">
        <f t="shared" si="175"/>
        <v>8</v>
      </c>
      <c r="Z223" s="64">
        <f>Y223/X223</f>
        <v>7.441860465116279E-2</v>
      </c>
      <c r="AA223" s="104" t="s">
        <v>1926</v>
      </c>
      <c r="AB223" s="22" t="s">
        <v>638</v>
      </c>
      <c r="AC223" s="86">
        <v>44330</v>
      </c>
      <c r="AD223" s="85">
        <v>44334</v>
      </c>
      <c r="AE223" s="33">
        <f>AD223-AC223</f>
        <v>4</v>
      </c>
      <c r="AF223" s="132" t="s">
        <v>1188</v>
      </c>
      <c r="AG223" s="226"/>
      <c r="AH223" s="196"/>
    </row>
    <row r="224" spans="1:34">
      <c r="A224" s="132" t="s">
        <v>2186</v>
      </c>
      <c r="B224" s="95">
        <v>5707</v>
      </c>
      <c r="C224" s="95">
        <v>7419</v>
      </c>
      <c r="D224" s="81">
        <v>24</v>
      </c>
      <c r="E224" s="82">
        <v>-46</v>
      </c>
      <c r="F224" s="58">
        <v>62.23</v>
      </c>
      <c r="G224" s="57" t="s">
        <v>637</v>
      </c>
      <c r="H224" s="30" t="s">
        <v>1531</v>
      </c>
      <c r="I224" s="22" t="s">
        <v>638</v>
      </c>
      <c r="J224" s="75">
        <v>42.85</v>
      </c>
      <c r="K224" s="330">
        <v>7.48</v>
      </c>
      <c r="L224" s="75">
        <v>21.94</v>
      </c>
      <c r="N224" s="325">
        <f>K224+J224+L224</f>
        <v>72.27</v>
      </c>
      <c r="S224" s="330">
        <v>4.46</v>
      </c>
      <c r="T224" s="67">
        <v>12</v>
      </c>
      <c r="V224" s="97">
        <v>23.16</v>
      </c>
      <c r="W224" s="233">
        <v>115.5</v>
      </c>
      <c r="X224" s="233">
        <v>107.5</v>
      </c>
      <c r="Y224" s="15">
        <f t="shared" si="175"/>
        <v>8</v>
      </c>
      <c r="Z224" s="64">
        <f>Y224/X224</f>
        <v>7.441860465116279E-2</v>
      </c>
      <c r="AA224" s="104" t="s">
        <v>1926</v>
      </c>
      <c r="AB224" s="22" t="s">
        <v>638</v>
      </c>
      <c r="AC224" s="86">
        <v>44330</v>
      </c>
      <c r="AD224" s="85">
        <v>44334</v>
      </c>
      <c r="AE224" s="33">
        <f>AD224-AC224</f>
        <v>4</v>
      </c>
      <c r="AF224" s="41" t="s">
        <v>1188</v>
      </c>
      <c r="AG224" s="226"/>
      <c r="AH224" s="196"/>
    </row>
    <row r="225" spans="1:34" s="273" customFormat="1" ht="15.75" customHeight="1">
      <c r="A225" s="132" t="s">
        <v>3596</v>
      </c>
      <c r="B225" s="81">
        <v>33</v>
      </c>
      <c r="C225" s="82">
        <v>-11</v>
      </c>
      <c r="D225" s="82">
        <v>-23</v>
      </c>
      <c r="E225" s="82">
        <v>-48</v>
      </c>
      <c r="F225" s="58">
        <v>26.29</v>
      </c>
      <c r="G225" s="57" t="s">
        <v>2065</v>
      </c>
      <c r="H225" s="30" t="s">
        <v>1531</v>
      </c>
      <c r="I225" s="173" t="s">
        <v>43</v>
      </c>
      <c r="J225" s="330">
        <v>41.12</v>
      </c>
      <c r="K225" s="75">
        <v>7.2</v>
      </c>
      <c r="L225" s="75">
        <v>16.53</v>
      </c>
      <c r="M225" s="325"/>
      <c r="N225" s="325">
        <f>K225+J225+L225</f>
        <v>64.849999999999994</v>
      </c>
      <c r="O225" s="329"/>
      <c r="P225" s="390"/>
      <c r="Q225" s="362"/>
      <c r="R225" s="308"/>
      <c r="S225" s="330">
        <v>0.18</v>
      </c>
      <c r="T225" s="66">
        <v>11.5</v>
      </c>
      <c r="U225" s="367"/>
      <c r="V225" s="97">
        <v>18.309999999999999</v>
      </c>
      <c r="W225" s="168">
        <v>195.5</v>
      </c>
      <c r="X225" s="66">
        <v>190.5</v>
      </c>
      <c r="Y225" s="169">
        <f t="shared" si="175"/>
        <v>5</v>
      </c>
      <c r="Z225" s="165">
        <f>Y225/X225</f>
        <v>2.6246719160104987E-2</v>
      </c>
      <c r="AA225" s="174" t="s">
        <v>4063</v>
      </c>
      <c r="AB225" s="173" t="s">
        <v>43</v>
      </c>
      <c r="AC225" s="86">
        <v>44333</v>
      </c>
      <c r="AD225" s="85">
        <v>44334</v>
      </c>
      <c r="AE225" s="33">
        <f t="shared" ref="AE225" si="179">AD225-AC225</f>
        <v>1</v>
      </c>
      <c r="AF225" s="41" t="s">
        <v>1188</v>
      </c>
      <c r="AG225" s="228"/>
      <c r="AH225" s="229"/>
    </row>
    <row r="226" spans="1:34">
      <c r="A226" s="132" t="s">
        <v>2456</v>
      </c>
      <c r="B226" s="95">
        <v>2459</v>
      </c>
      <c r="C226" s="95">
        <v>3043</v>
      </c>
      <c r="D226" s="82">
        <v>-2</v>
      </c>
      <c r="E226" s="82">
        <v>-52</v>
      </c>
      <c r="F226" s="58">
        <v>36.35</v>
      </c>
      <c r="G226" s="57" t="s">
        <v>508</v>
      </c>
      <c r="H226" s="30" t="s">
        <v>1531</v>
      </c>
      <c r="I226" s="16" t="s">
        <v>509</v>
      </c>
      <c r="J226" s="330">
        <v>27</v>
      </c>
      <c r="K226" s="75">
        <v>4.71</v>
      </c>
      <c r="L226" s="75">
        <v>29.37</v>
      </c>
      <c r="N226" s="325">
        <f>K226+J226+L226</f>
        <v>61.08</v>
      </c>
      <c r="S226" s="330">
        <v>10.210000000000001</v>
      </c>
      <c r="T226" s="45">
        <v>10</v>
      </c>
      <c r="V226" s="97">
        <v>17.010000000000002</v>
      </c>
      <c r="W226" s="36">
        <v>85</v>
      </c>
      <c r="X226" s="67">
        <v>84.1</v>
      </c>
      <c r="Y226" s="15">
        <f t="shared" ref="Y226:Y235" si="180">W226-X226</f>
        <v>0.90000000000000568</v>
      </c>
      <c r="Z226" s="64">
        <f>Y226/X226</f>
        <v>1.0701545778834788E-2</v>
      </c>
      <c r="AA226" s="104" t="s">
        <v>4059</v>
      </c>
      <c r="AB226" s="16" t="s">
        <v>509</v>
      </c>
      <c r="AC226" s="86">
        <v>44330</v>
      </c>
      <c r="AD226" s="85">
        <v>44333</v>
      </c>
      <c r="AE226" s="33">
        <f t="shared" ref="AE226" si="181">AD226-AC226</f>
        <v>3</v>
      </c>
      <c r="AF226" s="41" t="s">
        <v>1188</v>
      </c>
      <c r="AG226" s="240"/>
      <c r="AH226" s="229"/>
    </row>
    <row r="227" spans="1:34">
      <c r="A227" s="132" t="s">
        <v>1910</v>
      </c>
      <c r="B227" s="81">
        <v>493</v>
      </c>
      <c r="C227" s="81">
        <v>373</v>
      </c>
      <c r="D227" s="82">
        <v>-6</v>
      </c>
      <c r="E227" s="81">
        <v>340</v>
      </c>
      <c r="F227" s="58">
        <v>21.21</v>
      </c>
      <c r="G227" s="57" t="s">
        <v>659</v>
      </c>
      <c r="H227" s="50" t="s">
        <v>1471</v>
      </c>
      <c r="I227" s="16" t="s">
        <v>660</v>
      </c>
      <c r="J227" s="330">
        <v>28.27</v>
      </c>
      <c r="K227" s="330">
        <v>1.33</v>
      </c>
      <c r="L227" s="330">
        <v>19.37</v>
      </c>
      <c r="N227" s="325">
        <f t="shared" ref="N227:N228" si="182">K227+J227+L227</f>
        <v>48.97</v>
      </c>
      <c r="S227" s="330">
        <v>0.26</v>
      </c>
      <c r="T227" s="67">
        <v>1.5</v>
      </c>
      <c r="V227" s="97">
        <v>19.010000000000002</v>
      </c>
      <c r="W227" s="36">
        <v>90.4</v>
      </c>
      <c r="X227" s="67">
        <v>88.2</v>
      </c>
      <c r="Y227" s="15">
        <f t="shared" si="180"/>
        <v>2.2000000000000028</v>
      </c>
      <c r="Z227" s="64">
        <f t="shared" ref="Z227:Z228" si="183">Y227/X227</f>
        <v>2.4943310657596404E-2</v>
      </c>
      <c r="AA227" s="104" t="s">
        <v>4058</v>
      </c>
      <c r="AB227" s="16" t="s">
        <v>660</v>
      </c>
      <c r="AC227" s="86">
        <v>44333</v>
      </c>
      <c r="AD227" s="85">
        <v>44333</v>
      </c>
      <c r="AE227" s="33">
        <f t="shared" ref="AE227:AE228" si="184">AD227-AC227</f>
        <v>0</v>
      </c>
      <c r="AF227" s="132" t="s">
        <v>1188</v>
      </c>
      <c r="AG227" s="240"/>
      <c r="AH227" s="229"/>
    </row>
    <row r="228" spans="1:34">
      <c r="A228" s="132" t="s">
        <v>1910</v>
      </c>
      <c r="B228" s="81">
        <v>493</v>
      </c>
      <c r="C228" s="81">
        <v>373</v>
      </c>
      <c r="D228" s="82">
        <v>-6</v>
      </c>
      <c r="E228" s="81">
        <v>340</v>
      </c>
      <c r="F228" s="58">
        <v>21.21</v>
      </c>
      <c r="G228" s="57" t="s">
        <v>659</v>
      </c>
      <c r="H228" s="30" t="s">
        <v>1531</v>
      </c>
      <c r="I228" s="16" t="s">
        <v>660</v>
      </c>
      <c r="J228" s="330">
        <v>28.27</v>
      </c>
      <c r="K228" s="330">
        <v>1.33</v>
      </c>
      <c r="L228" s="330">
        <v>19.37</v>
      </c>
      <c r="N228" s="325">
        <f t="shared" si="182"/>
        <v>48.97</v>
      </c>
      <c r="S228" s="330">
        <v>0.26</v>
      </c>
      <c r="T228" s="67">
        <v>1.5</v>
      </c>
      <c r="V228" s="97">
        <v>19.010000000000002</v>
      </c>
      <c r="W228" s="36">
        <v>90.4</v>
      </c>
      <c r="X228" s="67">
        <v>88.3</v>
      </c>
      <c r="Y228" s="15">
        <f t="shared" si="180"/>
        <v>2.1000000000000085</v>
      </c>
      <c r="Z228" s="64">
        <f t="shared" si="183"/>
        <v>2.378255945639874E-2</v>
      </c>
      <c r="AA228" s="104" t="s">
        <v>3503</v>
      </c>
      <c r="AB228" s="16" t="s">
        <v>660</v>
      </c>
      <c r="AC228" s="86">
        <v>44333</v>
      </c>
      <c r="AD228" s="85">
        <v>44333</v>
      </c>
      <c r="AE228" s="33">
        <f t="shared" si="184"/>
        <v>0</v>
      </c>
      <c r="AF228" s="41" t="s">
        <v>1188</v>
      </c>
      <c r="AG228" s="240"/>
      <c r="AH228" s="229"/>
    </row>
    <row r="229" spans="1:34" s="273" customFormat="1">
      <c r="A229" s="132" t="s">
        <v>3596</v>
      </c>
      <c r="B229" s="81">
        <v>131</v>
      </c>
      <c r="C229" s="81">
        <v>146</v>
      </c>
      <c r="D229" s="81">
        <v>12</v>
      </c>
      <c r="E229" s="82">
        <v>-17</v>
      </c>
      <c r="F229" s="58">
        <v>33.57</v>
      </c>
      <c r="G229" s="41" t="s">
        <v>2065</v>
      </c>
      <c r="H229" s="50" t="s">
        <v>1471</v>
      </c>
      <c r="I229" s="173" t="s">
        <v>43</v>
      </c>
      <c r="J229" s="330">
        <v>41.12</v>
      </c>
      <c r="K229" s="75">
        <v>8.0399999999999991</v>
      </c>
      <c r="L229" s="75">
        <v>17.82</v>
      </c>
      <c r="M229" s="325"/>
      <c r="N229" s="325">
        <f>K229+J229+L229</f>
        <v>66.97999999999999</v>
      </c>
      <c r="O229" s="329"/>
      <c r="P229" s="390"/>
      <c r="Q229" s="362"/>
      <c r="R229" s="308"/>
      <c r="S229" s="330">
        <v>0.06</v>
      </c>
      <c r="T229" s="66">
        <v>11.5</v>
      </c>
      <c r="U229" s="367"/>
      <c r="V229" s="97">
        <f>T229/W229</f>
        <v>6.0846560846560843E-2</v>
      </c>
      <c r="W229" s="168">
        <v>189</v>
      </c>
      <c r="X229" s="66">
        <v>186</v>
      </c>
      <c r="Y229" s="169">
        <f t="shared" si="180"/>
        <v>3</v>
      </c>
      <c r="Z229" s="165">
        <f>Y229/X229</f>
        <v>1.6129032258064516E-2</v>
      </c>
      <c r="AA229" s="174" t="s">
        <v>4057</v>
      </c>
      <c r="AB229" s="173" t="s">
        <v>43</v>
      </c>
      <c r="AC229" s="86">
        <v>44294</v>
      </c>
      <c r="AD229" s="85">
        <v>44333</v>
      </c>
      <c r="AE229" s="33">
        <f t="shared" ref="AE229:AE235" si="185">AD229-AC229</f>
        <v>39</v>
      </c>
      <c r="AF229" s="132" t="s">
        <v>1188</v>
      </c>
      <c r="AG229" s="170"/>
    </row>
    <row r="230" spans="1:34" s="273" customFormat="1">
      <c r="A230" s="132" t="s">
        <v>3596</v>
      </c>
      <c r="B230" s="81">
        <v>131</v>
      </c>
      <c r="C230" s="81">
        <v>146</v>
      </c>
      <c r="D230" s="81">
        <v>12</v>
      </c>
      <c r="E230" s="82">
        <v>-17</v>
      </c>
      <c r="F230" s="58">
        <v>33.57</v>
      </c>
      <c r="G230" s="41" t="s">
        <v>2065</v>
      </c>
      <c r="H230" s="30" t="s">
        <v>1531</v>
      </c>
      <c r="I230" s="173" t="s">
        <v>43</v>
      </c>
      <c r="J230" s="330">
        <v>41.12</v>
      </c>
      <c r="K230" s="75">
        <v>8.0399999999999991</v>
      </c>
      <c r="L230" s="75">
        <v>17.82</v>
      </c>
      <c r="M230" s="325"/>
      <c r="N230" s="325">
        <f>K230+J230+L230</f>
        <v>66.97999999999999</v>
      </c>
      <c r="O230" s="329"/>
      <c r="P230" s="390"/>
      <c r="Q230" s="362"/>
      <c r="R230" s="308"/>
      <c r="S230" s="330">
        <v>0.06</v>
      </c>
      <c r="T230" s="66">
        <v>11.5</v>
      </c>
      <c r="U230" s="367"/>
      <c r="V230" s="97">
        <f>T230/W230</f>
        <v>6.0846560846560843E-2</v>
      </c>
      <c r="W230" s="168">
        <v>189</v>
      </c>
      <c r="X230" s="66">
        <v>177.5</v>
      </c>
      <c r="Y230" s="169">
        <f t="shared" si="180"/>
        <v>11.5</v>
      </c>
      <c r="Z230" s="165">
        <f>Y230/X230</f>
        <v>6.4788732394366194E-2</v>
      </c>
      <c r="AA230" s="174" t="s">
        <v>3622</v>
      </c>
      <c r="AB230" s="173" t="s">
        <v>43</v>
      </c>
      <c r="AC230" s="86">
        <v>44309</v>
      </c>
      <c r="AD230" s="85">
        <v>44333</v>
      </c>
      <c r="AE230" s="33">
        <f t="shared" si="185"/>
        <v>24</v>
      </c>
      <c r="AF230" s="41" t="s">
        <v>1188</v>
      </c>
      <c r="AG230" s="170"/>
    </row>
    <row r="231" spans="1:34" s="273" customFormat="1">
      <c r="A231" s="132" t="s">
        <v>3596</v>
      </c>
      <c r="B231" s="81">
        <v>131</v>
      </c>
      <c r="C231" s="81">
        <v>146</v>
      </c>
      <c r="D231" s="81">
        <v>12</v>
      </c>
      <c r="E231" s="82">
        <v>-17</v>
      </c>
      <c r="F231" s="58">
        <v>33.57</v>
      </c>
      <c r="G231" s="41" t="s">
        <v>2065</v>
      </c>
      <c r="H231" s="30" t="s">
        <v>1531</v>
      </c>
      <c r="I231" s="173" t="s">
        <v>43</v>
      </c>
      <c r="J231" s="330">
        <v>41.12</v>
      </c>
      <c r="K231" s="75">
        <v>8.0399999999999991</v>
      </c>
      <c r="L231" s="75">
        <v>17.82</v>
      </c>
      <c r="M231" s="325"/>
      <c r="N231" s="325">
        <f>K231+J231+L231</f>
        <v>66.97999999999999</v>
      </c>
      <c r="O231" s="329"/>
      <c r="P231" s="390"/>
      <c r="Q231" s="362"/>
      <c r="R231" s="308"/>
      <c r="S231" s="330">
        <v>0.06</v>
      </c>
      <c r="T231" s="66">
        <v>11.5</v>
      </c>
      <c r="U231" s="367"/>
      <c r="V231" s="97">
        <f>T231/W231</f>
        <v>6.0846560846560843E-2</v>
      </c>
      <c r="W231" s="168">
        <v>189</v>
      </c>
      <c r="X231" s="66">
        <v>186</v>
      </c>
      <c r="Y231" s="169">
        <f t="shared" si="180"/>
        <v>3</v>
      </c>
      <c r="Z231" s="165">
        <f>Y231/X231</f>
        <v>1.6129032258064516E-2</v>
      </c>
      <c r="AA231" s="174" t="s">
        <v>4057</v>
      </c>
      <c r="AB231" s="173" t="s">
        <v>43</v>
      </c>
      <c r="AC231" s="86">
        <v>44294</v>
      </c>
      <c r="AD231" s="85">
        <v>44333</v>
      </c>
      <c r="AE231" s="33">
        <f t="shared" si="185"/>
        <v>39</v>
      </c>
      <c r="AF231" s="41" t="s">
        <v>1188</v>
      </c>
      <c r="AG231" s="41" t="s">
        <v>1583</v>
      </c>
    </row>
    <row r="232" spans="1:34">
      <c r="A232" s="148" t="s">
        <v>1776</v>
      </c>
      <c r="B232" s="81">
        <v>480</v>
      </c>
      <c r="C232" s="81">
        <v>91</v>
      </c>
      <c r="D232" s="81">
        <v>329</v>
      </c>
      <c r="E232" s="82">
        <v>-4</v>
      </c>
      <c r="F232" s="6">
        <v>-1.38</v>
      </c>
      <c r="G232" s="57" t="s">
        <v>677</v>
      </c>
      <c r="H232" s="50" t="s">
        <v>1471</v>
      </c>
      <c r="I232" s="22" t="s">
        <v>678</v>
      </c>
      <c r="J232" s="330">
        <v>37.119999999999997</v>
      </c>
      <c r="K232" s="75">
        <v>10.54</v>
      </c>
      <c r="L232" s="75">
        <v>23.08</v>
      </c>
      <c r="N232" s="325">
        <f t="shared" ref="N232:N233" si="186">K232+J232+L232</f>
        <v>70.739999999999995</v>
      </c>
      <c r="S232" s="330">
        <v>0.69</v>
      </c>
      <c r="T232" s="34">
        <v>0.5</v>
      </c>
      <c r="V232" s="97">
        <v>3.08</v>
      </c>
      <c r="W232" s="36">
        <v>61.8</v>
      </c>
      <c r="X232" s="67">
        <v>59</v>
      </c>
      <c r="Y232" s="15">
        <f t="shared" si="180"/>
        <v>2.7999999999999972</v>
      </c>
      <c r="Z232" s="64">
        <f t="shared" ref="Z232:Z233" si="187">Y232/X232</f>
        <v>4.745762711864402E-2</v>
      </c>
      <c r="AA232" s="104" t="s">
        <v>3521</v>
      </c>
      <c r="AB232" s="22" t="s">
        <v>678</v>
      </c>
      <c r="AC232" s="86">
        <v>44330</v>
      </c>
      <c r="AD232" s="85">
        <v>44333</v>
      </c>
      <c r="AE232" s="33">
        <f t="shared" si="185"/>
        <v>3</v>
      </c>
      <c r="AF232" s="132" t="s">
        <v>1188</v>
      </c>
      <c r="AG232" s="228"/>
      <c r="AH232" s="229"/>
    </row>
    <row r="233" spans="1:34">
      <c r="A233" s="148" t="s">
        <v>1776</v>
      </c>
      <c r="B233" s="81">
        <v>480</v>
      </c>
      <c r="C233" s="81">
        <v>91</v>
      </c>
      <c r="D233" s="81">
        <v>329</v>
      </c>
      <c r="E233" s="82">
        <v>-4</v>
      </c>
      <c r="F233" s="6">
        <v>-1.38</v>
      </c>
      <c r="G233" s="57" t="s">
        <v>677</v>
      </c>
      <c r="H233" s="50" t="s">
        <v>1471</v>
      </c>
      <c r="I233" s="22" t="s">
        <v>678</v>
      </c>
      <c r="J233" s="330">
        <v>37.119999999999997</v>
      </c>
      <c r="K233" s="75">
        <v>10.54</v>
      </c>
      <c r="L233" s="75">
        <v>23.08</v>
      </c>
      <c r="N233" s="325">
        <f t="shared" si="186"/>
        <v>70.739999999999995</v>
      </c>
      <c r="S233" s="330">
        <v>0.69</v>
      </c>
      <c r="T233" s="34">
        <v>0.5</v>
      </c>
      <c r="V233" s="97">
        <v>3.08</v>
      </c>
      <c r="W233" s="36">
        <v>61.8</v>
      </c>
      <c r="X233" s="67">
        <v>61.5</v>
      </c>
      <c r="Y233" s="15">
        <f t="shared" si="180"/>
        <v>0.29999999999999716</v>
      </c>
      <c r="Z233" s="64">
        <f t="shared" si="187"/>
        <v>4.8780487804877589E-3</v>
      </c>
      <c r="AA233" s="104" t="s">
        <v>4055</v>
      </c>
      <c r="AB233" s="22" t="s">
        <v>678</v>
      </c>
      <c r="AC233" s="86">
        <v>44329</v>
      </c>
      <c r="AD233" s="85">
        <v>44333</v>
      </c>
      <c r="AE233" s="33">
        <f t="shared" si="185"/>
        <v>4</v>
      </c>
      <c r="AF233" s="132" t="s">
        <v>1188</v>
      </c>
      <c r="AG233" s="228"/>
      <c r="AH233" s="229"/>
    </row>
    <row r="234" spans="1:34">
      <c r="A234" s="148" t="s">
        <v>1776</v>
      </c>
      <c r="B234" s="81">
        <v>480</v>
      </c>
      <c r="C234" s="81">
        <v>91</v>
      </c>
      <c r="D234" s="81">
        <v>329</v>
      </c>
      <c r="E234" s="82">
        <v>-4</v>
      </c>
      <c r="F234" s="6">
        <v>-1.38</v>
      </c>
      <c r="G234" s="57" t="s">
        <v>677</v>
      </c>
      <c r="H234" s="30" t="s">
        <v>1531</v>
      </c>
      <c r="I234" s="22" t="s">
        <v>678</v>
      </c>
      <c r="J234" s="330">
        <v>37.119999999999997</v>
      </c>
      <c r="K234" s="75">
        <v>10.54</v>
      </c>
      <c r="L234" s="75">
        <v>23.08</v>
      </c>
      <c r="N234" s="325">
        <f>K234+J234+L234</f>
        <v>70.739999999999995</v>
      </c>
      <c r="S234" s="330">
        <v>0.69</v>
      </c>
      <c r="T234" s="34">
        <v>0.5</v>
      </c>
      <c r="V234" s="97">
        <v>3.08</v>
      </c>
      <c r="W234" s="36">
        <v>61.9</v>
      </c>
      <c r="X234" s="67">
        <v>58.7</v>
      </c>
      <c r="Y234" s="15">
        <f t="shared" si="180"/>
        <v>3.1999999999999957</v>
      </c>
      <c r="Z234" s="64">
        <f>Y234/X234</f>
        <v>5.4514480408858527E-2</v>
      </c>
      <c r="AA234" s="104" t="s">
        <v>3595</v>
      </c>
      <c r="AB234" s="22" t="s">
        <v>678</v>
      </c>
      <c r="AC234" s="86">
        <v>44330</v>
      </c>
      <c r="AD234" s="85">
        <v>44333</v>
      </c>
      <c r="AE234" s="33">
        <f t="shared" si="185"/>
        <v>3</v>
      </c>
      <c r="AF234" s="41" t="s">
        <v>1188</v>
      </c>
      <c r="AG234" s="228"/>
      <c r="AH234" s="229"/>
    </row>
    <row r="235" spans="1:34">
      <c r="A235" s="148" t="s">
        <v>1776</v>
      </c>
      <c r="B235" s="81">
        <v>480</v>
      </c>
      <c r="C235" s="81">
        <v>91</v>
      </c>
      <c r="D235" s="81">
        <v>329</v>
      </c>
      <c r="E235" s="82">
        <v>-4</v>
      </c>
      <c r="F235" s="6">
        <v>-1.38</v>
      </c>
      <c r="G235" s="57" t="s">
        <v>677</v>
      </c>
      <c r="H235" s="30" t="s">
        <v>1531</v>
      </c>
      <c r="I235" s="22" t="s">
        <v>678</v>
      </c>
      <c r="J235" s="330">
        <v>37.119999999999997</v>
      </c>
      <c r="K235" s="75">
        <v>10.54</v>
      </c>
      <c r="L235" s="75">
        <v>23.08</v>
      </c>
      <c r="N235" s="325">
        <f t="shared" ref="N235" si="188">K235+J235+L235</f>
        <v>70.739999999999995</v>
      </c>
      <c r="S235" s="330">
        <v>0.69</v>
      </c>
      <c r="T235" s="34">
        <v>0.5</v>
      </c>
      <c r="V235" s="97">
        <v>3.08</v>
      </c>
      <c r="W235" s="36">
        <v>61.9</v>
      </c>
      <c r="X235" s="67">
        <v>61.5</v>
      </c>
      <c r="Y235" s="15">
        <f t="shared" si="180"/>
        <v>0.39999999999999858</v>
      </c>
      <c r="Z235" s="64">
        <f t="shared" ref="Z235" si="189">Y235/X235</f>
        <v>6.5040650406503831E-3</v>
      </c>
      <c r="AA235" s="104" t="s">
        <v>4056</v>
      </c>
      <c r="AB235" s="22" t="s">
        <v>678</v>
      </c>
      <c r="AC235" s="86">
        <v>44329</v>
      </c>
      <c r="AD235" s="85">
        <v>44333</v>
      </c>
      <c r="AE235" s="33">
        <f t="shared" si="185"/>
        <v>4</v>
      </c>
      <c r="AF235" s="41" t="s">
        <v>1188</v>
      </c>
      <c r="AG235" s="228"/>
      <c r="AH235" s="229"/>
    </row>
    <row r="236" spans="1:34">
      <c r="A236" s="132" t="s">
        <v>2144</v>
      </c>
      <c r="B236" s="81">
        <v>181</v>
      </c>
      <c r="C236" s="81">
        <v>217</v>
      </c>
      <c r="D236" s="81">
        <v>24</v>
      </c>
      <c r="E236" s="81">
        <v>77</v>
      </c>
      <c r="F236" s="58">
        <v>41.47</v>
      </c>
      <c r="G236" s="57" t="s">
        <v>1095</v>
      </c>
      <c r="H236" s="30" t="s">
        <v>1531</v>
      </c>
      <c r="I236" s="16" t="s">
        <v>1096</v>
      </c>
      <c r="J236" s="330">
        <v>34.75</v>
      </c>
      <c r="K236" s="330">
        <v>18.04</v>
      </c>
      <c r="N236" s="325">
        <f t="shared" ref="N236" si="190">K236+J236+L236</f>
        <v>52.79</v>
      </c>
      <c r="T236" s="67">
        <v>3.83</v>
      </c>
      <c r="V236" s="97">
        <f t="shared" ref="V236" si="191">T236/W236</f>
        <v>2.8161764705882355E-2</v>
      </c>
      <c r="W236" s="36">
        <v>136</v>
      </c>
      <c r="X236" s="67">
        <v>118.5</v>
      </c>
      <c r="Y236" s="15">
        <f t="shared" ref="Y236" si="192">W236-X236</f>
        <v>17.5</v>
      </c>
      <c r="Z236" s="64">
        <f t="shared" ref="Z236" si="193">Y236/X236</f>
        <v>0.14767932489451477</v>
      </c>
      <c r="AA236" s="104" t="s">
        <v>4052</v>
      </c>
      <c r="AB236" s="16" t="s">
        <v>1096</v>
      </c>
      <c r="AC236" s="86">
        <v>44306</v>
      </c>
      <c r="AD236" s="85">
        <v>44330</v>
      </c>
      <c r="AE236" s="33">
        <f t="shared" ref="AE236:AE244" si="194">AD236-AC236</f>
        <v>24</v>
      </c>
      <c r="AF236" s="41" t="s">
        <v>1188</v>
      </c>
      <c r="AG236" s="227"/>
      <c r="AH236" s="24"/>
    </row>
    <row r="237" spans="1:34">
      <c r="A237" s="132" t="s">
        <v>2186</v>
      </c>
      <c r="B237" s="95">
        <v>5707</v>
      </c>
      <c r="C237" s="95">
        <v>7419</v>
      </c>
      <c r="D237" s="81">
        <v>24</v>
      </c>
      <c r="E237" s="82">
        <v>-46</v>
      </c>
      <c r="F237" s="58">
        <v>62.23</v>
      </c>
      <c r="G237" s="57" t="s">
        <v>637</v>
      </c>
      <c r="H237" s="50" t="s">
        <v>1471</v>
      </c>
      <c r="I237" s="22" t="s">
        <v>638</v>
      </c>
      <c r="J237" s="75">
        <v>42.85</v>
      </c>
      <c r="K237" s="330">
        <v>7.48</v>
      </c>
      <c r="L237" s="75">
        <v>21.94</v>
      </c>
      <c r="N237" s="325">
        <f t="shared" ref="N237:N244" si="195">K237+J237+L237</f>
        <v>72.27</v>
      </c>
      <c r="S237" s="330">
        <v>4.46</v>
      </c>
      <c r="T237" s="67">
        <v>12</v>
      </c>
      <c r="V237" s="97">
        <v>23.16</v>
      </c>
      <c r="W237" s="233">
        <v>112</v>
      </c>
      <c r="X237" s="233">
        <v>101.5</v>
      </c>
      <c r="Y237" s="15">
        <f>W237-X237</f>
        <v>10.5</v>
      </c>
      <c r="Z237" s="64">
        <f t="shared" ref="Z237:Z244" si="196">Y237/X237</f>
        <v>0.10344827586206896</v>
      </c>
      <c r="AA237" s="104" t="s">
        <v>2284</v>
      </c>
      <c r="AB237" s="22" t="s">
        <v>638</v>
      </c>
      <c r="AC237" s="86">
        <v>44328</v>
      </c>
      <c r="AD237" s="85">
        <v>44330</v>
      </c>
      <c r="AE237" s="33">
        <f t="shared" si="194"/>
        <v>2</v>
      </c>
      <c r="AF237" s="132" t="s">
        <v>1188</v>
      </c>
      <c r="AG237" s="226"/>
      <c r="AH237" s="196"/>
    </row>
    <row r="238" spans="1:34">
      <c r="A238" s="132" t="s">
        <v>2186</v>
      </c>
      <c r="B238" s="95">
        <v>5707</v>
      </c>
      <c r="C238" s="95">
        <v>7419</v>
      </c>
      <c r="D238" s="81">
        <v>24</v>
      </c>
      <c r="E238" s="82">
        <v>-46</v>
      </c>
      <c r="F238" s="58">
        <v>62.23</v>
      </c>
      <c r="G238" s="57" t="s">
        <v>637</v>
      </c>
      <c r="H238" s="30" t="s">
        <v>1531</v>
      </c>
      <c r="I238" s="22" t="s">
        <v>638</v>
      </c>
      <c r="J238" s="75">
        <v>42.85</v>
      </c>
      <c r="K238" s="330">
        <v>7.48</v>
      </c>
      <c r="L238" s="75">
        <v>21.94</v>
      </c>
      <c r="N238" s="325">
        <f t="shared" si="195"/>
        <v>72.27</v>
      </c>
      <c r="S238" s="330">
        <v>4.46</v>
      </c>
      <c r="T238" s="67">
        <v>12</v>
      </c>
      <c r="V238" s="97">
        <v>23.16</v>
      </c>
      <c r="W238" s="233">
        <v>111.5</v>
      </c>
      <c r="X238" s="233">
        <v>101</v>
      </c>
      <c r="Y238" s="15">
        <f>W238-X238</f>
        <v>10.5</v>
      </c>
      <c r="Z238" s="64">
        <f t="shared" si="196"/>
        <v>0.10396039603960396</v>
      </c>
      <c r="AA238" s="104" t="s">
        <v>1922</v>
      </c>
      <c r="AB238" s="22" t="s">
        <v>638</v>
      </c>
      <c r="AC238" s="86">
        <v>44328</v>
      </c>
      <c r="AD238" s="85">
        <v>44330</v>
      </c>
      <c r="AE238" s="33">
        <f t="shared" si="194"/>
        <v>2</v>
      </c>
      <c r="AF238" s="41" t="s">
        <v>1188</v>
      </c>
      <c r="AG238" s="226"/>
      <c r="AH238" s="196"/>
    </row>
    <row r="239" spans="1:34">
      <c r="A239" s="148" t="s">
        <v>1885</v>
      </c>
      <c r="B239" s="81">
        <v>369</v>
      </c>
      <c r="C239" s="81">
        <v>78</v>
      </c>
      <c r="D239" s="81">
        <v>63</v>
      </c>
      <c r="E239" s="81">
        <v>117</v>
      </c>
      <c r="F239" s="6">
        <v>-2.17</v>
      </c>
      <c r="G239" s="57" t="s">
        <v>643</v>
      </c>
      <c r="H239" s="50" t="s">
        <v>1471</v>
      </c>
      <c r="I239" s="16" t="s">
        <v>644</v>
      </c>
      <c r="J239" s="75">
        <v>27.45</v>
      </c>
      <c r="K239" s="75">
        <v>0.42</v>
      </c>
      <c r="L239" s="330">
        <v>0</v>
      </c>
      <c r="N239" s="325">
        <f t="shared" si="195"/>
        <v>27.87</v>
      </c>
      <c r="S239" s="330">
        <v>0</v>
      </c>
      <c r="T239" s="34">
        <v>0</v>
      </c>
      <c r="V239" s="97">
        <f>T239/W239</f>
        <v>0</v>
      </c>
      <c r="W239" s="36">
        <v>24.05</v>
      </c>
      <c r="X239" s="67">
        <v>22.85</v>
      </c>
      <c r="Y239" s="15">
        <f>W239-X239</f>
        <v>1.1999999999999993</v>
      </c>
      <c r="Z239" s="64">
        <f t="shared" si="196"/>
        <v>5.2516411378555762E-2</v>
      </c>
      <c r="AA239" s="104" t="s">
        <v>2525</v>
      </c>
      <c r="AB239" s="16" t="s">
        <v>644</v>
      </c>
      <c r="AC239" s="86">
        <v>44298</v>
      </c>
      <c r="AD239" s="85">
        <v>44330</v>
      </c>
      <c r="AE239" s="33">
        <f t="shared" si="194"/>
        <v>32</v>
      </c>
      <c r="AF239" s="132" t="s">
        <v>1188</v>
      </c>
      <c r="AH239" s="8"/>
    </row>
    <row r="240" spans="1:34">
      <c r="A240" s="148" t="s">
        <v>1885</v>
      </c>
      <c r="B240" s="81">
        <v>369</v>
      </c>
      <c r="C240" s="81">
        <v>78</v>
      </c>
      <c r="D240" s="81">
        <v>63</v>
      </c>
      <c r="E240" s="81">
        <v>117</v>
      </c>
      <c r="F240" s="6">
        <v>-2.17</v>
      </c>
      <c r="G240" s="57" t="s">
        <v>643</v>
      </c>
      <c r="H240" s="30" t="s">
        <v>1531</v>
      </c>
      <c r="I240" s="16" t="s">
        <v>644</v>
      </c>
      <c r="J240" s="75">
        <v>27.45</v>
      </c>
      <c r="K240" s="75">
        <v>0.42</v>
      </c>
      <c r="L240" s="330">
        <v>0</v>
      </c>
      <c r="N240" s="325">
        <f t="shared" si="195"/>
        <v>27.87</v>
      </c>
      <c r="S240" s="330">
        <v>0</v>
      </c>
      <c r="T240" s="34">
        <v>0</v>
      </c>
      <c r="V240" s="97">
        <f>T240/W240</f>
        <v>0</v>
      </c>
      <c r="W240" s="36">
        <v>26</v>
      </c>
      <c r="X240" s="67">
        <v>22.65</v>
      </c>
      <c r="Y240" s="15">
        <f>W240-X240</f>
        <v>3.3500000000000014</v>
      </c>
      <c r="Z240" s="64">
        <f t="shared" si="196"/>
        <v>0.14790286975717445</v>
      </c>
      <c r="AA240" s="104" t="s">
        <v>4051</v>
      </c>
      <c r="AB240" s="16" t="s">
        <v>644</v>
      </c>
      <c r="AC240" s="86">
        <v>44298</v>
      </c>
      <c r="AD240" s="85">
        <v>44330</v>
      </c>
      <c r="AE240" s="33">
        <f t="shared" si="194"/>
        <v>32</v>
      </c>
      <c r="AF240" s="41" t="s">
        <v>1188</v>
      </c>
      <c r="AH240" s="8"/>
    </row>
    <row r="241" spans="1:34">
      <c r="A241" s="132" t="s">
        <v>2456</v>
      </c>
      <c r="B241" s="95">
        <v>2459</v>
      </c>
      <c r="C241" s="95">
        <v>3043</v>
      </c>
      <c r="D241" s="82">
        <v>-2</v>
      </c>
      <c r="E241" s="82">
        <v>-49</v>
      </c>
      <c r="F241" s="58">
        <v>36.35</v>
      </c>
      <c r="G241" s="57" t="s">
        <v>508</v>
      </c>
      <c r="H241" s="50" t="s">
        <v>1471</v>
      </c>
      <c r="I241" s="16" t="s">
        <v>509</v>
      </c>
      <c r="J241" s="330">
        <v>27.21</v>
      </c>
      <c r="K241" s="75">
        <v>5.08</v>
      </c>
      <c r="L241" s="75">
        <v>32.26</v>
      </c>
      <c r="N241" s="325">
        <f t="shared" si="195"/>
        <v>64.55</v>
      </c>
      <c r="S241" s="330">
        <v>9.5500000000000007</v>
      </c>
      <c r="T241" s="45">
        <v>10</v>
      </c>
      <c r="V241" s="97">
        <v>17.010000000000002</v>
      </c>
      <c r="W241" s="36">
        <v>84.4</v>
      </c>
      <c r="X241" s="67">
        <v>80.099999999999994</v>
      </c>
      <c r="Y241" s="15">
        <f t="shared" ref="Y241:Y256" si="197">W241-X241</f>
        <v>4.3000000000000114</v>
      </c>
      <c r="Z241" s="64">
        <f t="shared" si="196"/>
        <v>5.3682896379525738E-2</v>
      </c>
      <c r="AA241" s="104" t="s">
        <v>3525</v>
      </c>
      <c r="AB241" s="16" t="s">
        <v>509</v>
      </c>
      <c r="AC241" s="86">
        <v>44314</v>
      </c>
      <c r="AD241" s="85">
        <v>44329</v>
      </c>
      <c r="AE241" s="33">
        <f t="shared" si="194"/>
        <v>15</v>
      </c>
      <c r="AF241" s="132" t="s">
        <v>1188</v>
      </c>
      <c r="AG241" s="228"/>
      <c r="AH241" s="229"/>
    </row>
    <row r="242" spans="1:34">
      <c r="A242" s="132" t="s">
        <v>2456</v>
      </c>
      <c r="B242" s="95">
        <v>2459</v>
      </c>
      <c r="C242" s="95">
        <v>3043</v>
      </c>
      <c r="D242" s="82">
        <v>-2</v>
      </c>
      <c r="E242" s="82">
        <v>-49</v>
      </c>
      <c r="F242" s="58">
        <v>36.35</v>
      </c>
      <c r="G242" s="57" t="s">
        <v>508</v>
      </c>
      <c r="H242" s="50" t="s">
        <v>1471</v>
      </c>
      <c r="I242" s="16" t="s">
        <v>509</v>
      </c>
      <c r="J242" s="330">
        <v>27.21</v>
      </c>
      <c r="K242" s="75">
        <v>5.08</v>
      </c>
      <c r="L242" s="75">
        <v>32.26</v>
      </c>
      <c r="N242" s="325">
        <f t="shared" si="195"/>
        <v>64.55</v>
      </c>
      <c r="S242" s="330">
        <v>9.5500000000000007</v>
      </c>
      <c r="T242" s="45">
        <v>10</v>
      </c>
      <c r="V242" s="97">
        <v>17.010000000000002</v>
      </c>
      <c r="W242" s="36">
        <v>84.3</v>
      </c>
      <c r="X242" s="67">
        <v>80.7</v>
      </c>
      <c r="Y242" s="15">
        <f t="shared" si="197"/>
        <v>3.5999999999999943</v>
      </c>
      <c r="Z242" s="64">
        <f t="shared" si="196"/>
        <v>4.4609665427509222E-2</v>
      </c>
      <c r="AA242" s="104" t="s">
        <v>3590</v>
      </c>
      <c r="AB242" s="16" t="s">
        <v>509</v>
      </c>
      <c r="AC242" s="86">
        <v>44313</v>
      </c>
      <c r="AD242" s="85">
        <v>44329</v>
      </c>
      <c r="AE242" s="33">
        <f t="shared" si="194"/>
        <v>16</v>
      </c>
      <c r="AF242" s="132" t="s">
        <v>1188</v>
      </c>
      <c r="AG242" s="228"/>
      <c r="AH242" s="229"/>
    </row>
    <row r="243" spans="1:34">
      <c r="A243" s="132" t="s">
        <v>2456</v>
      </c>
      <c r="B243" s="95">
        <v>2459</v>
      </c>
      <c r="C243" s="95">
        <v>3043</v>
      </c>
      <c r="D243" s="82">
        <v>-2</v>
      </c>
      <c r="E243" s="82">
        <v>-49</v>
      </c>
      <c r="F243" s="58">
        <v>36.35</v>
      </c>
      <c r="G243" s="57" t="s">
        <v>508</v>
      </c>
      <c r="H243" s="30" t="s">
        <v>1531</v>
      </c>
      <c r="I243" s="16" t="s">
        <v>509</v>
      </c>
      <c r="J243" s="330">
        <v>27.21</v>
      </c>
      <c r="K243" s="75">
        <v>5.08</v>
      </c>
      <c r="L243" s="75">
        <v>32.26</v>
      </c>
      <c r="N243" s="325">
        <f t="shared" si="195"/>
        <v>64.55</v>
      </c>
      <c r="S243" s="330">
        <v>9.5500000000000007</v>
      </c>
      <c r="T243" s="45">
        <v>10</v>
      </c>
      <c r="V243" s="97">
        <v>17.010000000000002</v>
      </c>
      <c r="W243" s="36">
        <v>84.3</v>
      </c>
      <c r="X243" s="67">
        <v>81</v>
      </c>
      <c r="Y243" s="15">
        <f t="shared" si="197"/>
        <v>3.2999999999999972</v>
      </c>
      <c r="Z243" s="64">
        <f t="shared" si="196"/>
        <v>4.0740740740740702E-2</v>
      </c>
      <c r="AA243" s="104" t="s">
        <v>4048</v>
      </c>
      <c r="AB243" s="16" t="s">
        <v>509</v>
      </c>
      <c r="AC243" s="86">
        <v>44314</v>
      </c>
      <c r="AD243" s="85">
        <v>44329</v>
      </c>
      <c r="AE243" s="33">
        <f t="shared" si="194"/>
        <v>15</v>
      </c>
      <c r="AF243" s="41" t="s">
        <v>1188</v>
      </c>
      <c r="AG243" s="228"/>
      <c r="AH243" s="229"/>
    </row>
    <row r="244" spans="1:34">
      <c r="A244" s="132" t="s">
        <v>2456</v>
      </c>
      <c r="B244" s="95">
        <v>2459</v>
      </c>
      <c r="C244" s="95">
        <v>3043</v>
      </c>
      <c r="D244" s="82">
        <v>-2</v>
      </c>
      <c r="E244" s="82">
        <v>-49</v>
      </c>
      <c r="F244" s="58">
        <v>36.35</v>
      </c>
      <c r="G244" s="57" t="s">
        <v>508</v>
      </c>
      <c r="H244" s="30" t="s">
        <v>1531</v>
      </c>
      <c r="I244" s="16" t="s">
        <v>509</v>
      </c>
      <c r="J244" s="330">
        <v>27.21</v>
      </c>
      <c r="K244" s="75">
        <v>5.08</v>
      </c>
      <c r="L244" s="75">
        <v>32.26</v>
      </c>
      <c r="N244" s="325">
        <f t="shared" si="195"/>
        <v>64.55</v>
      </c>
      <c r="S244" s="330">
        <v>9.5500000000000007</v>
      </c>
      <c r="T244" s="45">
        <v>10</v>
      </c>
      <c r="V244" s="97">
        <v>17.010000000000002</v>
      </c>
      <c r="W244" s="36">
        <v>84.3</v>
      </c>
      <c r="X244" s="67">
        <v>80.099999999999994</v>
      </c>
      <c r="Y244" s="15">
        <f t="shared" si="197"/>
        <v>4.2000000000000028</v>
      </c>
      <c r="Z244" s="64">
        <f t="shared" si="196"/>
        <v>5.2434456928838989E-2</v>
      </c>
      <c r="AA244" s="104" t="s">
        <v>4047</v>
      </c>
      <c r="AB244" s="16" t="s">
        <v>509</v>
      </c>
      <c r="AC244" s="86">
        <v>44313</v>
      </c>
      <c r="AD244" s="85">
        <v>44329</v>
      </c>
      <c r="AE244" s="33">
        <f t="shared" si="194"/>
        <v>16</v>
      </c>
      <c r="AF244" s="41" t="s">
        <v>1188</v>
      </c>
      <c r="AG244" s="41" t="s">
        <v>1583</v>
      </c>
      <c r="AH244" s="229"/>
    </row>
    <row r="245" spans="1:34">
      <c r="A245" s="132" t="s">
        <v>1910</v>
      </c>
      <c r="B245" s="81">
        <v>297</v>
      </c>
      <c r="C245" s="81">
        <v>275</v>
      </c>
      <c r="D245" s="81">
        <v>49</v>
      </c>
      <c r="E245" s="81">
        <v>205</v>
      </c>
      <c r="F245" s="58">
        <v>25.55</v>
      </c>
      <c r="G245" s="57" t="s">
        <v>659</v>
      </c>
      <c r="H245" s="50" t="s">
        <v>1471</v>
      </c>
      <c r="I245" s="16" t="s">
        <v>660</v>
      </c>
      <c r="J245" s="330">
        <v>28.83</v>
      </c>
      <c r="K245" s="75">
        <v>2.15</v>
      </c>
      <c r="L245" s="75">
        <v>18.78</v>
      </c>
      <c r="N245" s="325">
        <f t="shared" ref="N245:N247" si="198">K245+J245+L245</f>
        <v>49.76</v>
      </c>
      <c r="S245" s="330">
        <v>7.0000000000000007E-2</v>
      </c>
      <c r="T245" s="67">
        <v>3</v>
      </c>
      <c r="V245" s="97">
        <v>15.17</v>
      </c>
      <c r="W245" s="36">
        <v>95.4</v>
      </c>
      <c r="X245" s="67">
        <v>90</v>
      </c>
      <c r="Y245" s="15">
        <f t="shared" si="197"/>
        <v>5.4000000000000057</v>
      </c>
      <c r="Z245" s="64">
        <f t="shared" ref="Z245:Z247" si="199">Y245/X245</f>
        <v>6.000000000000006E-2</v>
      </c>
      <c r="AA245" s="104" t="s">
        <v>4046</v>
      </c>
      <c r="AB245" s="16" t="s">
        <v>660</v>
      </c>
      <c r="AC245" s="86">
        <v>44315</v>
      </c>
      <c r="AD245" s="85">
        <v>44329</v>
      </c>
      <c r="AE245" s="33">
        <f t="shared" ref="AE245:AE247" si="200">AD245-AC245</f>
        <v>14</v>
      </c>
      <c r="AF245" s="132" t="s">
        <v>1188</v>
      </c>
      <c r="AG245" s="228"/>
      <c r="AH245" s="229"/>
    </row>
    <row r="246" spans="1:34">
      <c r="A246" s="132" t="s">
        <v>1910</v>
      </c>
      <c r="B246" s="81">
        <v>297</v>
      </c>
      <c r="C246" s="81">
        <v>275</v>
      </c>
      <c r="D246" s="81">
        <v>49</v>
      </c>
      <c r="E246" s="81">
        <v>205</v>
      </c>
      <c r="F246" s="58">
        <v>25.55</v>
      </c>
      <c r="G246" s="57" t="s">
        <v>659</v>
      </c>
      <c r="H246" s="30" t="s">
        <v>1531</v>
      </c>
      <c r="I246" s="16" t="s">
        <v>660</v>
      </c>
      <c r="J246" s="330">
        <v>28.83</v>
      </c>
      <c r="K246" s="75">
        <v>2.15</v>
      </c>
      <c r="L246" s="75">
        <v>18.78</v>
      </c>
      <c r="N246" s="325">
        <f t="shared" si="198"/>
        <v>49.76</v>
      </c>
      <c r="S246" s="330">
        <v>7.0000000000000007E-2</v>
      </c>
      <c r="T246" s="67">
        <v>3</v>
      </c>
      <c r="V246" s="97">
        <v>15.17</v>
      </c>
      <c r="W246" s="36">
        <v>95.1</v>
      </c>
      <c r="X246" s="67">
        <v>89.8</v>
      </c>
      <c r="Y246" s="15">
        <f t="shared" si="197"/>
        <v>5.2999999999999972</v>
      </c>
      <c r="Z246" s="64">
        <f t="shared" si="199"/>
        <v>5.9020044543429816E-2</v>
      </c>
      <c r="AA246" s="104" t="s">
        <v>4045</v>
      </c>
      <c r="AB246" s="16" t="s">
        <v>660</v>
      </c>
      <c r="AC246" s="86">
        <v>44315</v>
      </c>
      <c r="AD246" s="85">
        <v>44329</v>
      </c>
      <c r="AE246" s="33">
        <f t="shared" si="200"/>
        <v>14</v>
      </c>
      <c r="AF246" s="41" t="s">
        <v>1188</v>
      </c>
      <c r="AG246" s="228"/>
      <c r="AH246" s="229"/>
    </row>
    <row r="247" spans="1:34">
      <c r="A247" s="132" t="s">
        <v>1910</v>
      </c>
      <c r="B247" s="81">
        <v>297</v>
      </c>
      <c r="C247" s="81">
        <v>275</v>
      </c>
      <c r="D247" s="81">
        <v>49</v>
      </c>
      <c r="E247" s="81">
        <v>205</v>
      </c>
      <c r="F247" s="58">
        <v>25.55</v>
      </c>
      <c r="G247" s="57" t="s">
        <v>659</v>
      </c>
      <c r="H247" s="30" t="s">
        <v>1531</v>
      </c>
      <c r="I247" s="16" t="s">
        <v>660</v>
      </c>
      <c r="J247" s="330">
        <v>28.83</v>
      </c>
      <c r="K247" s="75">
        <v>2.15</v>
      </c>
      <c r="L247" s="75">
        <v>18.78</v>
      </c>
      <c r="N247" s="325">
        <f t="shared" si="198"/>
        <v>49.76</v>
      </c>
      <c r="S247" s="330">
        <v>7.0000000000000007E-2</v>
      </c>
      <c r="T247" s="67">
        <v>3</v>
      </c>
      <c r="V247" s="97">
        <v>15.17</v>
      </c>
      <c r="W247" s="36">
        <v>95.1</v>
      </c>
      <c r="X247" s="67">
        <v>90.4</v>
      </c>
      <c r="Y247" s="15">
        <f t="shared" si="197"/>
        <v>4.6999999999999886</v>
      </c>
      <c r="Z247" s="64">
        <f t="shared" si="199"/>
        <v>5.1991150442477749E-2</v>
      </c>
      <c r="AA247" s="104" t="s">
        <v>4044</v>
      </c>
      <c r="AB247" s="16" t="s">
        <v>660</v>
      </c>
      <c r="AC247" s="86">
        <v>44315</v>
      </c>
      <c r="AD247" s="85">
        <v>44329</v>
      </c>
      <c r="AE247" s="33">
        <f t="shared" si="200"/>
        <v>14</v>
      </c>
      <c r="AF247" s="41" t="s">
        <v>1188</v>
      </c>
      <c r="AG247" s="41" t="s">
        <v>1583</v>
      </c>
      <c r="AH247" s="229"/>
    </row>
    <row r="248" spans="1:34">
      <c r="A248" s="148" t="s">
        <v>1805</v>
      </c>
      <c r="B248" s="82">
        <v>-4</v>
      </c>
      <c r="C248" s="81">
        <v>34</v>
      </c>
      <c r="D248" s="81">
        <v>23</v>
      </c>
      <c r="E248" s="81">
        <v>4</v>
      </c>
      <c r="F248" s="6">
        <v>6.35</v>
      </c>
      <c r="G248" s="57" t="s">
        <v>647</v>
      </c>
      <c r="H248" s="50" t="s">
        <v>1471</v>
      </c>
      <c r="I248" s="16" t="s">
        <v>648</v>
      </c>
      <c r="J248" s="75">
        <v>26.54</v>
      </c>
      <c r="K248" s="75">
        <v>1.46</v>
      </c>
      <c r="L248" s="75">
        <v>22.84</v>
      </c>
      <c r="N248" s="325">
        <f t="shared" ref="N248:N250" si="201">K248+J248+L248</f>
        <v>50.84</v>
      </c>
      <c r="S248" s="330">
        <v>0.16</v>
      </c>
      <c r="T248" s="34">
        <v>0.1</v>
      </c>
      <c r="V248" s="97">
        <f>T248/W248</f>
        <v>3.8684719535783366E-3</v>
      </c>
      <c r="W248" s="36">
        <v>25.85</v>
      </c>
      <c r="X248" s="67">
        <v>23.3</v>
      </c>
      <c r="Y248" s="15">
        <f t="shared" si="197"/>
        <v>2.5500000000000007</v>
      </c>
      <c r="Z248" s="64">
        <f t="shared" ref="Z248:Z250" si="202">Y248/X248</f>
        <v>0.10944206008583694</v>
      </c>
      <c r="AA248" s="104" t="s">
        <v>4043</v>
      </c>
      <c r="AB248" s="16" t="s">
        <v>648</v>
      </c>
      <c r="AC248" s="86">
        <v>44298</v>
      </c>
      <c r="AD248" s="85">
        <v>44329</v>
      </c>
      <c r="AE248" s="33">
        <f t="shared" ref="AE248:AE255" si="203">AD248-AC248</f>
        <v>31</v>
      </c>
      <c r="AF248" s="132" t="s">
        <v>1188</v>
      </c>
      <c r="AH248" s="8"/>
    </row>
    <row r="249" spans="1:34">
      <c r="A249" s="148" t="s">
        <v>1805</v>
      </c>
      <c r="B249" s="82">
        <v>-4</v>
      </c>
      <c r="C249" s="81">
        <v>34</v>
      </c>
      <c r="D249" s="81">
        <v>23</v>
      </c>
      <c r="E249" s="81">
        <v>4</v>
      </c>
      <c r="F249" s="6">
        <v>6.35</v>
      </c>
      <c r="G249" s="57" t="s">
        <v>647</v>
      </c>
      <c r="H249" s="30" t="s">
        <v>1531</v>
      </c>
      <c r="I249" s="16" t="s">
        <v>648</v>
      </c>
      <c r="J249" s="75">
        <v>26.54</v>
      </c>
      <c r="K249" s="75">
        <v>1.46</v>
      </c>
      <c r="L249" s="75">
        <v>22.84</v>
      </c>
      <c r="N249" s="325">
        <f t="shared" si="201"/>
        <v>50.84</v>
      </c>
      <c r="S249" s="330">
        <v>0.16</v>
      </c>
      <c r="T249" s="34">
        <v>0.1</v>
      </c>
      <c r="V249" s="97">
        <f>T249/W249</f>
        <v>3.8610038610038615E-3</v>
      </c>
      <c r="W249" s="36">
        <v>25.9</v>
      </c>
      <c r="X249" s="67">
        <v>23.7</v>
      </c>
      <c r="Y249" s="15">
        <f t="shared" si="197"/>
        <v>2.1999999999999993</v>
      </c>
      <c r="Z249" s="64">
        <f t="shared" si="202"/>
        <v>9.2827004219409259E-2</v>
      </c>
      <c r="AA249" s="104" t="s">
        <v>4042</v>
      </c>
      <c r="AB249" s="16" t="s">
        <v>648</v>
      </c>
      <c r="AC249" s="86">
        <v>44299</v>
      </c>
      <c r="AD249" s="85">
        <v>44329</v>
      </c>
      <c r="AE249" s="33">
        <f t="shared" si="203"/>
        <v>30</v>
      </c>
      <c r="AF249" s="41" t="s">
        <v>1188</v>
      </c>
      <c r="AH249" s="8"/>
    </row>
    <row r="250" spans="1:34">
      <c r="A250" s="148" t="s">
        <v>1805</v>
      </c>
      <c r="B250" s="82">
        <v>-4</v>
      </c>
      <c r="C250" s="81">
        <v>34</v>
      </c>
      <c r="D250" s="81">
        <v>23</v>
      </c>
      <c r="E250" s="81">
        <v>4</v>
      </c>
      <c r="F250" s="6">
        <v>6.35</v>
      </c>
      <c r="G250" s="57" t="s">
        <v>647</v>
      </c>
      <c r="H250" s="30" t="s">
        <v>1531</v>
      </c>
      <c r="I250" s="16" t="s">
        <v>648</v>
      </c>
      <c r="J250" s="75">
        <v>26.54</v>
      </c>
      <c r="K250" s="75">
        <v>1.46</v>
      </c>
      <c r="L250" s="75">
        <v>22.84</v>
      </c>
      <c r="N250" s="325">
        <f t="shared" si="201"/>
        <v>50.84</v>
      </c>
      <c r="S250" s="330">
        <v>0.16</v>
      </c>
      <c r="T250" s="34">
        <v>0.1</v>
      </c>
      <c r="V250" s="97">
        <f>T250/W250</f>
        <v>3.8610038610038615E-3</v>
      </c>
      <c r="W250" s="36">
        <v>25.9</v>
      </c>
      <c r="X250" s="67">
        <v>23.3</v>
      </c>
      <c r="Y250" s="15">
        <f t="shared" si="197"/>
        <v>2.5999999999999979</v>
      </c>
      <c r="Z250" s="64">
        <f t="shared" si="202"/>
        <v>0.11158798283261794</v>
      </c>
      <c r="AA250" s="104" t="s">
        <v>4041</v>
      </c>
      <c r="AB250" s="16" t="s">
        <v>648</v>
      </c>
      <c r="AC250" s="86">
        <v>44298</v>
      </c>
      <c r="AD250" s="85">
        <v>44329</v>
      </c>
      <c r="AE250" s="33">
        <f t="shared" si="203"/>
        <v>31</v>
      </c>
      <c r="AF250" s="41" t="s">
        <v>1188</v>
      </c>
      <c r="AG250" s="41" t="s">
        <v>1583</v>
      </c>
      <c r="AH250" s="8"/>
    </row>
    <row r="251" spans="1:34">
      <c r="A251" s="148" t="s">
        <v>1776</v>
      </c>
      <c r="B251" s="81">
        <v>480</v>
      </c>
      <c r="C251" s="81">
        <v>91</v>
      </c>
      <c r="D251" s="81">
        <v>329</v>
      </c>
      <c r="E251" s="82">
        <v>-4</v>
      </c>
      <c r="F251" s="6">
        <v>-1.38</v>
      </c>
      <c r="G251" s="57" t="s">
        <v>677</v>
      </c>
      <c r="H251" s="50" t="s">
        <v>1471</v>
      </c>
      <c r="I251" s="22" t="s">
        <v>678</v>
      </c>
      <c r="J251" s="330">
        <v>37.119999999999997</v>
      </c>
      <c r="K251" s="75">
        <v>10.54</v>
      </c>
      <c r="L251" s="75">
        <v>23.08</v>
      </c>
      <c r="N251" s="325">
        <f t="shared" ref="N251:N252" si="204">K251+J251+L251</f>
        <v>70.739999999999995</v>
      </c>
      <c r="S251" s="330">
        <v>0.69</v>
      </c>
      <c r="T251" s="34">
        <v>0.5</v>
      </c>
      <c r="V251" s="97">
        <v>3.08</v>
      </c>
      <c r="W251" s="36">
        <v>62.4</v>
      </c>
      <c r="X251" s="67">
        <v>56.1</v>
      </c>
      <c r="Y251" s="15">
        <f t="shared" si="197"/>
        <v>6.2999999999999972</v>
      </c>
      <c r="Z251" s="64">
        <f t="shared" ref="Z251:Z252" si="205">Y251/X251</f>
        <v>0.11229946524064166</v>
      </c>
      <c r="AA251" s="104" t="s">
        <v>4040</v>
      </c>
      <c r="AB251" s="22" t="s">
        <v>678</v>
      </c>
      <c r="AC251" s="86">
        <v>44319</v>
      </c>
      <c r="AD251" s="85">
        <v>44329</v>
      </c>
      <c r="AE251" s="33">
        <f t="shared" si="203"/>
        <v>10</v>
      </c>
      <c r="AF251" s="132" t="s">
        <v>1188</v>
      </c>
      <c r="AG251" s="228"/>
      <c r="AH251" s="229"/>
    </row>
    <row r="252" spans="1:34">
      <c r="A252" s="148" t="s">
        <v>1776</v>
      </c>
      <c r="B252" s="81">
        <v>480</v>
      </c>
      <c r="C252" s="81">
        <v>91</v>
      </c>
      <c r="D252" s="81">
        <v>329</v>
      </c>
      <c r="E252" s="82">
        <v>-4</v>
      </c>
      <c r="F252" s="6">
        <v>-1.38</v>
      </c>
      <c r="G252" s="57" t="s">
        <v>677</v>
      </c>
      <c r="H252" s="30" t="s">
        <v>1531</v>
      </c>
      <c r="I252" s="22" t="s">
        <v>678</v>
      </c>
      <c r="J252" s="330">
        <v>37.119999999999997</v>
      </c>
      <c r="K252" s="75">
        <v>10.54</v>
      </c>
      <c r="L252" s="75">
        <v>23.08</v>
      </c>
      <c r="N252" s="325">
        <f t="shared" si="204"/>
        <v>70.739999999999995</v>
      </c>
      <c r="S252" s="330">
        <v>0.69</v>
      </c>
      <c r="T252" s="34">
        <v>0.5</v>
      </c>
      <c r="V252" s="97">
        <v>3.08</v>
      </c>
      <c r="W252" s="36">
        <v>62.2</v>
      </c>
      <c r="X252" s="67">
        <v>55.7</v>
      </c>
      <c r="Y252" s="15">
        <f t="shared" si="197"/>
        <v>6.5</v>
      </c>
      <c r="Z252" s="64">
        <f t="shared" si="205"/>
        <v>0.11669658886894074</v>
      </c>
      <c r="AA252" s="104" t="s">
        <v>4039</v>
      </c>
      <c r="AB252" s="22" t="s">
        <v>678</v>
      </c>
      <c r="AC252" s="86">
        <v>44319</v>
      </c>
      <c r="AD252" s="85">
        <v>44329</v>
      </c>
      <c r="AE252" s="33">
        <f t="shared" si="203"/>
        <v>10</v>
      </c>
      <c r="AF252" s="41" t="s">
        <v>1188</v>
      </c>
      <c r="AG252" s="228"/>
      <c r="AH252" s="229"/>
    </row>
    <row r="253" spans="1:34">
      <c r="A253" s="132" t="s">
        <v>2186</v>
      </c>
      <c r="B253" s="95">
        <v>5707</v>
      </c>
      <c r="C253" s="95">
        <v>7419</v>
      </c>
      <c r="D253" s="81">
        <v>24</v>
      </c>
      <c r="E253" s="82">
        <v>-46</v>
      </c>
      <c r="F253" s="58">
        <v>62.23</v>
      </c>
      <c r="G253" s="57" t="s">
        <v>637</v>
      </c>
      <c r="H253" s="50" t="s">
        <v>1471</v>
      </c>
      <c r="I253" s="22" t="s">
        <v>638</v>
      </c>
      <c r="J253" s="75">
        <v>42.85</v>
      </c>
      <c r="K253" s="330">
        <v>7.48</v>
      </c>
      <c r="L253" s="75">
        <v>21.94</v>
      </c>
      <c r="N253" s="325">
        <f>K253+J253+L253</f>
        <v>72.27</v>
      </c>
      <c r="S253" s="330">
        <v>4.46</v>
      </c>
      <c r="T253" s="67">
        <v>12</v>
      </c>
      <c r="V253" s="97">
        <v>23.16</v>
      </c>
      <c r="W253" s="233">
        <v>97.8</v>
      </c>
      <c r="X253" s="233">
        <v>86.7</v>
      </c>
      <c r="Y253" s="15">
        <f t="shared" si="197"/>
        <v>11.099999999999994</v>
      </c>
      <c r="Z253" s="64">
        <f>Y253/X253</f>
        <v>0.12802768166089959</v>
      </c>
      <c r="AA253" s="102" t="s">
        <v>1873</v>
      </c>
      <c r="AB253" s="22" t="s">
        <v>638</v>
      </c>
      <c r="AC253" s="86">
        <v>44315</v>
      </c>
      <c r="AD253" s="85">
        <v>44328</v>
      </c>
      <c r="AE253" s="33">
        <f t="shared" si="203"/>
        <v>13</v>
      </c>
      <c r="AF253" s="132" t="s">
        <v>1188</v>
      </c>
      <c r="AG253" s="226"/>
      <c r="AH253" s="196"/>
    </row>
    <row r="254" spans="1:34">
      <c r="A254" s="132" t="s">
        <v>2186</v>
      </c>
      <c r="B254" s="95">
        <v>5707</v>
      </c>
      <c r="C254" s="95">
        <v>7419</v>
      </c>
      <c r="D254" s="81">
        <v>24</v>
      </c>
      <c r="E254" s="82">
        <v>-46</v>
      </c>
      <c r="F254" s="58">
        <v>62.23</v>
      </c>
      <c r="G254" s="57" t="s">
        <v>637</v>
      </c>
      <c r="H254" s="30" t="s">
        <v>1531</v>
      </c>
      <c r="I254" s="22" t="s">
        <v>638</v>
      </c>
      <c r="J254" s="75">
        <v>42.85</v>
      </c>
      <c r="K254" s="330">
        <v>7.48</v>
      </c>
      <c r="L254" s="75">
        <v>21.94</v>
      </c>
      <c r="N254" s="325">
        <f>K254+J254+L254</f>
        <v>72.27</v>
      </c>
      <c r="S254" s="330">
        <v>4.46</v>
      </c>
      <c r="T254" s="67">
        <v>12</v>
      </c>
      <c r="V254" s="97">
        <v>23.16</v>
      </c>
      <c r="W254" s="233">
        <v>100.5</v>
      </c>
      <c r="X254" s="233">
        <v>87.7</v>
      </c>
      <c r="Y254" s="15">
        <f t="shared" si="197"/>
        <v>12.799999999999997</v>
      </c>
      <c r="Z254" s="64">
        <f>Y254/X254</f>
        <v>0.14595210946408205</v>
      </c>
      <c r="AA254" s="102" t="s">
        <v>1809</v>
      </c>
      <c r="AB254" s="22" t="s">
        <v>638</v>
      </c>
      <c r="AC254" s="86">
        <v>44315</v>
      </c>
      <c r="AD254" s="85">
        <v>44328</v>
      </c>
      <c r="AE254" s="33">
        <f t="shared" si="203"/>
        <v>13</v>
      </c>
      <c r="AF254" s="41" t="s">
        <v>1188</v>
      </c>
      <c r="AG254" s="226"/>
      <c r="AH254" s="196"/>
    </row>
    <row r="255" spans="1:34">
      <c r="A255" s="132" t="s">
        <v>2186</v>
      </c>
      <c r="B255" s="95">
        <v>5707</v>
      </c>
      <c r="C255" s="95">
        <v>7419</v>
      </c>
      <c r="D255" s="81">
        <v>24</v>
      </c>
      <c r="E255" s="82">
        <v>-46</v>
      </c>
      <c r="F255" s="58">
        <v>62.23</v>
      </c>
      <c r="G255" s="57" t="s">
        <v>637</v>
      </c>
      <c r="H255" s="30" t="s">
        <v>1531</v>
      </c>
      <c r="I255" s="22" t="s">
        <v>638</v>
      </c>
      <c r="J255" s="75">
        <v>42.85</v>
      </c>
      <c r="K255" s="330">
        <v>7.48</v>
      </c>
      <c r="L255" s="75">
        <v>21.94</v>
      </c>
      <c r="N255" s="325">
        <f>K255+J255+L255</f>
        <v>72.27</v>
      </c>
      <c r="S255" s="330">
        <v>4.46</v>
      </c>
      <c r="T255" s="67">
        <v>12</v>
      </c>
      <c r="V255" s="97">
        <v>23.16</v>
      </c>
      <c r="W255" s="233">
        <v>100.5</v>
      </c>
      <c r="X255" s="233">
        <v>86.5</v>
      </c>
      <c r="Y255" s="15">
        <f t="shared" si="197"/>
        <v>14</v>
      </c>
      <c r="Z255" s="64">
        <f>Y255/X255</f>
        <v>0.16184971098265896</v>
      </c>
      <c r="AA255" s="102" t="s">
        <v>4038</v>
      </c>
      <c r="AB255" s="22" t="s">
        <v>638</v>
      </c>
      <c r="AC255" s="86">
        <v>44315</v>
      </c>
      <c r="AD255" s="85">
        <v>44328</v>
      </c>
      <c r="AE255" s="33">
        <f t="shared" si="203"/>
        <v>13</v>
      </c>
      <c r="AF255" s="41" t="s">
        <v>1188</v>
      </c>
      <c r="AG255" s="41" t="s">
        <v>1583</v>
      </c>
      <c r="AH255" s="196"/>
    </row>
    <row r="256" spans="1:34" s="273" customFormat="1">
      <c r="A256" s="148" t="s">
        <v>1891</v>
      </c>
      <c r="B256" s="82">
        <v>-7</v>
      </c>
      <c r="C256" s="81">
        <v>52</v>
      </c>
      <c r="D256" s="81">
        <v>50</v>
      </c>
      <c r="E256" s="81">
        <v>52</v>
      </c>
      <c r="F256" s="6">
        <v>3.9</v>
      </c>
      <c r="G256" s="41" t="s">
        <v>66</v>
      </c>
      <c r="H256" s="30" t="s">
        <v>1531</v>
      </c>
      <c r="I256" s="160" t="s">
        <v>295</v>
      </c>
      <c r="J256" s="75">
        <v>49.45</v>
      </c>
      <c r="K256" s="75">
        <v>15.5</v>
      </c>
      <c r="L256" s="75">
        <v>1.07</v>
      </c>
      <c r="M256" s="325"/>
      <c r="N256" s="342">
        <f>K256+J256+L256</f>
        <v>66.02</v>
      </c>
      <c r="O256" s="329"/>
      <c r="P256" s="390"/>
      <c r="Q256" s="362"/>
      <c r="R256" s="308"/>
      <c r="S256" s="330">
        <v>0</v>
      </c>
      <c r="T256" s="199">
        <v>5</v>
      </c>
      <c r="U256" s="367"/>
      <c r="V256" s="97">
        <f>T256/W256</f>
        <v>5.5248618784530384E-2</v>
      </c>
      <c r="W256" s="168">
        <v>90.5</v>
      </c>
      <c r="X256" s="66">
        <v>88.1</v>
      </c>
      <c r="Y256" s="169">
        <f t="shared" si="197"/>
        <v>2.4000000000000057</v>
      </c>
      <c r="Z256" s="165">
        <f t="shared" ref="Z256" si="206">Y256/X256</f>
        <v>2.7241770715096546E-2</v>
      </c>
      <c r="AA256" s="116" t="s">
        <v>4034</v>
      </c>
      <c r="AB256" s="160" t="s">
        <v>295</v>
      </c>
      <c r="AC256" s="86">
        <v>44302</v>
      </c>
      <c r="AD256" s="85">
        <v>44322</v>
      </c>
      <c r="AE256" s="33">
        <f t="shared" ref="AE256" si="207">AD256-AC256</f>
        <v>20</v>
      </c>
      <c r="AF256" s="41" t="s">
        <v>2623</v>
      </c>
      <c r="AG256" s="170"/>
    </row>
    <row r="257" spans="1:44" s="273" customFormat="1">
      <c r="A257" s="132" t="s">
        <v>1733</v>
      </c>
      <c r="B257" s="81">
        <v>44</v>
      </c>
      <c r="C257" s="81">
        <v>42</v>
      </c>
      <c r="D257" s="82">
        <v>-5</v>
      </c>
      <c r="E257" s="81">
        <v>26</v>
      </c>
      <c r="F257" s="58">
        <v>10.09</v>
      </c>
      <c r="G257" s="57" t="s">
        <v>1467</v>
      </c>
      <c r="H257" s="30" t="s">
        <v>1531</v>
      </c>
      <c r="I257" s="160" t="s">
        <v>478</v>
      </c>
      <c r="J257" s="330">
        <v>42.4</v>
      </c>
      <c r="K257" s="330">
        <v>12.5</v>
      </c>
      <c r="L257" s="330">
        <v>16.100000000000001</v>
      </c>
      <c r="M257" s="325"/>
      <c r="N257" s="325">
        <f t="shared" ref="N257" si="208">K257+J257+L257</f>
        <v>71</v>
      </c>
      <c r="O257" s="329"/>
      <c r="P257" s="390"/>
      <c r="Q257" s="362"/>
      <c r="R257" s="308"/>
      <c r="S257" s="330">
        <v>3.31</v>
      </c>
      <c r="T257" s="162">
        <v>3</v>
      </c>
      <c r="U257" s="367"/>
      <c r="V257" s="97">
        <v>6.32</v>
      </c>
      <c r="W257" s="168">
        <v>67.3</v>
      </c>
      <c r="X257" s="66">
        <v>67.400000000000006</v>
      </c>
      <c r="Y257" s="169">
        <f t="shared" ref="Y257" si="209">W257-X257</f>
        <v>-0.10000000000000853</v>
      </c>
      <c r="Z257" s="171">
        <f t="shared" ref="Z257" si="210">Y257/X257</f>
        <v>-1.4836795252226784E-3</v>
      </c>
      <c r="AA257" s="175" t="s">
        <v>2161</v>
      </c>
      <c r="AB257" s="160" t="s">
        <v>478</v>
      </c>
      <c r="AC257" s="86">
        <v>44313</v>
      </c>
      <c r="AD257" s="85">
        <v>44322</v>
      </c>
      <c r="AE257" s="33">
        <f>AD257-AC257</f>
        <v>9</v>
      </c>
      <c r="AF257" s="41" t="s">
        <v>1188</v>
      </c>
      <c r="AG257" s="228"/>
      <c r="AH257" s="229"/>
      <c r="AI257" s="17"/>
    </row>
    <row r="258" spans="1:44" s="273" customFormat="1">
      <c r="A258" s="147"/>
      <c r="B258" s="81"/>
      <c r="C258" s="81"/>
      <c r="D258" s="81"/>
      <c r="E258" s="81"/>
      <c r="F258" s="6"/>
      <c r="G258" s="41"/>
      <c r="H258" s="8"/>
      <c r="I258" s="160"/>
      <c r="J258" s="330"/>
      <c r="K258" s="330"/>
      <c r="L258" s="330"/>
      <c r="M258" s="325"/>
      <c r="N258" s="325"/>
      <c r="O258" s="329"/>
      <c r="P258" s="390"/>
      <c r="Q258" s="362"/>
      <c r="R258" s="308"/>
      <c r="S258" s="330"/>
      <c r="T258" s="199"/>
      <c r="U258" s="367"/>
      <c r="V258" s="97"/>
      <c r="W258" s="168">
        <f>SUM(W198:W257)</f>
        <v>5598.6</v>
      </c>
      <c r="X258" s="66">
        <f>SUM(X198:X257)</f>
        <v>5343.0500000000011</v>
      </c>
      <c r="Y258" s="169">
        <f>W258-X258</f>
        <v>255.54999999999927</v>
      </c>
      <c r="Z258" s="165">
        <f>Y258/X258</f>
        <v>4.782848747438246E-2</v>
      </c>
      <c r="AA258" s="118"/>
      <c r="AB258" s="247">
        <f>W258*(0.001425*0.5)+W258*0.003+X258*(0.001425*0.5)</f>
        <v>24.591725625000002</v>
      </c>
      <c r="AC258" s="6">
        <f>Y258-AB258</f>
        <v>230.95827437499926</v>
      </c>
      <c r="AD258" s="85"/>
      <c r="AE258" s="33"/>
      <c r="AF258" s="41"/>
      <c r="AG258" s="170"/>
    </row>
    <row r="259" spans="1:44" s="282" customFormat="1">
      <c r="A259" s="132"/>
      <c r="B259" s="93"/>
      <c r="C259" s="93"/>
      <c r="D259" s="93"/>
      <c r="E259" s="93"/>
      <c r="F259" s="8"/>
      <c r="G259" s="25"/>
      <c r="H259" s="55"/>
      <c r="I259" s="1"/>
      <c r="J259" s="324"/>
      <c r="K259" s="324"/>
      <c r="L259" s="324"/>
      <c r="M259" s="324"/>
      <c r="N259" s="324"/>
      <c r="O259" s="329"/>
      <c r="P259" s="390"/>
      <c r="Q259" s="362"/>
      <c r="R259" s="308"/>
      <c r="S259" s="335"/>
      <c r="T259" s="14"/>
      <c r="U259" s="367"/>
      <c r="V259" s="69"/>
      <c r="W259" s="28"/>
      <c r="X259" s="69"/>
      <c r="Y259" s="14"/>
      <c r="Z259" s="21"/>
      <c r="AA259" s="25"/>
      <c r="AB259" s="247">
        <f>W258*(0.001425*0.28)+W258*0.003+X258*(0.001425*0.28)</f>
        <v>21.161518350000001</v>
      </c>
      <c r="AC259" s="73"/>
      <c r="AD259" s="74"/>
      <c r="AE259" s="32"/>
      <c r="AF259" s="46"/>
      <c r="AG259" s="170"/>
    </row>
    <row r="260" spans="1:44" s="282" customFormat="1">
      <c r="A260" s="132"/>
      <c r="B260" s="93"/>
      <c r="C260" s="93"/>
      <c r="D260" s="93"/>
      <c r="E260" s="93"/>
      <c r="F260" s="8"/>
      <c r="G260" s="25"/>
      <c r="H260" s="55"/>
      <c r="I260" s="1"/>
      <c r="J260" s="324"/>
      <c r="K260" s="324"/>
      <c r="L260" s="324"/>
      <c r="M260" s="324"/>
      <c r="N260" s="324"/>
      <c r="O260" s="329"/>
      <c r="P260" s="390"/>
      <c r="Q260" s="362"/>
      <c r="R260" s="308"/>
      <c r="S260" s="335"/>
      <c r="T260" s="14"/>
      <c r="U260" s="367"/>
      <c r="V260" s="69"/>
      <c r="W260" s="28"/>
      <c r="X260" s="69"/>
      <c r="Y260" s="14"/>
      <c r="Z260" s="21"/>
      <c r="AA260" s="25"/>
      <c r="AB260" s="247"/>
      <c r="AC260" s="73"/>
      <c r="AD260" s="74"/>
      <c r="AE260" s="32"/>
      <c r="AF260" s="46"/>
      <c r="AG260" s="170"/>
    </row>
    <row r="261" spans="1:44" s="282" customFormat="1">
      <c r="A261" s="132" t="s">
        <v>1854</v>
      </c>
      <c r="B261" s="93" t="s">
        <v>1657</v>
      </c>
      <c r="C261" s="93" t="s">
        <v>1658</v>
      </c>
      <c r="D261" s="93" t="s">
        <v>1659</v>
      </c>
      <c r="E261" s="93" t="s">
        <v>1660</v>
      </c>
      <c r="F261" s="8" t="s">
        <v>1122</v>
      </c>
      <c r="G261" s="26" t="s">
        <v>4231</v>
      </c>
      <c r="H261" s="55" t="s">
        <v>342</v>
      </c>
      <c r="I261" s="1" t="s">
        <v>2750</v>
      </c>
      <c r="J261" s="324" t="s">
        <v>1529</v>
      </c>
      <c r="K261" s="324" t="s">
        <v>1217</v>
      </c>
      <c r="L261" s="324" t="s">
        <v>298</v>
      </c>
      <c r="M261" s="324" t="s">
        <v>1115</v>
      </c>
      <c r="N261" s="324" t="s">
        <v>4394</v>
      </c>
      <c r="O261" s="329" t="s">
        <v>6106</v>
      </c>
      <c r="P261" s="391" t="s">
        <v>4232</v>
      </c>
      <c r="Q261" s="307" t="s">
        <v>4232</v>
      </c>
      <c r="R261" s="309" t="s">
        <v>4371</v>
      </c>
      <c r="S261" s="335" t="s">
        <v>4398</v>
      </c>
      <c r="T261" s="14" t="s">
        <v>75</v>
      </c>
      <c r="U261" s="364" t="s">
        <v>6152</v>
      </c>
      <c r="V261" s="69" t="s">
        <v>4406</v>
      </c>
      <c r="W261" s="28" t="s">
        <v>3762</v>
      </c>
      <c r="X261" s="69" t="s">
        <v>1465</v>
      </c>
      <c r="Y261" s="14" t="s">
        <v>2755</v>
      </c>
      <c r="Z261" s="21" t="s">
        <v>1539</v>
      </c>
      <c r="AA261" s="25" t="s">
        <v>117</v>
      </c>
      <c r="AB261" s="1" t="s">
        <v>2750</v>
      </c>
      <c r="AC261" s="73" t="s">
        <v>1466</v>
      </c>
      <c r="AD261" s="74" t="s">
        <v>1223</v>
      </c>
      <c r="AE261" s="32" t="s">
        <v>1224</v>
      </c>
      <c r="AF261" s="46" t="s">
        <v>3893</v>
      </c>
      <c r="AG261" s="170"/>
    </row>
    <row r="262" spans="1:44" s="273" customFormat="1">
      <c r="A262" s="148" t="s">
        <v>2181</v>
      </c>
      <c r="B262" s="82">
        <v>-16</v>
      </c>
      <c r="C262" s="81">
        <v>11</v>
      </c>
      <c r="D262" s="81">
        <v>30</v>
      </c>
      <c r="E262" s="81">
        <v>18</v>
      </c>
      <c r="F262" s="6">
        <v>5.99</v>
      </c>
      <c r="G262" s="41" t="s">
        <v>2390</v>
      </c>
      <c r="H262" s="30" t="s">
        <v>1531</v>
      </c>
      <c r="I262" s="173" t="s">
        <v>324</v>
      </c>
      <c r="J262" s="75">
        <v>41.4</v>
      </c>
      <c r="K262" s="330">
        <v>14.13</v>
      </c>
      <c r="L262" s="330">
        <v>31.04</v>
      </c>
      <c r="M262" s="325"/>
      <c r="N262" s="325">
        <f>K262+J262+L262</f>
        <v>86.57</v>
      </c>
      <c r="O262" s="329"/>
      <c r="P262" s="390"/>
      <c r="Q262" s="362"/>
      <c r="R262" s="308"/>
      <c r="S262" s="330">
        <v>0.06</v>
      </c>
      <c r="T262" s="199">
        <v>1</v>
      </c>
      <c r="U262" s="367"/>
      <c r="V262" s="97">
        <f>T262/W262</f>
        <v>1.7035775127768313E-2</v>
      </c>
      <c r="W262" s="168">
        <v>58.7</v>
      </c>
      <c r="X262" s="162">
        <v>54.5</v>
      </c>
      <c r="Y262" s="109">
        <f>W262-X262</f>
        <v>4.2000000000000028</v>
      </c>
      <c r="Z262" s="165">
        <f>Y262/X262</f>
        <v>7.7064220183486284E-2</v>
      </c>
      <c r="AA262" s="174" t="s">
        <v>2667</v>
      </c>
      <c r="AB262" s="173" t="s">
        <v>324</v>
      </c>
      <c r="AC262" s="86">
        <v>44309</v>
      </c>
      <c r="AD262" s="85">
        <v>44403</v>
      </c>
      <c r="AE262" s="33">
        <f>AD262-AC262</f>
        <v>94</v>
      </c>
      <c r="AF262" s="41" t="s">
        <v>1188</v>
      </c>
      <c r="AG262" s="228"/>
      <c r="AH262" s="229"/>
    </row>
    <row r="263" spans="1:44" s="178" customFormat="1" ht="17.100000000000001" customHeight="1">
      <c r="A263" s="41"/>
      <c r="B263" s="82">
        <v>-63</v>
      </c>
      <c r="C263" s="82">
        <v>-76</v>
      </c>
      <c r="D263" s="82">
        <v>-63</v>
      </c>
      <c r="E263" s="82">
        <v>-76</v>
      </c>
      <c r="F263" s="6">
        <v>1.95</v>
      </c>
      <c r="G263" s="41" t="s">
        <v>2740</v>
      </c>
      <c r="H263" s="30" t="s">
        <v>1531</v>
      </c>
      <c r="I263" s="173" t="s">
        <v>220</v>
      </c>
      <c r="J263" s="330">
        <v>52.31</v>
      </c>
      <c r="K263" s="330">
        <v>0.64</v>
      </c>
      <c r="L263" s="75">
        <v>6.93</v>
      </c>
      <c r="M263" s="325"/>
      <c r="N263" s="325">
        <f>S263+K263+J263+L263</f>
        <v>109.26000000000002</v>
      </c>
      <c r="O263" s="329"/>
      <c r="P263" s="390"/>
      <c r="Q263" s="362"/>
      <c r="R263" s="308"/>
      <c r="S263" s="330">
        <v>49.38</v>
      </c>
      <c r="T263" s="199">
        <v>1.1599999999999999</v>
      </c>
      <c r="U263" s="367"/>
      <c r="V263" s="58">
        <f t="shared" ref="V263:V264" si="211">T263/W263</f>
        <v>6.2533692722371956E-2</v>
      </c>
      <c r="W263" s="172">
        <v>18.55</v>
      </c>
      <c r="X263" s="66">
        <v>17</v>
      </c>
      <c r="Y263" s="169">
        <f t="shared" ref="Y263:Y264" si="212">W263-X263</f>
        <v>1.5500000000000007</v>
      </c>
      <c r="Z263" s="165">
        <f t="shared" ref="Z263:Z264" si="213">Y263/X263</f>
        <v>9.1176470588235331E-2</v>
      </c>
      <c r="AA263" s="174" t="s">
        <v>4003</v>
      </c>
      <c r="AB263" s="173" t="s">
        <v>220</v>
      </c>
      <c r="AC263" s="86">
        <v>44252</v>
      </c>
      <c r="AD263" s="85">
        <v>44308</v>
      </c>
      <c r="AE263" s="33">
        <f t="shared" ref="AE263:AE264" si="214">AD263-AC263</f>
        <v>56</v>
      </c>
      <c r="AF263" s="41" t="s">
        <v>1188</v>
      </c>
      <c r="AG263" s="27"/>
      <c r="AH263" s="17"/>
      <c r="AI263" s="11"/>
      <c r="AJ263" s="11"/>
      <c r="AK263" s="11"/>
      <c r="AL263" s="11"/>
      <c r="AM263" s="273"/>
      <c r="AN263" s="273"/>
      <c r="AP263" s="4"/>
      <c r="AQ263" s="273"/>
      <c r="AR263" s="273"/>
    </row>
    <row r="264" spans="1:44" s="178" customFormat="1" ht="17.100000000000001" customHeight="1">
      <c r="A264" s="41"/>
      <c r="B264" s="82">
        <v>-63</v>
      </c>
      <c r="C264" s="82">
        <v>-76</v>
      </c>
      <c r="D264" s="82">
        <v>-63</v>
      </c>
      <c r="E264" s="82">
        <v>-76</v>
      </c>
      <c r="F264" s="6">
        <v>1.95</v>
      </c>
      <c r="G264" s="41" t="s">
        <v>2740</v>
      </c>
      <c r="H264" s="30" t="s">
        <v>1531</v>
      </c>
      <c r="I264" s="173" t="s">
        <v>220</v>
      </c>
      <c r="J264" s="330">
        <v>52.31</v>
      </c>
      <c r="K264" s="330">
        <v>0.64</v>
      </c>
      <c r="L264" s="75">
        <v>6.93</v>
      </c>
      <c r="M264" s="325"/>
      <c r="N264" s="325">
        <f>S264+K264+J264+L264</f>
        <v>109.26000000000002</v>
      </c>
      <c r="O264" s="329"/>
      <c r="P264" s="390"/>
      <c r="Q264" s="362"/>
      <c r="R264" s="308"/>
      <c r="S264" s="330">
        <v>49.38</v>
      </c>
      <c r="T264" s="199">
        <v>1.1599999999999999</v>
      </c>
      <c r="U264" s="367"/>
      <c r="V264" s="58">
        <f t="shared" si="211"/>
        <v>6.2702702702702701E-2</v>
      </c>
      <c r="W264" s="172">
        <v>18.5</v>
      </c>
      <c r="X264" s="66">
        <v>17.350000000000001</v>
      </c>
      <c r="Y264" s="169">
        <f t="shared" si="212"/>
        <v>1.1499999999999986</v>
      </c>
      <c r="Z264" s="165">
        <f t="shared" si="213"/>
        <v>6.6282420749279453E-2</v>
      </c>
      <c r="AA264" s="174" t="s">
        <v>4004</v>
      </c>
      <c r="AB264" s="173" t="s">
        <v>220</v>
      </c>
      <c r="AC264" s="86">
        <v>44252</v>
      </c>
      <c r="AD264" s="85">
        <v>44308</v>
      </c>
      <c r="AE264" s="33">
        <f t="shared" si="214"/>
        <v>56</v>
      </c>
      <c r="AF264" s="41" t="s">
        <v>1188</v>
      </c>
      <c r="AG264" s="27"/>
      <c r="AH264" s="17"/>
      <c r="AI264" s="11"/>
      <c r="AJ264" s="11"/>
      <c r="AK264" s="11"/>
      <c r="AL264" s="11"/>
      <c r="AM264" s="273"/>
      <c r="AN264" s="273"/>
      <c r="AP264" s="4"/>
      <c r="AQ264" s="273"/>
      <c r="AR264" s="273"/>
    </row>
    <row r="265" spans="1:44" s="273" customFormat="1">
      <c r="A265" s="148" t="s">
        <v>1767</v>
      </c>
      <c r="B265" s="82">
        <v>-63</v>
      </c>
      <c r="C265" s="82">
        <v>-65</v>
      </c>
      <c r="D265" s="82">
        <v>-8</v>
      </c>
      <c r="E265" s="81">
        <v>21</v>
      </c>
      <c r="F265" s="6">
        <v>8.69</v>
      </c>
      <c r="G265" s="41" t="s">
        <v>1127</v>
      </c>
      <c r="H265" s="30" t="s">
        <v>1531</v>
      </c>
      <c r="I265" s="173" t="s">
        <v>2738</v>
      </c>
      <c r="J265" s="330">
        <v>58.75</v>
      </c>
      <c r="K265" s="330">
        <v>59.96</v>
      </c>
      <c r="L265" s="75">
        <v>8.64</v>
      </c>
      <c r="M265" s="325"/>
      <c r="N265" s="75">
        <f>K265+J265+L265</f>
        <v>127.35000000000001</v>
      </c>
      <c r="O265" s="329"/>
      <c r="P265" s="390"/>
      <c r="Q265" s="362"/>
      <c r="R265" s="308"/>
      <c r="S265" s="330">
        <v>0</v>
      </c>
      <c r="T265" s="199">
        <v>1.23</v>
      </c>
      <c r="U265" s="367"/>
      <c r="V265" s="58">
        <f>T265/W265</f>
        <v>3.7500000000000006E-2</v>
      </c>
      <c r="W265" s="172">
        <v>32.799999999999997</v>
      </c>
      <c r="X265" s="66">
        <v>32.1</v>
      </c>
      <c r="Y265" s="169">
        <f>W265-X265</f>
        <v>0.69999999999999574</v>
      </c>
      <c r="Z265" s="165">
        <f>Y265/X265</f>
        <v>2.1806853582554384E-2</v>
      </c>
      <c r="AA265" s="174" t="s">
        <v>4002</v>
      </c>
      <c r="AB265" s="173" t="s">
        <v>2738</v>
      </c>
      <c r="AC265" s="86">
        <v>44300</v>
      </c>
      <c r="AD265" s="85">
        <v>44308</v>
      </c>
      <c r="AE265" s="33">
        <f t="shared" ref="AE265" si="215">AD265-AC265</f>
        <v>8</v>
      </c>
      <c r="AF265" s="41" t="s">
        <v>1188</v>
      </c>
      <c r="AG265" s="194"/>
      <c r="AH265" s="193"/>
    </row>
    <row r="266" spans="1:44" s="273" customFormat="1">
      <c r="A266" s="148" t="s">
        <v>3955</v>
      </c>
      <c r="B266" s="81">
        <v>31</v>
      </c>
      <c r="C266" s="81">
        <v>8</v>
      </c>
      <c r="D266" s="81">
        <v>29</v>
      </c>
      <c r="E266" s="81">
        <v>22</v>
      </c>
      <c r="F266" s="6">
        <v>4.18</v>
      </c>
      <c r="G266" s="41" t="s">
        <v>66</v>
      </c>
      <c r="H266" s="30" t="s">
        <v>3890</v>
      </c>
      <c r="I266" s="160" t="s">
        <v>3956</v>
      </c>
      <c r="J266" s="75">
        <v>49.45</v>
      </c>
      <c r="K266" s="75">
        <v>15.5</v>
      </c>
      <c r="L266" s="75">
        <v>1.07</v>
      </c>
      <c r="M266" s="325"/>
      <c r="N266" s="342">
        <f>K266+J266+L266</f>
        <v>66.02</v>
      </c>
      <c r="O266" s="329"/>
      <c r="P266" s="390"/>
      <c r="Q266" s="362"/>
      <c r="R266" s="308"/>
      <c r="S266" s="330">
        <v>0</v>
      </c>
      <c r="T266" s="199">
        <v>5</v>
      </c>
      <c r="U266" s="367"/>
      <c r="V266" s="97">
        <f>T266/W266</f>
        <v>5.5248618784530384E-2</v>
      </c>
      <c r="W266" s="168">
        <v>90.5</v>
      </c>
      <c r="X266" s="66">
        <v>87.5</v>
      </c>
      <c r="Y266" s="169">
        <f>W266-X266</f>
        <v>3</v>
      </c>
      <c r="Z266" s="165">
        <f t="shared" ref="Z266" si="216">Y266/X266</f>
        <v>3.4285714285714287E-2</v>
      </c>
      <c r="AA266" s="116" t="s">
        <v>2452</v>
      </c>
      <c r="AB266" s="160" t="s">
        <v>3956</v>
      </c>
      <c r="AC266" s="86">
        <v>44182</v>
      </c>
      <c r="AD266" s="85">
        <v>44308</v>
      </c>
      <c r="AE266" s="79">
        <f t="shared" ref="AE266:AE271" si="217">AD266-AC266</f>
        <v>126</v>
      </c>
      <c r="AF266" s="41" t="s">
        <v>3433</v>
      </c>
      <c r="AG266" s="170"/>
    </row>
    <row r="267" spans="1:44" s="273" customFormat="1" ht="15.75" customHeight="1">
      <c r="A267" s="132" t="s">
        <v>2504</v>
      </c>
      <c r="B267" s="81">
        <v>1</v>
      </c>
      <c r="C267" s="81">
        <v>5</v>
      </c>
      <c r="D267" s="81">
        <v>22</v>
      </c>
      <c r="E267" s="82">
        <v>-1</v>
      </c>
      <c r="F267" s="58">
        <v>12.6</v>
      </c>
      <c r="G267" s="41" t="s">
        <v>46</v>
      </c>
      <c r="H267" s="30" t="s">
        <v>1531</v>
      </c>
      <c r="I267" s="173" t="s">
        <v>3836</v>
      </c>
      <c r="J267" s="75">
        <v>64.08</v>
      </c>
      <c r="K267" s="330">
        <v>53.55</v>
      </c>
      <c r="L267" s="330">
        <v>6.34</v>
      </c>
      <c r="M267" s="325"/>
      <c r="N267" s="75">
        <f t="shared" ref="N267" si="218">K267+J267+L267</f>
        <v>123.97</v>
      </c>
      <c r="O267" s="329"/>
      <c r="P267" s="390"/>
      <c r="Q267" s="362"/>
      <c r="R267" s="308"/>
      <c r="S267" s="330">
        <v>0.18</v>
      </c>
      <c r="T267" s="66">
        <v>4.8</v>
      </c>
      <c r="U267" s="367"/>
      <c r="V267" s="58">
        <f t="shared" ref="V267" si="219">T267/W267</f>
        <v>0.04</v>
      </c>
      <c r="W267" s="172">
        <v>120</v>
      </c>
      <c r="X267" s="66">
        <f>125-4.8</f>
        <v>120.2</v>
      </c>
      <c r="Y267" s="169">
        <f t="shared" ref="Y267" si="220">W267-X267</f>
        <v>-0.20000000000000284</v>
      </c>
      <c r="Z267" s="171">
        <f t="shared" ref="Z267" si="221">Y267/X267</f>
        <v>-1.6638935108153315E-3</v>
      </c>
      <c r="AA267" s="175" t="s">
        <v>4000</v>
      </c>
      <c r="AB267" s="173" t="s">
        <v>3836</v>
      </c>
      <c r="AC267" s="86">
        <v>44307</v>
      </c>
      <c r="AD267" s="85">
        <v>44308</v>
      </c>
      <c r="AE267" s="33">
        <f t="shared" si="217"/>
        <v>1</v>
      </c>
      <c r="AF267" s="41" t="s">
        <v>1188</v>
      </c>
      <c r="AH267" s="283"/>
    </row>
    <row r="268" spans="1:44" s="273" customFormat="1" ht="15.75" customHeight="1">
      <c r="A268" s="132" t="s">
        <v>2504</v>
      </c>
      <c r="B268" s="81">
        <v>1</v>
      </c>
      <c r="C268" s="81">
        <v>5</v>
      </c>
      <c r="D268" s="81">
        <v>22</v>
      </c>
      <c r="E268" s="82">
        <v>-1</v>
      </c>
      <c r="F268" s="58">
        <v>12.6</v>
      </c>
      <c r="G268" s="41" t="s">
        <v>46</v>
      </c>
      <c r="H268" s="30" t="s">
        <v>1531</v>
      </c>
      <c r="I268" s="173" t="s">
        <v>3836</v>
      </c>
      <c r="J268" s="75">
        <v>64.08</v>
      </c>
      <c r="K268" s="330">
        <v>53.55</v>
      </c>
      <c r="L268" s="330">
        <v>6.34</v>
      </c>
      <c r="M268" s="325"/>
      <c r="N268" s="75">
        <f t="shared" ref="N268" si="222">K268+J268+L268</f>
        <v>123.97</v>
      </c>
      <c r="O268" s="329"/>
      <c r="P268" s="390"/>
      <c r="Q268" s="362"/>
      <c r="R268" s="308"/>
      <c r="S268" s="330">
        <v>0.18</v>
      </c>
      <c r="T268" s="66">
        <v>4.8</v>
      </c>
      <c r="U268" s="367"/>
      <c r="V268" s="58">
        <f t="shared" ref="V268" si="223">T268/W268</f>
        <v>0.04</v>
      </c>
      <c r="W268" s="172">
        <v>120</v>
      </c>
      <c r="X268" s="66">
        <f>124-4.8</f>
        <v>119.2</v>
      </c>
      <c r="Y268" s="169">
        <f t="shared" ref="Y268" si="224">W268-X268</f>
        <v>0.79999999999999716</v>
      </c>
      <c r="Z268" s="165">
        <f t="shared" ref="Z268" si="225">Y268/X268</f>
        <v>6.7114093959731299E-3</v>
      </c>
      <c r="AA268" s="174" t="s">
        <v>4001</v>
      </c>
      <c r="AB268" s="173" t="s">
        <v>3836</v>
      </c>
      <c r="AC268" s="86">
        <v>44301</v>
      </c>
      <c r="AD268" s="85">
        <v>44308</v>
      </c>
      <c r="AE268" s="33">
        <f t="shared" si="217"/>
        <v>7</v>
      </c>
      <c r="AF268" s="41" t="s">
        <v>1188</v>
      </c>
      <c r="AH268" s="283"/>
    </row>
    <row r="269" spans="1:44" s="273" customFormat="1">
      <c r="A269" s="148" t="s">
        <v>1974</v>
      </c>
      <c r="B269" s="81">
        <v>22</v>
      </c>
      <c r="C269" s="81">
        <v>12</v>
      </c>
      <c r="D269" s="82">
        <v>-34</v>
      </c>
      <c r="E269" s="82">
        <v>-34</v>
      </c>
      <c r="F269" s="6">
        <v>1.36</v>
      </c>
      <c r="G269" s="57" t="s">
        <v>3494</v>
      </c>
      <c r="H269" s="30" t="s">
        <v>1531</v>
      </c>
      <c r="I269" s="160" t="s">
        <v>13</v>
      </c>
      <c r="J269" s="330">
        <v>68.59</v>
      </c>
      <c r="K269" s="330">
        <v>33.18</v>
      </c>
      <c r="L269" s="330">
        <v>3.52</v>
      </c>
      <c r="M269" s="325"/>
      <c r="N269" s="75">
        <f t="shared" ref="N269" si="226">K269+J269+L269</f>
        <v>105.29</v>
      </c>
      <c r="O269" s="329"/>
      <c r="P269" s="390"/>
      <c r="Q269" s="362"/>
      <c r="R269" s="308"/>
      <c r="S269" s="330">
        <v>0.24</v>
      </c>
      <c r="T269" s="199">
        <v>4.5</v>
      </c>
      <c r="U269" s="367"/>
      <c r="V269" s="58">
        <f t="shared" ref="V269" si="227">T269/W269</f>
        <v>0.06</v>
      </c>
      <c r="W269" s="168">
        <v>75</v>
      </c>
      <c r="X269" s="66">
        <v>74.3</v>
      </c>
      <c r="Y269" s="169">
        <f>W269-X269</f>
        <v>0.70000000000000284</v>
      </c>
      <c r="Z269" s="165">
        <f t="shared" ref="Z269" si="228">Y269/X269</f>
        <v>9.4212651413190154E-3</v>
      </c>
      <c r="AA269" s="102" t="s">
        <v>1565</v>
      </c>
      <c r="AB269" s="160" t="s">
        <v>13</v>
      </c>
      <c r="AC269" s="86">
        <v>44307</v>
      </c>
      <c r="AD269" s="85">
        <v>44308</v>
      </c>
      <c r="AE269" s="33">
        <f t="shared" si="217"/>
        <v>1</v>
      </c>
      <c r="AF269" s="41" t="s">
        <v>1188</v>
      </c>
    </row>
    <row r="270" spans="1:44" s="273" customFormat="1">
      <c r="A270" s="148" t="s">
        <v>1974</v>
      </c>
      <c r="B270" s="81">
        <v>22</v>
      </c>
      <c r="C270" s="81">
        <v>12</v>
      </c>
      <c r="D270" s="82">
        <v>-34</v>
      </c>
      <c r="E270" s="82">
        <v>-34</v>
      </c>
      <c r="F270" s="6">
        <v>1.36</v>
      </c>
      <c r="G270" s="57" t="s">
        <v>3494</v>
      </c>
      <c r="H270" s="30" t="s">
        <v>1531</v>
      </c>
      <c r="I270" s="160" t="s">
        <v>13</v>
      </c>
      <c r="J270" s="330">
        <v>68.59</v>
      </c>
      <c r="K270" s="330">
        <v>33.18</v>
      </c>
      <c r="L270" s="330">
        <v>3.52</v>
      </c>
      <c r="M270" s="325"/>
      <c r="N270" s="75">
        <f t="shared" ref="N270" si="229">K270+J270+L270</f>
        <v>105.29</v>
      </c>
      <c r="O270" s="329"/>
      <c r="P270" s="390"/>
      <c r="Q270" s="362"/>
      <c r="R270" s="308"/>
      <c r="S270" s="330">
        <v>0.24</v>
      </c>
      <c r="T270" s="199">
        <v>4.5</v>
      </c>
      <c r="U270" s="367"/>
      <c r="V270" s="58">
        <f t="shared" ref="V270" si="230">T270/W270</f>
        <v>0.06</v>
      </c>
      <c r="W270" s="168">
        <v>75</v>
      </c>
      <c r="X270" s="66">
        <v>72.8</v>
      </c>
      <c r="Y270" s="169">
        <f>W270-X270</f>
        <v>2.2000000000000028</v>
      </c>
      <c r="Z270" s="165">
        <f t="shared" ref="Z270" si="231">Y270/X270</f>
        <v>3.0219780219780262E-2</v>
      </c>
      <c r="AA270" s="102" t="s">
        <v>1836</v>
      </c>
      <c r="AB270" s="160" t="s">
        <v>13</v>
      </c>
      <c r="AC270" s="86">
        <v>44298</v>
      </c>
      <c r="AD270" s="85">
        <v>44308</v>
      </c>
      <c r="AE270" s="33">
        <f t="shared" si="217"/>
        <v>10</v>
      </c>
      <c r="AF270" s="41" t="s">
        <v>1188</v>
      </c>
    </row>
    <row r="271" spans="1:44" s="273" customFormat="1">
      <c r="A271" s="148" t="s">
        <v>3946</v>
      </c>
      <c r="B271" s="81">
        <v>22</v>
      </c>
      <c r="C271" s="81">
        <v>12</v>
      </c>
      <c r="D271" s="82">
        <v>-34</v>
      </c>
      <c r="E271" s="82">
        <v>-34</v>
      </c>
      <c r="F271" s="6">
        <v>1.36</v>
      </c>
      <c r="G271" s="57" t="s">
        <v>3834</v>
      </c>
      <c r="H271" s="30" t="s">
        <v>3890</v>
      </c>
      <c r="I271" s="160" t="s">
        <v>13</v>
      </c>
      <c r="J271" s="330">
        <v>68.59</v>
      </c>
      <c r="K271" s="330">
        <v>33.18</v>
      </c>
      <c r="L271" s="330">
        <v>3.52</v>
      </c>
      <c r="M271" s="325"/>
      <c r="N271" s="75">
        <f t="shared" ref="N271" si="232">K271+J271+L271</f>
        <v>105.29</v>
      </c>
      <c r="O271" s="329"/>
      <c r="P271" s="390"/>
      <c r="Q271" s="362"/>
      <c r="R271" s="308"/>
      <c r="S271" s="330">
        <v>0.24</v>
      </c>
      <c r="T271" s="199">
        <v>4.5</v>
      </c>
      <c r="U271" s="367"/>
      <c r="V271" s="58">
        <f t="shared" ref="V271" si="233">T271/W271</f>
        <v>0.06</v>
      </c>
      <c r="W271" s="168">
        <v>75</v>
      </c>
      <c r="X271" s="66">
        <v>73.900000000000006</v>
      </c>
      <c r="Y271" s="169">
        <f>W271-X271</f>
        <v>1.0999999999999943</v>
      </c>
      <c r="Z271" s="165">
        <f t="shared" ref="Z271" si="234">Y271/X271</f>
        <v>1.4884979702300329E-2</v>
      </c>
      <c r="AA271" s="102" t="s">
        <v>3999</v>
      </c>
      <c r="AB271" s="160" t="s">
        <v>13</v>
      </c>
      <c r="AC271" s="86">
        <v>44294</v>
      </c>
      <c r="AD271" s="85">
        <v>44308</v>
      </c>
      <c r="AE271" s="33">
        <f t="shared" si="217"/>
        <v>14</v>
      </c>
      <c r="AF271" s="41" t="s">
        <v>3454</v>
      </c>
    </row>
    <row r="272" spans="1:44" s="273" customFormat="1">
      <c r="A272" s="148">
        <v>29.4</v>
      </c>
      <c r="B272" s="81">
        <v>2</v>
      </c>
      <c r="C272" s="82">
        <v>-3</v>
      </c>
      <c r="D272" s="81">
        <v>21</v>
      </c>
      <c r="E272" s="81">
        <v>1</v>
      </c>
      <c r="F272" s="6">
        <v>8.85</v>
      </c>
      <c r="G272" s="41" t="s">
        <v>2739</v>
      </c>
      <c r="H272" s="30" t="s">
        <v>1531</v>
      </c>
      <c r="I272" s="160" t="s">
        <v>3935</v>
      </c>
      <c r="J272" s="330">
        <v>65.819999999999993</v>
      </c>
      <c r="K272" s="75">
        <v>15.88</v>
      </c>
      <c r="L272" s="75">
        <v>0.92</v>
      </c>
      <c r="M272" s="325"/>
      <c r="N272" s="325">
        <f t="shared" ref="N272:N273" si="235">K272+J272+L272</f>
        <v>82.61999999999999</v>
      </c>
      <c r="O272" s="329"/>
      <c r="P272" s="390"/>
      <c r="Q272" s="362"/>
      <c r="R272" s="308"/>
      <c r="S272" s="330">
        <v>0</v>
      </c>
      <c r="T272" s="199">
        <v>2</v>
      </c>
      <c r="U272" s="367"/>
      <c r="V272" s="97">
        <f t="shared" ref="V272:V280" si="236">T272/W272</f>
        <v>3.6832412523020261E-2</v>
      </c>
      <c r="W272" s="168">
        <v>54.3</v>
      </c>
      <c r="X272" s="66">
        <v>47.65</v>
      </c>
      <c r="Y272" s="169">
        <f t="shared" ref="Y272:Y273" si="237">W272-X272</f>
        <v>6.6499999999999986</v>
      </c>
      <c r="Z272" s="165">
        <f t="shared" ref="Z272:Z273" si="238">Y272/X272</f>
        <v>0.1395592864637985</v>
      </c>
      <c r="AA272" s="116" t="s">
        <v>3995</v>
      </c>
      <c r="AB272" s="160" t="s">
        <v>3935</v>
      </c>
      <c r="AC272" s="86">
        <v>44211</v>
      </c>
      <c r="AD272" s="85">
        <v>44307</v>
      </c>
      <c r="AE272" s="33">
        <f t="shared" ref="AE272:AE280" si="239">AD272-AC272</f>
        <v>96</v>
      </c>
      <c r="AF272" s="41" t="s">
        <v>1188</v>
      </c>
    </row>
    <row r="273" spans="1:42" s="273" customFormat="1">
      <c r="A273" s="148">
        <v>29.4</v>
      </c>
      <c r="B273" s="81">
        <v>2</v>
      </c>
      <c r="C273" s="82">
        <v>-3</v>
      </c>
      <c r="D273" s="81">
        <v>21</v>
      </c>
      <c r="E273" s="81">
        <v>1</v>
      </c>
      <c r="F273" s="6">
        <v>8.85</v>
      </c>
      <c r="G273" s="41" t="s">
        <v>2739</v>
      </c>
      <c r="H273" s="30" t="s">
        <v>1531</v>
      </c>
      <c r="I273" s="160" t="s">
        <v>3935</v>
      </c>
      <c r="J273" s="330">
        <v>65.819999999999993</v>
      </c>
      <c r="K273" s="75">
        <v>15.88</v>
      </c>
      <c r="L273" s="75">
        <v>0.92</v>
      </c>
      <c r="M273" s="325"/>
      <c r="N273" s="325">
        <f t="shared" si="235"/>
        <v>82.61999999999999</v>
      </c>
      <c r="O273" s="329"/>
      <c r="P273" s="390"/>
      <c r="Q273" s="362"/>
      <c r="R273" s="308"/>
      <c r="S273" s="330">
        <v>0</v>
      </c>
      <c r="T273" s="199">
        <v>2</v>
      </c>
      <c r="U273" s="367"/>
      <c r="V273" s="97">
        <f t="shared" si="236"/>
        <v>3.6832412523020261E-2</v>
      </c>
      <c r="W273" s="168">
        <v>54.3</v>
      </c>
      <c r="X273" s="66">
        <v>47.45</v>
      </c>
      <c r="Y273" s="169">
        <f t="shared" si="237"/>
        <v>6.8499999999999943</v>
      </c>
      <c r="Z273" s="165">
        <f t="shared" si="238"/>
        <v>0.14436248682824013</v>
      </c>
      <c r="AA273" s="116" t="s">
        <v>3996</v>
      </c>
      <c r="AB273" s="160" t="s">
        <v>3935</v>
      </c>
      <c r="AC273" s="86">
        <v>44211</v>
      </c>
      <c r="AD273" s="85">
        <v>44307</v>
      </c>
      <c r="AE273" s="33">
        <f t="shared" si="239"/>
        <v>96</v>
      </c>
      <c r="AF273" s="41" t="s">
        <v>1188</v>
      </c>
    </row>
    <row r="274" spans="1:42" s="178" customFormat="1" ht="17.100000000000001" customHeight="1">
      <c r="A274" s="41"/>
      <c r="B274" s="82">
        <v>-10</v>
      </c>
      <c r="C274" s="81">
        <v>15</v>
      </c>
      <c r="D274" s="82">
        <v>-10</v>
      </c>
      <c r="E274" s="81">
        <v>15</v>
      </c>
      <c r="F274" s="6">
        <v>7.76</v>
      </c>
      <c r="G274" s="19" t="s">
        <v>2739</v>
      </c>
      <c r="H274" s="8" t="s">
        <v>1470</v>
      </c>
      <c r="I274" s="160" t="s">
        <v>3935</v>
      </c>
      <c r="J274" s="330">
        <v>76.64</v>
      </c>
      <c r="K274" s="330">
        <v>19.91</v>
      </c>
      <c r="L274" s="330">
        <v>0.57999999999999996</v>
      </c>
      <c r="M274" s="325"/>
      <c r="N274" s="325">
        <f t="shared" ref="N274:N280" si="240">S274+K274+J274+L274</f>
        <v>138.81000000000003</v>
      </c>
      <c r="O274" s="329"/>
      <c r="P274" s="390"/>
      <c r="Q274" s="362"/>
      <c r="R274" s="308"/>
      <c r="S274" s="330">
        <v>41.68</v>
      </c>
      <c r="T274" s="199">
        <v>2.7</v>
      </c>
      <c r="U274" s="367"/>
      <c r="V274" s="58">
        <f t="shared" si="236"/>
        <v>4.9723756906077353E-2</v>
      </c>
      <c r="W274" s="172">
        <v>54.3</v>
      </c>
      <c r="X274" s="66">
        <f>62.88-2.8-2.7-2.7-2</f>
        <v>52.68</v>
      </c>
      <c r="Y274" s="109">
        <f t="shared" ref="Y274:Y280" si="241">W274-X274</f>
        <v>1.6199999999999974</v>
      </c>
      <c r="Z274" s="165">
        <f t="shared" ref="Z274:Z280" si="242">Y274/X274</f>
        <v>3.0751708428245966E-2</v>
      </c>
      <c r="AA274" s="116" t="s">
        <v>3543</v>
      </c>
      <c r="AB274" s="160" t="s">
        <v>3935</v>
      </c>
      <c r="AC274" s="86">
        <v>42745</v>
      </c>
      <c r="AD274" s="85">
        <v>44307</v>
      </c>
      <c r="AE274" s="140">
        <f t="shared" si="239"/>
        <v>1562</v>
      </c>
      <c r="AF274" s="41" t="s">
        <v>1188</v>
      </c>
      <c r="AG274" s="27"/>
      <c r="AH274" s="17"/>
      <c r="AI274" s="17"/>
      <c r="AJ274" s="17"/>
      <c r="AK274" s="17"/>
      <c r="AL274" s="17"/>
      <c r="AM274" s="273"/>
      <c r="AN274" s="273"/>
    </row>
    <row r="275" spans="1:42" s="178" customFormat="1" ht="17.100000000000001" customHeight="1">
      <c r="A275" s="41"/>
      <c r="B275" s="82">
        <v>-10</v>
      </c>
      <c r="C275" s="81">
        <v>15</v>
      </c>
      <c r="D275" s="82">
        <v>-10</v>
      </c>
      <c r="E275" s="81">
        <v>15</v>
      </c>
      <c r="F275" s="6">
        <v>7.76</v>
      </c>
      <c r="G275" s="19" t="s">
        <v>2739</v>
      </c>
      <c r="H275" s="8" t="s">
        <v>1470</v>
      </c>
      <c r="I275" s="160" t="s">
        <v>3935</v>
      </c>
      <c r="J275" s="330">
        <v>76.64</v>
      </c>
      <c r="K275" s="330">
        <v>19.91</v>
      </c>
      <c r="L275" s="330">
        <v>0.57999999999999996</v>
      </c>
      <c r="M275" s="325"/>
      <c r="N275" s="325">
        <f t="shared" si="240"/>
        <v>138.81000000000003</v>
      </c>
      <c r="O275" s="329"/>
      <c r="P275" s="390"/>
      <c r="Q275" s="362"/>
      <c r="R275" s="308"/>
      <c r="S275" s="330">
        <v>41.68</v>
      </c>
      <c r="T275" s="199">
        <v>2.7</v>
      </c>
      <c r="U275" s="367"/>
      <c r="V275" s="58">
        <f t="shared" si="236"/>
        <v>4.9723756906077353E-2</v>
      </c>
      <c r="W275" s="172">
        <v>54.3</v>
      </c>
      <c r="X275" s="66">
        <f>50.5-2</f>
        <v>48.5</v>
      </c>
      <c r="Y275" s="162">
        <f t="shared" si="241"/>
        <v>5.7999999999999972</v>
      </c>
      <c r="Z275" s="165">
        <f t="shared" si="242"/>
        <v>0.11958762886597932</v>
      </c>
      <c r="AA275" s="116" t="s">
        <v>3997</v>
      </c>
      <c r="AB275" s="160" t="s">
        <v>3935</v>
      </c>
      <c r="AC275" s="86">
        <v>43735</v>
      </c>
      <c r="AD275" s="85">
        <v>44307</v>
      </c>
      <c r="AE275" s="79">
        <f t="shared" si="239"/>
        <v>572</v>
      </c>
      <c r="AF275" s="41" t="s">
        <v>1188</v>
      </c>
      <c r="AG275" s="27"/>
      <c r="AH275" s="17"/>
      <c r="AI275" s="17"/>
      <c r="AJ275" s="17"/>
      <c r="AK275" s="17"/>
      <c r="AL275" s="17"/>
      <c r="AM275" s="273"/>
      <c r="AN275" s="273"/>
    </row>
    <row r="276" spans="1:42" s="178" customFormat="1" ht="17.100000000000001" customHeight="1">
      <c r="A276" s="41"/>
      <c r="B276" s="82">
        <v>-10</v>
      </c>
      <c r="C276" s="81">
        <v>15</v>
      </c>
      <c r="D276" s="82">
        <v>-10</v>
      </c>
      <c r="E276" s="81">
        <v>15</v>
      </c>
      <c r="F276" s="6">
        <v>7.76</v>
      </c>
      <c r="G276" s="19" t="s">
        <v>2739</v>
      </c>
      <c r="H276" s="8" t="s">
        <v>1470</v>
      </c>
      <c r="I276" s="160" t="s">
        <v>3935</v>
      </c>
      <c r="J276" s="330">
        <v>76.64</v>
      </c>
      <c r="K276" s="330">
        <v>19.91</v>
      </c>
      <c r="L276" s="330">
        <v>0.57999999999999996</v>
      </c>
      <c r="M276" s="325"/>
      <c r="N276" s="325">
        <f t="shared" si="240"/>
        <v>138.81000000000003</v>
      </c>
      <c r="O276" s="329"/>
      <c r="P276" s="390"/>
      <c r="Q276" s="362"/>
      <c r="R276" s="308"/>
      <c r="S276" s="330">
        <v>41.68</v>
      </c>
      <c r="T276" s="199">
        <v>2.7</v>
      </c>
      <c r="U276" s="367"/>
      <c r="V276" s="58">
        <f t="shared" si="236"/>
        <v>4.9723756906077353E-2</v>
      </c>
      <c r="W276" s="172">
        <v>54.3</v>
      </c>
      <c r="X276" s="66">
        <f>51.77-2.7-2</f>
        <v>47.07</v>
      </c>
      <c r="Y276" s="162">
        <f t="shared" si="241"/>
        <v>7.2299999999999969</v>
      </c>
      <c r="Z276" s="165">
        <f t="shared" si="242"/>
        <v>0.15360101975780746</v>
      </c>
      <c r="AA276" s="116" t="s">
        <v>3998</v>
      </c>
      <c r="AB276" s="160" t="s">
        <v>3935</v>
      </c>
      <c r="AC276" s="86">
        <v>43347</v>
      </c>
      <c r="AD276" s="85">
        <v>44307</v>
      </c>
      <c r="AE276" s="79">
        <f t="shared" si="239"/>
        <v>960</v>
      </c>
      <c r="AF276" s="41" t="s">
        <v>1188</v>
      </c>
      <c r="AG276" s="27"/>
      <c r="AH276" s="17"/>
      <c r="AI276" s="17"/>
      <c r="AJ276" s="17"/>
      <c r="AK276" s="17"/>
      <c r="AL276" s="17"/>
      <c r="AM276" s="273"/>
      <c r="AN276" s="273"/>
    </row>
    <row r="277" spans="1:42" s="273" customFormat="1">
      <c r="A277" s="147"/>
      <c r="B277" s="82">
        <v>-116</v>
      </c>
      <c r="C277" s="82">
        <v>-118</v>
      </c>
      <c r="D277" s="82">
        <v>-116</v>
      </c>
      <c r="E277" s="82">
        <v>-118</v>
      </c>
      <c r="F277" s="6">
        <v>-1.1599999999999999</v>
      </c>
      <c r="G277" s="41" t="s">
        <v>3951</v>
      </c>
      <c r="H277" s="8" t="s">
        <v>1470</v>
      </c>
      <c r="I277" s="160" t="s">
        <v>3952</v>
      </c>
      <c r="J277" s="75">
        <v>58.67</v>
      </c>
      <c r="K277" s="330">
        <v>0.93</v>
      </c>
      <c r="L277" s="330">
        <v>1.33</v>
      </c>
      <c r="M277" s="325"/>
      <c r="N277" s="325">
        <f t="shared" si="240"/>
        <v>92.910000000000011</v>
      </c>
      <c r="O277" s="329"/>
      <c r="P277" s="390"/>
      <c r="Q277" s="362"/>
      <c r="R277" s="308"/>
      <c r="S277" s="330">
        <v>31.98</v>
      </c>
      <c r="T277" s="199">
        <v>0.6</v>
      </c>
      <c r="U277" s="367"/>
      <c r="V277" s="58">
        <f t="shared" si="236"/>
        <v>4.49438202247191E-2</v>
      </c>
      <c r="W277" s="172">
        <v>13.35</v>
      </c>
      <c r="X277" s="66">
        <f>14.57-0.6-0.2</f>
        <v>13.770000000000001</v>
      </c>
      <c r="Y277" s="169">
        <f t="shared" si="241"/>
        <v>-0.42000000000000171</v>
      </c>
      <c r="Z277" s="171">
        <f t="shared" si="242"/>
        <v>-3.0501089324618858E-2</v>
      </c>
      <c r="AA277" s="118" t="s">
        <v>3992</v>
      </c>
      <c r="AB277" s="160" t="s">
        <v>3952</v>
      </c>
      <c r="AC277" s="86">
        <v>43350</v>
      </c>
      <c r="AD277" s="85">
        <v>44306</v>
      </c>
      <c r="AE277" s="79">
        <f t="shared" si="239"/>
        <v>956</v>
      </c>
      <c r="AF277" s="41" t="s">
        <v>3454</v>
      </c>
      <c r="AG277" s="170"/>
      <c r="AI277" s="11"/>
      <c r="AJ277" s="11"/>
      <c r="AK277" s="11"/>
      <c r="AL277" s="11"/>
      <c r="AO277" s="178"/>
      <c r="AP277" s="4"/>
    </row>
    <row r="278" spans="1:42" s="273" customFormat="1">
      <c r="A278" s="147"/>
      <c r="B278" s="82">
        <v>-116</v>
      </c>
      <c r="C278" s="82">
        <v>-118</v>
      </c>
      <c r="D278" s="82">
        <v>-116</v>
      </c>
      <c r="E278" s="82">
        <v>-118</v>
      </c>
      <c r="F278" s="6">
        <v>-1.1599999999999999</v>
      </c>
      <c r="G278" s="41" t="s">
        <v>3951</v>
      </c>
      <c r="H278" s="50" t="s">
        <v>1471</v>
      </c>
      <c r="I278" s="160" t="s">
        <v>3952</v>
      </c>
      <c r="J278" s="75">
        <v>58.67</v>
      </c>
      <c r="K278" s="330">
        <v>0.93</v>
      </c>
      <c r="L278" s="330">
        <v>1.33</v>
      </c>
      <c r="M278" s="325"/>
      <c r="N278" s="325">
        <f t="shared" si="240"/>
        <v>92.910000000000011</v>
      </c>
      <c r="O278" s="329"/>
      <c r="P278" s="390"/>
      <c r="Q278" s="362"/>
      <c r="R278" s="308"/>
      <c r="S278" s="330">
        <v>31.98</v>
      </c>
      <c r="T278" s="199">
        <v>0.6</v>
      </c>
      <c r="U278" s="367"/>
      <c r="V278" s="58">
        <f t="shared" si="236"/>
        <v>4.49438202247191E-2</v>
      </c>
      <c r="W278" s="172">
        <v>13.35</v>
      </c>
      <c r="X278" s="66">
        <f>14.57-0.6-0.2</f>
        <v>13.770000000000001</v>
      </c>
      <c r="Y278" s="169">
        <f t="shared" si="241"/>
        <v>-0.42000000000000171</v>
      </c>
      <c r="Z278" s="171">
        <f t="shared" si="242"/>
        <v>-3.0501089324618858E-2</v>
      </c>
      <c r="AA278" s="118" t="s">
        <v>3992</v>
      </c>
      <c r="AB278" s="160" t="s">
        <v>3952</v>
      </c>
      <c r="AC278" s="86">
        <v>43350</v>
      </c>
      <c r="AD278" s="85">
        <v>44306</v>
      </c>
      <c r="AE278" s="79">
        <f t="shared" si="239"/>
        <v>956</v>
      </c>
      <c r="AF278" s="41" t="s">
        <v>3433</v>
      </c>
      <c r="AG278" s="170"/>
      <c r="AI278" s="11"/>
      <c r="AJ278" s="11"/>
      <c r="AK278" s="11"/>
      <c r="AL278" s="11"/>
      <c r="AO278" s="178"/>
      <c r="AP278" s="4"/>
    </row>
    <row r="279" spans="1:42" s="273" customFormat="1" ht="16.5" customHeight="1">
      <c r="A279" s="121"/>
      <c r="B279" s="82">
        <v>-90</v>
      </c>
      <c r="C279" s="82">
        <v>-95</v>
      </c>
      <c r="D279" s="82">
        <v>-90</v>
      </c>
      <c r="E279" s="82">
        <v>-95</v>
      </c>
      <c r="F279" s="6">
        <v>0.27</v>
      </c>
      <c r="G279" s="41" t="s">
        <v>3951</v>
      </c>
      <c r="H279" s="50" t="s">
        <v>1471</v>
      </c>
      <c r="I279" s="160" t="s">
        <v>3952</v>
      </c>
      <c r="J279" s="75">
        <v>58.49</v>
      </c>
      <c r="K279" s="330">
        <v>0.96</v>
      </c>
      <c r="L279" s="75">
        <v>0.78</v>
      </c>
      <c r="M279" s="325"/>
      <c r="N279" s="325">
        <f t="shared" si="240"/>
        <v>92.210000000000008</v>
      </c>
      <c r="O279" s="329"/>
      <c r="P279" s="390"/>
      <c r="Q279" s="362"/>
      <c r="R279" s="308"/>
      <c r="S279" s="330">
        <v>31.98</v>
      </c>
      <c r="T279" s="199">
        <v>0.6</v>
      </c>
      <c r="U279" s="367"/>
      <c r="V279" s="58">
        <f t="shared" si="236"/>
        <v>4.49438202247191E-2</v>
      </c>
      <c r="W279" s="168">
        <v>13.35</v>
      </c>
      <c r="X279" s="66">
        <f>12.4-0.2</f>
        <v>12.200000000000001</v>
      </c>
      <c r="Y279" s="169">
        <f t="shared" si="241"/>
        <v>1.1499999999999986</v>
      </c>
      <c r="Z279" s="165">
        <f t="shared" si="242"/>
        <v>9.4262295081967082E-2</v>
      </c>
      <c r="AA279" s="116" t="s">
        <v>3993</v>
      </c>
      <c r="AB279" s="160" t="s">
        <v>3952</v>
      </c>
      <c r="AC279" s="86">
        <v>43714</v>
      </c>
      <c r="AD279" s="85">
        <v>44306</v>
      </c>
      <c r="AE279" s="79">
        <f t="shared" si="239"/>
        <v>592</v>
      </c>
      <c r="AF279" s="41" t="s">
        <v>3433</v>
      </c>
    </row>
    <row r="280" spans="1:42" s="273" customFormat="1" ht="16.5" customHeight="1">
      <c r="A280" s="121"/>
      <c r="B280" s="82">
        <v>-90</v>
      </c>
      <c r="C280" s="82">
        <v>-95</v>
      </c>
      <c r="D280" s="82">
        <v>-90</v>
      </c>
      <c r="E280" s="82">
        <v>-95</v>
      </c>
      <c r="F280" s="6">
        <v>0.27</v>
      </c>
      <c r="G280" s="41" t="s">
        <v>3951</v>
      </c>
      <c r="H280" s="50" t="s">
        <v>1471</v>
      </c>
      <c r="I280" s="160" t="s">
        <v>3952</v>
      </c>
      <c r="J280" s="75">
        <v>58.49</v>
      </c>
      <c r="K280" s="75">
        <v>0.96</v>
      </c>
      <c r="L280" s="330">
        <v>0.76</v>
      </c>
      <c r="M280" s="325"/>
      <c r="N280" s="325">
        <f t="shared" si="240"/>
        <v>92.190000000000012</v>
      </c>
      <c r="O280" s="329"/>
      <c r="P280" s="390"/>
      <c r="Q280" s="362"/>
      <c r="R280" s="308"/>
      <c r="S280" s="330">
        <v>31.98</v>
      </c>
      <c r="T280" s="199">
        <v>0.6</v>
      </c>
      <c r="U280" s="367"/>
      <c r="V280" s="58">
        <f t="shared" si="236"/>
        <v>4.49438202247191E-2</v>
      </c>
      <c r="W280" s="168">
        <v>13.35</v>
      </c>
      <c r="X280" s="66">
        <f>12.35-0.2</f>
        <v>12.15</v>
      </c>
      <c r="Y280" s="169">
        <f t="shared" si="241"/>
        <v>1.1999999999999993</v>
      </c>
      <c r="Z280" s="165">
        <f t="shared" si="242"/>
        <v>9.8765432098765371E-2</v>
      </c>
      <c r="AA280" s="116" t="s">
        <v>3511</v>
      </c>
      <c r="AB280" s="160" t="s">
        <v>3952</v>
      </c>
      <c r="AC280" s="86">
        <v>43710</v>
      </c>
      <c r="AD280" s="85">
        <v>44306</v>
      </c>
      <c r="AE280" s="79">
        <f t="shared" si="239"/>
        <v>596</v>
      </c>
      <c r="AF280" s="41" t="s">
        <v>3433</v>
      </c>
    </row>
    <row r="281" spans="1:42" s="273" customFormat="1">
      <c r="A281" s="132" t="s">
        <v>1733</v>
      </c>
      <c r="B281" s="81">
        <v>44</v>
      </c>
      <c r="C281" s="81">
        <v>42</v>
      </c>
      <c r="D281" s="82">
        <v>-5</v>
      </c>
      <c r="E281" s="81">
        <v>26</v>
      </c>
      <c r="F281" s="58">
        <v>10.09</v>
      </c>
      <c r="G281" s="57" t="s">
        <v>1467</v>
      </c>
      <c r="H281" s="30" t="s">
        <v>1531</v>
      </c>
      <c r="I281" s="160" t="s">
        <v>478</v>
      </c>
      <c r="J281" s="330">
        <v>44.89</v>
      </c>
      <c r="K281" s="330">
        <v>12.89</v>
      </c>
      <c r="L281" s="75">
        <v>17.34</v>
      </c>
      <c r="M281" s="325"/>
      <c r="N281" s="325">
        <f t="shared" ref="N281" si="243">K281+J281+L281</f>
        <v>75.12</v>
      </c>
      <c r="O281" s="329"/>
      <c r="P281" s="390"/>
      <c r="Q281" s="362"/>
      <c r="R281" s="308"/>
      <c r="S281" s="330">
        <v>1.83</v>
      </c>
      <c r="T281" s="199">
        <v>3</v>
      </c>
      <c r="U281" s="367"/>
      <c r="V281" s="97">
        <f t="shared" ref="V281" si="244">T281/W281</f>
        <v>4.4776119402985072E-2</v>
      </c>
      <c r="W281" s="168">
        <v>67</v>
      </c>
      <c r="X281" s="66">
        <v>62.2</v>
      </c>
      <c r="Y281" s="169">
        <f t="shared" ref="Y281" si="245">W281-X281</f>
        <v>4.7999999999999972</v>
      </c>
      <c r="Z281" s="165">
        <f t="shared" ref="Z281" si="246">Y281/X281</f>
        <v>7.7170418006430819E-2</v>
      </c>
      <c r="AA281" s="174" t="s">
        <v>3904</v>
      </c>
      <c r="AB281" s="160" t="s">
        <v>478</v>
      </c>
      <c r="AC281" s="86">
        <v>44300</v>
      </c>
      <c r="AD281" s="85">
        <v>44306</v>
      </c>
      <c r="AE281" s="33">
        <f t="shared" ref="AE281" si="247">AD281-AC281</f>
        <v>6</v>
      </c>
      <c r="AF281" s="41" t="s">
        <v>1188</v>
      </c>
      <c r="AG281" s="27"/>
      <c r="AH281" s="17"/>
      <c r="AI281" s="17"/>
      <c r="AJ281" s="17"/>
      <c r="AK281" s="17"/>
      <c r="AL281" s="17"/>
    </row>
    <row r="282" spans="1:42" s="273" customFormat="1">
      <c r="A282" s="132" t="s">
        <v>1733</v>
      </c>
      <c r="B282" s="81">
        <v>44</v>
      </c>
      <c r="C282" s="81">
        <v>42</v>
      </c>
      <c r="D282" s="82">
        <v>-5</v>
      </c>
      <c r="E282" s="81">
        <v>26</v>
      </c>
      <c r="F282" s="58">
        <v>10.09</v>
      </c>
      <c r="G282" s="57" t="s">
        <v>1467</v>
      </c>
      <c r="H282" s="30" t="s">
        <v>1531</v>
      </c>
      <c r="I282" s="160" t="s">
        <v>478</v>
      </c>
      <c r="J282" s="330">
        <v>44.89</v>
      </c>
      <c r="K282" s="330">
        <v>12.89</v>
      </c>
      <c r="L282" s="75">
        <v>17.34</v>
      </c>
      <c r="M282" s="325"/>
      <c r="N282" s="325">
        <f t="shared" ref="N282" si="248">K282+J282+L282</f>
        <v>75.12</v>
      </c>
      <c r="O282" s="329"/>
      <c r="P282" s="390"/>
      <c r="Q282" s="362"/>
      <c r="R282" s="308"/>
      <c r="S282" s="330">
        <v>1.83</v>
      </c>
      <c r="T282" s="199">
        <v>3</v>
      </c>
      <c r="U282" s="367"/>
      <c r="V282" s="97">
        <f t="shared" ref="V282" si="249">T282/W282</f>
        <v>4.4776119402985072E-2</v>
      </c>
      <c r="W282" s="168">
        <v>67</v>
      </c>
      <c r="X282" s="66">
        <v>62.2</v>
      </c>
      <c r="Y282" s="169">
        <f t="shared" ref="Y282" si="250">W282-X282</f>
        <v>4.7999999999999972</v>
      </c>
      <c r="Z282" s="165">
        <f t="shared" ref="Z282" si="251">Y282/X282</f>
        <v>7.7170418006430819E-2</v>
      </c>
      <c r="AA282" s="174" t="s">
        <v>3904</v>
      </c>
      <c r="AB282" s="160" t="s">
        <v>478</v>
      </c>
      <c r="AC282" s="86">
        <v>44300</v>
      </c>
      <c r="AD282" s="85">
        <v>44306</v>
      </c>
      <c r="AE282" s="33">
        <f t="shared" ref="AE282" si="252">AD282-AC282</f>
        <v>6</v>
      </c>
      <c r="AF282" s="41" t="s">
        <v>1188</v>
      </c>
      <c r="AG282" s="27"/>
      <c r="AH282" s="17"/>
      <c r="AI282" s="17"/>
      <c r="AJ282" s="17"/>
      <c r="AK282" s="17"/>
      <c r="AL282" s="17"/>
    </row>
    <row r="283" spans="1:42" s="273" customFormat="1">
      <c r="A283" s="132" t="s">
        <v>3953</v>
      </c>
      <c r="B283" s="81">
        <v>44</v>
      </c>
      <c r="C283" s="81">
        <v>42</v>
      </c>
      <c r="D283" s="82">
        <v>-5</v>
      </c>
      <c r="E283" s="81">
        <v>26</v>
      </c>
      <c r="F283" s="58">
        <v>10.09</v>
      </c>
      <c r="G283" s="57" t="s">
        <v>1467</v>
      </c>
      <c r="H283" s="30" t="s">
        <v>3890</v>
      </c>
      <c r="I283" s="160" t="s">
        <v>3954</v>
      </c>
      <c r="J283" s="330">
        <v>44.89</v>
      </c>
      <c r="K283" s="330">
        <v>12.89</v>
      </c>
      <c r="L283" s="75">
        <v>17.34</v>
      </c>
      <c r="M283" s="325"/>
      <c r="N283" s="325">
        <f t="shared" ref="N283:N284" si="253">K283+J283+L283</f>
        <v>75.12</v>
      </c>
      <c r="O283" s="329"/>
      <c r="P283" s="390"/>
      <c r="Q283" s="362"/>
      <c r="R283" s="308"/>
      <c r="S283" s="330">
        <v>1.83</v>
      </c>
      <c r="T283" s="199">
        <v>3</v>
      </c>
      <c r="U283" s="367"/>
      <c r="V283" s="97">
        <f t="shared" ref="V283:V284" si="254">T283/W283</f>
        <v>4.4776119402985072E-2</v>
      </c>
      <c r="W283" s="168">
        <v>67</v>
      </c>
      <c r="X283" s="66">
        <v>66.900000000000006</v>
      </c>
      <c r="Y283" s="169">
        <f t="shared" ref="Y283:Y284" si="255">W283-X283</f>
        <v>9.9999999999994316E-2</v>
      </c>
      <c r="Z283" s="165">
        <f t="shared" ref="Z283:Z284" si="256">Y283/X283</f>
        <v>1.4947683109117235E-3</v>
      </c>
      <c r="AA283" s="174" t="s">
        <v>3991</v>
      </c>
      <c r="AB283" s="160" t="s">
        <v>3954</v>
      </c>
      <c r="AC283" s="86">
        <v>44292</v>
      </c>
      <c r="AD283" s="85">
        <v>44306</v>
      </c>
      <c r="AE283" s="33">
        <f t="shared" ref="AE283:AE284" si="257">AD283-AC283</f>
        <v>14</v>
      </c>
      <c r="AF283" s="41" t="s">
        <v>3454</v>
      </c>
      <c r="AG283" s="27"/>
      <c r="AH283" s="17"/>
      <c r="AI283" s="17"/>
      <c r="AJ283" s="17"/>
      <c r="AK283" s="17"/>
      <c r="AL283" s="17"/>
    </row>
    <row r="284" spans="1:42" s="273" customFormat="1">
      <c r="A284" s="132" t="s">
        <v>3953</v>
      </c>
      <c r="B284" s="81">
        <v>44</v>
      </c>
      <c r="C284" s="81">
        <v>42</v>
      </c>
      <c r="D284" s="82">
        <v>-5</v>
      </c>
      <c r="E284" s="81">
        <v>26</v>
      </c>
      <c r="F284" s="58">
        <v>10.09</v>
      </c>
      <c r="G284" s="57" t="s">
        <v>1467</v>
      </c>
      <c r="H284" s="30" t="s">
        <v>3890</v>
      </c>
      <c r="I284" s="160" t="s">
        <v>3954</v>
      </c>
      <c r="J284" s="330">
        <v>44.89</v>
      </c>
      <c r="K284" s="330">
        <v>12.89</v>
      </c>
      <c r="L284" s="75">
        <v>17.34</v>
      </c>
      <c r="M284" s="325"/>
      <c r="N284" s="325">
        <f t="shared" si="253"/>
        <v>75.12</v>
      </c>
      <c r="O284" s="329"/>
      <c r="P284" s="390"/>
      <c r="Q284" s="362"/>
      <c r="R284" s="308"/>
      <c r="S284" s="330">
        <v>1.83</v>
      </c>
      <c r="T284" s="199">
        <v>3</v>
      </c>
      <c r="U284" s="367"/>
      <c r="V284" s="97">
        <f t="shared" si="254"/>
        <v>4.4776119402985072E-2</v>
      </c>
      <c r="W284" s="168">
        <v>67</v>
      </c>
      <c r="X284" s="66">
        <v>66.900000000000006</v>
      </c>
      <c r="Y284" s="169">
        <f t="shared" si="255"/>
        <v>9.9999999999994316E-2</v>
      </c>
      <c r="Z284" s="165">
        <f t="shared" si="256"/>
        <v>1.4947683109117235E-3</v>
      </c>
      <c r="AA284" s="174" t="s">
        <v>3991</v>
      </c>
      <c r="AB284" s="160" t="s">
        <v>3954</v>
      </c>
      <c r="AC284" s="86">
        <v>44292</v>
      </c>
      <c r="AD284" s="85">
        <v>44306</v>
      </c>
      <c r="AE284" s="33">
        <f t="shared" si="257"/>
        <v>14</v>
      </c>
      <c r="AF284" s="41" t="s">
        <v>3454</v>
      </c>
      <c r="AG284" s="27"/>
      <c r="AH284" s="17"/>
      <c r="AI284" s="17"/>
      <c r="AJ284" s="17"/>
      <c r="AK284" s="17"/>
      <c r="AL284" s="17"/>
    </row>
    <row r="285" spans="1:42" s="273" customFormat="1">
      <c r="A285" s="132" t="s">
        <v>1819</v>
      </c>
      <c r="B285" s="81">
        <v>114</v>
      </c>
      <c r="C285" s="81">
        <v>108</v>
      </c>
      <c r="D285" s="82">
        <v>-38</v>
      </c>
      <c r="E285" s="82">
        <v>-29</v>
      </c>
      <c r="F285" s="58">
        <v>11.29</v>
      </c>
      <c r="G285" s="57" t="s">
        <v>3849</v>
      </c>
      <c r="H285" s="30" t="s">
        <v>1531</v>
      </c>
      <c r="I285" s="173" t="s">
        <v>191</v>
      </c>
      <c r="J285" s="330">
        <v>63.22</v>
      </c>
      <c r="K285" s="330">
        <v>46.37</v>
      </c>
      <c r="L285" s="75">
        <v>19.190000000000001</v>
      </c>
      <c r="M285" s="325"/>
      <c r="N285" s="75">
        <f>K285+J285+L285</f>
        <v>128.78</v>
      </c>
      <c r="O285" s="329"/>
      <c r="P285" s="390"/>
      <c r="Q285" s="362"/>
      <c r="R285" s="308"/>
      <c r="S285" s="330">
        <v>0.71</v>
      </c>
      <c r="T285" s="199">
        <v>2.1</v>
      </c>
      <c r="U285" s="367"/>
      <c r="V285" s="58">
        <f>T285/W285</f>
        <v>2.4618991793669404E-2</v>
      </c>
      <c r="W285" s="172">
        <v>85.3</v>
      </c>
      <c r="X285" s="66">
        <v>85.4</v>
      </c>
      <c r="Y285" s="192">
        <f>W285-X285</f>
        <v>-0.10000000000000853</v>
      </c>
      <c r="Z285" s="171">
        <f>Y285/X285</f>
        <v>-1.1709601873537297E-3</v>
      </c>
      <c r="AA285" s="175" t="s">
        <v>3978</v>
      </c>
      <c r="AB285" s="173" t="s">
        <v>191</v>
      </c>
      <c r="AC285" s="86">
        <v>44299</v>
      </c>
      <c r="AD285" s="85">
        <v>44300</v>
      </c>
      <c r="AE285" s="33">
        <f t="shared" ref="AE285:AE286" si="258">AD285-AC285</f>
        <v>1</v>
      </c>
      <c r="AF285" s="41" t="s">
        <v>1188</v>
      </c>
      <c r="AG285" s="170"/>
    </row>
    <row r="286" spans="1:42" s="273" customFormat="1">
      <c r="A286" s="132" t="s">
        <v>1819</v>
      </c>
      <c r="B286" s="81">
        <v>114</v>
      </c>
      <c r="C286" s="81">
        <v>108</v>
      </c>
      <c r="D286" s="82">
        <v>-38</v>
      </c>
      <c r="E286" s="82">
        <v>-29</v>
      </c>
      <c r="F286" s="58">
        <v>11.29</v>
      </c>
      <c r="G286" s="57" t="s">
        <v>3849</v>
      </c>
      <c r="H286" s="30" t="s">
        <v>1531</v>
      </c>
      <c r="I286" s="173" t="s">
        <v>191</v>
      </c>
      <c r="J286" s="330">
        <v>63.22</v>
      </c>
      <c r="K286" s="330">
        <v>46.37</v>
      </c>
      <c r="L286" s="75">
        <v>19.190000000000001</v>
      </c>
      <c r="M286" s="325"/>
      <c r="N286" s="75">
        <f>K286+J286+L286</f>
        <v>128.78</v>
      </c>
      <c r="O286" s="329"/>
      <c r="P286" s="390"/>
      <c r="Q286" s="362"/>
      <c r="R286" s="308"/>
      <c r="S286" s="330">
        <v>0.71</v>
      </c>
      <c r="T286" s="199">
        <v>2.1</v>
      </c>
      <c r="U286" s="367"/>
      <c r="V286" s="58">
        <f>T286/W286</f>
        <v>2.4618991793669404E-2</v>
      </c>
      <c r="W286" s="172">
        <v>85.3</v>
      </c>
      <c r="X286" s="66">
        <v>83.8</v>
      </c>
      <c r="Y286" s="109">
        <f>W286-X286</f>
        <v>1.5</v>
      </c>
      <c r="Z286" s="165">
        <f>Y286/X286</f>
        <v>1.7899761336515514E-2</v>
      </c>
      <c r="AA286" s="174" t="s">
        <v>3977</v>
      </c>
      <c r="AB286" s="173" t="s">
        <v>191</v>
      </c>
      <c r="AC286" s="86">
        <v>44293</v>
      </c>
      <c r="AD286" s="85">
        <v>44300</v>
      </c>
      <c r="AE286" s="33">
        <f t="shared" si="258"/>
        <v>7</v>
      </c>
      <c r="AF286" s="41" t="s">
        <v>1188</v>
      </c>
      <c r="AG286" s="170"/>
    </row>
    <row r="287" spans="1:42" s="273" customFormat="1">
      <c r="A287" s="132" t="s">
        <v>2504</v>
      </c>
      <c r="B287" s="81">
        <v>1</v>
      </c>
      <c r="C287" s="81">
        <v>5</v>
      </c>
      <c r="D287" s="81">
        <v>22</v>
      </c>
      <c r="E287" s="82">
        <v>-1</v>
      </c>
      <c r="F287" s="58">
        <v>12.6</v>
      </c>
      <c r="G287" s="41" t="s">
        <v>46</v>
      </c>
      <c r="H287" s="30" t="s">
        <v>1531</v>
      </c>
      <c r="I287" s="173" t="s">
        <v>3836</v>
      </c>
      <c r="J287" s="75">
        <v>64.08</v>
      </c>
      <c r="K287" s="330">
        <v>53.55</v>
      </c>
      <c r="L287" s="330">
        <v>6.34</v>
      </c>
      <c r="M287" s="325"/>
      <c r="N287" s="75">
        <f t="shared" ref="N287" si="259">K287+J287+L287</f>
        <v>123.97</v>
      </c>
      <c r="O287" s="329"/>
      <c r="P287" s="390"/>
      <c r="Q287" s="362"/>
      <c r="R287" s="308"/>
      <c r="S287" s="330">
        <v>0.18</v>
      </c>
      <c r="T287" s="66">
        <v>4.8</v>
      </c>
      <c r="U287" s="367"/>
      <c r="V287" s="58">
        <f t="shared" ref="V287" si="260">T287/W287</f>
        <v>3.8399999999999997E-2</v>
      </c>
      <c r="W287" s="172">
        <v>125</v>
      </c>
      <c r="X287" s="66">
        <v>124</v>
      </c>
      <c r="Y287" s="169">
        <f t="shared" ref="Y287" si="261">W287-X287</f>
        <v>1</v>
      </c>
      <c r="Z287" s="165">
        <f t="shared" ref="Z287" si="262">Y287/X287</f>
        <v>8.0645161290322578E-3</v>
      </c>
      <c r="AA287" s="174" t="s">
        <v>3976</v>
      </c>
      <c r="AB287" s="173" t="s">
        <v>3836</v>
      </c>
      <c r="AC287" s="86">
        <v>44299</v>
      </c>
      <c r="AD287" s="85">
        <v>44300</v>
      </c>
      <c r="AE287" s="33">
        <f t="shared" ref="AE287" si="263">AD287-AC287</f>
        <v>1</v>
      </c>
      <c r="AF287" s="41" t="s">
        <v>1188</v>
      </c>
    </row>
    <row r="288" spans="1:42">
      <c r="A288" s="132" t="s">
        <v>2144</v>
      </c>
      <c r="B288" s="81">
        <v>181</v>
      </c>
      <c r="C288" s="81">
        <v>217</v>
      </c>
      <c r="D288" s="81">
        <v>24</v>
      </c>
      <c r="E288" s="81">
        <v>77</v>
      </c>
      <c r="F288" s="58">
        <v>41.47</v>
      </c>
      <c r="G288" s="57" t="s">
        <v>1095</v>
      </c>
      <c r="H288" s="30" t="s">
        <v>1531</v>
      </c>
      <c r="I288" s="16" t="s">
        <v>1096</v>
      </c>
      <c r="J288" s="75">
        <v>34.85</v>
      </c>
      <c r="K288" s="75">
        <v>18.100000000000001</v>
      </c>
      <c r="N288" s="325">
        <f t="shared" ref="N288" si="264">K288+J288+L288</f>
        <v>52.95</v>
      </c>
      <c r="T288" s="34">
        <v>3.83</v>
      </c>
      <c r="V288" s="97">
        <f t="shared" ref="V288:V293" si="265">T288/W288</f>
        <v>3.1265306122448981E-2</v>
      </c>
      <c r="W288" s="36">
        <v>122.5</v>
      </c>
      <c r="X288" s="67">
        <v>118</v>
      </c>
      <c r="Y288" s="15">
        <f t="shared" ref="Y288:Y293" si="266">W288-X288</f>
        <v>4.5</v>
      </c>
      <c r="Z288" s="64">
        <f t="shared" ref="Z288:Z293" si="267">Y288/X288</f>
        <v>3.8135593220338986E-2</v>
      </c>
      <c r="AA288" s="104" t="s">
        <v>3972</v>
      </c>
      <c r="AB288" s="16" t="s">
        <v>1096</v>
      </c>
      <c r="AC288" s="86">
        <v>44295</v>
      </c>
      <c r="AD288" s="85">
        <v>44299</v>
      </c>
      <c r="AE288" s="33">
        <f>AD288-AC288</f>
        <v>4</v>
      </c>
      <c r="AF288" s="41" t="s">
        <v>1188</v>
      </c>
      <c r="AH288" s="8"/>
    </row>
    <row r="289" spans="1:42" s="273" customFormat="1">
      <c r="A289" s="132" t="s">
        <v>1982</v>
      </c>
      <c r="B289" s="81">
        <v>31</v>
      </c>
      <c r="C289" s="81">
        <v>21</v>
      </c>
      <c r="D289" s="81">
        <v>1</v>
      </c>
      <c r="E289" s="81">
        <v>6</v>
      </c>
      <c r="F289" s="58">
        <v>26.31</v>
      </c>
      <c r="G289" s="41" t="s">
        <v>1972</v>
      </c>
      <c r="H289" s="30" t="s">
        <v>1531</v>
      </c>
      <c r="I289" s="160" t="s">
        <v>1973</v>
      </c>
      <c r="J289" s="330">
        <v>72.349999999999994</v>
      </c>
      <c r="K289" s="75">
        <v>23.1</v>
      </c>
      <c r="L289" s="75"/>
      <c r="M289" s="325"/>
      <c r="N289" s="75">
        <f>S289+K289+J289+L289</f>
        <v>164.01999999999998</v>
      </c>
      <c r="O289" s="329"/>
      <c r="P289" s="390"/>
      <c r="Q289" s="362"/>
      <c r="R289" s="308"/>
      <c r="S289" s="330">
        <v>68.569999999999993</v>
      </c>
      <c r="T289" s="199">
        <v>3.3</v>
      </c>
      <c r="U289" s="367"/>
      <c r="V289" s="97">
        <f t="shared" si="265"/>
        <v>3.6544850498338867E-2</v>
      </c>
      <c r="W289" s="168">
        <v>90.3</v>
      </c>
      <c r="X289" s="66">
        <v>79.8</v>
      </c>
      <c r="Y289" s="169">
        <f t="shared" si="266"/>
        <v>10.5</v>
      </c>
      <c r="Z289" s="165">
        <f t="shared" si="267"/>
        <v>0.13157894736842105</v>
      </c>
      <c r="AA289" s="174" t="s">
        <v>3969</v>
      </c>
      <c r="AB289" s="160" t="s">
        <v>1973</v>
      </c>
      <c r="AC289" s="86">
        <v>44200</v>
      </c>
      <c r="AD289" s="85">
        <v>44299</v>
      </c>
      <c r="AE289" s="33">
        <f>AD289-AC289</f>
        <v>99</v>
      </c>
      <c r="AF289" s="41" t="s">
        <v>2623</v>
      </c>
      <c r="AG289" s="271"/>
      <c r="AH289" s="271"/>
      <c r="AI289" s="164"/>
      <c r="AJ289" s="66"/>
      <c r="AK289" s="164"/>
      <c r="AL289" s="66"/>
      <c r="AM289" s="41"/>
      <c r="AN289" s="160"/>
    </row>
    <row r="290" spans="1:42" s="273" customFormat="1">
      <c r="A290" s="132" t="s">
        <v>1982</v>
      </c>
      <c r="B290" s="81">
        <v>31</v>
      </c>
      <c r="C290" s="81">
        <v>21</v>
      </c>
      <c r="D290" s="81">
        <v>1</v>
      </c>
      <c r="E290" s="81">
        <v>6</v>
      </c>
      <c r="F290" s="58">
        <v>26.31</v>
      </c>
      <c r="G290" s="41" t="s">
        <v>1972</v>
      </c>
      <c r="H290" s="30" t="s">
        <v>1531</v>
      </c>
      <c r="I290" s="160" t="s">
        <v>1973</v>
      </c>
      <c r="J290" s="330">
        <v>72.349999999999994</v>
      </c>
      <c r="K290" s="75">
        <v>23.1</v>
      </c>
      <c r="L290" s="75"/>
      <c r="M290" s="325"/>
      <c r="N290" s="75">
        <f>S290+K290+J290+L290</f>
        <v>164.01999999999998</v>
      </c>
      <c r="O290" s="329"/>
      <c r="P290" s="390"/>
      <c r="Q290" s="362"/>
      <c r="R290" s="308"/>
      <c r="S290" s="330">
        <v>68.569999999999993</v>
      </c>
      <c r="T290" s="199">
        <v>3.3</v>
      </c>
      <c r="U290" s="367"/>
      <c r="V290" s="97">
        <f t="shared" si="265"/>
        <v>3.6544850498338867E-2</v>
      </c>
      <c r="W290" s="168">
        <v>90.3</v>
      </c>
      <c r="X290" s="66">
        <v>81</v>
      </c>
      <c r="Y290" s="169">
        <f t="shared" si="266"/>
        <v>9.2999999999999972</v>
      </c>
      <c r="Z290" s="165">
        <f t="shared" si="267"/>
        <v>0.11481481481481479</v>
      </c>
      <c r="AA290" s="174" t="s">
        <v>3970</v>
      </c>
      <c r="AB290" s="160" t="s">
        <v>1973</v>
      </c>
      <c r="AC290" s="86">
        <v>44200</v>
      </c>
      <c r="AD290" s="85">
        <v>44299</v>
      </c>
      <c r="AE290" s="33">
        <f>AD290-AC290</f>
        <v>99</v>
      </c>
      <c r="AF290" s="41" t="s">
        <v>2623</v>
      </c>
      <c r="AG290" s="271"/>
      <c r="AH290" s="271"/>
      <c r="AI290" s="164"/>
      <c r="AJ290" s="66"/>
      <c r="AK290" s="164"/>
      <c r="AL290" s="66"/>
      <c r="AM290" s="41"/>
      <c r="AN290" s="160"/>
    </row>
    <row r="291" spans="1:42" s="273" customFormat="1">
      <c r="A291" s="132" t="s">
        <v>1982</v>
      </c>
      <c r="B291" s="81">
        <v>31</v>
      </c>
      <c r="C291" s="81">
        <v>21</v>
      </c>
      <c r="D291" s="81">
        <v>1</v>
      </c>
      <c r="E291" s="81">
        <v>6</v>
      </c>
      <c r="F291" s="58">
        <v>26.31</v>
      </c>
      <c r="G291" s="41" t="s">
        <v>1972</v>
      </c>
      <c r="H291" s="30" t="s">
        <v>1531</v>
      </c>
      <c r="I291" s="160" t="s">
        <v>1973</v>
      </c>
      <c r="J291" s="330">
        <v>72.349999999999994</v>
      </c>
      <c r="K291" s="75">
        <v>23.1</v>
      </c>
      <c r="L291" s="75"/>
      <c r="M291" s="325"/>
      <c r="N291" s="75">
        <f>S291+K291+J291+L291</f>
        <v>164.01999999999998</v>
      </c>
      <c r="O291" s="329"/>
      <c r="P291" s="390"/>
      <c r="Q291" s="362"/>
      <c r="R291" s="308"/>
      <c r="S291" s="330">
        <v>68.569999999999993</v>
      </c>
      <c r="T291" s="199">
        <v>3.3</v>
      </c>
      <c r="U291" s="367"/>
      <c r="V291" s="97">
        <f t="shared" si="265"/>
        <v>3.6544850498338867E-2</v>
      </c>
      <c r="W291" s="168">
        <v>90.3</v>
      </c>
      <c r="X291" s="66">
        <f>86.3-3.1</f>
        <v>83.2</v>
      </c>
      <c r="Y291" s="169">
        <f t="shared" si="266"/>
        <v>7.0999999999999943</v>
      </c>
      <c r="Z291" s="165">
        <f t="shared" si="267"/>
        <v>8.5336538461538394E-2</v>
      </c>
      <c r="AA291" s="174" t="s">
        <v>2186</v>
      </c>
      <c r="AB291" s="160" t="s">
        <v>1973</v>
      </c>
      <c r="AC291" s="86">
        <v>43843</v>
      </c>
      <c r="AD291" s="85">
        <v>44299</v>
      </c>
      <c r="AE291" s="79">
        <f>AD291-AC291</f>
        <v>456</v>
      </c>
      <c r="AF291" s="41" t="s">
        <v>2623</v>
      </c>
      <c r="AG291" s="271"/>
      <c r="AH291" s="271"/>
      <c r="AI291" s="164"/>
      <c r="AJ291" s="66"/>
      <c r="AK291" s="164"/>
      <c r="AL291" s="66"/>
      <c r="AM291" s="41"/>
      <c r="AN291" s="160"/>
    </row>
    <row r="292" spans="1:42" s="273" customFormat="1">
      <c r="A292" s="132" t="s">
        <v>2504</v>
      </c>
      <c r="B292" s="81">
        <v>1</v>
      </c>
      <c r="C292" s="81">
        <v>5</v>
      </c>
      <c r="D292" s="82">
        <v>-8</v>
      </c>
      <c r="E292" s="81">
        <v>8</v>
      </c>
      <c r="F292" s="58">
        <v>13.36</v>
      </c>
      <c r="G292" s="41" t="s">
        <v>46</v>
      </c>
      <c r="H292" s="30" t="s">
        <v>1531</v>
      </c>
      <c r="I292" s="173" t="s">
        <v>3836</v>
      </c>
      <c r="J292" s="75">
        <v>62.41</v>
      </c>
      <c r="K292" s="75">
        <v>52.9</v>
      </c>
      <c r="L292" s="75">
        <v>6.07</v>
      </c>
      <c r="M292" s="325"/>
      <c r="N292" s="75">
        <f>K292+J292+L292</f>
        <v>121.38</v>
      </c>
      <c r="O292" s="329"/>
      <c r="P292" s="390"/>
      <c r="Q292" s="362"/>
      <c r="R292" s="308"/>
      <c r="S292" s="330">
        <v>0.19</v>
      </c>
      <c r="T292" s="199">
        <v>4.8</v>
      </c>
      <c r="U292" s="367"/>
      <c r="V292" s="58">
        <f t="shared" si="265"/>
        <v>3.9183673469387753E-2</v>
      </c>
      <c r="W292" s="172">
        <v>122.5</v>
      </c>
      <c r="X292" s="66">
        <v>120.5</v>
      </c>
      <c r="Y292" s="169">
        <f t="shared" si="266"/>
        <v>2</v>
      </c>
      <c r="Z292" s="165">
        <f t="shared" si="267"/>
        <v>1.6597510373443983E-2</v>
      </c>
      <c r="AA292" s="174" t="s">
        <v>3971</v>
      </c>
      <c r="AB292" s="173" t="s">
        <v>3836</v>
      </c>
      <c r="AC292" s="86">
        <v>44292</v>
      </c>
      <c r="AD292" s="85">
        <v>44299</v>
      </c>
      <c r="AE292" s="33">
        <f t="shared" ref="AE292:AE293" si="268">AD292-AC292</f>
        <v>7</v>
      </c>
      <c r="AF292" s="41" t="s">
        <v>1188</v>
      </c>
    </row>
    <row r="293" spans="1:42" s="273" customFormat="1">
      <c r="A293" s="132" t="s">
        <v>2504</v>
      </c>
      <c r="B293" s="81">
        <v>1</v>
      </c>
      <c r="C293" s="81">
        <v>5</v>
      </c>
      <c r="D293" s="82">
        <v>-8</v>
      </c>
      <c r="E293" s="81">
        <v>8</v>
      </c>
      <c r="F293" s="58">
        <v>13.36</v>
      </c>
      <c r="G293" s="41" t="s">
        <v>46</v>
      </c>
      <c r="H293" s="30" t="s">
        <v>1531</v>
      </c>
      <c r="I293" s="173" t="s">
        <v>3836</v>
      </c>
      <c r="J293" s="75">
        <v>62.41</v>
      </c>
      <c r="K293" s="75">
        <v>52.9</v>
      </c>
      <c r="L293" s="75">
        <v>6.07</v>
      </c>
      <c r="M293" s="325"/>
      <c r="N293" s="75">
        <f>K293+J293+L293</f>
        <v>121.38</v>
      </c>
      <c r="O293" s="329"/>
      <c r="P293" s="390"/>
      <c r="Q293" s="362"/>
      <c r="R293" s="308"/>
      <c r="S293" s="330">
        <v>0.19</v>
      </c>
      <c r="T293" s="199">
        <v>4.8</v>
      </c>
      <c r="U293" s="367"/>
      <c r="V293" s="58">
        <f t="shared" si="265"/>
        <v>3.9183673469387753E-2</v>
      </c>
      <c r="W293" s="172">
        <v>122.5</v>
      </c>
      <c r="X293" s="66">
        <v>118</v>
      </c>
      <c r="Y293" s="169">
        <f t="shared" si="266"/>
        <v>4.5</v>
      </c>
      <c r="Z293" s="165">
        <f t="shared" si="267"/>
        <v>3.8135593220338986E-2</v>
      </c>
      <c r="AA293" s="174" t="s">
        <v>3972</v>
      </c>
      <c r="AB293" s="173" t="s">
        <v>3836</v>
      </c>
      <c r="AC293" s="86">
        <v>44285</v>
      </c>
      <c r="AD293" s="85">
        <v>44299</v>
      </c>
      <c r="AE293" s="33">
        <f t="shared" si="268"/>
        <v>14</v>
      </c>
      <c r="AF293" s="41" t="s">
        <v>1188</v>
      </c>
    </row>
    <row r="294" spans="1:42" s="178" customFormat="1" ht="17.100000000000001" customHeight="1">
      <c r="A294" s="41"/>
      <c r="B294" s="81">
        <v>-65</v>
      </c>
      <c r="C294" s="82">
        <v>-13</v>
      </c>
      <c r="D294" s="81">
        <v>-65</v>
      </c>
      <c r="E294" s="82">
        <v>-13</v>
      </c>
      <c r="F294" s="6">
        <v>3.72</v>
      </c>
      <c r="G294" s="41" t="s">
        <v>3947</v>
      </c>
      <c r="H294" s="106" t="s">
        <v>3949</v>
      </c>
      <c r="I294" s="160" t="s">
        <v>3948</v>
      </c>
      <c r="J294" s="75">
        <v>77.790000000000006</v>
      </c>
      <c r="K294" s="330">
        <v>14.18</v>
      </c>
      <c r="L294" s="75">
        <v>0.6</v>
      </c>
      <c r="M294" s="325"/>
      <c r="N294" s="75">
        <f t="shared" ref="N294:N302" si="269">S294+K294+J294+L294</f>
        <v>140.93</v>
      </c>
      <c r="O294" s="329"/>
      <c r="P294" s="390"/>
      <c r="Q294" s="362"/>
      <c r="R294" s="308"/>
      <c r="S294" s="330">
        <v>48.36</v>
      </c>
      <c r="T294" s="199">
        <v>0.47</v>
      </c>
      <c r="U294" s="367"/>
      <c r="V294" s="58">
        <f t="shared" ref="V294:V302" si="270">T294/W294</f>
        <v>3.5606060606060606E-2</v>
      </c>
      <c r="W294" s="172">
        <v>13.2</v>
      </c>
      <c r="X294" s="66">
        <f>15.72-0.5-0.47</f>
        <v>14.75</v>
      </c>
      <c r="Y294" s="169">
        <f t="shared" ref="Y294:Y302" si="271">W294-X294</f>
        <v>-1.5500000000000007</v>
      </c>
      <c r="Z294" s="171">
        <f t="shared" ref="Z294:Z302" si="272">Y294/X294</f>
        <v>-0.10508474576271191</v>
      </c>
      <c r="AA294" s="118" t="s">
        <v>3962</v>
      </c>
      <c r="AB294" s="160" t="s">
        <v>3948</v>
      </c>
      <c r="AC294" s="86">
        <v>42825</v>
      </c>
      <c r="AD294" s="85">
        <v>44298</v>
      </c>
      <c r="AE294" s="140">
        <f t="shared" ref="AE294:AE302" si="273">AD294-AC294</f>
        <v>1473</v>
      </c>
      <c r="AF294" s="41" t="s">
        <v>3454</v>
      </c>
      <c r="AG294" s="27"/>
      <c r="AH294" s="17"/>
      <c r="AI294" s="11"/>
      <c r="AJ294" s="11"/>
      <c r="AK294" s="11"/>
      <c r="AL294" s="11"/>
      <c r="AM294" s="273"/>
      <c r="AN294" s="273"/>
      <c r="AP294" s="31"/>
    </row>
    <row r="295" spans="1:42" s="178" customFormat="1" ht="17.100000000000001" customHeight="1">
      <c r="A295" s="41"/>
      <c r="B295" s="81">
        <v>-65</v>
      </c>
      <c r="C295" s="82">
        <v>-13</v>
      </c>
      <c r="D295" s="81">
        <v>-65</v>
      </c>
      <c r="E295" s="82">
        <v>-13</v>
      </c>
      <c r="F295" s="6">
        <v>3.72</v>
      </c>
      <c r="G295" s="41" t="s">
        <v>3947</v>
      </c>
      <c r="H295" s="8" t="s">
        <v>1470</v>
      </c>
      <c r="I295" s="160" t="s">
        <v>3948</v>
      </c>
      <c r="J295" s="75">
        <v>77.790000000000006</v>
      </c>
      <c r="K295" s="330">
        <v>14.18</v>
      </c>
      <c r="L295" s="75">
        <v>0.6</v>
      </c>
      <c r="M295" s="325"/>
      <c r="N295" s="75">
        <f t="shared" si="269"/>
        <v>140.93</v>
      </c>
      <c r="O295" s="329"/>
      <c r="P295" s="390"/>
      <c r="Q295" s="362"/>
      <c r="R295" s="308"/>
      <c r="S295" s="330">
        <v>48.36</v>
      </c>
      <c r="T295" s="199">
        <v>0.47</v>
      </c>
      <c r="U295" s="367"/>
      <c r="V295" s="58">
        <f t="shared" si="270"/>
        <v>1.7803030303030303E-2</v>
      </c>
      <c r="W295" s="172">
        <v>26.4</v>
      </c>
      <c r="X295" s="66">
        <f>(13.55-0.47)*AF295</f>
        <v>26.16</v>
      </c>
      <c r="Y295" s="169">
        <f t="shared" si="271"/>
        <v>0.23999999999999844</v>
      </c>
      <c r="Z295" s="165">
        <f t="shared" si="272"/>
        <v>9.1743119266054444E-3</v>
      </c>
      <c r="AA295" s="133" t="s">
        <v>3963</v>
      </c>
      <c r="AB295" s="160" t="s">
        <v>3948</v>
      </c>
      <c r="AC295" s="86">
        <v>43355</v>
      </c>
      <c r="AD295" s="85">
        <v>44298</v>
      </c>
      <c r="AE295" s="79">
        <f t="shared" si="273"/>
        <v>943</v>
      </c>
      <c r="AF295" s="41" t="s">
        <v>3941</v>
      </c>
      <c r="AG295" s="27"/>
      <c r="AH295" s="17"/>
      <c r="AI295" s="11"/>
      <c r="AJ295" s="11"/>
      <c r="AK295" s="11"/>
      <c r="AL295" s="11"/>
      <c r="AM295" s="273"/>
      <c r="AN295" s="273"/>
      <c r="AP295" s="31"/>
    </row>
    <row r="296" spans="1:42" s="178" customFormat="1" ht="17.100000000000001" customHeight="1">
      <c r="A296" s="41"/>
      <c r="B296" s="81">
        <v>-65</v>
      </c>
      <c r="C296" s="82">
        <v>-13</v>
      </c>
      <c r="D296" s="81">
        <v>-65</v>
      </c>
      <c r="E296" s="82">
        <v>-13</v>
      </c>
      <c r="F296" s="6">
        <v>3.72</v>
      </c>
      <c r="G296" s="41" t="s">
        <v>3947</v>
      </c>
      <c r="H296" s="50" t="s">
        <v>1471</v>
      </c>
      <c r="I296" s="160" t="s">
        <v>3948</v>
      </c>
      <c r="J296" s="75">
        <v>77.790000000000006</v>
      </c>
      <c r="K296" s="330">
        <v>14.18</v>
      </c>
      <c r="L296" s="75">
        <v>0.6</v>
      </c>
      <c r="M296" s="325"/>
      <c r="N296" s="75">
        <f t="shared" si="269"/>
        <v>140.93</v>
      </c>
      <c r="O296" s="329"/>
      <c r="P296" s="390"/>
      <c r="Q296" s="362"/>
      <c r="R296" s="308"/>
      <c r="S296" s="330">
        <v>48.36</v>
      </c>
      <c r="T296" s="199">
        <v>0.47</v>
      </c>
      <c r="U296" s="367"/>
      <c r="V296" s="58">
        <f>T296/W296</f>
        <v>3.5471698113207543E-2</v>
      </c>
      <c r="W296" s="172">
        <v>13.25</v>
      </c>
      <c r="X296" s="66">
        <v>11</v>
      </c>
      <c r="Y296" s="169">
        <f t="shared" si="271"/>
        <v>2.25</v>
      </c>
      <c r="Z296" s="165">
        <f t="shared" si="272"/>
        <v>0.20454545454545456</v>
      </c>
      <c r="AA296" s="133" t="s">
        <v>2502</v>
      </c>
      <c r="AB296" s="160" t="s">
        <v>3948</v>
      </c>
      <c r="AC296" s="86">
        <v>44253</v>
      </c>
      <c r="AD296" s="85">
        <v>44298</v>
      </c>
      <c r="AE296" s="33">
        <f>AD296-AC296</f>
        <v>45</v>
      </c>
      <c r="AF296" s="41" t="s">
        <v>3454</v>
      </c>
      <c r="AH296" s="17"/>
      <c r="AI296" s="11"/>
      <c r="AJ296" s="11"/>
      <c r="AK296" s="11"/>
      <c r="AL296" s="11"/>
      <c r="AM296" s="273"/>
      <c r="AN296" s="273"/>
      <c r="AP296" s="31"/>
    </row>
    <row r="297" spans="1:42" s="178" customFormat="1" ht="17.100000000000001" customHeight="1">
      <c r="A297" s="41"/>
      <c r="B297" s="81">
        <v>-65</v>
      </c>
      <c r="C297" s="82">
        <v>-13</v>
      </c>
      <c r="D297" s="81">
        <v>-65</v>
      </c>
      <c r="E297" s="82">
        <v>-13</v>
      </c>
      <c r="F297" s="6">
        <v>3.72</v>
      </c>
      <c r="G297" s="41" t="s">
        <v>3947</v>
      </c>
      <c r="H297" s="50" t="s">
        <v>1471</v>
      </c>
      <c r="I297" s="160" t="s">
        <v>3948</v>
      </c>
      <c r="J297" s="75">
        <v>77.790000000000006</v>
      </c>
      <c r="K297" s="330">
        <v>14.18</v>
      </c>
      <c r="L297" s="75">
        <v>0.6</v>
      </c>
      <c r="M297" s="325"/>
      <c r="N297" s="75">
        <f t="shared" si="269"/>
        <v>140.93</v>
      </c>
      <c r="O297" s="329"/>
      <c r="P297" s="390"/>
      <c r="Q297" s="362"/>
      <c r="R297" s="308"/>
      <c r="S297" s="330">
        <v>48.36</v>
      </c>
      <c r="T297" s="199">
        <v>0.47</v>
      </c>
      <c r="U297" s="367"/>
      <c r="V297" s="58">
        <f>T297/W297</f>
        <v>3.5471698113207543E-2</v>
      </c>
      <c r="W297" s="172">
        <v>13.25</v>
      </c>
      <c r="X297" s="66">
        <v>11</v>
      </c>
      <c r="Y297" s="169">
        <f t="shared" si="271"/>
        <v>2.25</v>
      </c>
      <c r="Z297" s="165">
        <f t="shared" si="272"/>
        <v>0.20454545454545456</v>
      </c>
      <c r="AA297" s="133" t="s">
        <v>2502</v>
      </c>
      <c r="AB297" s="160" t="s">
        <v>3948</v>
      </c>
      <c r="AC297" s="86">
        <v>44253</v>
      </c>
      <c r="AD297" s="85">
        <v>44298</v>
      </c>
      <c r="AE297" s="33">
        <f>AD297-AC297</f>
        <v>45</v>
      </c>
      <c r="AF297" s="41" t="s">
        <v>3454</v>
      </c>
      <c r="AH297" s="17"/>
      <c r="AI297" s="11"/>
      <c r="AJ297" s="11"/>
      <c r="AK297" s="11"/>
      <c r="AL297" s="11"/>
      <c r="AM297" s="273"/>
      <c r="AN297" s="273"/>
      <c r="AP297" s="31"/>
    </row>
    <row r="298" spans="1:42" s="178" customFormat="1" ht="17.100000000000001" customHeight="1">
      <c r="A298" s="41"/>
      <c r="B298" s="81">
        <v>-65</v>
      </c>
      <c r="C298" s="82">
        <v>-13</v>
      </c>
      <c r="D298" s="81">
        <v>-65</v>
      </c>
      <c r="E298" s="82">
        <v>-13</v>
      </c>
      <c r="F298" s="6">
        <v>3.72</v>
      </c>
      <c r="G298" s="41" t="s">
        <v>3947</v>
      </c>
      <c r="H298" s="50" t="s">
        <v>1471</v>
      </c>
      <c r="I298" s="160" t="s">
        <v>3948</v>
      </c>
      <c r="J298" s="75">
        <v>77.790000000000006</v>
      </c>
      <c r="K298" s="330">
        <v>14.18</v>
      </c>
      <c r="L298" s="75">
        <v>0.6</v>
      </c>
      <c r="M298" s="325"/>
      <c r="N298" s="75">
        <f t="shared" si="269"/>
        <v>140.93</v>
      </c>
      <c r="O298" s="329"/>
      <c r="P298" s="390"/>
      <c r="Q298" s="362"/>
      <c r="R298" s="308"/>
      <c r="S298" s="330">
        <v>48.36</v>
      </c>
      <c r="T298" s="199">
        <v>0.47</v>
      </c>
      <c r="U298" s="367"/>
      <c r="V298" s="58">
        <f>T298/W298</f>
        <v>3.5471698113207543E-2</v>
      </c>
      <c r="W298" s="172">
        <v>13.25</v>
      </c>
      <c r="X298" s="66">
        <f>15.72-0.5-0.47</f>
        <v>14.75</v>
      </c>
      <c r="Y298" s="169">
        <f t="shared" si="271"/>
        <v>-1.5</v>
      </c>
      <c r="Z298" s="171">
        <f t="shared" si="272"/>
        <v>-0.10169491525423729</v>
      </c>
      <c r="AA298" s="118" t="s">
        <v>3973</v>
      </c>
      <c r="AB298" s="160" t="s">
        <v>3948</v>
      </c>
      <c r="AC298" s="86">
        <v>42825</v>
      </c>
      <c r="AD298" s="85">
        <v>44298</v>
      </c>
      <c r="AE298" s="140">
        <f>AD298-AC298</f>
        <v>1473</v>
      </c>
      <c r="AF298" s="41" t="s">
        <v>3454</v>
      </c>
      <c r="AH298" s="17"/>
      <c r="AI298" s="11"/>
      <c r="AJ298" s="11"/>
      <c r="AK298" s="11"/>
      <c r="AL298" s="11"/>
      <c r="AM298" s="273"/>
      <c r="AN298" s="273"/>
      <c r="AP298" s="31"/>
    </row>
    <row r="299" spans="1:42" s="178" customFormat="1" ht="17.100000000000001" customHeight="1">
      <c r="A299" s="41"/>
      <c r="B299" s="81">
        <v>-65</v>
      </c>
      <c r="C299" s="82">
        <v>-13</v>
      </c>
      <c r="D299" s="81">
        <v>-65</v>
      </c>
      <c r="E299" s="82">
        <v>-13</v>
      </c>
      <c r="F299" s="6">
        <v>3.72</v>
      </c>
      <c r="G299" s="41" t="s">
        <v>3947</v>
      </c>
      <c r="H299" s="50" t="s">
        <v>1471</v>
      </c>
      <c r="I299" s="160" t="s">
        <v>3948</v>
      </c>
      <c r="J299" s="75">
        <v>77.790000000000006</v>
      </c>
      <c r="K299" s="330">
        <v>14.18</v>
      </c>
      <c r="L299" s="75">
        <v>0.6</v>
      </c>
      <c r="M299" s="325"/>
      <c r="N299" s="75">
        <f t="shared" si="269"/>
        <v>140.93</v>
      </c>
      <c r="O299" s="329"/>
      <c r="P299" s="390"/>
      <c r="Q299" s="362"/>
      <c r="R299" s="308"/>
      <c r="S299" s="330">
        <v>48.36</v>
      </c>
      <c r="T299" s="199">
        <v>0.47</v>
      </c>
      <c r="U299" s="367"/>
      <c r="V299" s="58">
        <f t="shared" si="270"/>
        <v>1.7735849056603772E-2</v>
      </c>
      <c r="W299" s="172">
        <f>13.25*2</f>
        <v>26.5</v>
      </c>
      <c r="X299" s="66">
        <f>(13.72-0.47)*AF299</f>
        <v>26.5</v>
      </c>
      <c r="Y299" s="169">
        <f t="shared" si="271"/>
        <v>0</v>
      </c>
      <c r="Z299" s="165">
        <f t="shared" si="272"/>
        <v>0</v>
      </c>
      <c r="AA299" s="116" t="s">
        <v>1581</v>
      </c>
      <c r="AB299" s="160" t="s">
        <v>3948</v>
      </c>
      <c r="AC299" s="86">
        <v>43335</v>
      </c>
      <c r="AD299" s="85">
        <v>44298</v>
      </c>
      <c r="AE299" s="79">
        <f t="shared" si="273"/>
        <v>963</v>
      </c>
      <c r="AF299" s="41" t="s">
        <v>3941</v>
      </c>
      <c r="AG299" s="27"/>
      <c r="AH299" s="17"/>
      <c r="AI299" s="11"/>
      <c r="AJ299" s="11"/>
      <c r="AK299" s="11"/>
      <c r="AL299" s="11"/>
      <c r="AM299" s="273"/>
      <c r="AN299" s="273"/>
      <c r="AP299" s="31"/>
    </row>
    <row r="300" spans="1:42" s="273" customFormat="1">
      <c r="A300" s="147"/>
      <c r="B300" s="82">
        <v>-67</v>
      </c>
      <c r="C300" s="82">
        <v>-13</v>
      </c>
      <c r="D300" s="82">
        <v>-67</v>
      </c>
      <c r="E300" s="82">
        <v>-13</v>
      </c>
      <c r="F300" s="6">
        <v>3.72</v>
      </c>
      <c r="G300" s="41" t="s">
        <v>3947</v>
      </c>
      <c r="H300" s="50" t="s">
        <v>1471</v>
      </c>
      <c r="I300" s="160" t="s">
        <v>3948</v>
      </c>
      <c r="J300" s="75">
        <v>77.790000000000006</v>
      </c>
      <c r="K300" s="330">
        <v>14.14</v>
      </c>
      <c r="L300" s="330">
        <v>0.56000000000000005</v>
      </c>
      <c r="M300" s="325"/>
      <c r="N300" s="75">
        <f t="shared" si="269"/>
        <v>140.9</v>
      </c>
      <c r="O300" s="329"/>
      <c r="P300" s="390"/>
      <c r="Q300" s="362"/>
      <c r="R300" s="308"/>
      <c r="S300" s="330">
        <v>48.41</v>
      </c>
      <c r="T300" s="199">
        <v>0.47</v>
      </c>
      <c r="U300" s="367"/>
      <c r="V300" s="58">
        <f t="shared" si="270"/>
        <v>1.7735849056603772E-2</v>
      </c>
      <c r="W300" s="168">
        <f>13.25*2</f>
        <v>26.5</v>
      </c>
      <c r="X300" s="66">
        <f>12.25*AF300</f>
        <v>24.5</v>
      </c>
      <c r="Y300" s="169">
        <f t="shared" si="271"/>
        <v>2</v>
      </c>
      <c r="Z300" s="165">
        <f t="shared" si="272"/>
        <v>8.1632653061224483E-2</v>
      </c>
      <c r="AA300" s="116" t="s">
        <v>2638</v>
      </c>
      <c r="AB300" s="160" t="s">
        <v>3948</v>
      </c>
      <c r="AC300" s="86">
        <v>43697</v>
      </c>
      <c r="AD300" s="85">
        <v>44298</v>
      </c>
      <c r="AE300" s="79">
        <f t="shared" si="273"/>
        <v>601</v>
      </c>
      <c r="AF300" s="41" t="s">
        <v>3941</v>
      </c>
      <c r="AG300" s="170"/>
    </row>
    <row r="301" spans="1:42" s="273" customFormat="1">
      <c r="A301" s="149"/>
      <c r="B301" s="82">
        <v>-67</v>
      </c>
      <c r="C301" s="82">
        <v>-13</v>
      </c>
      <c r="D301" s="82">
        <v>-1</v>
      </c>
      <c r="E301" s="82">
        <v>-10</v>
      </c>
      <c r="F301" s="6">
        <v>3.72</v>
      </c>
      <c r="G301" s="41" t="s">
        <v>3947</v>
      </c>
      <c r="H301" s="50" t="s">
        <v>1471</v>
      </c>
      <c r="I301" s="160" t="s">
        <v>3948</v>
      </c>
      <c r="J301" s="330">
        <v>77.31</v>
      </c>
      <c r="K301" s="75">
        <v>14.13</v>
      </c>
      <c r="L301" s="75">
        <v>0.67</v>
      </c>
      <c r="M301" s="325"/>
      <c r="N301" s="75">
        <f t="shared" si="269"/>
        <v>140.51999999999998</v>
      </c>
      <c r="O301" s="329"/>
      <c r="P301" s="390"/>
      <c r="Q301" s="362"/>
      <c r="R301" s="308"/>
      <c r="S301" s="330">
        <v>48.41</v>
      </c>
      <c r="T301" s="199">
        <v>0.47</v>
      </c>
      <c r="U301" s="367"/>
      <c r="V301" s="58">
        <f t="shared" si="270"/>
        <v>8.8679245283018859E-3</v>
      </c>
      <c r="W301" s="168">
        <f>13.25*4</f>
        <v>53</v>
      </c>
      <c r="X301" s="66">
        <f>12.05*AF301</f>
        <v>48.2</v>
      </c>
      <c r="Y301" s="169">
        <f t="shared" si="271"/>
        <v>4.7999999999999972</v>
      </c>
      <c r="Z301" s="165">
        <f t="shared" si="272"/>
        <v>9.9585062240663838E-2</v>
      </c>
      <c r="AA301" s="116" t="s">
        <v>3964</v>
      </c>
      <c r="AB301" s="160" t="s">
        <v>3948</v>
      </c>
      <c r="AC301" s="86">
        <v>43727</v>
      </c>
      <c r="AD301" s="85">
        <v>44298</v>
      </c>
      <c r="AE301" s="79">
        <f t="shared" si="273"/>
        <v>571</v>
      </c>
      <c r="AF301" s="41" t="s">
        <v>3950</v>
      </c>
    </row>
    <row r="302" spans="1:42" s="273" customFormat="1">
      <c r="A302" s="149"/>
      <c r="B302" s="82">
        <v>-67</v>
      </c>
      <c r="C302" s="82">
        <v>-13</v>
      </c>
      <c r="D302" s="82">
        <v>-1</v>
      </c>
      <c r="E302" s="82">
        <v>-10</v>
      </c>
      <c r="F302" s="6">
        <v>3.72</v>
      </c>
      <c r="G302" s="41" t="s">
        <v>3947</v>
      </c>
      <c r="H302" s="50" t="s">
        <v>1471</v>
      </c>
      <c r="I302" s="160" t="s">
        <v>3948</v>
      </c>
      <c r="J302" s="330">
        <v>77.31</v>
      </c>
      <c r="K302" s="75">
        <v>14.13</v>
      </c>
      <c r="L302" s="75">
        <v>0.67</v>
      </c>
      <c r="M302" s="325"/>
      <c r="N302" s="75">
        <f t="shared" si="269"/>
        <v>140.51999999999998</v>
      </c>
      <c r="O302" s="329"/>
      <c r="P302" s="390"/>
      <c r="Q302" s="362"/>
      <c r="R302" s="308"/>
      <c r="S302" s="330">
        <v>48.41</v>
      </c>
      <c r="T302" s="199">
        <v>0.47</v>
      </c>
      <c r="U302" s="367"/>
      <c r="V302" s="58">
        <f t="shared" si="270"/>
        <v>8.8679245283018859E-3</v>
      </c>
      <c r="W302" s="168">
        <f>13.25*4</f>
        <v>53</v>
      </c>
      <c r="X302" s="66">
        <f>12*AF302</f>
        <v>48</v>
      </c>
      <c r="Y302" s="169">
        <f t="shared" si="271"/>
        <v>5</v>
      </c>
      <c r="Z302" s="165">
        <f t="shared" si="272"/>
        <v>0.10416666666666667</v>
      </c>
      <c r="AA302" s="116" t="s">
        <v>3965</v>
      </c>
      <c r="AB302" s="160" t="s">
        <v>3948</v>
      </c>
      <c r="AC302" s="86">
        <v>43727</v>
      </c>
      <c r="AD302" s="85">
        <v>44298</v>
      </c>
      <c r="AE302" s="79">
        <f t="shared" si="273"/>
        <v>571</v>
      </c>
      <c r="AF302" s="41" t="s">
        <v>3950</v>
      </c>
      <c r="AG302" s="41"/>
    </row>
    <row r="303" spans="1:42" s="273" customFormat="1">
      <c r="A303" s="132" t="s">
        <v>1816</v>
      </c>
      <c r="B303" s="81">
        <v>7</v>
      </c>
      <c r="C303" s="81">
        <v>7</v>
      </c>
      <c r="D303" s="81">
        <v>1</v>
      </c>
      <c r="E303" s="81">
        <v>8</v>
      </c>
      <c r="F303" s="58">
        <v>22.38</v>
      </c>
      <c r="G303" s="57" t="s">
        <v>38</v>
      </c>
      <c r="H303" s="30" t="s">
        <v>1531</v>
      </c>
      <c r="I303" s="173" t="s">
        <v>33</v>
      </c>
      <c r="J303" s="330">
        <v>84.78</v>
      </c>
      <c r="K303" s="330">
        <v>41.21</v>
      </c>
      <c r="L303" s="330">
        <v>1.1200000000000001</v>
      </c>
      <c r="M303" s="325"/>
      <c r="N303" s="75">
        <f t="shared" ref="N303" si="274">K303+J303+L303</f>
        <v>127.11000000000001</v>
      </c>
      <c r="O303" s="329"/>
      <c r="P303" s="390"/>
      <c r="Q303" s="362"/>
      <c r="R303" s="308"/>
      <c r="S303" s="330">
        <v>0.05</v>
      </c>
      <c r="T303" s="199">
        <v>3.2</v>
      </c>
      <c r="U303" s="367"/>
      <c r="V303" s="58">
        <f t="shared" ref="V303" si="275">T303/W303</f>
        <v>2.7705627705627706E-2</v>
      </c>
      <c r="W303" s="172">
        <v>115.5</v>
      </c>
      <c r="X303" s="66">
        <v>109.5</v>
      </c>
      <c r="Y303" s="169">
        <f t="shared" ref="Y303" si="276">W303-X303</f>
        <v>6</v>
      </c>
      <c r="Z303" s="165">
        <f t="shared" ref="Z303" si="277">Y303/X303</f>
        <v>5.4794520547945202E-2</v>
      </c>
      <c r="AA303" s="174" t="s">
        <v>1750</v>
      </c>
      <c r="AB303" s="173" t="s">
        <v>33</v>
      </c>
      <c r="AC303" s="86">
        <v>44273</v>
      </c>
      <c r="AD303" s="85">
        <v>44295</v>
      </c>
      <c r="AE303" s="33">
        <f t="shared" ref="AE303" si="278">AD303-AC303</f>
        <v>22</v>
      </c>
      <c r="AF303" s="41" t="s">
        <v>1188</v>
      </c>
    </row>
    <row r="304" spans="1:42" s="273" customFormat="1">
      <c r="A304" s="132" t="s">
        <v>2020</v>
      </c>
      <c r="B304" s="81">
        <v>73</v>
      </c>
      <c r="C304" s="81">
        <v>76</v>
      </c>
      <c r="D304" s="82">
        <v>-7</v>
      </c>
      <c r="E304" s="81">
        <v>23</v>
      </c>
      <c r="F304" s="58">
        <v>21.91</v>
      </c>
      <c r="G304" s="57" t="s">
        <v>1109</v>
      </c>
      <c r="H304" s="30" t="s">
        <v>1531</v>
      </c>
      <c r="I304" s="173" t="s">
        <v>278</v>
      </c>
      <c r="J304" s="75">
        <v>45.41</v>
      </c>
      <c r="K304" s="330">
        <v>20.61</v>
      </c>
      <c r="L304" s="75">
        <v>22</v>
      </c>
      <c r="M304" s="325"/>
      <c r="N304" s="342">
        <f>K304+J304+L304</f>
        <v>88.02</v>
      </c>
      <c r="O304" s="329"/>
      <c r="P304" s="390"/>
      <c r="Q304" s="362"/>
      <c r="R304" s="308"/>
      <c r="S304" s="330">
        <v>0</v>
      </c>
      <c r="T304" s="199">
        <v>2.8</v>
      </c>
      <c r="U304" s="367"/>
      <c r="V304" s="97">
        <f t="shared" ref="V304:V320" si="279">T304/W304</f>
        <v>1.6969696969696968E-2</v>
      </c>
      <c r="W304" s="168">
        <v>165</v>
      </c>
      <c r="X304" s="162">
        <v>155.5</v>
      </c>
      <c r="Y304" s="109">
        <f>W304-X304</f>
        <v>9.5</v>
      </c>
      <c r="Z304" s="165">
        <f>Y304/X304</f>
        <v>6.1093247588424437E-2</v>
      </c>
      <c r="AA304" s="174" t="s">
        <v>3612</v>
      </c>
      <c r="AB304" s="173" t="s">
        <v>278</v>
      </c>
      <c r="AC304" s="86">
        <v>44292</v>
      </c>
      <c r="AD304" s="85">
        <v>44293</v>
      </c>
      <c r="AE304" s="33">
        <f t="shared" ref="AE304:AE308" si="280">AD304-AC304</f>
        <v>1</v>
      </c>
      <c r="AF304" s="41" t="s">
        <v>1188</v>
      </c>
    </row>
    <row r="305" spans="1:34" s="273" customFormat="1">
      <c r="A305" s="148" t="s">
        <v>2181</v>
      </c>
      <c r="B305" s="81">
        <v>29</v>
      </c>
      <c r="C305" s="82">
        <v>-16</v>
      </c>
      <c r="D305" s="81">
        <v>12</v>
      </c>
      <c r="E305" s="81">
        <v>28</v>
      </c>
      <c r="F305" s="6">
        <v>4.82</v>
      </c>
      <c r="G305" s="41" t="s">
        <v>323</v>
      </c>
      <c r="H305" s="30" t="s">
        <v>1531</v>
      </c>
      <c r="I305" s="173" t="s">
        <v>324</v>
      </c>
      <c r="J305" s="330">
        <v>35.869999999999997</v>
      </c>
      <c r="K305" s="75">
        <v>15.05</v>
      </c>
      <c r="L305" s="75">
        <v>30.14</v>
      </c>
      <c r="M305" s="325"/>
      <c r="N305" s="325">
        <f t="shared" ref="N305:N310" si="281">K305+J305+L305</f>
        <v>81.06</v>
      </c>
      <c r="O305" s="329"/>
      <c r="P305" s="390"/>
      <c r="Q305" s="362"/>
      <c r="R305" s="308"/>
      <c r="S305" s="330">
        <v>1.45</v>
      </c>
      <c r="T305" s="199">
        <v>1</v>
      </c>
      <c r="U305" s="367"/>
      <c r="V305" s="97">
        <f t="shared" si="279"/>
        <v>1.8691588785046728E-2</v>
      </c>
      <c r="W305" s="168">
        <v>53.5</v>
      </c>
      <c r="X305" s="162">
        <v>43.25</v>
      </c>
      <c r="Y305" s="169">
        <f t="shared" ref="Y305:Y308" si="282">W305-X305</f>
        <v>10.25</v>
      </c>
      <c r="Z305" s="165">
        <f t="shared" ref="Z305:Z308" si="283">Y305/X305</f>
        <v>0.23699421965317918</v>
      </c>
      <c r="AA305" s="174" t="s">
        <v>2200</v>
      </c>
      <c r="AB305" s="173" t="s">
        <v>324</v>
      </c>
      <c r="AC305" s="86">
        <v>44228</v>
      </c>
      <c r="AD305" s="85">
        <v>44293</v>
      </c>
      <c r="AE305" s="33">
        <f t="shared" si="280"/>
        <v>65</v>
      </c>
      <c r="AF305" s="41" t="s">
        <v>1188</v>
      </c>
    </row>
    <row r="306" spans="1:34" s="273" customFormat="1">
      <c r="A306" s="148" t="s">
        <v>2181</v>
      </c>
      <c r="B306" s="81">
        <v>29</v>
      </c>
      <c r="C306" s="82">
        <v>-16</v>
      </c>
      <c r="D306" s="81">
        <v>12</v>
      </c>
      <c r="E306" s="81">
        <v>28</v>
      </c>
      <c r="F306" s="6">
        <v>4.82</v>
      </c>
      <c r="G306" s="41" t="s">
        <v>323</v>
      </c>
      <c r="H306" s="30" t="s">
        <v>1531</v>
      </c>
      <c r="I306" s="173" t="s">
        <v>324</v>
      </c>
      <c r="J306" s="330">
        <v>35.869999999999997</v>
      </c>
      <c r="K306" s="75">
        <v>15.05</v>
      </c>
      <c r="L306" s="75">
        <v>30.14</v>
      </c>
      <c r="M306" s="325"/>
      <c r="N306" s="325">
        <f t="shared" si="281"/>
        <v>81.06</v>
      </c>
      <c r="O306" s="329"/>
      <c r="P306" s="390"/>
      <c r="Q306" s="362"/>
      <c r="R306" s="308"/>
      <c r="S306" s="330">
        <v>1.45</v>
      </c>
      <c r="T306" s="199">
        <v>1</v>
      </c>
      <c r="U306" s="367"/>
      <c r="V306" s="97">
        <f t="shared" si="279"/>
        <v>1.8691588785046728E-2</v>
      </c>
      <c r="W306" s="168">
        <v>53.5</v>
      </c>
      <c r="X306" s="162">
        <v>42.65</v>
      </c>
      <c r="Y306" s="169">
        <f t="shared" si="282"/>
        <v>10.850000000000001</v>
      </c>
      <c r="Z306" s="165">
        <f t="shared" si="283"/>
        <v>0.25439624853458387</v>
      </c>
      <c r="AA306" s="174" t="s">
        <v>3913</v>
      </c>
      <c r="AB306" s="173" t="s">
        <v>324</v>
      </c>
      <c r="AC306" s="86">
        <v>44228</v>
      </c>
      <c r="AD306" s="85">
        <v>44293</v>
      </c>
      <c r="AE306" s="33">
        <f t="shared" si="280"/>
        <v>65</v>
      </c>
      <c r="AF306" s="41" t="s">
        <v>1188</v>
      </c>
    </row>
    <row r="307" spans="1:34" s="273" customFormat="1">
      <c r="A307" s="148" t="s">
        <v>2181</v>
      </c>
      <c r="B307" s="81">
        <v>29</v>
      </c>
      <c r="C307" s="82">
        <v>-16</v>
      </c>
      <c r="D307" s="81">
        <v>12</v>
      </c>
      <c r="E307" s="81">
        <v>28</v>
      </c>
      <c r="F307" s="6">
        <v>4.82</v>
      </c>
      <c r="G307" s="41" t="s">
        <v>323</v>
      </c>
      <c r="H307" s="30" t="s">
        <v>1531</v>
      </c>
      <c r="I307" s="173" t="s">
        <v>324</v>
      </c>
      <c r="J307" s="330">
        <v>35.869999999999997</v>
      </c>
      <c r="K307" s="75">
        <v>15.05</v>
      </c>
      <c r="L307" s="75">
        <v>30.14</v>
      </c>
      <c r="M307" s="325"/>
      <c r="N307" s="325">
        <f t="shared" si="281"/>
        <v>81.06</v>
      </c>
      <c r="O307" s="329"/>
      <c r="P307" s="390"/>
      <c r="Q307" s="362"/>
      <c r="R307" s="308"/>
      <c r="S307" s="330">
        <v>1.45</v>
      </c>
      <c r="T307" s="199">
        <v>1</v>
      </c>
      <c r="U307" s="367"/>
      <c r="V307" s="97">
        <f t="shared" si="279"/>
        <v>1.8691588785046728E-2</v>
      </c>
      <c r="W307" s="168">
        <v>53.5</v>
      </c>
      <c r="X307" s="162">
        <v>48.35</v>
      </c>
      <c r="Y307" s="169">
        <f t="shared" si="282"/>
        <v>5.1499999999999986</v>
      </c>
      <c r="Z307" s="165">
        <f t="shared" si="283"/>
        <v>0.10651499482936914</v>
      </c>
      <c r="AA307" s="174" t="s">
        <v>3914</v>
      </c>
      <c r="AB307" s="173" t="s">
        <v>324</v>
      </c>
      <c r="AC307" s="86">
        <v>44207</v>
      </c>
      <c r="AD307" s="85">
        <v>44293</v>
      </c>
      <c r="AE307" s="33">
        <f t="shared" si="280"/>
        <v>86</v>
      </c>
      <c r="AF307" s="41" t="s">
        <v>1188</v>
      </c>
    </row>
    <row r="308" spans="1:34" s="273" customFormat="1">
      <c r="A308" s="148" t="s">
        <v>2181</v>
      </c>
      <c r="B308" s="81">
        <v>29</v>
      </c>
      <c r="C308" s="82">
        <v>-16</v>
      </c>
      <c r="D308" s="81">
        <v>12</v>
      </c>
      <c r="E308" s="81">
        <v>28</v>
      </c>
      <c r="F308" s="6">
        <v>4.82</v>
      </c>
      <c r="G308" s="41" t="s">
        <v>323</v>
      </c>
      <c r="H308" s="30" t="s">
        <v>1531</v>
      </c>
      <c r="I308" s="173" t="s">
        <v>324</v>
      </c>
      <c r="J308" s="330">
        <v>35.869999999999997</v>
      </c>
      <c r="K308" s="75">
        <v>15.05</v>
      </c>
      <c r="L308" s="75">
        <v>30.14</v>
      </c>
      <c r="M308" s="325"/>
      <c r="N308" s="325">
        <f t="shared" si="281"/>
        <v>81.06</v>
      </c>
      <c r="O308" s="329"/>
      <c r="P308" s="390"/>
      <c r="Q308" s="362"/>
      <c r="R308" s="308"/>
      <c r="S308" s="330">
        <v>1.45</v>
      </c>
      <c r="T308" s="199">
        <v>1</v>
      </c>
      <c r="U308" s="367"/>
      <c r="V308" s="97">
        <f t="shared" si="279"/>
        <v>1.8691588785046728E-2</v>
      </c>
      <c r="W308" s="168">
        <v>53.5</v>
      </c>
      <c r="X308" s="162">
        <v>51.2</v>
      </c>
      <c r="Y308" s="169">
        <f t="shared" si="282"/>
        <v>2.2999999999999972</v>
      </c>
      <c r="Z308" s="165">
        <f t="shared" si="283"/>
        <v>4.4921874999999944E-2</v>
      </c>
      <c r="AA308" s="174" t="s">
        <v>2516</v>
      </c>
      <c r="AB308" s="173" t="s">
        <v>324</v>
      </c>
      <c r="AC308" s="86">
        <v>44204</v>
      </c>
      <c r="AD308" s="85">
        <v>44293</v>
      </c>
      <c r="AE308" s="33">
        <f t="shared" si="280"/>
        <v>89</v>
      </c>
      <c r="AF308" s="41" t="s">
        <v>1188</v>
      </c>
    </row>
    <row r="309" spans="1:34" s="273" customFormat="1">
      <c r="A309" s="148" t="s">
        <v>1767</v>
      </c>
      <c r="B309" s="81">
        <v>34</v>
      </c>
      <c r="C309" s="81">
        <v>189</v>
      </c>
      <c r="D309" s="82">
        <v>-9</v>
      </c>
      <c r="E309" s="82">
        <v>-1</v>
      </c>
      <c r="F309" s="6">
        <v>5.3</v>
      </c>
      <c r="G309" s="41" t="s">
        <v>1127</v>
      </c>
      <c r="H309" s="30" t="s">
        <v>1531</v>
      </c>
      <c r="I309" s="173" t="s">
        <v>2738</v>
      </c>
      <c r="J309" s="75">
        <v>57.57</v>
      </c>
      <c r="K309" s="75">
        <v>60.12</v>
      </c>
      <c r="L309" s="75">
        <v>3.31</v>
      </c>
      <c r="M309" s="325"/>
      <c r="N309" s="75">
        <f t="shared" si="281"/>
        <v>121</v>
      </c>
      <c r="O309" s="329"/>
      <c r="P309" s="390"/>
      <c r="Q309" s="362"/>
      <c r="R309" s="308"/>
      <c r="S309" s="330">
        <v>0.01</v>
      </c>
      <c r="T309" s="199">
        <v>1.5</v>
      </c>
      <c r="U309" s="367"/>
      <c r="V309" s="97">
        <f t="shared" si="279"/>
        <v>4.4977511244377807E-2</v>
      </c>
      <c r="W309" s="172">
        <v>33.35</v>
      </c>
      <c r="X309" s="66">
        <v>29.3</v>
      </c>
      <c r="Y309" s="169">
        <f>W309-X309</f>
        <v>4.0500000000000007</v>
      </c>
      <c r="Z309" s="165">
        <f>Y309/X309</f>
        <v>0.13822525597269628</v>
      </c>
      <c r="AA309" s="174" t="s">
        <v>3897</v>
      </c>
      <c r="AB309" s="173" t="s">
        <v>2738</v>
      </c>
      <c r="AC309" s="86">
        <v>44201</v>
      </c>
      <c r="AD309" s="85">
        <v>44287</v>
      </c>
      <c r="AE309" s="33">
        <f>AD309-AC309</f>
        <v>86</v>
      </c>
      <c r="AF309" s="41" t="s">
        <v>1188</v>
      </c>
      <c r="AG309" s="170"/>
    </row>
    <row r="310" spans="1:34" s="273" customFormat="1">
      <c r="A310" s="148" t="s">
        <v>1767</v>
      </c>
      <c r="B310" s="81">
        <v>34</v>
      </c>
      <c r="C310" s="81">
        <v>189</v>
      </c>
      <c r="D310" s="82">
        <v>-9</v>
      </c>
      <c r="E310" s="82">
        <v>-1</v>
      </c>
      <c r="F310" s="6">
        <v>5.3</v>
      </c>
      <c r="G310" s="41" t="s">
        <v>1127</v>
      </c>
      <c r="H310" s="30" t="s">
        <v>1531</v>
      </c>
      <c r="I310" s="173" t="s">
        <v>2738</v>
      </c>
      <c r="J310" s="75">
        <v>57.57</v>
      </c>
      <c r="K310" s="75">
        <v>60.12</v>
      </c>
      <c r="L310" s="75">
        <v>3.31</v>
      </c>
      <c r="M310" s="325"/>
      <c r="N310" s="75">
        <f t="shared" si="281"/>
        <v>121</v>
      </c>
      <c r="O310" s="329"/>
      <c r="P310" s="390"/>
      <c r="Q310" s="362"/>
      <c r="R310" s="308"/>
      <c r="S310" s="330">
        <v>0.01</v>
      </c>
      <c r="T310" s="199">
        <v>1.5</v>
      </c>
      <c r="U310" s="367"/>
      <c r="V310" s="97">
        <f t="shared" si="279"/>
        <v>4.4977511244377807E-2</v>
      </c>
      <c r="W310" s="172">
        <v>33.35</v>
      </c>
      <c r="X310" s="66">
        <v>28.7</v>
      </c>
      <c r="Y310" s="169">
        <f>W310-X310</f>
        <v>4.6500000000000021</v>
      </c>
      <c r="Z310" s="165">
        <f>Y310/X310</f>
        <v>0.16202090592334503</v>
      </c>
      <c r="AA310" s="174" t="s">
        <v>1924</v>
      </c>
      <c r="AB310" s="173" t="s">
        <v>2738</v>
      </c>
      <c r="AC310" s="86">
        <v>44201</v>
      </c>
      <c r="AD310" s="85">
        <v>44287</v>
      </c>
      <c r="AE310" s="33">
        <f>AD310-AC310</f>
        <v>86</v>
      </c>
      <c r="AF310" s="41" t="s">
        <v>1188</v>
      </c>
      <c r="AG310" s="170"/>
    </row>
    <row r="311" spans="1:34" s="273" customFormat="1">
      <c r="A311" s="132" t="s">
        <v>2743</v>
      </c>
      <c r="B311" s="82">
        <v>-10</v>
      </c>
      <c r="C311" s="82">
        <v>-10</v>
      </c>
      <c r="D311" s="82">
        <v>-3</v>
      </c>
      <c r="E311" s="81">
        <v>21</v>
      </c>
      <c r="F311" s="58">
        <v>21.7</v>
      </c>
      <c r="G311" s="41" t="s">
        <v>1125</v>
      </c>
      <c r="H311" s="30" t="s">
        <v>1531</v>
      </c>
      <c r="I311" s="173" t="s">
        <v>45</v>
      </c>
      <c r="J311" s="75">
        <v>66.98</v>
      </c>
      <c r="K311" s="330">
        <v>51.61</v>
      </c>
      <c r="L311" s="330">
        <v>7.38</v>
      </c>
      <c r="M311" s="325"/>
      <c r="N311" s="75">
        <f>K311+J311+L311</f>
        <v>125.97</v>
      </c>
      <c r="O311" s="329"/>
      <c r="P311" s="390"/>
      <c r="Q311" s="362"/>
      <c r="R311" s="308"/>
      <c r="S311" s="330">
        <v>0.52</v>
      </c>
      <c r="T311" s="199">
        <v>4.2</v>
      </c>
      <c r="U311" s="367"/>
      <c r="V311" s="58">
        <f t="shared" si="279"/>
        <v>5.4054054054054057E-2</v>
      </c>
      <c r="W311" s="172">
        <v>77.7</v>
      </c>
      <c r="X311" s="66">
        <v>75.599999999999994</v>
      </c>
      <c r="Y311" s="169">
        <f>W311-X311</f>
        <v>2.1000000000000085</v>
      </c>
      <c r="Z311" s="165">
        <f>Y311/X311</f>
        <v>2.7777777777777894E-2</v>
      </c>
      <c r="AA311" s="174" t="s">
        <v>3502</v>
      </c>
      <c r="AB311" s="173" t="s">
        <v>45</v>
      </c>
      <c r="AC311" s="86">
        <v>44278</v>
      </c>
      <c r="AD311" s="85">
        <v>44287</v>
      </c>
      <c r="AE311" s="33">
        <f t="shared" ref="AE311:AE320" si="284">AD311-AC311</f>
        <v>9</v>
      </c>
      <c r="AF311" s="41" t="s">
        <v>1188</v>
      </c>
      <c r="AG311" s="194"/>
      <c r="AH311" s="193"/>
    </row>
    <row r="312" spans="1:34" s="273" customFormat="1">
      <c r="A312" s="148" t="s">
        <v>1858</v>
      </c>
      <c r="B312" s="81">
        <v>121</v>
      </c>
      <c r="C312" s="81">
        <v>196</v>
      </c>
      <c r="D312" s="81">
        <v>0</v>
      </c>
      <c r="E312" s="81">
        <v>0</v>
      </c>
      <c r="F312" s="6">
        <v>7.48</v>
      </c>
      <c r="G312" s="41" t="s">
        <v>3905</v>
      </c>
      <c r="H312" s="30" t="s">
        <v>1531</v>
      </c>
      <c r="I312" s="160" t="s">
        <v>129</v>
      </c>
      <c r="J312" s="330">
        <v>55.28</v>
      </c>
      <c r="K312" s="75">
        <v>41.5</v>
      </c>
      <c r="L312" s="75">
        <v>19.5</v>
      </c>
      <c r="M312" s="325"/>
      <c r="N312" s="75">
        <f t="shared" ref="N312:N320" si="285">K312+J312+L312</f>
        <v>116.28</v>
      </c>
      <c r="O312" s="329"/>
      <c r="P312" s="390"/>
      <c r="Q312" s="362"/>
      <c r="R312" s="308"/>
      <c r="S312" s="330">
        <v>2.1800000000000002</v>
      </c>
      <c r="T312" s="66">
        <v>1.3</v>
      </c>
      <c r="U312" s="367"/>
      <c r="V312" s="39">
        <f t="shared" si="279"/>
        <v>1.9145802650957288E-2</v>
      </c>
      <c r="W312" s="172">
        <v>67.900000000000006</v>
      </c>
      <c r="X312" s="66">
        <v>63.9</v>
      </c>
      <c r="Y312" s="169">
        <f t="shared" ref="Y312:Y320" si="286">W312-X312</f>
        <v>4.0000000000000071</v>
      </c>
      <c r="Z312" s="165">
        <f t="shared" ref="Z312:Z320" si="287">Y312/X312</f>
        <v>6.2597809076682429E-2</v>
      </c>
      <c r="AA312" s="174" t="s">
        <v>2166</v>
      </c>
      <c r="AB312" s="160" t="s">
        <v>129</v>
      </c>
      <c r="AC312" s="86">
        <v>44267</v>
      </c>
      <c r="AD312" s="85">
        <v>44287</v>
      </c>
      <c r="AE312" s="33">
        <f t="shared" si="284"/>
        <v>20</v>
      </c>
      <c r="AF312" s="41" t="s">
        <v>2623</v>
      </c>
    </row>
    <row r="313" spans="1:34" s="273" customFormat="1">
      <c r="A313" s="148" t="s">
        <v>1858</v>
      </c>
      <c r="B313" s="81">
        <v>121</v>
      </c>
      <c r="C313" s="81">
        <v>196</v>
      </c>
      <c r="D313" s="81">
        <v>0</v>
      </c>
      <c r="E313" s="81">
        <v>0</v>
      </c>
      <c r="F313" s="6">
        <v>7.48</v>
      </c>
      <c r="G313" s="41" t="s">
        <v>3905</v>
      </c>
      <c r="H313" s="30" t="s">
        <v>1531</v>
      </c>
      <c r="I313" s="160" t="s">
        <v>129</v>
      </c>
      <c r="J313" s="330">
        <v>55.28</v>
      </c>
      <c r="K313" s="75">
        <v>41.5</v>
      </c>
      <c r="L313" s="75">
        <v>19.5</v>
      </c>
      <c r="M313" s="325"/>
      <c r="N313" s="75">
        <f t="shared" si="285"/>
        <v>116.28</v>
      </c>
      <c r="O313" s="329"/>
      <c r="P313" s="390"/>
      <c r="Q313" s="362"/>
      <c r="R313" s="308"/>
      <c r="S313" s="330">
        <v>2.1800000000000002</v>
      </c>
      <c r="T313" s="66">
        <v>1.3</v>
      </c>
      <c r="U313" s="367"/>
      <c r="V313" s="39">
        <f t="shared" si="279"/>
        <v>1.9145802650957288E-2</v>
      </c>
      <c r="W313" s="172">
        <v>67.900000000000006</v>
      </c>
      <c r="X313" s="66">
        <v>63.9</v>
      </c>
      <c r="Y313" s="169">
        <f t="shared" si="286"/>
        <v>4.0000000000000071</v>
      </c>
      <c r="Z313" s="165">
        <f t="shared" si="287"/>
        <v>6.2597809076682429E-2</v>
      </c>
      <c r="AA313" s="174" t="s">
        <v>2166</v>
      </c>
      <c r="AB313" s="160" t="s">
        <v>129</v>
      </c>
      <c r="AC313" s="86">
        <v>44267</v>
      </c>
      <c r="AD313" s="85">
        <v>44287</v>
      </c>
      <c r="AE313" s="33">
        <f t="shared" si="284"/>
        <v>20</v>
      </c>
      <c r="AF313" s="41" t="s">
        <v>2623</v>
      </c>
    </row>
    <row r="314" spans="1:34" s="273" customFormat="1">
      <c r="A314" s="148" t="s">
        <v>1858</v>
      </c>
      <c r="B314" s="81">
        <v>121</v>
      </c>
      <c r="C314" s="81">
        <v>196</v>
      </c>
      <c r="D314" s="81">
        <v>0</v>
      </c>
      <c r="E314" s="81">
        <v>0</v>
      </c>
      <c r="F314" s="6">
        <v>7.48</v>
      </c>
      <c r="G314" s="41" t="s">
        <v>3905</v>
      </c>
      <c r="H314" s="30" t="s">
        <v>1531</v>
      </c>
      <c r="I314" s="160" t="s">
        <v>129</v>
      </c>
      <c r="J314" s="330">
        <v>55.28</v>
      </c>
      <c r="K314" s="75">
        <v>41.5</v>
      </c>
      <c r="L314" s="75">
        <v>19.5</v>
      </c>
      <c r="M314" s="325"/>
      <c r="N314" s="75">
        <f t="shared" si="285"/>
        <v>116.28</v>
      </c>
      <c r="O314" s="329"/>
      <c r="P314" s="390"/>
      <c r="Q314" s="362"/>
      <c r="R314" s="308"/>
      <c r="S314" s="330">
        <v>2.1800000000000002</v>
      </c>
      <c r="T314" s="66">
        <v>1.3</v>
      </c>
      <c r="U314" s="367"/>
      <c r="V314" s="39">
        <f t="shared" si="279"/>
        <v>1.9145802650957288E-2</v>
      </c>
      <c r="W314" s="172">
        <v>67.900000000000006</v>
      </c>
      <c r="X314" s="66">
        <v>62.3</v>
      </c>
      <c r="Y314" s="169">
        <f t="shared" si="286"/>
        <v>5.6000000000000085</v>
      </c>
      <c r="Z314" s="165">
        <f t="shared" si="287"/>
        <v>8.9887640449438339E-2</v>
      </c>
      <c r="AA314" s="174" t="s">
        <v>3898</v>
      </c>
      <c r="AB314" s="160" t="s">
        <v>129</v>
      </c>
      <c r="AC314" s="86">
        <v>44266</v>
      </c>
      <c r="AD314" s="85">
        <v>44287</v>
      </c>
      <c r="AE314" s="33">
        <f t="shared" si="284"/>
        <v>21</v>
      </c>
      <c r="AF314" s="41" t="s">
        <v>2623</v>
      </c>
    </row>
    <row r="315" spans="1:34" s="273" customFormat="1">
      <c r="A315" s="148" t="s">
        <v>1858</v>
      </c>
      <c r="B315" s="81">
        <v>121</v>
      </c>
      <c r="C315" s="81">
        <v>196</v>
      </c>
      <c r="D315" s="81">
        <v>0</v>
      </c>
      <c r="E315" s="81">
        <v>0</v>
      </c>
      <c r="F315" s="6">
        <v>7.48</v>
      </c>
      <c r="G315" s="41" t="s">
        <v>3905</v>
      </c>
      <c r="H315" s="30" t="s">
        <v>1531</v>
      </c>
      <c r="I315" s="160" t="s">
        <v>129</v>
      </c>
      <c r="J315" s="330">
        <v>55.28</v>
      </c>
      <c r="K315" s="75">
        <v>41.5</v>
      </c>
      <c r="L315" s="75">
        <v>19.5</v>
      </c>
      <c r="M315" s="325"/>
      <c r="N315" s="75">
        <f t="shared" si="285"/>
        <v>116.28</v>
      </c>
      <c r="O315" s="329"/>
      <c r="P315" s="390"/>
      <c r="Q315" s="362"/>
      <c r="R315" s="308"/>
      <c r="S315" s="330">
        <v>2.1800000000000002</v>
      </c>
      <c r="T315" s="66">
        <v>1.3</v>
      </c>
      <c r="U315" s="367"/>
      <c r="V315" s="39">
        <f t="shared" si="279"/>
        <v>1.9145802650957288E-2</v>
      </c>
      <c r="W315" s="172">
        <v>67.900000000000006</v>
      </c>
      <c r="X315" s="66">
        <v>65.5</v>
      </c>
      <c r="Y315" s="169">
        <f t="shared" si="286"/>
        <v>2.4000000000000057</v>
      </c>
      <c r="Z315" s="165">
        <f t="shared" si="287"/>
        <v>3.6641221374045886E-2</v>
      </c>
      <c r="AA315" s="174" t="s">
        <v>2533</v>
      </c>
      <c r="AB315" s="160" t="s">
        <v>129</v>
      </c>
      <c r="AC315" s="86">
        <v>44258</v>
      </c>
      <c r="AD315" s="85">
        <v>44287</v>
      </c>
      <c r="AE315" s="33">
        <f t="shared" si="284"/>
        <v>29</v>
      </c>
      <c r="AF315" s="41" t="s">
        <v>2623</v>
      </c>
    </row>
    <row r="316" spans="1:34" s="273" customFormat="1">
      <c r="A316" s="148" t="s">
        <v>1858</v>
      </c>
      <c r="B316" s="81">
        <v>121</v>
      </c>
      <c r="C316" s="81">
        <v>196</v>
      </c>
      <c r="D316" s="81">
        <v>0</v>
      </c>
      <c r="E316" s="81">
        <v>0</v>
      </c>
      <c r="F316" s="6">
        <v>7.48</v>
      </c>
      <c r="G316" s="41" t="s">
        <v>3905</v>
      </c>
      <c r="H316" s="30" t="s">
        <v>1531</v>
      </c>
      <c r="I316" s="160" t="s">
        <v>129</v>
      </c>
      <c r="J316" s="330">
        <v>55.28</v>
      </c>
      <c r="K316" s="75">
        <v>41.5</v>
      </c>
      <c r="L316" s="75">
        <v>19.5</v>
      </c>
      <c r="M316" s="325"/>
      <c r="N316" s="75">
        <f t="shared" si="285"/>
        <v>116.28</v>
      </c>
      <c r="O316" s="329"/>
      <c r="P316" s="390"/>
      <c r="Q316" s="362"/>
      <c r="R316" s="308"/>
      <c r="S316" s="330">
        <v>2.1800000000000002</v>
      </c>
      <c r="T316" s="66">
        <v>1.3</v>
      </c>
      <c r="U316" s="367"/>
      <c r="V316" s="39">
        <f t="shared" si="279"/>
        <v>1.9145802650957288E-2</v>
      </c>
      <c r="W316" s="172">
        <v>67.900000000000006</v>
      </c>
      <c r="X316" s="66">
        <v>66.8</v>
      </c>
      <c r="Y316" s="169">
        <f t="shared" si="286"/>
        <v>1.1000000000000085</v>
      </c>
      <c r="Z316" s="165">
        <f t="shared" si="287"/>
        <v>1.6467065868263603E-2</v>
      </c>
      <c r="AA316" s="174" t="s">
        <v>3899</v>
      </c>
      <c r="AB316" s="160" t="s">
        <v>129</v>
      </c>
      <c r="AC316" s="86">
        <v>44257</v>
      </c>
      <c r="AD316" s="85">
        <v>44287</v>
      </c>
      <c r="AE316" s="33">
        <f t="shared" si="284"/>
        <v>30</v>
      </c>
      <c r="AF316" s="41" t="s">
        <v>2623</v>
      </c>
    </row>
    <row r="317" spans="1:34" s="273" customFormat="1">
      <c r="A317" s="148" t="s">
        <v>1858</v>
      </c>
      <c r="B317" s="81">
        <v>121</v>
      </c>
      <c r="C317" s="81">
        <v>196</v>
      </c>
      <c r="D317" s="81">
        <v>0</v>
      </c>
      <c r="E317" s="81">
        <v>0</v>
      </c>
      <c r="F317" s="6">
        <v>7.48</v>
      </c>
      <c r="G317" s="41" t="s">
        <v>3905</v>
      </c>
      <c r="H317" s="30" t="s">
        <v>1531</v>
      </c>
      <c r="I317" s="160" t="s">
        <v>129</v>
      </c>
      <c r="J317" s="330">
        <v>55.28</v>
      </c>
      <c r="K317" s="75">
        <v>41.5</v>
      </c>
      <c r="L317" s="75">
        <v>19.5</v>
      </c>
      <c r="M317" s="325"/>
      <c r="N317" s="75">
        <f t="shared" si="285"/>
        <v>116.28</v>
      </c>
      <c r="O317" s="329"/>
      <c r="P317" s="390"/>
      <c r="Q317" s="362"/>
      <c r="R317" s="308"/>
      <c r="S317" s="330">
        <v>2.1800000000000002</v>
      </c>
      <c r="T317" s="66">
        <v>1.3</v>
      </c>
      <c r="U317" s="367"/>
      <c r="V317" s="39">
        <f t="shared" si="279"/>
        <v>1.9145802650957288E-2</v>
      </c>
      <c r="W317" s="172">
        <v>67.900000000000006</v>
      </c>
      <c r="X317" s="66">
        <v>66.599999999999994</v>
      </c>
      <c r="Y317" s="169">
        <f t="shared" si="286"/>
        <v>1.3000000000000114</v>
      </c>
      <c r="Z317" s="165">
        <f t="shared" si="287"/>
        <v>1.951951951951969E-2</v>
      </c>
      <c r="AA317" s="174" t="s">
        <v>3974</v>
      </c>
      <c r="AB317" s="160" t="s">
        <v>129</v>
      </c>
      <c r="AC317" s="86">
        <v>44245</v>
      </c>
      <c r="AD317" s="85">
        <v>44287</v>
      </c>
      <c r="AE317" s="33">
        <f t="shared" si="284"/>
        <v>42</v>
      </c>
      <c r="AF317" s="41" t="s">
        <v>2623</v>
      </c>
    </row>
    <row r="318" spans="1:34" s="273" customFormat="1">
      <c r="A318" s="148" t="s">
        <v>1858</v>
      </c>
      <c r="B318" s="81">
        <v>121</v>
      </c>
      <c r="C318" s="81">
        <v>196</v>
      </c>
      <c r="D318" s="81">
        <v>0</v>
      </c>
      <c r="E318" s="81">
        <v>0</v>
      </c>
      <c r="F318" s="6">
        <v>7.48</v>
      </c>
      <c r="G318" s="41" t="s">
        <v>3905</v>
      </c>
      <c r="H318" s="30" t="s">
        <v>1531</v>
      </c>
      <c r="I318" s="160" t="s">
        <v>129</v>
      </c>
      <c r="J318" s="330">
        <v>55.28</v>
      </c>
      <c r="K318" s="75">
        <v>41.5</v>
      </c>
      <c r="L318" s="75">
        <v>19.5</v>
      </c>
      <c r="M318" s="325"/>
      <c r="N318" s="75">
        <f t="shared" si="285"/>
        <v>116.28</v>
      </c>
      <c r="O318" s="329"/>
      <c r="P318" s="390"/>
      <c r="Q318" s="362"/>
      <c r="R318" s="308"/>
      <c r="S318" s="330">
        <v>2.1800000000000002</v>
      </c>
      <c r="T318" s="66">
        <v>1.3</v>
      </c>
      <c r="U318" s="367"/>
      <c r="V318" s="39">
        <f t="shared" si="279"/>
        <v>1.9145802650957288E-2</v>
      </c>
      <c r="W318" s="172">
        <v>67.900000000000006</v>
      </c>
      <c r="X318" s="66">
        <v>70.400000000000006</v>
      </c>
      <c r="Y318" s="169">
        <f t="shared" si="286"/>
        <v>-2.5</v>
      </c>
      <c r="Z318" s="171">
        <f t="shared" si="287"/>
        <v>-3.5511363636363633E-2</v>
      </c>
      <c r="AA318" s="175" t="s">
        <v>3900</v>
      </c>
      <c r="AB318" s="160" t="s">
        <v>129</v>
      </c>
      <c r="AC318" s="86">
        <v>44217</v>
      </c>
      <c r="AD318" s="85">
        <v>44287</v>
      </c>
      <c r="AE318" s="33">
        <f t="shared" si="284"/>
        <v>70</v>
      </c>
      <c r="AF318" s="41" t="s">
        <v>2623</v>
      </c>
    </row>
    <row r="319" spans="1:34" s="273" customFormat="1">
      <c r="A319" s="148" t="s">
        <v>1858</v>
      </c>
      <c r="B319" s="81">
        <v>121</v>
      </c>
      <c r="C319" s="81">
        <v>196</v>
      </c>
      <c r="D319" s="81">
        <v>0</v>
      </c>
      <c r="E319" s="81">
        <v>0</v>
      </c>
      <c r="F319" s="6">
        <v>7.48</v>
      </c>
      <c r="G319" s="41" t="s">
        <v>3905</v>
      </c>
      <c r="H319" s="30" t="s">
        <v>1531</v>
      </c>
      <c r="I319" s="160" t="s">
        <v>129</v>
      </c>
      <c r="J319" s="330">
        <v>55.28</v>
      </c>
      <c r="K319" s="75">
        <v>41.5</v>
      </c>
      <c r="L319" s="75">
        <v>19.5</v>
      </c>
      <c r="M319" s="325"/>
      <c r="N319" s="75">
        <f t="shared" si="285"/>
        <v>116.28</v>
      </c>
      <c r="O319" s="329"/>
      <c r="P319" s="390"/>
      <c r="Q319" s="362"/>
      <c r="R319" s="308"/>
      <c r="S319" s="330">
        <v>2.1800000000000002</v>
      </c>
      <c r="T319" s="66">
        <v>1.3</v>
      </c>
      <c r="U319" s="367"/>
      <c r="V319" s="39">
        <f t="shared" si="279"/>
        <v>1.9117647058823531E-2</v>
      </c>
      <c r="W319" s="172">
        <v>68</v>
      </c>
      <c r="X319" s="66">
        <v>74.7</v>
      </c>
      <c r="Y319" s="169">
        <f t="shared" si="286"/>
        <v>-6.7000000000000028</v>
      </c>
      <c r="Z319" s="171">
        <f t="shared" si="287"/>
        <v>-8.9692101740294544E-2</v>
      </c>
      <c r="AA319" s="175" t="s">
        <v>3901</v>
      </c>
      <c r="AB319" s="160" t="s">
        <v>129</v>
      </c>
      <c r="AC319" s="86">
        <v>44211</v>
      </c>
      <c r="AD319" s="85">
        <v>44287</v>
      </c>
      <c r="AE319" s="33">
        <f t="shared" si="284"/>
        <v>76</v>
      </c>
      <c r="AF319" s="41" t="s">
        <v>2623</v>
      </c>
    </row>
    <row r="320" spans="1:34" s="273" customFormat="1">
      <c r="A320" s="132" t="s">
        <v>1839</v>
      </c>
      <c r="B320" s="81">
        <v>849</v>
      </c>
      <c r="C320" s="81">
        <v>654</v>
      </c>
      <c r="D320" s="82">
        <v>-1</v>
      </c>
      <c r="E320" s="81">
        <v>75</v>
      </c>
      <c r="F320" s="58">
        <v>24.22</v>
      </c>
      <c r="G320" s="57" t="s">
        <v>2509</v>
      </c>
      <c r="H320" s="30" t="s">
        <v>1531</v>
      </c>
      <c r="I320" s="173" t="s">
        <v>180</v>
      </c>
      <c r="J320" s="330">
        <v>48.1</v>
      </c>
      <c r="K320" s="75">
        <v>8.06</v>
      </c>
      <c r="L320" s="330">
        <v>31.97</v>
      </c>
      <c r="M320" s="325"/>
      <c r="N320" s="325">
        <f t="shared" si="285"/>
        <v>88.13</v>
      </c>
      <c r="O320" s="329"/>
      <c r="P320" s="390"/>
      <c r="Q320" s="362"/>
      <c r="R320" s="308"/>
      <c r="S320" s="330">
        <v>6</v>
      </c>
      <c r="T320" s="109">
        <v>0</v>
      </c>
      <c r="U320" s="367"/>
      <c r="V320" s="97">
        <f t="shared" si="279"/>
        <v>0</v>
      </c>
      <c r="W320" s="168">
        <v>179.5</v>
      </c>
      <c r="X320" s="162">
        <v>173</v>
      </c>
      <c r="Y320" s="169">
        <f t="shared" si="286"/>
        <v>6.5</v>
      </c>
      <c r="Z320" s="165">
        <f t="shared" si="287"/>
        <v>3.7572254335260118E-2</v>
      </c>
      <c r="AA320" s="174" t="s">
        <v>3485</v>
      </c>
      <c r="AB320" s="173" t="s">
        <v>180</v>
      </c>
      <c r="AC320" s="86">
        <v>44259</v>
      </c>
      <c r="AD320" s="85">
        <v>44287</v>
      </c>
      <c r="AE320" s="33">
        <f t="shared" si="284"/>
        <v>28</v>
      </c>
      <c r="AF320" s="41" t="s">
        <v>1188</v>
      </c>
    </row>
    <row r="321" spans="1:34" s="273" customFormat="1">
      <c r="A321" s="132" t="s">
        <v>2020</v>
      </c>
      <c r="B321" s="81">
        <v>73</v>
      </c>
      <c r="C321" s="81">
        <v>76</v>
      </c>
      <c r="D321" s="82">
        <v>-7</v>
      </c>
      <c r="E321" s="81">
        <v>23</v>
      </c>
      <c r="F321" s="58">
        <v>21.91</v>
      </c>
      <c r="G321" s="57" t="s">
        <v>1109</v>
      </c>
      <c r="H321" s="212" t="s">
        <v>3761</v>
      </c>
      <c r="I321" s="173" t="s">
        <v>278</v>
      </c>
      <c r="J321" s="75">
        <v>44.97</v>
      </c>
      <c r="K321" s="75">
        <v>20.73</v>
      </c>
      <c r="L321" s="330">
        <v>22</v>
      </c>
      <c r="M321" s="325"/>
      <c r="N321" s="342">
        <f>K321+J321+L321</f>
        <v>87.7</v>
      </c>
      <c r="O321" s="329"/>
      <c r="P321" s="390"/>
      <c r="Q321" s="362"/>
      <c r="R321" s="308"/>
      <c r="S321" s="330">
        <v>2.4500000000000002</v>
      </c>
      <c r="T321" s="109">
        <v>1.7</v>
      </c>
      <c r="U321" s="367"/>
      <c r="V321" s="97">
        <f>T321/W321</f>
        <v>1.0862619808306708E-2</v>
      </c>
      <c r="W321" s="168">
        <v>156.5</v>
      </c>
      <c r="X321" s="162">
        <v>154.5</v>
      </c>
      <c r="Y321" s="169">
        <f>W321-X321</f>
        <v>2</v>
      </c>
      <c r="Z321" s="165">
        <f>Y321/X321</f>
        <v>1.2944983818770227E-2</v>
      </c>
      <c r="AA321" s="174" t="s">
        <v>3902</v>
      </c>
      <c r="AB321" s="173" t="s">
        <v>278</v>
      </c>
      <c r="AC321" s="86">
        <v>44286</v>
      </c>
      <c r="AD321" s="85">
        <v>44287</v>
      </c>
      <c r="AE321" s="33">
        <f>AD321-AC321</f>
        <v>1</v>
      </c>
      <c r="AF321" s="41" t="s">
        <v>1188</v>
      </c>
    </row>
    <row r="322" spans="1:34" s="273" customFormat="1">
      <c r="A322" s="132" t="s">
        <v>2020</v>
      </c>
      <c r="B322" s="81">
        <v>73</v>
      </c>
      <c r="C322" s="81">
        <v>76</v>
      </c>
      <c r="D322" s="82">
        <v>-7</v>
      </c>
      <c r="E322" s="81">
        <v>23</v>
      </c>
      <c r="F322" s="58">
        <v>21.91</v>
      </c>
      <c r="G322" s="57" t="s">
        <v>1109</v>
      </c>
      <c r="H322" s="212" t="s">
        <v>3761</v>
      </c>
      <c r="I322" s="173" t="s">
        <v>278</v>
      </c>
      <c r="J322" s="75">
        <v>44.97</v>
      </c>
      <c r="K322" s="75">
        <v>20.73</v>
      </c>
      <c r="L322" s="330">
        <v>22</v>
      </c>
      <c r="M322" s="325"/>
      <c r="N322" s="342">
        <f>K322+J322+L322</f>
        <v>87.7</v>
      </c>
      <c r="O322" s="329"/>
      <c r="P322" s="390"/>
      <c r="Q322" s="362"/>
      <c r="R322" s="308"/>
      <c r="S322" s="330">
        <v>2.4500000000000002</v>
      </c>
      <c r="T322" s="109">
        <v>1.7</v>
      </c>
      <c r="U322" s="367"/>
      <c r="V322" s="97">
        <f>T322/W322</f>
        <v>1.0862619808306708E-2</v>
      </c>
      <c r="W322" s="168">
        <v>156.5</v>
      </c>
      <c r="X322" s="162">
        <v>154.5</v>
      </c>
      <c r="Y322" s="169">
        <f>W322-X322</f>
        <v>2</v>
      </c>
      <c r="Z322" s="165">
        <f>Y322/X322</f>
        <v>1.2944983818770227E-2</v>
      </c>
      <c r="AA322" s="174" t="s">
        <v>3902</v>
      </c>
      <c r="AB322" s="173" t="s">
        <v>278</v>
      </c>
      <c r="AC322" s="86">
        <v>44286</v>
      </c>
      <c r="AD322" s="85">
        <v>44287</v>
      </c>
      <c r="AE322" s="33">
        <f>AD322-AC322</f>
        <v>1</v>
      </c>
      <c r="AF322" s="41" t="s">
        <v>1188</v>
      </c>
    </row>
    <row r="323" spans="1:34" s="273" customFormat="1">
      <c r="A323" s="148"/>
      <c r="B323" s="81"/>
      <c r="C323" s="82"/>
      <c r="D323" s="81"/>
      <c r="E323" s="81"/>
      <c r="F323" s="6"/>
      <c r="G323" s="41"/>
      <c r="H323" s="30"/>
      <c r="I323" s="173"/>
      <c r="J323" s="330"/>
      <c r="K323" s="75"/>
      <c r="L323" s="75"/>
      <c r="M323" s="325"/>
      <c r="N323" s="325"/>
      <c r="O323" s="329"/>
      <c r="P323" s="390"/>
      <c r="Q323" s="362"/>
      <c r="R323" s="308"/>
      <c r="S323" s="330"/>
      <c r="T323" s="199"/>
      <c r="U323" s="367"/>
      <c r="V323" s="97"/>
      <c r="W323" s="168">
        <f>SUM(W262:W322)</f>
        <v>4124</v>
      </c>
      <c r="X323" s="66">
        <f>SUM(X262:X322)</f>
        <v>3941</v>
      </c>
      <c r="Y323" s="169">
        <f>SUM(Y262:Y322)</f>
        <v>183</v>
      </c>
      <c r="Z323" s="165">
        <f>Y323/X323</f>
        <v>4.6434914996193857E-2</v>
      </c>
      <c r="AA323" s="174"/>
      <c r="AB323" s="160">
        <f>W323*(0.001425*0.65)+W323*0.003+X323*(0.001425*0.65)</f>
        <v>19.84220625</v>
      </c>
      <c r="AC323" s="6">
        <f>Y323-AB323</f>
        <v>163.15779375</v>
      </c>
      <c r="AD323" s="85"/>
      <c r="AE323" s="121"/>
      <c r="AF323" s="41"/>
    </row>
    <row r="324" spans="1:34" s="282" customFormat="1">
      <c r="A324" s="132"/>
      <c r="B324" s="93"/>
      <c r="C324" s="93"/>
      <c r="D324" s="93"/>
      <c r="E324" s="93"/>
      <c r="F324" s="8"/>
      <c r="G324" s="25"/>
      <c r="H324" s="55"/>
      <c r="I324" s="1"/>
      <c r="J324" s="324"/>
      <c r="K324" s="324"/>
      <c r="L324" s="324"/>
      <c r="M324" s="324"/>
      <c r="N324" s="324"/>
      <c r="O324" s="329"/>
      <c r="P324" s="390"/>
      <c r="Q324" s="362"/>
      <c r="R324" s="308"/>
      <c r="S324" s="335"/>
      <c r="T324" s="14"/>
      <c r="U324" s="367"/>
      <c r="V324" s="28"/>
      <c r="W324" s="28"/>
      <c r="X324" s="69"/>
      <c r="Y324" s="14"/>
      <c r="Z324" s="21"/>
      <c r="AA324" s="25"/>
      <c r="AB324" s="247">
        <f>W323*(0.001425*0.28)+W323*0.003+X323*(0.001425*0.28)</f>
        <v>15.589935000000001</v>
      </c>
      <c r="AC324" s="73"/>
      <c r="AD324" s="74"/>
      <c r="AE324" s="32"/>
      <c r="AF324" s="46"/>
      <c r="AG324" s="170"/>
    </row>
    <row r="325" spans="1:34" s="282" customFormat="1">
      <c r="A325" s="132"/>
      <c r="B325" s="93"/>
      <c r="C325" s="93"/>
      <c r="D325" s="93"/>
      <c r="E325" s="93"/>
      <c r="F325" s="8"/>
      <c r="G325" s="25"/>
      <c r="H325" s="55"/>
      <c r="I325" s="1"/>
      <c r="J325" s="324"/>
      <c r="K325" s="324"/>
      <c r="L325" s="324"/>
      <c r="M325" s="324"/>
      <c r="N325" s="324"/>
      <c r="O325" s="329"/>
      <c r="P325" s="390"/>
      <c r="Q325" s="362"/>
      <c r="R325" s="308"/>
      <c r="S325" s="335"/>
      <c r="T325" s="14"/>
      <c r="U325" s="367"/>
      <c r="V325" s="28"/>
      <c r="W325" s="28"/>
      <c r="X325" s="69"/>
      <c r="Y325" s="14"/>
      <c r="Z325" s="21"/>
      <c r="AA325" s="25"/>
      <c r="AB325" s="160"/>
      <c r="AC325" s="73"/>
      <c r="AD325" s="74"/>
      <c r="AE325" s="32"/>
      <c r="AF325" s="46"/>
      <c r="AG325" s="170"/>
    </row>
    <row r="326" spans="1:34" s="282" customFormat="1">
      <c r="A326" s="132" t="s">
        <v>1854</v>
      </c>
      <c r="B326" s="93" t="s">
        <v>1657</v>
      </c>
      <c r="C326" s="93" t="s">
        <v>1658</v>
      </c>
      <c r="D326" s="93" t="s">
        <v>1659</v>
      </c>
      <c r="E326" s="93" t="s">
        <v>1660</v>
      </c>
      <c r="F326" s="8" t="s">
        <v>1122</v>
      </c>
      <c r="G326" s="26" t="s">
        <v>4231</v>
      </c>
      <c r="H326" s="55" t="s">
        <v>2622</v>
      </c>
      <c r="I326" s="1" t="s">
        <v>79</v>
      </c>
      <c r="J326" s="324" t="s">
        <v>1529</v>
      </c>
      <c r="K326" s="324" t="s">
        <v>1217</v>
      </c>
      <c r="L326" s="324" t="s">
        <v>2753</v>
      </c>
      <c r="M326" s="324" t="s">
        <v>1115</v>
      </c>
      <c r="N326" s="324" t="s">
        <v>4394</v>
      </c>
      <c r="O326" s="329"/>
      <c r="P326" s="391" t="s">
        <v>4232</v>
      </c>
      <c r="Q326" s="307" t="s">
        <v>4232</v>
      </c>
      <c r="R326" s="309" t="s">
        <v>4371</v>
      </c>
      <c r="S326" s="335" t="s">
        <v>4398</v>
      </c>
      <c r="T326" s="14" t="s">
        <v>3819</v>
      </c>
      <c r="U326" s="367"/>
      <c r="V326" s="69" t="s">
        <v>4022</v>
      </c>
      <c r="W326" s="28" t="s">
        <v>3762</v>
      </c>
      <c r="X326" s="69" t="s">
        <v>1465</v>
      </c>
      <c r="Y326" s="14" t="s">
        <v>2755</v>
      </c>
      <c r="Z326" s="21" t="s">
        <v>1539</v>
      </c>
      <c r="AA326" s="25" t="s">
        <v>2621</v>
      </c>
      <c r="AB326" s="1" t="s">
        <v>79</v>
      </c>
      <c r="AC326" s="73" t="s">
        <v>1466</v>
      </c>
      <c r="AD326" s="74" t="s">
        <v>1223</v>
      </c>
      <c r="AE326" s="32" t="s">
        <v>1224</v>
      </c>
      <c r="AF326" s="46" t="s">
        <v>3847</v>
      </c>
      <c r="AG326" s="170"/>
    </row>
    <row r="327" spans="1:34" s="273" customFormat="1">
      <c r="A327" s="132" t="s">
        <v>3848</v>
      </c>
      <c r="B327" s="81">
        <v>151</v>
      </c>
      <c r="C327" s="81">
        <v>181</v>
      </c>
      <c r="D327" s="82">
        <v>-38</v>
      </c>
      <c r="E327" s="82">
        <v>-29</v>
      </c>
      <c r="F327" s="58">
        <v>11.29</v>
      </c>
      <c r="G327" s="57" t="s">
        <v>3849</v>
      </c>
      <c r="H327" s="30" t="s">
        <v>3851</v>
      </c>
      <c r="I327" s="173" t="s">
        <v>3850</v>
      </c>
      <c r="J327" s="75">
        <v>65.81</v>
      </c>
      <c r="K327" s="75">
        <v>46.97</v>
      </c>
      <c r="L327" s="330">
        <v>16.670000000000002</v>
      </c>
      <c r="M327" s="325"/>
      <c r="N327" s="75">
        <f t="shared" ref="N327" si="288">K327+J327+L327</f>
        <v>129.44999999999999</v>
      </c>
      <c r="O327" s="329"/>
      <c r="P327" s="390"/>
      <c r="Q327" s="362"/>
      <c r="R327" s="308"/>
      <c r="S327" s="330">
        <v>0.68</v>
      </c>
      <c r="T327" s="199">
        <v>0.5</v>
      </c>
      <c r="U327" s="367"/>
      <c r="V327" s="58">
        <f t="shared" ref="V327:V341" si="289">T327/W327</f>
        <v>5.6433408577878106E-3</v>
      </c>
      <c r="W327" s="172">
        <v>88.6</v>
      </c>
      <c r="X327" s="66">
        <v>79</v>
      </c>
      <c r="Y327" s="169">
        <f t="shared" ref="Y327" si="290">W327-X327</f>
        <v>9.5999999999999943</v>
      </c>
      <c r="Z327" s="165">
        <f>Y327/X327</f>
        <v>0.12151898734177208</v>
      </c>
      <c r="AA327" s="174" t="s">
        <v>3903</v>
      </c>
      <c r="AB327" s="173" t="s">
        <v>3850</v>
      </c>
      <c r="AC327" s="86">
        <v>44284</v>
      </c>
      <c r="AD327" s="85">
        <v>44286</v>
      </c>
      <c r="AE327" s="33">
        <f>AD327-AC327</f>
        <v>2</v>
      </c>
      <c r="AF327" s="41" t="s">
        <v>3852</v>
      </c>
      <c r="AG327" s="170"/>
    </row>
    <row r="328" spans="1:34" s="273" customFormat="1">
      <c r="A328" s="132" t="s">
        <v>3853</v>
      </c>
      <c r="B328" s="81">
        <v>73</v>
      </c>
      <c r="C328" s="81">
        <v>76</v>
      </c>
      <c r="D328" s="82">
        <v>-7</v>
      </c>
      <c r="E328" s="81">
        <v>23</v>
      </c>
      <c r="F328" s="58">
        <v>21.91</v>
      </c>
      <c r="G328" s="57" t="s">
        <v>3844</v>
      </c>
      <c r="H328" s="30" t="s">
        <v>3851</v>
      </c>
      <c r="I328" s="173" t="s">
        <v>3845</v>
      </c>
      <c r="J328" s="330">
        <v>46.4</v>
      </c>
      <c r="K328" s="330">
        <v>22.03</v>
      </c>
      <c r="L328" s="75">
        <v>21.68</v>
      </c>
      <c r="M328" s="325"/>
      <c r="N328" s="342">
        <f>K328+J328+L328</f>
        <v>90.110000000000014</v>
      </c>
      <c r="O328" s="329"/>
      <c r="P328" s="390"/>
      <c r="Q328" s="362"/>
      <c r="R328" s="308"/>
      <c r="S328" s="330">
        <v>4.05</v>
      </c>
      <c r="T328" s="109">
        <v>1.7</v>
      </c>
      <c r="U328" s="367"/>
      <c r="V328" s="97">
        <f t="shared" si="289"/>
        <v>1.1074918566775244E-2</v>
      </c>
      <c r="W328" s="168">
        <v>153.5</v>
      </c>
      <c r="X328" s="162">
        <v>142.5</v>
      </c>
      <c r="Y328" s="169">
        <f>W328-X328</f>
        <v>11</v>
      </c>
      <c r="Z328" s="165">
        <f>Y328/X328</f>
        <v>7.7192982456140355E-2</v>
      </c>
      <c r="AA328" s="174" t="s">
        <v>3904</v>
      </c>
      <c r="AB328" s="173" t="s">
        <v>3845</v>
      </c>
      <c r="AC328" s="86">
        <v>44277</v>
      </c>
      <c r="AD328" s="85">
        <v>44286</v>
      </c>
      <c r="AE328" s="33">
        <f t="shared" ref="AE328:AE352" si="291">AD328-AC328</f>
        <v>9</v>
      </c>
      <c r="AF328" s="41" t="s">
        <v>3837</v>
      </c>
    </row>
    <row r="329" spans="1:34" s="273" customFormat="1">
      <c r="A329" s="132" t="s">
        <v>3853</v>
      </c>
      <c r="B329" s="81">
        <v>73</v>
      </c>
      <c r="C329" s="81">
        <v>76</v>
      </c>
      <c r="D329" s="82">
        <v>-7</v>
      </c>
      <c r="E329" s="81">
        <v>23</v>
      </c>
      <c r="F329" s="58">
        <v>21.91</v>
      </c>
      <c r="G329" s="57" t="s">
        <v>3844</v>
      </c>
      <c r="H329" s="30" t="s">
        <v>3851</v>
      </c>
      <c r="I329" s="173" t="s">
        <v>3845</v>
      </c>
      <c r="J329" s="330">
        <v>46.4</v>
      </c>
      <c r="K329" s="330">
        <v>22.03</v>
      </c>
      <c r="L329" s="75">
        <v>21.68</v>
      </c>
      <c r="M329" s="325"/>
      <c r="N329" s="342">
        <f>K329+J329+L329</f>
        <v>90.110000000000014</v>
      </c>
      <c r="O329" s="329"/>
      <c r="P329" s="390"/>
      <c r="Q329" s="362"/>
      <c r="R329" s="308"/>
      <c r="S329" s="330">
        <v>4.05</v>
      </c>
      <c r="T329" s="109">
        <v>1.7</v>
      </c>
      <c r="U329" s="367"/>
      <c r="V329" s="97">
        <f t="shared" si="289"/>
        <v>1.1074918566775244E-2</v>
      </c>
      <c r="W329" s="168">
        <v>153.5</v>
      </c>
      <c r="X329" s="162">
        <v>147</v>
      </c>
      <c r="Y329" s="169">
        <f>W329-X329</f>
        <v>6.5</v>
      </c>
      <c r="Z329" s="165">
        <f>Y329/X329</f>
        <v>4.4217687074829932E-2</v>
      </c>
      <c r="AA329" s="174" t="s">
        <v>2230</v>
      </c>
      <c r="AB329" s="173" t="s">
        <v>3845</v>
      </c>
      <c r="AC329" s="86">
        <v>44273</v>
      </c>
      <c r="AD329" s="85">
        <v>44286</v>
      </c>
      <c r="AE329" s="33">
        <f t="shared" si="291"/>
        <v>13</v>
      </c>
      <c r="AF329" s="41" t="s">
        <v>3837</v>
      </c>
    </row>
    <row r="330" spans="1:34" s="273" customFormat="1">
      <c r="A330" s="132" t="s">
        <v>3841</v>
      </c>
      <c r="B330" s="81">
        <v>7</v>
      </c>
      <c r="C330" s="81">
        <v>9</v>
      </c>
      <c r="D330" s="82">
        <v>-8</v>
      </c>
      <c r="E330" s="81">
        <v>8</v>
      </c>
      <c r="F330" s="58">
        <v>13.36</v>
      </c>
      <c r="G330" s="57" t="s">
        <v>3842</v>
      </c>
      <c r="H330" s="30" t="s">
        <v>3851</v>
      </c>
      <c r="I330" s="173" t="s">
        <v>3843</v>
      </c>
      <c r="J330" s="330">
        <v>63.51</v>
      </c>
      <c r="K330" s="330">
        <v>53.2</v>
      </c>
      <c r="L330" s="330">
        <v>6.74</v>
      </c>
      <c r="M330" s="325"/>
      <c r="N330" s="75">
        <f t="shared" ref="N330:N341" si="292">K330+J330+L330</f>
        <v>123.45</v>
      </c>
      <c r="O330" s="329"/>
      <c r="P330" s="390"/>
      <c r="Q330" s="362"/>
      <c r="R330" s="308"/>
      <c r="S330" s="330">
        <v>0.15</v>
      </c>
      <c r="T330" s="199">
        <v>4.5999999999999996</v>
      </c>
      <c r="U330" s="367"/>
      <c r="V330" s="58">
        <f t="shared" si="289"/>
        <v>3.9316239316239315E-2</v>
      </c>
      <c r="W330" s="172">
        <v>117</v>
      </c>
      <c r="X330" s="66">
        <v>113</v>
      </c>
      <c r="Y330" s="169">
        <f t="shared" ref="Y330:Y352" si="293">W330-X330</f>
        <v>4</v>
      </c>
      <c r="Z330" s="165">
        <f t="shared" ref="Z330:Z352" si="294">Y330/X330</f>
        <v>3.5398230088495575E-2</v>
      </c>
      <c r="AA330" s="174" t="s">
        <v>3541</v>
      </c>
      <c r="AB330" s="173" t="s">
        <v>3843</v>
      </c>
      <c r="AC330" s="86">
        <v>44263</v>
      </c>
      <c r="AD330" s="85">
        <v>44277</v>
      </c>
      <c r="AE330" s="33">
        <f t="shared" si="291"/>
        <v>14</v>
      </c>
      <c r="AF330" s="41" t="s">
        <v>3837</v>
      </c>
    </row>
    <row r="331" spans="1:34" s="273" customFormat="1">
      <c r="A331" s="132" t="s">
        <v>3838</v>
      </c>
      <c r="B331" s="82">
        <v>-10</v>
      </c>
      <c r="C331" s="82">
        <v>-10</v>
      </c>
      <c r="D331" s="82">
        <v>-3</v>
      </c>
      <c r="E331" s="81">
        <v>21</v>
      </c>
      <c r="F331" s="58">
        <v>21.7</v>
      </c>
      <c r="G331" s="41" t="s">
        <v>3839</v>
      </c>
      <c r="H331" s="30" t="s">
        <v>3851</v>
      </c>
      <c r="I331" s="173" t="s">
        <v>3840</v>
      </c>
      <c r="J331" s="75">
        <v>68.209999999999994</v>
      </c>
      <c r="K331" s="75">
        <v>51.18</v>
      </c>
      <c r="L331" s="75">
        <v>6.09</v>
      </c>
      <c r="M331" s="325"/>
      <c r="N331" s="75">
        <f t="shared" si="292"/>
        <v>125.47999999999999</v>
      </c>
      <c r="O331" s="329"/>
      <c r="P331" s="390"/>
      <c r="Q331" s="362"/>
      <c r="R331" s="308"/>
      <c r="S331" s="330">
        <v>0.47</v>
      </c>
      <c r="T331" s="199">
        <v>4.2</v>
      </c>
      <c r="U331" s="367"/>
      <c r="V331" s="58">
        <f t="shared" si="289"/>
        <v>5.3984575835475584E-2</v>
      </c>
      <c r="W331" s="172">
        <v>77.8</v>
      </c>
      <c r="X331" s="66">
        <v>72.2</v>
      </c>
      <c r="Y331" s="169">
        <f t="shared" si="293"/>
        <v>5.5999999999999943</v>
      </c>
      <c r="Z331" s="165">
        <f t="shared" si="294"/>
        <v>7.7562326869806006E-2</v>
      </c>
      <c r="AA331" s="174" t="s">
        <v>2177</v>
      </c>
      <c r="AB331" s="173" t="s">
        <v>3840</v>
      </c>
      <c r="AC331" s="86">
        <v>44266</v>
      </c>
      <c r="AD331" s="85">
        <v>44273</v>
      </c>
      <c r="AE331" s="33">
        <f t="shared" si="291"/>
        <v>7</v>
      </c>
      <c r="AF331" s="41" t="s">
        <v>3837</v>
      </c>
      <c r="AG331" s="194"/>
      <c r="AH331" s="193"/>
    </row>
    <row r="332" spans="1:34" s="273" customFormat="1">
      <c r="A332" s="132" t="s">
        <v>3838</v>
      </c>
      <c r="B332" s="82">
        <v>-10</v>
      </c>
      <c r="C332" s="82">
        <v>-10</v>
      </c>
      <c r="D332" s="82">
        <v>-3</v>
      </c>
      <c r="E332" s="81">
        <v>21</v>
      </c>
      <c r="F332" s="58">
        <v>21.7</v>
      </c>
      <c r="G332" s="41" t="s">
        <v>3839</v>
      </c>
      <c r="H332" s="30" t="s">
        <v>3851</v>
      </c>
      <c r="I332" s="173" t="s">
        <v>3840</v>
      </c>
      <c r="J332" s="75">
        <v>68.209999999999994</v>
      </c>
      <c r="K332" s="75">
        <v>51.18</v>
      </c>
      <c r="L332" s="75">
        <v>6.09</v>
      </c>
      <c r="M332" s="325"/>
      <c r="N332" s="75">
        <f t="shared" si="292"/>
        <v>125.47999999999999</v>
      </c>
      <c r="O332" s="329"/>
      <c r="P332" s="390"/>
      <c r="Q332" s="362"/>
      <c r="R332" s="308"/>
      <c r="S332" s="330">
        <v>0.47</v>
      </c>
      <c r="T332" s="199">
        <v>4.2</v>
      </c>
      <c r="U332" s="367"/>
      <c r="V332" s="58">
        <f t="shared" si="289"/>
        <v>5.3984575835475584E-2</v>
      </c>
      <c r="W332" s="172">
        <v>77.8</v>
      </c>
      <c r="X332" s="66">
        <v>72.2</v>
      </c>
      <c r="Y332" s="169">
        <f t="shared" si="293"/>
        <v>5.5999999999999943</v>
      </c>
      <c r="Z332" s="165">
        <f t="shared" si="294"/>
        <v>7.7562326869806006E-2</v>
      </c>
      <c r="AA332" s="174" t="s">
        <v>2177</v>
      </c>
      <c r="AB332" s="173" t="s">
        <v>3840</v>
      </c>
      <c r="AC332" s="86">
        <v>44266</v>
      </c>
      <c r="AD332" s="85">
        <v>44273</v>
      </c>
      <c r="AE332" s="33">
        <f t="shared" si="291"/>
        <v>7</v>
      </c>
      <c r="AF332" s="41" t="s">
        <v>3837</v>
      </c>
      <c r="AG332" s="194"/>
      <c r="AH332" s="193"/>
    </row>
    <row r="333" spans="1:34" s="273" customFormat="1">
      <c r="A333" s="132" t="s">
        <v>3838</v>
      </c>
      <c r="B333" s="82">
        <v>-10</v>
      </c>
      <c r="C333" s="82">
        <v>-10</v>
      </c>
      <c r="D333" s="82">
        <v>-3</v>
      </c>
      <c r="E333" s="81">
        <v>21</v>
      </c>
      <c r="F333" s="58">
        <v>21.7</v>
      </c>
      <c r="G333" s="41" t="s">
        <v>3839</v>
      </c>
      <c r="H333" s="30" t="s">
        <v>3851</v>
      </c>
      <c r="I333" s="173" t="s">
        <v>3840</v>
      </c>
      <c r="J333" s="75">
        <v>68.209999999999994</v>
      </c>
      <c r="K333" s="75">
        <v>51.18</v>
      </c>
      <c r="L333" s="75">
        <v>6.09</v>
      </c>
      <c r="M333" s="325"/>
      <c r="N333" s="75">
        <f t="shared" si="292"/>
        <v>125.47999999999999</v>
      </c>
      <c r="O333" s="329"/>
      <c r="P333" s="390"/>
      <c r="Q333" s="362"/>
      <c r="R333" s="308"/>
      <c r="S333" s="330">
        <v>0.47</v>
      </c>
      <c r="T333" s="199">
        <v>4.2</v>
      </c>
      <c r="U333" s="367"/>
      <c r="V333" s="58">
        <f t="shared" si="289"/>
        <v>5.3984575835475584E-2</v>
      </c>
      <c r="W333" s="172">
        <v>77.8</v>
      </c>
      <c r="X333" s="66">
        <v>71.2</v>
      </c>
      <c r="Y333" s="169">
        <f t="shared" si="293"/>
        <v>6.5999999999999943</v>
      </c>
      <c r="Z333" s="165">
        <f t="shared" si="294"/>
        <v>9.2696629213483067E-2</v>
      </c>
      <c r="AA333" s="174" t="s">
        <v>3854</v>
      </c>
      <c r="AB333" s="173" t="s">
        <v>3840</v>
      </c>
      <c r="AC333" s="86">
        <v>44265</v>
      </c>
      <c r="AD333" s="85">
        <v>44273</v>
      </c>
      <c r="AE333" s="33">
        <f t="shared" si="291"/>
        <v>8</v>
      </c>
      <c r="AF333" s="41" t="s">
        <v>3837</v>
      </c>
      <c r="AG333" s="194"/>
      <c r="AH333" s="193"/>
    </row>
    <row r="334" spans="1:34" s="273" customFormat="1">
      <c r="A334" s="132" t="s">
        <v>3838</v>
      </c>
      <c r="B334" s="82">
        <v>-10</v>
      </c>
      <c r="C334" s="82">
        <v>-10</v>
      </c>
      <c r="D334" s="82">
        <v>-3</v>
      </c>
      <c r="E334" s="81">
        <v>21</v>
      </c>
      <c r="F334" s="58">
        <v>21.7</v>
      </c>
      <c r="G334" s="41" t="s">
        <v>3839</v>
      </c>
      <c r="H334" s="30" t="s">
        <v>3851</v>
      </c>
      <c r="I334" s="173" t="s">
        <v>3840</v>
      </c>
      <c r="J334" s="75">
        <v>68.209999999999994</v>
      </c>
      <c r="K334" s="75">
        <v>51.18</v>
      </c>
      <c r="L334" s="75">
        <v>6.09</v>
      </c>
      <c r="M334" s="325"/>
      <c r="N334" s="75">
        <f t="shared" si="292"/>
        <v>125.47999999999999</v>
      </c>
      <c r="O334" s="329"/>
      <c r="P334" s="390"/>
      <c r="Q334" s="362"/>
      <c r="R334" s="308"/>
      <c r="S334" s="330">
        <v>0.47</v>
      </c>
      <c r="T334" s="199">
        <v>4.2</v>
      </c>
      <c r="U334" s="367"/>
      <c r="V334" s="58">
        <f t="shared" si="289"/>
        <v>5.3984575835475584E-2</v>
      </c>
      <c r="W334" s="172">
        <v>77.8</v>
      </c>
      <c r="X334" s="66">
        <v>71.8</v>
      </c>
      <c r="Y334" s="169">
        <f t="shared" si="293"/>
        <v>6</v>
      </c>
      <c r="Z334" s="165">
        <f t="shared" si="294"/>
        <v>8.3565459610027856E-2</v>
      </c>
      <c r="AA334" s="174" t="s">
        <v>3855</v>
      </c>
      <c r="AB334" s="173" t="s">
        <v>3840</v>
      </c>
      <c r="AC334" s="86">
        <v>44265</v>
      </c>
      <c r="AD334" s="85">
        <v>44273</v>
      </c>
      <c r="AE334" s="33">
        <f t="shared" si="291"/>
        <v>8</v>
      </c>
      <c r="AF334" s="41" t="s">
        <v>3837</v>
      </c>
      <c r="AG334" s="194"/>
      <c r="AH334" s="193"/>
    </row>
    <row r="335" spans="1:34" s="273" customFormat="1">
      <c r="A335" s="132" t="s">
        <v>3838</v>
      </c>
      <c r="B335" s="82">
        <v>-10</v>
      </c>
      <c r="C335" s="82">
        <v>-10</v>
      </c>
      <c r="D335" s="82">
        <v>-3</v>
      </c>
      <c r="E335" s="81">
        <v>21</v>
      </c>
      <c r="F335" s="58">
        <v>21.7</v>
      </c>
      <c r="G335" s="41" t="s">
        <v>3839</v>
      </c>
      <c r="H335" s="30" t="s">
        <v>3851</v>
      </c>
      <c r="I335" s="173" t="s">
        <v>3840</v>
      </c>
      <c r="J335" s="75">
        <v>68.209999999999994</v>
      </c>
      <c r="K335" s="75">
        <v>51.18</v>
      </c>
      <c r="L335" s="75">
        <v>6.09</v>
      </c>
      <c r="M335" s="325"/>
      <c r="N335" s="75">
        <f t="shared" si="292"/>
        <v>125.47999999999999</v>
      </c>
      <c r="O335" s="329"/>
      <c r="P335" s="390"/>
      <c r="Q335" s="362"/>
      <c r="R335" s="308"/>
      <c r="S335" s="330">
        <v>0.47</v>
      </c>
      <c r="T335" s="199">
        <v>4.2</v>
      </c>
      <c r="U335" s="367"/>
      <c r="V335" s="58">
        <f t="shared" si="289"/>
        <v>5.3984575835475584E-2</v>
      </c>
      <c r="W335" s="172">
        <v>77.8</v>
      </c>
      <c r="X335" s="66">
        <v>71.7</v>
      </c>
      <c r="Y335" s="169">
        <f t="shared" si="293"/>
        <v>6.0999999999999943</v>
      </c>
      <c r="Z335" s="165">
        <f t="shared" si="294"/>
        <v>8.5076708507670767E-2</v>
      </c>
      <c r="AA335" s="174" t="s">
        <v>3856</v>
      </c>
      <c r="AB335" s="173" t="s">
        <v>3840</v>
      </c>
      <c r="AC335" s="86">
        <v>44264</v>
      </c>
      <c r="AD335" s="85">
        <v>44273</v>
      </c>
      <c r="AE335" s="33">
        <f t="shared" si="291"/>
        <v>9</v>
      </c>
      <c r="AF335" s="41" t="s">
        <v>3837</v>
      </c>
      <c r="AG335" s="194"/>
      <c r="AH335" s="193"/>
    </row>
    <row r="336" spans="1:34" s="273" customFormat="1">
      <c r="A336" s="148" t="s">
        <v>3857</v>
      </c>
      <c r="B336" s="81">
        <v>7</v>
      </c>
      <c r="C336" s="81">
        <v>0</v>
      </c>
      <c r="D336" s="82">
        <v>-4</v>
      </c>
      <c r="E336" s="81">
        <v>3</v>
      </c>
      <c r="F336" s="6">
        <v>7.51</v>
      </c>
      <c r="G336" s="41" t="s">
        <v>3858</v>
      </c>
      <c r="H336" s="30" t="s">
        <v>3851</v>
      </c>
      <c r="I336" s="160" t="s">
        <v>3859</v>
      </c>
      <c r="J336" s="330">
        <v>85.35</v>
      </c>
      <c r="K336" s="75">
        <v>46.46</v>
      </c>
      <c r="L336" s="330">
        <v>0.17</v>
      </c>
      <c r="M336" s="325"/>
      <c r="N336" s="75">
        <f t="shared" si="292"/>
        <v>131.97999999999999</v>
      </c>
      <c r="O336" s="329"/>
      <c r="P336" s="390"/>
      <c r="Q336" s="362"/>
      <c r="R336" s="308"/>
      <c r="S336" s="330">
        <v>0</v>
      </c>
      <c r="T336" s="199">
        <v>2.5</v>
      </c>
      <c r="U336" s="367"/>
      <c r="V336" s="97">
        <f t="shared" si="289"/>
        <v>3.6390101892285295E-2</v>
      </c>
      <c r="W336" s="172">
        <v>68.7</v>
      </c>
      <c r="X336" s="66">
        <v>68.3</v>
      </c>
      <c r="Y336" s="169">
        <f t="shared" si="293"/>
        <v>0.40000000000000568</v>
      </c>
      <c r="Z336" s="165">
        <f t="shared" si="294"/>
        <v>5.8565153733529385E-3</v>
      </c>
      <c r="AA336" s="102" t="s">
        <v>3860</v>
      </c>
      <c r="AB336" s="160" t="s">
        <v>3859</v>
      </c>
      <c r="AC336" s="86">
        <v>44225</v>
      </c>
      <c r="AD336" s="85">
        <v>44260</v>
      </c>
      <c r="AE336" s="33">
        <f t="shared" si="291"/>
        <v>35</v>
      </c>
      <c r="AF336" s="41" t="s">
        <v>3837</v>
      </c>
      <c r="AG336" s="195"/>
      <c r="AH336" s="193"/>
    </row>
    <row r="337" spans="1:44" s="273" customFormat="1">
      <c r="A337" s="148" t="s">
        <v>3857</v>
      </c>
      <c r="B337" s="81">
        <v>7</v>
      </c>
      <c r="C337" s="81">
        <v>0</v>
      </c>
      <c r="D337" s="82">
        <v>-4</v>
      </c>
      <c r="E337" s="81">
        <v>3</v>
      </c>
      <c r="F337" s="6">
        <v>7.51</v>
      </c>
      <c r="G337" s="41" t="s">
        <v>3858</v>
      </c>
      <c r="H337" s="30" t="s">
        <v>3851</v>
      </c>
      <c r="I337" s="160" t="s">
        <v>3859</v>
      </c>
      <c r="J337" s="330">
        <v>85.35</v>
      </c>
      <c r="K337" s="75">
        <v>46.46</v>
      </c>
      <c r="L337" s="330">
        <v>0.17</v>
      </c>
      <c r="M337" s="325"/>
      <c r="N337" s="75">
        <f t="shared" si="292"/>
        <v>131.97999999999999</v>
      </c>
      <c r="O337" s="329"/>
      <c r="P337" s="390"/>
      <c r="Q337" s="362"/>
      <c r="R337" s="308"/>
      <c r="S337" s="330">
        <v>0</v>
      </c>
      <c r="T337" s="199">
        <v>2.5</v>
      </c>
      <c r="U337" s="367"/>
      <c r="V337" s="97">
        <f t="shared" si="289"/>
        <v>3.6390101892285295E-2</v>
      </c>
      <c r="W337" s="172">
        <v>68.7</v>
      </c>
      <c r="X337" s="66">
        <v>68.400000000000006</v>
      </c>
      <c r="Y337" s="169">
        <f t="shared" si="293"/>
        <v>0.29999999999999716</v>
      </c>
      <c r="Z337" s="165">
        <f t="shared" si="294"/>
        <v>4.3859649122806599E-3</v>
      </c>
      <c r="AA337" s="102" t="s">
        <v>3861</v>
      </c>
      <c r="AB337" s="160" t="s">
        <v>3859</v>
      </c>
      <c r="AC337" s="86">
        <v>44225</v>
      </c>
      <c r="AD337" s="85">
        <v>44260</v>
      </c>
      <c r="AE337" s="33">
        <f t="shared" si="291"/>
        <v>35</v>
      </c>
      <c r="AF337" s="41" t="s">
        <v>3837</v>
      </c>
      <c r="AG337" s="195"/>
      <c r="AH337" s="193"/>
    </row>
    <row r="338" spans="1:44" s="273" customFormat="1">
      <c r="A338" s="148" t="s">
        <v>3857</v>
      </c>
      <c r="B338" s="81">
        <v>7</v>
      </c>
      <c r="C338" s="81">
        <v>0</v>
      </c>
      <c r="D338" s="82">
        <v>-4</v>
      </c>
      <c r="E338" s="81">
        <v>3</v>
      </c>
      <c r="F338" s="6">
        <v>7.51</v>
      </c>
      <c r="G338" s="41" t="s">
        <v>3858</v>
      </c>
      <c r="H338" s="30" t="s">
        <v>3851</v>
      </c>
      <c r="I338" s="160" t="s">
        <v>3859</v>
      </c>
      <c r="J338" s="330">
        <v>85.35</v>
      </c>
      <c r="K338" s="75">
        <v>46.46</v>
      </c>
      <c r="L338" s="330">
        <v>0.17</v>
      </c>
      <c r="M338" s="325"/>
      <c r="N338" s="75">
        <f t="shared" si="292"/>
        <v>131.97999999999999</v>
      </c>
      <c r="O338" s="329"/>
      <c r="P338" s="390"/>
      <c r="Q338" s="362"/>
      <c r="R338" s="308"/>
      <c r="S338" s="330">
        <v>0</v>
      </c>
      <c r="T338" s="199">
        <v>2.5</v>
      </c>
      <c r="U338" s="367"/>
      <c r="V338" s="97">
        <f t="shared" si="289"/>
        <v>3.6390101892285295E-2</v>
      </c>
      <c r="W338" s="172">
        <v>68.7</v>
      </c>
      <c r="X338" s="66">
        <v>68.5</v>
      </c>
      <c r="Y338" s="169">
        <f t="shared" si="293"/>
        <v>0.20000000000000284</v>
      </c>
      <c r="Z338" s="165">
        <f t="shared" si="294"/>
        <v>2.9197080291971217E-3</v>
      </c>
      <c r="AA338" s="102" t="s">
        <v>3862</v>
      </c>
      <c r="AB338" s="160" t="s">
        <v>3859</v>
      </c>
      <c r="AC338" s="86">
        <v>44225</v>
      </c>
      <c r="AD338" s="85">
        <v>44260</v>
      </c>
      <c r="AE338" s="33">
        <f t="shared" si="291"/>
        <v>35</v>
      </c>
      <c r="AF338" s="41" t="s">
        <v>3837</v>
      </c>
      <c r="AG338" s="195"/>
      <c r="AH338" s="193"/>
    </row>
    <row r="339" spans="1:44" s="273" customFormat="1">
      <c r="A339" s="148" t="s">
        <v>3857</v>
      </c>
      <c r="B339" s="81">
        <v>7</v>
      </c>
      <c r="C339" s="81">
        <v>0</v>
      </c>
      <c r="D339" s="82">
        <v>-4</v>
      </c>
      <c r="E339" s="81">
        <v>3</v>
      </c>
      <c r="F339" s="6">
        <v>7.51</v>
      </c>
      <c r="G339" s="41" t="s">
        <v>3858</v>
      </c>
      <c r="H339" s="30" t="s">
        <v>3851</v>
      </c>
      <c r="I339" s="160" t="s">
        <v>3859</v>
      </c>
      <c r="J339" s="330">
        <v>85.35</v>
      </c>
      <c r="K339" s="75">
        <v>46.46</v>
      </c>
      <c r="L339" s="330">
        <v>0.17</v>
      </c>
      <c r="M339" s="325"/>
      <c r="N339" s="75">
        <f t="shared" si="292"/>
        <v>131.97999999999999</v>
      </c>
      <c r="O339" s="329"/>
      <c r="P339" s="390"/>
      <c r="Q339" s="362"/>
      <c r="R339" s="308"/>
      <c r="S339" s="330">
        <v>0</v>
      </c>
      <c r="T339" s="199">
        <v>2.5</v>
      </c>
      <c r="U339" s="367"/>
      <c r="V339" s="97">
        <f t="shared" si="289"/>
        <v>3.6390101892285295E-2</v>
      </c>
      <c r="W339" s="172">
        <v>68.7</v>
      </c>
      <c r="X339" s="66">
        <v>68.5</v>
      </c>
      <c r="Y339" s="169">
        <f t="shared" si="293"/>
        <v>0.20000000000000284</v>
      </c>
      <c r="Z339" s="165">
        <f t="shared" si="294"/>
        <v>2.9197080291971217E-3</v>
      </c>
      <c r="AA339" s="102" t="s">
        <v>3862</v>
      </c>
      <c r="AB339" s="160" t="s">
        <v>3859</v>
      </c>
      <c r="AC339" s="86">
        <v>44225</v>
      </c>
      <c r="AD339" s="85">
        <v>44260</v>
      </c>
      <c r="AE339" s="33">
        <f t="shared" si="291"/>
        <v>35</v>
      </c>
      <c r="AF339" s="41" t="s">
        <v>3837</v>
      </c>
      <c r="AG339" s="195"/>
      <c r="AH339" s="193"/>
    </row>
    <row r="340" spans="1:44" s="273" customFormat="1">
      <c r="A340" s="148" t="s">
        <v>3857</v>
      </c>
      <c r="B340" s="81">
        <v>7</v>
      </c>
      <c r="C340" s="81">
        <v>0</v>
      </c>
      <c r="D340" s="82">
        <v>-4</v>
      </c>
      <c r="E340" s="81">
        <v>3</v>
      </c>
      <c r="F340" s="6">
        <v>7.51</v>
      </c>
      <c r="G340" s="41" t="s">
        <v>3858</v>
      </c>
      <c r="H340" s="30" t="s">
        <v>3851</v>
      </c>
      <c r="I340" s="160" t="s">
        <v>3859</v>
      </c>
      <c r="J340" s="330">
        <v>85.35</v>
      </c>
      <c r="K340" s="75">
        <v>46.46</v>
      </c>
      <c r="L340" s="330">
        <v>0.17</v>
      </c>
      <c r="M340" s="325"/>
      <c r="N340" s="75">
        <f t="shared" si="292"/>
        <v>131.97999999999999</v>
      </c>
      <c r="O340" s="329"/>
      <c r="P340" s="390"/>
      <c r="Q340" s="362"/>
      <c r="R340" s="308"/>
      <c r="S340" s="330">
        <v>0</v>
      </c>
      <c r="T340" s="199">
        <v>2.5</v>
      </c>
      <c r="U340" s="367"/>
      <c r="V340" s="97">
        <f t="shared" si="289"/>
        <v>3.6390101892285295E-2</v>
      </c>
      <c r="W340" s="172">
        <v>68.7</v>
      </c>
      <c r="X340" s="66">
        <v>68.2</v>
      </c>
      <c r="Y340" s="169">
        <f t="shared" si="293"/>
        <v>0.5</v>
      </c>
      <c r="Z340" s="165">
        <f t="shared" si="294"/>
        <v>7.3313782991202342E-3</v>
      </c>
      <c r="AA340" s="102" t="s">
        <v>3863</v>
      </c>
      <c r="AB340" s="160" t="s">
        <v>3859</v>
      </c>
      <c r="AC340" s="86">
        <v>44225</v>
      </c>
      <c r="AD340" s="85">
        <v>44260</v>
      </c>
      <c r="AE340" s="33">
        <f t="shared" si="291"/>
        <v>35</v>
      </c>
      <c r="AF340" s="41" t="s">
        <v>3837</v>
      </c>
      <c r="AG340" s="195"/>
      <c r="AH340" s="193"/>
    </row>
    <row r="341" spans="1:44" s="273" customFormat="1">
      <c r="A341" s="148" t="s">
        <v>3857</v>
      </c>
      <c r="B341" s="81">
        <v>7</v>
      </c>
      <c r="C341" s="81">
        <v>0</v>
      </c>
      <c r="D341" s="82">
        <v>-4</v>
      </c>
      <c r="E341" s="81">
        <v>3</v>
      </c>
      <c r="F341" s="6">
        <v>7.51</v>
      </c>
      <c r="G341" s="41" t="s">
        <v>3858</v>
      </c>
      <c r="H341" s="30" t="s">
        <v>3851</v>
      </c>
      <c r="I341" s="160" t="s">
        <v>3859</v>
      </c>
      <c r="J341" s="330">
        <v>85.35</v>
      </c>
      <c r="K341" s="75">
        <v>46.46</v>
      </c>
      <c r="L341" s="330">
        <v>0.17</v>
      </c>
      <c r="M341" s="325"/>
      <c r="N341" s="75">
        <f t="shared" si="292"/>
        <v>131.97999999999999</v>
      </c>
      <c r="O341" s="329"/>
      <c r="P341" s="390"/>
      <c r="Q341" s="362"/>
      <c r="R341" s="308"/>
      <c r="S341" s="330">
        <v>0</v>
      </c>
      <c r="T341" s="199">
        <v>2.5</v>
      </c>
      <c r="U341" s="367"/>
      <c r="V341" s="97">
        <f t="shared" si="289"/>
        <v>3.6390101892285295E-2</v>
      </c>
      <c r="W341" s="172">
        <v>68.7</v>
      </c>
      <c r="X341" s="66">
        <v>68.2</v>
      </c>
      <c r="Y341" s="169">
        <f t="shared" si="293"/>
        <v>0.5</v>
      </c>
      <c r="Z341" s="165">
        <f t="shared" si="294"/>
        <v>7.3313782991202342E-3</v>
      </c>
      <c r="AA341" s="102" t="s">
        <v>3863</v>
      </c>
      <c r="AB341" s="160" t="s">
        <v>3859</v>
      </c>
      <c r="AC341" s="86">
        <v>44225</v>
      </c>
      <c r="AD341" s="85">
        <v>44260</v>
      </c>
      <c r="AE341" s="33">
        <f t="shared" si="291"/>
        <v>35</v>
      </c>
      <c r="AF341" s="41" t="s">
        <v>3837</v>
      </c>
      <c r="AG341" s="195"/>
      <c r="AH341" s="193"/>
    </row>
    <row r="342" spans="1:44" s="273" customFormat="1">
      <c r="A342" s="148" t="s">
        <v>3864</v>
      </c>
      <c r="B342" s="82">
        <v>-115</v>
      </c>
      <c r="C342" s="82">
        <v>-36</v>
      </c>
      <c r="D342" s="81">
        <v>21</v>
      </c>
      <c r="E342" s="81">
        <v>24</v>
      </c>
      <c r="F342" s="6">
        <v>3.06</v>
      </c>
      <c r="G342" s="41" t="s">
        <v>3865</v>
      </c>
      <c r="H342" s="8" t="s">
        <v>3868</v>
      </c>
      <c r="I342" s="160" t="s">
        <v>3866</v>
      </c>
      <c r="J342" s="75">
        <v>60.69</v>
      </c>
      <c r="K342" s="75">
        <v>29.52</v>
      </c>
      <c r="L342" s="75">
        <v>3.12</v>
      </c>
      <c r="M342" s="325"/>
      <c r="N342" s="325">
        <f>K342+J342+L342</f>
        <v>93.33</v>
      </c>
      <c r="O342" s="329"/>
      <c r="P342" s="390"/>
      <c r="Q342" s="362"/>
      <c r="R342" s="308"/>
      <c r="S342" s="330">
        <v>0.1</v>
      </c>
      <c r="T342" s="199">
        <v>0.5</v>
      </c>
      <c r="U342" s="367"/>
      <c r="V342" s="58">
        <f>T342/W342</f>
        <v>1.7953321364452424E-2</v>
      </c>
      <c r="W342" s="168">
        <v>27.85</v>
      </c>
      <c r="X342" s="66">
        <v>27.35</v>
      </c>
      <c r="Y342" s="169">
        <f t="shared" si="293"/>
        <v>0.5</v>
      </c>
      <c r="Z342" s="165">
        <f t="shared" si="294"/>
        <v>1.8281535648994516E-2</v>
      </c>
      <c r="AA342" s="198" t="s">
        <v>3867</v>
      </c>
      <c r="AB342" s="160" t="s">
        <v>3866</v>
      </c>
      <c r="AC342" s="86">
        <v>44253</v>
      </c>
      <c r="AD342" s="85">
        <v>44258</v>
      </c>
      <c r="AE342" s="33">
        <f t="shared" si="291"/>
        <v>5</v>
      </c>
      <c r="AF342" s="41" t="s">
        <v>3837</v>
      </c>
      <c r="AG342" s="194"/>
      <c r="AH342" s="193"/>
    </row>
    <row r="343" spans="1:44" s="178" customFormat="1" ht="17.100000000000001" customHeight="1">
      <c r="A343" s="41"/>
      <c r="B343" s="82">
        <v>-79</v>
      </c>
      <c r="C343" s="81">
        <v>46</v>
      </c>
      <c r="D343" s="82">
        <v>-79</v>
      </c>
      <c r="E343" s="81">
        <v>46</v>
      </c>
      <c r="F343" s="6">
        <v>-1.74</v>
      </c>
      <c r="G343" s="41" t="s">
        <v>3869</v>
      </c>
      <c r="H343" s="50" t="s">
        <v>3873</v>
      </c>
      <c r="I343" s="160" t="s">
        <v>3870</v>
      </c>
      <c r="J343" s="75">
        <v>30.17</v>
      </c>
      <c r="K343" s="330">
        <v>14.25</v>
      </c>
      <c r="L343" s="75">
        <v>4.32</v>
      </c>
      <c r="M343" s="325"/>
      <c r="N343" s="325">
        <f t="shared" ref="N343:N350" si="295">S343+K343+J343+L343</f>
        <v>56.35</v>
      </c>
      <c r="O343" s="329"/>
      <c r="P343" s="390"/>
      <c r="Q343" s="362"/>
      <c r="R343" s="308"/>
      <c r="S343" s="330">
        <v>7.61</v>
      </c>
      <c r="T343" s="199">
        <v>0</v>
      </c>
      <c r="U343" s="367"/>
      <c r="V343" s="97">
        <f t="shared" ref="V343:V350" si="296">T343/W343</f>
        <v>0</v>
      </c>
      <c r="W343" s="168">
        <v>12.75</v>
      </c>
      <c r="X343" s="66">
        <f>22.63-1.7</f>
        <v>20.93</v>
      </c>
      <c r="Y343" s="169">
        <f t="shared" si="293"/>
        <v>-8.18</v>
      </c>
      <c r="Z343" s="171">
        <f t="shared" si="294"/>
        <v>-0.3908265647396082</v>
      </c>
      <c r="AA343" s="117" t="s">
        <v>3871</v>
      </c>
      <c r="AB343" s="160" t="s">
        <v>3872</v>
      </c>
      <c r="AC343" s="86">
        <v>42776</v>
      </c>
      <c r="AD343" s="85">
        <v>44258</v>
      </c>
      <c r="AE343" s="140">
        <f t="shared" si="291"/>
        <v>1482</v>
      </c>
      <c r="AF343" s="41" t="s">
        <v>3837</v>
      </c>
      <c r="AG343" s="27"/>
      <c r="AH343" s="17"/>
      <c r="AI343" s="11"/>
      <c r="AJ343" s="11"/>
      <c r="AK343" s="11"/>
      <c r="AL343" s="11"/>
      <c r="AM343" s="273"/>
      <c r="AN343" s="273"/>
      <c r="AP343" s="4"/>
      <c r="AQ343" s="273"/>
      <c r="AR343" s="273"/>
    </row>
    <row r="344" spans="1:44" s="178" customFormat="1" ht="17.100000000000001" customHeight="1">
      <c r="A344" s="41"/>
      <c r="B344" s="82">
        <v>-79</v>
      </c>
      <c r="C344" s="81">
        <v>46</v>
      </c>
      <c r="D344" s="82">
        <v>-79</v>
      </c>
      <c r="E344" s="81">
        <v>46</v>
      </c>
      <c r="F344" s="6">
        <v>-1.74</v>
      </c>
      <c r="G344" s="41" t="s">
        <v>3869</v>
      </c>
      <c r="H344" s="50" t="s">
        <v>3873</v>
      </c>
      <c r="I344" s="160" t="s">
        <v>3870</v>
      </c>
      <c r="J344" s="75">
        <v>30.17</v>
      </c>
      <c r="K344" s="330">
        <v>14.25</v>
      </c>
      <c r="L344" s="75">
        <v>4.32</v>
      </c>
      <c r="M344" s="325"/>
      <c r="N344" s="325">
        <f t="shared" si="295"/>
        <v>56.35</v>
      </c>
      <c r="O344" s="329"/>
      <c r="P344" s="390"/>
      <c r="Q344" s="362"/>
      <c r="R344" s="308"/>
      <c r="S344" s="330">
        <v>7.61</v>
      </c>
      <c r="T344" s="199">
        <v>0</v>
      </c>
      <c r="U344" s="367"/>
      <c r="V344" s="97">
        <f t="shared" si="296"/>
        <v>0</v>
      </c>
      <c r="W344" s="168">
        <v>12.75</v>
      </c>
      <c r="X344" s="66">
        <v>13.52</v>
      </c>
      <c r="Y344" s="169">
        <f t="shared" si="293"/>
        <v>-0.76999999999999957</v>
      </c>
      <c r="Z344" s="171">
        <f t="shared" si="294"/>
        <v>-5.6952662721893463E-2</v>
      </c>
      <c r="AA344" s="117" t="s">
        <v>3874</v>
      </c>
      <c r="AB344" s="160" t="s">
        <v>3870</v>
      </c>
      <c r="AC344" s="86">
        <v>43376</v>
      </c>
      <c r="AD344" s="85">
        <v>44258</v>
      </c>
      <c r="AE344" s="79">
        <f t="shared" si="291"/>
        <v>882</v>
      </c>
      <c r="AF344" s="41" t="s">
        <v>3837</v>
      </c>
      <c r="AG344" s="27"/>
      <c r="AH344" s="17"/>
      <c r="AI344" s="11"/>
      <c r="AJ344" s="11"/>
      <c r="AK344" s="11"/>
      <c r="AL344" s="11"/>
      <c r="AM344" s="273"/>
      <c r="AN344" s="273"/>
      <c r="AP344" s="4"/>
      <c r="AQ344" s="273"/>
      <c r="AR344" s="273"/>
    </row>
    <row r="345" spans="1:44" s="178" customFormat="1" ht="17.100000000000001" customHeight="1">
      <c r="A345" s="41"/>
      <c r="B345" s="82">
        <v>-79</v>
      </c>
      <c r="C345" s="81">
        <v>46</v>
      </c>
      <c r="D345" s="82">
        <v>-79</v>
      </c>
      <c r="E345" s="81">
        <v>46</v>
      </c>
      <c r="F345" s="6">
        <v>-1.74</v>
      </c>
      <c r="G345" s="41" t="s">
        <v>3869</v>
      </c>
      <c r="H345" s="50" t="s">
        <v>3873</v>
      </c>
      <c r="I345" s="160" t="s">
        <v>3870</v>
      </c>
      <c r="J345" s="75">
        <v>30.17</v>
      </c>
      <c r="K345" s="330">
        <v>14.25</v>
      </c>
      <c r="L345" s="75">
        <v>4.32</v>
      </c>
      <c r="M345" s="325"/>
      <c r="N345" s="325">
        <f t="shared" si="295"/>
        <v>56.35</v>
      </c>
      <c r="O345" s="329"/>
      <c r="P345" s="390"/>
      <c r="Q345" s="362"/>
      <c r="R345" s="308"/>
      <c r="S345" s="330">
        <v>7.61</v>
      </c>
      <c r="T345" s="199">
        <v>0</v>
      </c>
      <c r="U345" s="367"/>
      <c r="V345" s="97">
        <f t="shared" si="296"/>
        <v>0</v>
      </c>
      <c r="W345" s="168">
        <v>12.75</v>
      </c>
      <c r="X345" s="66">
        <v>12.87</v>
      </c>
      <c r="Y345" s="169">
        <f t="shared" si="293"/>
        <v>-0.11999999999999922</v>
      </c>
      <c r="Z345" s="171">
        <f t="shared" si="294"/>
        <v>-9.3240093240092633E-3</v>
      </c>
      <c r="AA345" s="117" t="s">
        <v>3875</v>
      </c>
      <c r="AB345" s="160" t="s">
        <v>3870</v>
      </c>
      <c r="AC345" s="86">
        <v>43347</v>
      </c>
      <c r="AD345" s="85">
        <v>44258</v>
      </c>
      <c r="AE345" s="79">
        <f t="shared" si="291"/>
        <v>911</v>
      </c>
      <c r="AF345" s="41" t="s">
        <v>3837</v>
      </c>
      <c r="AG345" s="27"/>
      <c r="AH345" s="17"/>
      <c r="AI345" s="11"/>
      <c r="AJ345" s="11"/>
      <c r="AK345" s="11"/>
      <c r="AL345" s="11"/>
      <c r="AM345" s="273"/>
      <c r="AN345" s="273"/>
      <c r="AP345" s="4"/>
      <c r="AQ345" s="273"/>
      <c r="AR345" s="273"/>
    </row>
    <row r="346" spans="1:44" s="273" customFormat="1" ht="16.5" customHeight="1">
      <c r="A346" s="147"/>
      <c r="B346" s="81">
        <v>62</v>
      </c>
      <c r="C346" s="81">
        <v>118</v>
      </c>
      <c r="D346" s="81">
        <v>62</v>
      </c>
      <c r="E346" s="81">
        <v>118</v>
      </c>
      <c r="F346" s="6">
        <v>0.45</v>
      </c>
      <c r="G346" s="41" t="s">
        <v>3869</v>
      </c>
      <c r="H346" s="50" t="s">
        <v>3873</v>
      </c>
      <c r="I346" s="160" t="s">
        <v>3870</v>
      </c>
      <c r="J346" s="75">
        <v>30.23</v>
      </c>
      <c r="K346" s="330">
        <v>14.22</v>
      </c>
      <c r="L346" s="75">
        <v>4.33</v>
      </c>
      <c r="M346" s="325"/>
      <c r="N346" s="325">
        <f t="shared" si="295"/>
        <v>56.39</v>
      </c>
      <c r="O346" s="329"/>
      <c r="P346" s="390"/>
      <c r="Q346" s="362"/>
      <c r="R346" s="308"/>
      <c r="S346" s="330">
        <v>7.61</v>
      </c>
      <c r="T346" s="199">
        <v>0</v>
      </c>
      <c r="U346" s="367"/>
      <c r="V346" s="97">
        <f t="shared" si="296"/>
        <v>0</v>
      </c>
      <c r="W346" s="168">
        <f>12.75*3</f>
        <v>38.25</v>
      </c>
      <c r="X346" s="66">
        <f>11.05*AF346</f>
        <v>33.150000000000006</v>
      </c>
      <c r="Y346" s="169">
        <f t="shared" si="293"/>
        <v>5.0999999999999943</v>
      </c>
      <c r="Z346" s="165">
        <f t="shared" si="294"/>
        <v>0.15384615384615366</v>
      </c>
      <c r="AA346" s="116" t="s">
        <v>3876</v>
      </c>
      <c r="AB346" s="160" t="s">
        <v>3870</v>
      </c>
      <c r="AC346" s="86">
        <v>43696</v>
      </c>
      <c r="AD346" s="85">
        <v>44258</v>
      </c>
      <c r="AE346" s="79">
        <f t="shared" si="291"/>
        <v>562</v>
      </c>
      <c r="AF346" s="41" t="s">
        <v>3846</v>
      </c>
      <c r="AG346" s="170"/>
    </row>
    <row r="347" spans="1:44" s="273" customFormat="1" ht="16.5" customHeight="1">
      <c r="A347" s="149"/>
      <c r="B347" s="81">
        <v>62</v>
      </c>
      <c r="C347" s="81">
        <v>118</v>
      </c>
      <c r="D347" s="81">
        <v>62</v>
      </c>
      <c r="E347" s="81">
        <v>118</v>
      </c>
      <c r="F347" s="6">
        <v>0.45</v>
      </c>
      <c r="G347" s="41" t="s">
        <v>3869</v>
      </c>
      <c r="H347" s="50" t="s">
        <v>3873</v>
      </c>
      <c r="I347" s="160" t="s">
        <v>3870</v>
      </c>
      <c r="J347" s="330">
        <v>30.06</v>
      </c>
      <c r="K347" s="75">
        <v>14.23</v>
      </c>
      <c r="L347" s="330">
        <v>4.25</v>
      </c>
      <c r="M347" s="325"/>
      <c r="N347" s="325">
        <f t="shared" si="295"/>
        <v>56.15</v>
      </c>
      <c r="O347" s="329"/>
      <c r="P347" s="390"/>
      <c r="Q347" s="362"/>
      <c r="R347" s="308"/>
      <c r="S347" s="330">
        <v>7.61</v>
      </c>
      <c r="T347" s="199">
        <v>0</v>
      </c>
      <c r="U347" s="367"/>
      <c r="V347" s="97">
        <f t="shared" si="296"/>
        <v>0</v>
      </c>
      <c r="W347" s="168">
        <f>12.75*5</f>
        <v>63.75</v>
      </c>
      <c r="X347" s="66">
        <f>11*AF347</f>
        <v>55</v>
      </c>
      <c r="Y347" s="169">
        <f t="shared" si="293"/>
        <v>8.75</v>
      </c>
      <c r="Z347" s="165">
        <f t="shared" si="294"/>
        <v>0.15909090909090909</v>
      </c>
      <c r="AA347" s="116" t="s">
        <v>3877</v>
      </c>
      <c r="AB347" s="160" t="s">
        <v>3870</v>
      </c>
      <c r="AC347" s="86">
        <v>43713</v>
      </c>
      <c r="AD347" s="85">
        <v>44258</v>
      </c>
      <c r="AE347" s="79">
        <f t="shared" si="291"/>
        <v>545</v>
      </c>
      <c r="AF347" s="41" t="s">
        <v>3878</v>
      </c>
    </row>
    <row r="348" spans="1:44" s="273" customFormat="1" ht="16.5" customHeight="1">
      <c r="A348" s="149"/>
      <c r="B348" s="81">
        <v>62</v>
      </c>
      <c r="C348" s="81">
        <v>118</v>
      </c>
      <c r="D348" s="81">
        <v>62</v>
      </c>
      <c r="E348" s="81">
        <v>118</v>
      </c>
      <c r="F348" s="6">
        <v>0.45</v>
      </c>
      <c r="G348" s="41" t="s">
        <v>3869</v>
      </c>
      <c r="H348" s="50" t="s">
        <v>3881</v>
      </c>
      <c r="I348" s="160" t="s">
        <v>3870</v>
      </c>
      <c r="J348" s="330">
        <v>30.06</v>
      </c>
      <c r="K348" s="75">
        <v>14.23</v>
      </c>
      <c r="L348" s="330">
        <v>4.25</v>
      </c>
      <c r="M348" s="325"/>
      <c r="N348" s="325">
        <f t="shared" si="295"/>
        <v>56.15</v>
      </c>
      <c r="O348" s="329"/>
      <c r="P348" s="390"/>
      <c r="Q348" s="362"/>
      <c r="R348" s="308"/>
      <c r="S348" s="330">
        <v>7.61</v>
      </c>
      <c r="T348" s="199">
        <v>0</v>
      </c>
      <c r="U348" s="367"/>
      <c r="V348" s="97">
        <f t="shared" si="296"/>
        <v>0</v>
      </c>
      <c r="W348" s="168">
        <v>12.75</v>
      </c>
      <c r="X348" s="66">
        <v>10.95</v>
      </c>
      <c r="Y348" s="169">
        <f t="shared" si="293"/>
        <v>1.8000000000000007</v>
      </c>
      <c r="Z348" s="165">
        <f t="shared" si="294"/>
        <v>0.16438356164383569</v>
      </c>
      <c r="AA348" s="116" t="s">
        <v>3879</v>
      </c>
      <c r="AB348" s="160" t="s">
        <v>3880</v>
      </c>
      <c r="AC348" s="86">
        <v>43713</v>
      </c>
      <c r="AD348" s="85">
        <v>44258</v>
      </c>
      <c r="AE348" s="79">
        <f t="shared" si="291"/>
        <v>545</v>
      </c>
      <c r="AF348" s="41" t="s">
        <v>3882</v>
      </c>
    </row>
    <row r="349" spans="1:44" s="273" customFormat="1" ht="16.5" customHeight="1">
      <c r="A349" s="149"/>
      <c r="B349" s="81">
        <v>62</v>
      </c>
      <c r="C349" s="81">
        <v>118</v>
      </c>
      <c r="D349" s="81">
        <v>62</v>
      </c>
      <c r="E349" s="81">
        <v>118</v>
      </c>
      <c r="F349" s="6">
        <v>0.45</v>
      </c>
      <c r="G349" s="41" t="s">
        <v>3883</v>
      </c>
      <c r="H349" s="50" t="s">
        <v>3881</v>
      </c>
      <c r="I349" s="160" t="s">
        <v>3880</v>
      </c>
      <c r="J349" s="330">
        <v>30.06</v>
      </c>
      <c r="K349" s="75">
        <v>14.23</v>
      </c>
      <c r="L349" s="330">
        <v>4.25</v>
      </c>
      <c r="M349" s="325"/>
      <c r="N349" s="325">
        <f t="shared" si="295"/>
        <v>56.15</v>
      </c>
      <c r="O349" s="329"/>
      <c r="P349" s="390"/>
      <c r="Q349" s="362"/>
      <c r="R349" s="308"/>
      <c r="S349" s="330">
        <v>7.61</v>
      </c>
      <c r="T349" s="199">
        <v>0</v>
      </c>
      <c r="U349" s="367"/>
      <c r="V349" s="97">
        <f t="shared" si="296"/>
        <v>0</v>
      </c>
      <c r="W349" s="168">
        <v>12.75</v>
      </c>
      <c r="X349" s="66">
        <v>10.7</v>
      </c>
      <c r="Y349" s="169">
        <f t="shared" si="293"/>
        <v>2.0500000000000007</v>
      </c>
      <c r="Z349" s="165">
        <f t="shared" si="294"/>
        <v>0.19158878504672905</v>
      </c>
      <c r="AA349" s="116" t="s">
        <v>3884</v>
      </c>
      <c r="AB349" s="160" t="s">
        <v>3880</v>
      </c>
      <c r="AC349" s="86">
        <v>43791</v>
      </c>
      <c r="AD349" s="85">
        <v>44258</v>
      </c>
      <c r="AE349" s="79">
        <f t="shared" si="291"/>
        <v>467</v>
      </c>
      <c r="AF349" s="41" t="s">
        <v>3882</v>
      </c>
    </row>
    <row r="350" spans="1:44" s="273" customFormat="1" ht="16.5" customHeight="1">
      <c r="A350" s="149"/>
      <c r="B350" s="81">
        <v>62</v>
      </c>
      <c r="C350" s="81">
        <v>118</v>
      </c>
      <c r="D350" s="81">
        <v>62</v>
      </c>
      <c r="E350" s="81">
        <v>118</v>
      </c>
      <c r="F350" s="6">
        <v>0.45</v>
      </c>
      <c r="G350" s="41" t="s">
        <v>3883</v>
      </c>
      <c r="H350" s="50" t="s">
        <v>3881</v>
      </c>
      <c r="I350" s="160" t="s">
        <v>3880</v>
      </c>
      <c r="J350" s="330">
        <v>30.06</v>
      </c>
      <c r="K350" s="75">
        <v>14.23</v>
      </c>
      <c r="L350" s="330">
        <v>4.25</v>
      </c>
      <c r="M350" s="325"/>
      <c r="N350" s="325">
        <f t="shared" si="295"/>
        <v>56.15</v>
      </c>
      <c r="O350" s="329"/>
      <c r="P350" s="390"/>
      <c r="Q350" s="362"/>
      <c r="R350" s="308"/>
      <c r="S350" s="330">
        <v>7.61</v>
      </c>
      <c r="T350" s="199">
        <v>0</v>
      </c>
      <c r="U350" s="367"/>
      <c r="V350" s="97">
        <f t="shared" si="296"/>
        <v>0</v>
      </c>
      <c r="W350" s="168">
        <v>12.75</v>
      </c>
      <c r="X350" s="66">
        <v>10.65</v>
      </c>
      <c r="Y350" s="169">
        <f t="shared" si="293"/>
        <v>2.0999999999999996</v>
      </c>
      <c r="Z350" s="165">
        <f t="shared" si="294"/>
        <v>0.19718309859154926</v>
      </c>
      <c r="AA350" s="116" t="s">
        <v>3885</v>
      </c>
      <c r="AB350" s="160" t="s">
        <v>3880</v>
      </c>
      <c r="AC350" s="86">
        <v>43791</v>
      </c>
      <c r="AD350" s="85">
        <v>44258</v>
      </c>
      <c r="AE350" s="79">
        <f t="shared" si="291"/>
        <v>467</v>
      </c>
      <c r="AF350" s="41" t="s">
        <v>3882</v>
      </c>
    </row>
    <row r="351" spans="1:44" s="273" customFormat="1">
      <c r="A351" s="132" t="s">
        <v>3886</v>
      </c>
      <c r="B351" s="82">
        <v>-16</v>
      </c>
      <c r="C351" s="82">
        <v>-15</v>
      </c>
      <c r="D351" s="81">
        <v>6</v>
      </c>
      <c r="E351" s="81">
        <v>14</v>
      </c>
      <c r="F351" s="58">
        <v>21.2</v>
      </c>
      <c r="G351" s="41" t="s">
        <v>3887</v>
      </c>
      <c r="H351" s="30" t="s">
        <v>3890</v>
      </c>
      <c r="I351" s="173" t="s">
        <v>3888</v>
      </c>
      <c r="J351" s="75">
        <v>69.09</v>
      </c>
      <c r="K351" s="75">
        <v>50.28</v>
      </c>
      <c r="L351" s="75">
        <v>5.86</v>
      </c>
      <c r="M351" s="325"/>
      <c r="N351" s="75">
        <f t="shared" ref="N351:N352" si="297">K351+J351+L351</f>
        <v>125.23</v>
      </c>
      <c r="O351" s="329"/>
      <c r="P351" s="390"/>
      <c r="Q351" s="362"/>
      <c r="R351" s="308"/>
      <c r="S351" s="330">
        <v>0.28999999999999998</v>
      </c>
      <c r="T351" s="66">
        <v>4.2</v>
      </c>
      <c r="U351" s="367"/>
      <c r="V351" s="39">
        <f>T351/W351</f>
        <v>5.5118110236220472E-2</v>
      </c>
      <c r="W351" s="172">
        <v>76.2</v>
      </c>
      <c r="X351" s="66">
        <v>73</v>
      </c>
      <c r="Y351" s="169">
        <f t="shared" si="293"/>
        <v>3.2000000000000028</v>
      </c>
      <c r="Z351" s="165">
        <f t="shared" si="294"/>
        <v>4.3835616438356206E-2</v>
      </c>
      <c r="AA351" s="198" t="s">
        <v>3889</v>
      </c>
      <c r="AB351" s="173" t="s">
        <v>3888</v>
      </c>
      <c r="AC351" s="86">
        <v>44246</v>
      </c>
      <c r="AD351" s="85">
        <v>44257</v>
      </c>
      <c r="AE351" s="33">
        <f t="shared" si="291"/>
        <v>11</v>
      </c>
      <c r="AF351" s="41" t="s">
        <v>3882</v>
      </c>
    </row>
    <row r="352" spans="1:44" s="273" customFormat="1">
      <c r="A352" s="132" t="s">
        <v>3886</v>
      </c>
      <c r="B352" s="82">
        <v>-16</v>
      </c>
      <c r="C352" s="82">
        <v>-15</v>
      </c>
      <c r="D352" s="81">
        <v>6</v>
      </c>
      <c r="E352" s="81">
        <v>14</v>
      </c>
      <c r="F352" s="58">
        <v>21.2</v>
      </c>
      <c r="G352" s="41" t="s">
        <v>3887</v>
      </c>
      <c r="H352" s="30" t="s">
        <v>3851</v>
      </c>
      <c r="I352" s="173" t="s">
        <v>3888</v>
      </c>
      <c r="J352" s="75">
        <v>69.09</v>
      </c>
      <c r="K352" s="75">
        <v>50.28</v>
      </c>
      <c r="L352" s="75">
        <v>5.86</v>
      </c>
      <c r="M352" s="325"/>
      <c r="N352" s="75">
        <f t="shared" si="297"/>
        <v>125.23</v>
      </c>
      <c r="O352" s="329"/>
      <c r="P352" s="390"/>
      <c r="Q352" s="362"/>
      <c r="R352" s="308"/>
      <c r="S352" s="330">
        <v>0.28999999999999998</v>
      </c>
      <c r="T352" s="66">
        <v>4.2</v>
      </c>
      <c r="U352" s="367"/>
      <c r="V352" s="39">
        <f>T352/W352</f>
        <v>5.5118110236220472E-2</v>
      </c>
      <c r="W352" s="172">
        <v>76.2</v>
      </c>
      <c r="X352" s="66">
        <v>76</v>
      </c>
      <c r="Y352" s="169">
        <f t="shared" si="293"/>
        <v>0.20000000000000284</v>
      </c>
      <c r="Z352" s="165">
        <f t="shared" si="294"/>
        <v>2.6315789473684583E-3</v>
      </c>
      <c r="AA352" s="198" t="s">
        <v>3891</v>
      </c>
      <c r="AB352" s="173" t="s">
        <v>3840</v>
      </c>
      <c r="AC352" s="86">
        <v>44222</v>
      </c>
      <c r="AD352" s="85">
        <v>44257</v>
      </c>
      <c r="AE352" s="33">
        <f t="shared" si="291"/>
        <v>35</v>
      </c>
      <c r="AF352" s="41" t="s">
        <v>3837</v>
      </c>
    </row>
    <row r="353" spans="1:33" s="273" customFormat="1">
      <c r="A353" s="132"/>
      <c r="B353" s="82"/>
      <c r="C353" s="82"/>
      <c r="D353" s="82"/>
      <c r="E353" s="81"/>
      <c r="F353" s="58"/>
      <c r="G353" s="41"/>
      <c r="H353" s="54"/>
      <c r="I353" s="163"/>
      <c r="J353" s="75"/>
      <c r="K353" s="75"/>
      <c r="L353" s="330"/>
      <c r="M353" s="325"/>
      <c r="N353" s="75"/>
      <c r="O353" s="329"/>
      <c r="P353" s="390"/>
      <c r="Q353" s="362"/>
      <c r="R353" s="308"/>
      <c r="S353" s="330"/>
      <c r="T353" s="66"/>
      <c r="U353" s="367"/>
      <c r="V353" s="39"/>
      <c r="W353" s="168">
        <f>SUM(W327:W352)</f>
        <v>1672.55</v>
      </c>
      <c r="X353" s="66">
        <f>SUM(X327:X352)</f>
        <v>1594.8200000000004</v>
      </c>
      <c r="Y353" s="169">
        <f>SUM(Y327:Y352)</f>
        <v>77.729999999999961</v>
      </c>
      <c r="Z353" s="165">
        <f>Y353/X353</f>
        <v>4.8739042650581224E-2</v>
      </c>
      <c r="AA353" s="190"/>
      <c r="AB353" s="160">
        <f>W353*(0.001425*0.65)+W353*0.003+X353*(0.001425*0.65)</f>
        <v>8.0440514625000006</v>
      </c>
      <c r="AC353" s="6">
        <f>Y353-AB353</f>
        <v>69.685948537499968</v>
      </c>
      <c r="AD353" s="74"/>
      <c r="AE353" s="121"/>
      <c r="AF353" s="41"/>
    </row>
    <row r="354" spans="1:33" s="273" customFormat="1">
      <c r="A354" s="132"/>
      <c r="B354" s="82"/>
      <c r="C354" s="82"/>
      <c r="D354" s="82"/>
      <c r="E354" s="81"/>
      <c r="F354" s="58"/>
      <c r="G354" s="41"/>
      <c r="H354" s="54"/>
      <c r="I354" s="163"/>
      <c r="J354" s="75"/>
      <c r="K354" s="75"/>
      <c r="L354" s="330"/>
      <c r="M354" s="325"/>
      <c r="N354" s="75"/>
      <c r="O354" s="329"/>
      <c r="P354" s="390"/>
      <c r="Q354" s="362"/>
      <c r="R354" s="308"/>
      <c r="S354" s="330"/>
      <c r="T354" s="66"/>
      <c r="U354" s="367"/>
      <c r="V354" s="39"/>
      <c r="W354" s="172"/>
      <c r="X354" s="162"/>
      <c r="Y354" s="169"/>
      <c r="Z354" s="165"/>
      <c r="AA354" s="190"/>
      <c r="AB354" s="160">
        <f>W353*(0.001425*0.28)+W353*0.003+X353*(0.001425*0.28)</f>
        <v>6.3213306300000003</v>
      </c>
      <c r="AC354" s="73"/>
      <c r="AD354" s="74"/>
      <c r="AE354" s="121"/>
      <c r="AF354" s="41"/>
    </row>
    <row r="355" spans="1:33">
      <c r="B355" s="81"/>
      <c r="C355" s="81"/>
      <c r="D355" s="81"/>
      <c r="E355" s="81"/>
      <c r="F355" s="6"/>
      <c r="G355" s="41"/>
      <c r="H355" s="8"/>
      <c r="I355" s="22"/>
      <c r="J355" s="330"/>
      <c r="K355" s="330"/>
      <c r="L355" s="330"/>
      <c r="N355" s="325"/>
      <c r="T355" s="34"/>
      <c r="V355" s="97"/>
      <c r="W355" s="13"/>
      <c r="X355" s="45"/>
      <c r="Y355" s="15"/>
      <c r="Z355" s="78"/>
      <c r="AA355" s="118"/>
      <c r="AB355" s="22"/>
      <c r="AE355" s="33"/>
    </row>
    <row r="356" spans="1:33" s="282" customFormat="1">
      <c r="A356" s="132" t="s">
        <v>1854</v>
      </c>
      <c r="B356" s="93" t="s">
        <v>1657</v>
      </c>
      <c r="C356" s="93" t="s">
        <v>1658</v>
      </c>
      <c r="D356" s="93" t="s">
        <v>1659</v>
      </c>
      <c r="E356" s="93" t="s">
        <v>1660</v>
      </c>
      <c r="F356" s="8" t="s">
        <v>1122</v>
      </c>
      <c r="G356" s="26" t="s">
        <v>4231</v>
      </c>
      <c r="H356" s="55" t="s">
        <v>342</v>
      </c>
      <c r="I356" s="1" t="s">
        <v>79</v>
      </c>
      <c r="J356" s="324" t="s">
        <v>1529</v>
      </c>
      <c r="K356" s="324" t="s">
        <v>1217</v>
      </c>
      <c r="L356" s="324" t="s">
        <v>298</v>
      </c>
      <c r="M356" s="324"/>
      <c r="N356" s="324" t="s">
        <v>1121</v>
      </c>
      <c r="O356" s="329"/>
      <c r="P356" s="391" t="s">
        <v>4232</v>
      </c>
      <c r="Q356" s="307" t="s">
        <v>4232</v>
      </c>
      <c r="R356" s="308"/>
      <c r="S356" s="335" t="s">
        <v>4094</v>
      </c>
      <c r="T356" s="14" t="s">
        <v>75</v>
      </c>
      <c r="U356" s="367"/>
      <c r="V356" s="69" t="s">
        <v>4022</v>
      </c>
      <c r="W356" s="28" t="s">
        <v>2</v>
      </c>
      <c r="X356" s="69" t="s">
        <v>1465</v>
      </c>
      <c r="Y356" s="14" t="s">
        <v>5</v>
      </c>
      <c r="Z356" s="21" t="s">
        <v>3</v>
      </c>
      <c r="AA356" s="25" t="s">
        <v>117</v>
      </c>
      <c r="AB356" s="1" t="s">
        <v>79</v>
      </c>
      <c r="AC356" s="73" t="s">
        <v>1466</v>
      </c>
      <c r="AD356" s="74" t="s">
        <v>1223</v>
      </c>
      <c r="AE356" s="32" t="s">
        <v>1224</v>
      </c>
      <c r="AF356" s="46" t="s">
        <v>3773</v>
      </c>
      <c r="AG356" s="170"/>
    </row>
    <row r="357" spans="1:33" s="273" customFormat="1">
      <c r="A357" s="132" t="s">
        <v>1772</v>
      </c>
      <c r="B357" s="81">
        <v>969</v>
      </c>
      <c r="C357" s="95">
        <v>2455</v>
      </c>
      <c r="D357" s="81">
        <v>5</v>
      </c>
      <c r="E357" s="82">
        <v>-3</v>
      </c>
      <c r="F357" s="58">
        <v>13.31</v>
      </c>
      <c r="G357" s="41" t="s">
        <v>416</v>
      </c>
      <c r="H357" s="30" t="s">
        <v>1531</v>
      </c>
      <c r="I357" s="160" t="s">
        <v>417</v>
      </c>
      <c r="J357" s="75">
        <v>66.260000000000005</v>
      </c>
      <c r="K357" s="75">
        <v>26.32</v>
      </c>
      <c r="L357" s="75">
        <v>15.8</v>
      </c>
      <c r="M357" s="325"/>
      <c r="N357" s="75">
        <f t="shared" ref="N357:N362" si="298">K357+J357+L357</f>
        <v>108.38000000000001</v>
      </c>
      <c r="O357" s="329"/>
      <c r="P357" s="390"/>
      <c r="Q357" s="362"/>
      <c r="R357" s="308"/>
      <c r="S357" s="330">
        <v>7.57</v>
      </c>
      <c r="T357" s="199">
        <v>0</v>
      </c>
      <c r="U357" s="367"/>
      <c r="V357" s="58">
        <f>T357/W357</f>
        <v>0</v>
      </c>
      <c r="W357" s="168">
        <v>57.6</v>
      </c>
      <c r="X357" s="66">
        <v>54.5</v>
      </c>
      <c r="Y357" s="169">
        <f t="shared" ref="Y357:Y373" si="299">W357-X357</f>
        <v>3.1000000000000014</v>
      </c>
      <c r="Z357" s="165">
        <f t="shared" ref="Z357:Z373" si="300">Y357/X357</f>
        <v>5.6880733944954152E-2</v>
      </c>
      <c r="AA357" s="198" t="s">
        <v>3782</v>
      </c>
      <c r="AB357" s="160" t="s">
        <v>417</v>
      </c>
      <c r="AC357" s="86">
        <v>44225</v>
      </c>
      <c r="AD357" s="85">
        <v>44251</v>
      </c>
      <c r="AE357" s="33">
        <f t="shared" ref="AE357:AE366" si="301">AD357-AC357</f>
        <v>26</v>
      </c>
      <c r="AF357" s="41" t="s">
        <v>2623</v>
      </c>
      <c r="AG357" s="122"/>
    </row>
    <row r="358" spans="1:33" s="273" customFormat="1">
      <c r="A358" s="132" t="s">
        <v>1772</v>
      </c>
      <c r="B358" s="81">
        <v>969</v>
      </c>
      <c r="C358" s="95">
        <v>2455</v>
      </c>
      <c r="D358" s="81">
        <v>5</v>
      </c>
      <c r="E358" s="82">
        <v>-3</v>
      </c>
      <c r="F358" s="58">
        <v>13.31</v>
      </c>
      <c r="G358" s="41" t="s">
        <v>416</v>
      </c>
      <c r="H358" s="30" t="s">
        <v>1531</v>
      </c>
      <c r="I358" s="160" t="s">
        <v>417</v>
      </c>
      <c r="J358" s="75">
        <v>66.260000000000005</v>
      </c>
      <c r="K358" s="75">
        <v>26.32</v>
      </c>
      <c r="L358" s="75">
        <v>15.8</v>
      </c>
      <c r="M358" s="325"/>
      <c r="N358" s="75">
        <f t="shared" si="298"/>
        <v>108.38000000000001</v>
      </c>
      <c r="O358" s="329"/>
      <c r="P358" s="390"/>
      <c r="Q358" s="362"/>
      <c r="R358" s="308"/>
      <c r="S358" s="330">
        <v>7.57</v>
      </c>
      <c r="T358" s="199">
        <v>0</v>
      </c>
      <c r="U358" s="367"/>
      <c r="V358" s="58">
        <f>T358/W358</f>
        <v>0</v>
      </c>
      <c r="W358" s="168">
        <v>57.6</v>
      </c>
      <c r="X358" s="66">
        <v>57.9</v>
      </c>
      <c r="Y358" s="169">
        <f t="shared" si="299"/>
        <v>-0.29999999999999716</v>
      </c>
      <c r="Z358" s="171">
        <f t="shared" si="300"/>
        <v>-5.1813471502590181E-3</v>
      </c>
      <c r="AA358" s="211" t="s">
        <v>3783</v>
      </c>
      <c r="AB358" s="160" t="s">
        <v>417</v>
      </c>
      <c r="AC358" s="86">
        <v>44214</v>
      </c>
      <c r="AD358" s="85">
        <v>44251</v>
      </c>
      <c r="AE358" s="33">
        <f t="shared" si="301"/>
        <v>37</v>
      </c>
      <c r="AF358" s="41" t="s">
        <v>2623</v>
      </c>
      <c r="AG358" s="122"/>
    </row>
    <row r="359" spans="1:33" s="273" customFormat="1">
      <c r="A359" s="132" t="s">
        <v>3770</v>
      </c>
      <c r="B359" s="81">
        <v>9</v>
      </c>
      <c r="C359" s="81">
        <v>9</v>
      </c>
      <c r="D359" s="81">
        <v>5</v>
      </c>
      <c r="E359" s="82">
        <v>-6</v>
      </c>
      <c r="F359" s="58">
        <v>27.77</v>
      </c>
      <c r="G359" s="41" t="s">
        <v>3771</v>
      </c>
      <c r="H359" s="30" t="s">
        <v>1531</v>
      </c>
      <c r="I359" s="160" t="s">
        <v>290</v>
      </c>
      <c r="J359" s="75">
        <v>74.510000000000005</v>
      </c>
      <c r="K359" s="330">
        <v>27.98</v>
      </c>
      <c r="L359" s="330">
        <v>0.49</v>
      </c>
      <c r="M359" s="325"/>
      <c r="N359" s="75">
        <f t="shared" si="298"/>
        <v>102.98</v>
      </c>
      <c r="O359" s="329"/>
      <c r="P359" s="390"/>
      <c r="Q359" s="362"/>
      <c r="R359" s="308"/>
      <c r="S359" s="330">
        <v>0.03</v>
      </c>
      <c r="T359" s="199">
        <v>3</v>
      </c>
      <c r="U359" s="367"/>
      <c r="V359" s="97">
        <f t="shared" ref="V359:V373" si="302">T359/W359</f>
        <v>7.0754716981132074E-2</v>
      </c>
      <c r="W359" s="168">
        <v>42.4</v>
      </c>
      <c r="X359" s="66">
        <v>40.4</v>
      </c>
      <c r="Y359" s="169">
        <f t="shared" si="299"/>
        <v>2</v>
      </c>
      <c r="Z359" s="165">
        <f t="shared" si="300"/>
        <v>4.9504950495049507E-2</v>
      </c>
      <c r="AA359" s="198" t="s">
        <v>3687</v>
      </c>
      <c r="AB359" s="160" t="s">
        <v>290</v>
      </c>
      <c r="AC359" s="86">
        <v>44223</v>
      </c>
      <c r="AD359" s="85">
        <v>44251</v>
      </c>
      <c r="AE359" s="33">
        <f t="shared" si="301"/>
        <v>28</v>
      </c>
      <c r="AF359" s="41" t="s">
        <v>1188</v>
      </c>
      <c r="AG359" s="170"/>
    </row>
    <row r="360" spans="1:33" s="273" customFormat="1">
      <c r="A360" s="132" t="s">
        <v>3770</v>
      </c>
      <c r="B360" s="81">
        <v>9</v>
      </c>
      <c r="C360" s="81">
        <v>9</v>
      </c>
      <c r="D360" s="81">
        <v>5</v>
      </c>
      <c r="E360" s="82">
        <v>-6</v>
      </c>
      <c r="F360" s="58">
        <v>27.77</v>
      </c>
      <c r="G360" s="41" t="s">
        <v>3771</v>
      </c>
      <c r="H360" s="30" t="s">
        <v>1531</v>
      </c>
      <c r="I360" s="160" t="s">
        <v>290</v>
      </c>
      <c r="J360" s="75">
        <v>74.510000000000005</v>
      </c>
      <c r="K360" s="330">
        <v>27.98</v>
      </c>
      <c r="L360" s="330">
        <v>0.49</v>
      </c>
      <c r="M360" s="325"/>
      <c r="N360" s="75">
        <f t="shared" si="298"/>
        <v>102.98</v>
      </c>
      <c r="O360" s="329"/>
      <c r="P360" s="390"/>
      <c r="Q360" s="362"/>
      <c r="R360" s="308"/>
      <c r="S360" s="330">
        <v>0.03</v>
      </c>
      <c r="T360" s="199">
        <v>3</v>
      </c>
      <c r="U360" s="367"/>
      <c r="V360" s="97">
        <f t="shared" si="302"/>
        <v>7.0754716981132074E-2</v>
      </c>
      <c r="W360" s="168">
        <v>42.4</v>
      </c>
      <c r="X360" s="66">
        <v>40.4</v>
      </c>
      <c r="Y360" s="169">
        <f t="shared" si="299"/>
        <v>2</v>
      </c>
      <c r="Z360" s="165">
        <f t="shared" si="300"/>
        <v>4.9504950495049507E-2</v>
      </c>
      <c r="AA360" s="198" t="s">
        <v>3687</v>
      </c>
      <c r="AB360" s="160" t="s">
        <v>290</v>
      </c>
      <c r="AC360" s="86">
        <v>44223</v>
      </c>
      <c r="AD360" s="85">
        <v>44251</v>
      </c>
      <c r="AE360" s="33">
        <f t="shared" si="301"/>
        <v>28</v>
      </c>
      <c r="AF360" s="41" t="s">
        <v>1188</v>
      </c>
      <c r="AG360" s="170"/>
    </row>
    <row r="361" spans="1:33" s="273" customFormat="1">
      <c r="A361" s="132" t="s">
        <v>3770</v>
      </c>
      <c r="B361" s="81">
        <v>9</v>
      </c>
      <c r="C361" s="81">
        <v>9</v>
      </c>
      <c r="D361" s="81">
        <v>5</v>
      </c>
      <c r="E361" s="82">
        <v>-6</v>
      </c>
      <c r="F361" s="58">
        <v>27.77</v>
      </c>
      <c r="G361" s="41" t="s">
        <v>3771</v>
      </c>
      <c r="H361" s="30" t="s">
        <v>1531</v>
      </c>
      <c r="I361" s="160" t="s">
        <v>290</v>
      </c>
      <c r="J361" s="75">
        <v>74.510000000000005</v>
      </c>
      <c r="K361" s="330">
        <v>27.98</v>
      </c>
      <c r="L361" s="330">
        <v>0.49</v>
      </c>
      <c r="M361" s="325"/>
      <c r="N361" s="75">
        <f t="shared" si="298"/>
        <v>102.98</v>
      </c>
      <c r="O361" s="329"/>
      <c r="P361" s="390"/>
      <c r="Q361" s="362"/>
      <c r="R361" s="308"/>
      <c r="S361" s="330">
        <v>0.03</v>
      </c>
      <c r="T361" s="199">
        <v>3</v>
      </c>
      <c r="U361" s="367"/>
      <c r="V361" s="97">
        <f t="shared" si="302"/>
        <v>7.0754716981132074E-2</v>
      </c>
      <c r="W361" s="168">
        <v>42.4</v>
      </c>
      <c r="X361" s="66">
        <v>42.7</v>
      </c>
      <c r="Y361" s="169">
        <f t="shared" si="299"/>
        <v>-0.30000000000000426</v>
      </c>
      <c r="Z361" s="171">
        <f t="shared" si="300"/>
        <v>-7.0257611241218796E-3</v>
      </c>
      <c r="AA361" s="211" t="s">
        <v>3774</v>
      </c>
      <c r="AB361" s="160" t="s">
        <v>290</v>
      </c>
      <c r="AC361" s="86">
        <v>44188</v>
      </c>
      <c r="AD361" s="85">
        <v>44251</v>
      </c>
      <c r="AE361" s="33">
        <f t="shared" si="301"/>
        <v>63</v>
      </c>
      <c r="AF361" s="41" t="s">
        <v>1188</v>
      </c>
      <c r="AG361" s="170"/>
    </row>
    <row r="362" spans="1:33" s="273" customFormat="1">
      <c r="A362" s="132" t="s">
        <v>3770</v>
      </c>
      <c r="B362" s="81">
        <v>9</v>
      </c>
      <c r="C362" s="81">
        <v>9</v>
      </c>
      <c r="D362" s="81">
        <v>5</v>
      </c>
      <c r="E362" s="82">
        <v>-6</v>
      </c>
      <c r="F362" s="58">
        <v>27.77</v>
      </c>
      <c r="G362" s="41" t="s">
        <v>3771</v>
      </c>
      <c r="H362" s="30" t="s">
        <v>1531</v>
      </c>
      <c r="I362" s="160" t="s">
        <v>290</v>
      </c>
      <c r="J362" s="75">
        <v>74.510000000000005</v>
      </c>
      <c r="K362" s="330">
        <v>27.98</v>
      </c>
      <c r="L362" s="330">
        <v>0.49</v>
      </c>
      <c r="M362" s="325"/>
      <c r="N362" s="75">
        <f t="shared" si="298"/>
        <v>102.98</v>
      </c>
      <c r="O362" s="329"/>
      <c r="P362" s="390"/>
      <c r="Q362" s="362"/>
      <c r="R362" s="308"/>
      <c r="S362" s="330">
        <v>0.03</v>
      </c>
      <c r="T362" s="199">
        <v>3</v>
      </c>
      <c r="U362" s="367"/>
      <c r="V362" s="97">
        <f t="shared" si="302"/>
        <v>7.0754716981132074E-2</v>
      </c>
      <c r="W362" s="168">
        <v>42.4</v>
      </c>
      <c r="X362" s="66">
        <v>43.45</v>
      </c>
      <c r="Y362" s="169">
        <f t="shared" si="299"/>
        <v>-1.0500000000000043</v>
      </c>
      <c r="Z362" s="171">
        <f t="shared" si="300"/>
        <v>-2.4165707710011603E-2</v>
      </c>
      <c r="AA362" s="211" t="s">
        <v>3775</v>
      </c>
      <c r="AB362" s="160" t="s">
        <v>290</v>
      </c>
      <c r="AC362" s="86">
        <v>44186</v>
      </c>
      <c r="AD362" s="85">
        <v>44251</v>
      </c>
      <c r="AE362" s="33">
        <f t="shared" si="301"/>
        <v>65</v>
      </c>
      <c r="AF362" s="41" t="s">
        <v>1188</v>
      </c>
      <c r="AG362" s="170"/>
    </row>
    <row r="363" spans="1:33" s="273" customFormat="1">
      <c r="A363" s="132" t="s">
        <v>1838</v>
      </c>
      <c r="B363" s="95">
        <v>233</v>
      </c>
      <c r="C363" s="95">
        <v>237</v>
      </c>
      <c r="D363" s="81">
        <v>0</v>
      </c>
      <c r="E363" s="81">
        <v>4</v>
      </c>
      <c r="F363" s="58">
        <v>23.39</v>
      </c>
      <c r="G363" s="57" t="s">
        <v>3769</v>
      </c>
      <c r="H363" s="30" t="s">
        <v>1531</v>
      </c>
      <c r="I363" s="173" t="s">
        <v>95</v>
      </c>
      <c r="J363" s="75">
        <v>45.87</v>
      </c>
      <c r="K363" s="330">
        <v>6.43</v>
      </c>
      <c r="L363" s="75">
        <v>26.89</v>
      </c>
      <c r="M363" s="325"/>
      <c r="N363" s="342">
        <f>K363+J363+L363</f>
        <v>79.19</v>
      </c>
      <c r="O363" s="329"/>
      <c r="P363" s="390"/>
      <c r="Q363" s="362"/>
      <c r="R363" s="308"/>
      <c r="S363" s="330">
        <v>0.3</v>
      </c>
      <c r="T363" s="199">
        <v>3.6</v>
      </c>
      <c r="U363" s="367"/>
      <c r="V363" s="97">
        <f t="shared" si="302"/>
        <v>3.0125523012552301E-2</v>
      </c>
      <c r="W363" s="168">
        <v>119.5</v>
      </c>
      <c r="X363" s="162">
        <v>116</v>
      </c>
      <c r="Y363" s="169">
        <f t="shared" si="299"/>
        <v>3.5</v>
      </c>
      <c r="Z363" s="165">
        <f t="shared" si="300"/>
        <v>3.017241379310345E-2</v>
      </c>
      <c r="AA363" s="198" t="s">
        <v>1836</v>
      </c>
      <c r="AB363" s="173" t="s">
        <v>95</v>
      </c>
      <c r="AC363" s="86">
        <v>44209</v>
      </c>
      <c r="AD363" s="85">
        <v>44251</v>
      </c>
      <c r="AE363" s="33">
        <f t="shared" si="301"/>
        <v>42</v>
      </c>
      <c r="AF363" s="41" t="s">
        <v>1188</v>
      </c>
    </row>
    <row r="364" spans="1:33" s="273" customFormat="1">
      <c r="A364" s="132" t="s">
        <v>1838</v>
      </c>
      <c r="B364" s="95">
        <v>233</v>
      </c>
      <c r="C364" s="95">
        <v>237</v>
      </c>
      <c r="D364" s="81">
        <v>0</v>
      </c>
      <c r="E364" s="81">
        <v>4</v>
      </c>
      <c r="F364" s="58">
        <v>23.39</v>
      </c>
      <c r="G364" s="57" t="s">
        <v>3769</v>
      </c>
      <c r="H364" s="30" t="s">
        <v>1531</v>
      </c>
      <c r="I364" s="173" t="s">
        <v>95</v>
      </c>
      <c r="J364" s="75">
        <v>45.87</v>
      </c>
      <c r="K364" s="330">
        <v>6.43</v>
      </c>
      <c r="L364" s="75">
        <v>26.89</v>
      </c>
      <c r="M364" s="325"/>
      <c r="N364" s="342">
        <f>K364+J364+L364</f>
        <v>79.19</v>
      </c>
      <c r="O364" s="329"/>
      <c r="P364" s="390"/>
      <c r="Q364" s="362"/>
      <c r="R364" s="308"/>
      <c r="S364" s="330">
        <v>0.3</v>
      </c>
      <c r="T364" s="199">
        <v>3.6</v>
      </c>
      <c r="U364" s="367"/>
      <c r="V364" s="97">
        <f t="shared" si="302"/>
        <v>3.0125523012552301E-2</v>
      </c>
      <c r="W364" s="168">
        <v>119.5</v>
      </c>
      <c r="X364" s="162">
        <v>117</v>
      </c>
      <c r="Y364" s="169">
        <f t="shared" si="299"/>
        <v>2.5</v>
      </c>
      <c r="Z364" s="165">
        <f t="shared" si="300"/>
        <v>2.1367521367521368E-2</v>
      </c>
      <c r="AA364" s="198" t="s">
        <v>1907</v>
      </c>
      <c r="AB364" s="173" t="s">
        <v>95</v>
      </c>
      <c r="AC364" s="86">
        <v>44207</v>
      </c>
      <c r="AD364" s="85">
        <v>44251</v>
      </c>
      <c r="AE364" s="33">
        <f t="shared" si="301"/>
        <v>44</v>
      </c>
      <c r="AF364" s="41" t="s">
        <v>1188</v>
      </c>
    </row>
    <row r="365" spans="1:33" s="273" customFormat="1">
      <c r="A365" s="132" t="s">
        <v>2677</v>
      </c>
      <c r="B365" s="81">
        <v>89</v>
      </c>
      <c r="C365" s="81">
        <v>91</v>
      </c>
      <c r="D365" s="82">
        <v>-8</v>
      </c>
      <c r="E365" s="81">
        <v>14</v>
      </c>
      <c r="F365" s="58">
        <v>16.3</v>
      </c>
      <c r="G365" s="41" t="s">
        <v>2293</v>
      </c>
      <c r="H365" s="30" t="s">
        <v>1531</v>
      </c>
      <c r="I365" s="173" t="s">
        <v>401</v>
      </c>
      <c r="J365" s="75">
        <v>10.14</v>
      </c>
      <c r="K365" s="75">
        <v>4.7300000000000004</v>
      </c>
      <c r="L365" s="75">
        <v>53.31</v>
      </c>
      <c r="M365" s="325"/>
      <c r="N365" s="325">
        <f t="shared" ref="N365:N366" si="303">K365+J365+L365</f>
        <v>68.180000000000007</v>
      </c>
      <c r="O365" s="329"/>
      <c r="P365" s="390"/>
      <c r="Q365" s="362"/>
      <c r="R365" s="308"/>
      <c r="S365" s="330">
        <v>4.17</v>
      </c>
      <c r="T365" s="199">
        <v>2</v>
      </c>
      <c r="U365" s="367"/>
      <c r="V365" s="58">
        <f t="shared" si="302"/>
        <v>2.7359781121751029E-2</v>
      </c>
      <c r="W365" s="168">
        <v>73.099999999999994</v>
      </c>
      <c r="X365" s="162">
        <v>68.5</v>
      </c>
      <c r="Y365" s="169">
        <f t="shared" si="299"/>
        <v>4.5999999999999943</v>
      </c>
      <c r="Z365" s="165">
        <f t="shared" si="300"/>
        <v>6.7153284671532767E-2</v>
      </c>
      <c r="AA365" s="198" t="s">
        <v>3776</v>
      </c>
      <c r="AB365" s="173" t="s">
        <v>401</v>
      </c>
      <c r="AC365" s="86">
        <v>44218</v>
      </c>
      <c r="AD365" s="85">
        <v>44251</v>
      </c>
      <c r="AE365" s="33">
        <f t="shared" si="301"/>
        <v>33</v>
      </c>
      <c r="AF365" s="41" t="s">
        <v>1188</v>
      </c>
      <c r="AG365" s="170"/>
    </row>
    <row r="366" spans="1:33" s="273" customFormat="1">
      <c r="A366" s="132" t="s">
        <v>2677</v>
      </c>
      <c r="B366" s="81">
        <v>89</v>
      </c>
      <c r="C366" s="81">
        <v>91</v>
      </c>
      <c r="D366" s="82">
        <v>-8</v>
      </c>
      <c r="E366" s="81">
        <v>14</v>
      </c>
      <c r="F366" s="58">
        <v>16.3</v>
      </c>
      <c r="G366" s="41" t="s">
        <v>2293</v>
      </c>
      <c r="H366" s="30" t="s">
        <v>1531</v>
      </c>
      <c r="I366" s="173" t="s">
        <v>401</v>
      </c>
      <c r="J366" s="75">
        <v>10.14</v>
      </c>
      <c r="K366" s="75">
        <v>4.7300000000000004</v>
      </c>
      <c r="L366" s="75">
        <v>53.31</v>
      </c>
      <c r="M366" s="325"/>
      <c r="N366" s="325">
        <f t="shared" si="303"/>
        <v>68.180000000000007</v>
      </c>
      <c r="O366" s="329"/>
      <c r="P366" s="390"/>
      <c r="Q366" s="362"/>
      <c r="R366" s="308"/>
      <c r="S366" s="330">
        <v>4.17</v>
      </c>
      <c r="T366" s="199">
        <v>2</v>
      </c>
      <c r="U366" s="367"/>
      <c r="V366" s="58">
        <f t="shared" si="302"/>
        <v>2.7359781121751029E-2</v>
      </c>
      <c r="W366" s="168">
        <v>73.099999999999994</v>
      </c>
      <c r="X366" s="162">
        <v>73.900000000000006</v>
      </c>
      <c r="Y366" s="169">
        <f t="shared" si="299"/>
        <v>-0.80000000000001137</v>
      </c>
      <c r="Z366" s="171">
        <f t="shared" si="300"/>
        <v>-1.0825439783491358E-2</v>
      </c>
      <c r="AA366" s="211" t="s">
        <v>3777</v>
      </c>
      <c r="AB366" s="173" t="s">
        <v>401</v>
      </c>
      <c r="AC366" s="86">
        <v>44207</v>
      </c>
      <c r="AD366" s="85">
        <v>44251</v>
      </c>
      <c r="AE366" s="33">
        <f t="shared" si="301"/>
        <v>44</v>
      </c>
      <c r="AF366" s="41" t="s">
        <v>1188</v>
      </c>
      <c r="AG366" s="170"/>
    </row>
    <row r="367" spans="1:33" s="273" customFormat="1">
      <c r="A367" s="147"/>
      <c r="B367" s="82">
        <v>-1</v>
      </c>
      <c r="C367" s="82">
        <v>-17</v>
      </c>
      <c r="D367" s="82">
        <v>-1</v>
      </c>
      <c r="E367" s="82">
        <v>-12</v>
      </c>
      <c r="F367" s="6">
        <v>4.8499999999999996</v>
      </c>
      <c r="G367" s="41" t="s">
        <v>73</v>
      </c>
      <c r="H367" s="30" t="s">
        <v>1531</v>
      </c>
      <c r="I367" s="160" t="s">
        <v>3772</v>
      </c>
      <c r="J367" s="330">
        <v>67.36</v>
      </c>
      <c r="K367" s="75">
        <v>34.32</v>
      </c>
      <c r="L367" s="75">
        <v>1.4</v>
      </c>
      <c r="M367" s="325"/>
      <c r="N367" s="325">
        <f>S367+K367+J367+L367</f>
        <v>120.64</v>
      </c>
      <c r="O367" s="329"/>
      <c r="P367" s="390"/>
      <c r="Q367" s="362"/>
      <c r="R367" s="308"/>
      <c r="S367" s="330">
        <v>17.559999999999999</v>
      </c>
      <c r="T367" s="66">
        <v>0.98</v>
      </c>
      <c r="U367" s="367"/>
      <c r="V367" s="39">
        <f t="shared" si="302"/>
        <v>3.6567164179104474E-2</v>
      </c>
      <c r="W367" s="168">
        <v>26.8</v>
      </c>
      <c r="X367" s="66">
        <v>26.1</v>
      </c>
      <c r="Y367" s="169">
        <f t="shared" si="299"/>
        <v>0.69999999999999929</v>
      </c>
      <c r="Z367" s="165">
        <f t="shared" si="300"/>
        <v>2.6819923371647483E-2</v>
      </c>
      <c r="AA367" s="198" t="s">
        <v>3778</v>
      </c>
      <c r="AB367" s="160" t="s">
        <v>3772</v>
      </c>
      <c r="AC367" s="86">
        <v>44246</v>
      </c>
      <c r="AD367" s="85">
        <v>44251</v>
      </c>
      <c r="AE367" s="33">
        <f>AD367-AC367</f>
        <v>5</v>
      </c>
      <c r="AF367" s="41" t="s">
        <v>1188</v>
      </c>
      <c r="AG367" s="170"/>
    </row>
    <row r="368" spans="1:33" s="273" customFormat="1">
      <c r="A368" s="147"/>
      <c r="B368" s="82">
        <v>-1</v>
      </c>
      <c r="C368" s="82">
        <v>-17</v>
      </c>
      <c r="D368" s="82">
        <v>-1</v>
      </c>
      <c r="E368" s="82">
        <v>-12</v>
      </c>
      <c r="F368" s="6">
        <v>4.8499999999999996</v>
      </c>
      <c r="G368" s="41" t="s">
        <v>73</v>
      </c>
      <c r="H368" s="30" t="s">
        <v>1531</v>
      </c>
      <c r="I368" s="160" t="s">
        <v>3772</v>
      </c>
      <c r="J368" s="330">
        <v>67.36</v>
      </c>
      <c r="K368" s="75">
        <v>34.32</v>
      </c>
      <c r="L368" s="75">
        <v>1.4</v>
      </c>
      <c r="M368" s="325"/>
      <c r="N368" s="325">
        <f>S368+K368+J368+L368</f>
        <v>120.64</v>
      </c>
      <c r="O368" s="329"/>
      <c r="P368" s="390"/>
      <c r="Q368" s="362"/>
      <c r="R368" s="308"/>
      <c r="S368" s="330">
        <v>17.559999999999999</v>
      </c>
      <c r="T368" s="66">
        <v>0.98</v>
      </c>
      <c r="U368" s="367"/>
      <c r="V368" s="39">
        <f t="shared" si="302"/>
        <v>3.7984496124031007E-2</v>
      </c>
      <c r="W368" s="168">
        <v>25.8</v>
      </c>
      <c r="X368" s="66">
        <f>25.3-0.5</f>
        <v>24.8</v>
      </c>
      <c r="Y368" s="169">
        <f t="shared" si="299"/>
        <v>1</v>
      </c>
      <c r="Z368" s="165">
        <f t="shared" si="300"/>
        <v>4.0322580645161289E-2</v>
      </c>
      <c r="AA368" s="198" t="s">
        <v>3532</v>
      </c>
      <c r="AB368" s="160" t="s">
        <v>3772</v>
      </c>
      <c r="AC368" s="86">
        <v>43731</v>
      </c>
      <c r="AD368" s="85">
        <v>44245</v>
      </c>
      <c r="AE368" s="79">
        <f>AD368-AC368</f>
        <v>514</v>
      </c>
      <c r="AF368" s="121" t="s">
        <v>1188</v>
      </c>
      <c r="AG368" s="170"/>
    </row>
    <row r="369" spans="1:39" s="273" customFormat="1">
      <c r="A369" s="147"/>
      <c r="B369" s="82">
        <v>-1</v>
      </c>
      <c r="C369" s="82">
        <v>-17</v>
      </c>
      <c r="D369" s="82">
        <v>-1</v>
      </c>
      <c r="E369" s="82">
        <v>-12</v>
      </c>
      <c r="F369" s="6">
        <v>4.8499999999999996</v>
      </c>
      <c r="G369" s="41" t="s">
        <v>73</v>
      </c>
      <c r="H369" s="30" t="s">
        <v>1531</v>
      </c>
      <c r="I369" s="160" t="s">
        <v>3772</v>
      </c>
      <c r="J369" s="330">
        <v>67.36</v>
      </c>
      <c r="K369" s="75">
        <v>34.32</v>
      </c>
      <c r="L369" s="75">
        <v>1.4</v>
      </c>
      <c r="M369" s="325"/>
      <c r="N369" s="325">
        <f>S369+K369+J369+L369</f>
        <v>120.64</v>
      </c>
      <c r="O369" s="329"/>
      <c r="P369" s="390"/>
      <c r="Q369" s="362"/>
      <c r="R369" s="308"/>
      <c r="S369" s="330">
        <v>17.559999999999999</v>
      </c>
      <c r="T369" s="66">
        <v>0.98</v>
      </c>
      <c r="U369" s="367"/>
      <c r="V369" s="39">
        <f t="shared" si="302"/>
        <v>3.7984496124031007E-2</v>
      </c>
      <c r="W369" s="168">
        <v>25.8</v>
      </c>
      <c r="X369" s="66">
        <f>25.2-0.5</f>
        <v>24.7</v>
      </c>
      <c r="Y369" s="169">
        <f t="shared" si="299"/>
        <v>1.1000000000000014</v>
      </c>
      <c r="Z369" s="165">
        <f t="shared" si="300"/>
        <v>4.4534412955465646E-2</v>
      </c>
      <c r="AA369" s="198" t="s">
        <v>3566</v>
      </c>
      <c r="AB369" s="160" t="s">
        <v>3772</v>
      </c>
      <c r="AC369" s="86">
        <v>43732</v>
      </c>
      <c r="AD369" s="85">
        <v>44245</v>
      </c>
      <c r="AE369" s="79">
        <f>AD369-AC369</f>
        <v>513</v>
      </c>
      <c r="AF369" s="121" t="s">
        <v>1188</v>
      </c>
      <c r="AG369" s="170"/>
    </row>
    <row r="370" spans="1:39" s="273" customFormat="1">
      <c r="A370" s="147"/>
      <c r="B370" s="82">
        <v>-1</v>
      </c>
      <c r="C370" s="82">
        <v>-17</v>
      </c>
      <c r="D370" s="82">
        <v>-1</v>
      </c>
      <c r="E370" s="82">
        <v>-12</v>
      </c>
      <c r="F370" s="6">
        <v>4.8499999999999996</v>
      </c>
      <c r="G370" s="41" t="s">
        <v>73</v>
      </c>
      <c r="H370" s="30" t="s">
        <v>1531</v>
      </c>
      <c r="I370" s="160" t="s">
        <v>3772</v>
      </c>
      <c r="J370" s="330">
        <v>67.36</v>
      </c>
      <c r="K370" s="75">
        <v>34.32</v>
      </c>
      <c r="L370" s="75">
        <v>1.4</v>
      </c>
      <c r="M370" s="325"/>
      <c r="N370" s="325">
        <f>S370+K370+J370+L370</f>
        <v>120.64</v>
      </c>
      <c r="O370" s="329"/>
      <c r="P370" s="390"/>
      <c r="Q370" s="362"/>
      <c r="R370" s="308"/>
      <c r="S370" s="330">
        <v>17.559999999999999</v>
      </c>
      <c r="T370" s="66">
        <v>0.98</v>
      </c>
      <c r="U370" s="367"/>
      <c r="V370" s="39">
        <f t="shared" si="302"/>
        <v>3.7984496124031007E-2</v>
      </c>
      <c r="W370" s="168">
        <v>25.8</v>
      </c>
      <c r="X370" s="66">
        <f>25-0.5</f>
        <v>24.5</v>
      </c>
      <c r="Y370" s="169">
        <f t="shared" si="299"/>
        <v>1.3000000000000007</v>
      </c>
      <c r="Z370" s="165">
        <f t="shared" si="300"/>
        <v>5.3061224489795944E-2</v>
      </c>
      <c r="AA370" s="198" t="s">
        <v>3740</v>
      </c>
      <c r="AB370" s="160" t="s">
        <v>3772</v>
      </c>
      <c r="AC370" s="86">
        <v>43734</v>
      </c>
      <c r="AD370" s="85">
        <v>44245</v>
      </c>
      <c r="AE370" s="79">
        <f>AD370-AC370</f>
        <v>511</v>
      </c>
      <c r="AF370" s="121" t="s">
        <v>1188</v>
      </c>
      <c r="AG370" s="170"/>
    </row>
    <row r="371" spans="1:39" s="273" customFormat="1">
      <c r="A371" s="147"/>
      <c r="B371" s="82">
        <v>-1</v>
      </c>
      <c r="C371" s="82">
        <v>-17</v>
      </c>
      <c r="D371" s="82">
        <v>-1</v>
      </c>
      <c r="E371" s="82">
        <v>-12</v>
      </c>
      <c r="F371" s="6">
        <v>4.8499999999999996</v>
      </c>
      <c r="G371" s="41" t="s">
        <v>73</v>
      </c>
      <c r="H371" s="30" t="s">
        <v>1531</v>
      </c>
      <c r="I371" s="160" t="s">
        <v>3772</v>
      </c>
      <c r="J371" s="330">
        <v>67.36</v>
      </c>
      <c r="K371" s="75">
        <v>34.32</v>
      </c>
      <c r="L371" s="75">
        <v>1.4</v>
      </c>
      <c r="M371" s="325"/>
      <c r="N371" s="325">
        <f>S371+K371+J371+L371</f>
        <v>120.64</v>
      </c>
      <c r="O371" s="329"/>
      <c r="P371" s="390"/>
      <c r="Q371" s="362"/>
      <c r="R371" s="308"/>
      <c r="S371" s="330">
        <v>17.559999999999999</v>
      </c>
      <c r="T371" s="66">
        <v>0.98</v>
      </c>
      <c r="U371" s="367"/>
      <c r="V371" s="39">
        <f t="shared" si="302"/>
        <v>3.7984496124031007E-2</v>
      </c>
      <c r="W371" s="168">
        <v>25.8</v>
      </c>
      <c r="X371" s="66">
        <f>24.5-0.5</f>
        <v>24</v>
      </c>
      <c r="Y371" s="169">
        <f t="shared" si="299"/>
        <v>1.8000000000000007</v>
      </c>
      <c r="Z371" s="165">
        <f t="shared" si="300"/>
        <v>7.5000000000000025E-2</v>
      </c>
      <c r="AA371" s="198" t="s">
        <v>3779</v>
      </c>
      <c r="AB371" s="160" t="s">
        <v>3772</v>
      </c>
      <c r="AC371" s="86">
        <v>43735</v>
      </c>
      <c r="AD371" s="85">
        <v>44245</v>
      </c>
      <c r="AE371" s="79">
        <f>AD371-AC371</f>
        <v>510</v>
      </c>
      <c r="AF371" s="121" t="s">
        <v>1188</v>
      </c>
      <c r="AG371" s="170"/>
    </row>
    <row r="372" spans="1:39" s="273" customFormat="1">
      <c r="A372" s="148" t="s">
        <v>2053</v>
      </c>
      <c r="B372" s="82">
        <v>-71</v>
      </c>
      <c r="C372" s="82">
        <v>-61</v>
      </c>
      <c r="D372" s="82">
        <v>-7</v>
      </c>
      <c r="E372" s="81">
        <v>30</v>
      </c>
      <c r="F372" s="6">
        <v>7</v>
      </c>
      <c r="G372" s="41" t="s">
        <v>2632</v>
      </c>
      <c r="H372" s="30" t="s">
        <v>1531</v>
      </c>
      <c r="I372" s="160" t="s">
        <v>138</v>
      </c>
      <c r="J372" s="330">
        <v>52.89</v>
      </c>
      <c r="K372" s="75">
        <v>17.09</v>
      </c>
      <c r="L372" s="75">
        <v>8.4</v>
      </c>
      <c r="M372" s="325"/>
      <c r="N372" s="325">
        <f t="shared" ref="N372:N373" si="304">K372+J372+L372</f>
        <v>78.38000000000001</v>
      </c>
      <c r="O372" s="329"/>
      <c r="P372" s="390"/>
      <c r="Q372" s="362"/>
      <c r="R372" s="308"/>
      <c r="S372" s="330">
        <v>0.71</v>
      </c>
      <c r="T372" s="66">
        <v>2</v>
      </c>
      <c r="U372" s="367"/>
      <c r="V372" s="39">
        <f t="shared" si="302"/>
        <v>1.6666666666666666E-2</v>
      </c>
      <c r="W372" s="168">
        <v>120</v>
      </c>
      <c r="X372" s="66">
        <v>90</v>
      </c>
      <c r="Y372" s="169">
        <f t="shared" si="299"/>
        <v>30</v>
      </c>
      <c r="Z372" s="165">
        <f t="shared" si="300"/>
        <v>0.33333333333333331</v>
      </c>
      <c r="AA372" s="116" t="s">
        <v>3478</v>
      </c>
      <c r="AB372" s="160" t="s">
        <v>138</v>
      </c>
      <c r="AC372" s="86">
        <v>44231</v>
      </c>
      <c r="AD372" s="85">
        <v>44231</v>
      </c>
      <c r="AE372" s="33">
        <f t="shared" ref="AE372:AE373" si="305">AD372-AC372</f>
        <v>0</v>
      </c>
      <c r="AF372" s="121" t="s">
        <v>1188</v>
      </c>
    </row>
    <row r="373" spans="1:39" s="273" customFormat="1">
      <c r="A373" s="132" t="s">
        <v>2743</v>
      </c>
      <c r="B373" s="82">
        <v>-16</v>
      </c>
      <c r="C373" s="82">
        <v>-15</v>
      </c>
      <c r="D373" s="81">
        <v>6</v>
      </c>
      <c r="E373" s="81">
        <v>14</v>
      </c>
      <c r="F373" s="58">
        <v>21.2</v>
      </c>
      <c r="G373" s="41" t="s">
        <v>1125</v>
      </c>
      <c r="H373" s="30" t="s">
        <v>1531</v>
      </c>
      <c r="I373" s="173" t="s">
        <v>45</v>
      </c>
      <c r="J373" s="75">
        <v>69.09</v>
      </c>
      <c r="K373" s="75">
        <v>50.28</v>
      </c>
      <c r="L373" s="75">
        <v>5.86</v>
      </c>
      <c r="M373" s="325"/>
      <c r="N373" s="75">
        <f t="shared" si="304"/>
        <v>125.23</v>
      </c>
      <c r="O373" s="329"/>
      <c r="P373" s="390"/>
      <c r="Q373" s="362"/>
      <c r="R373" s="308"/>
      <c r="S373" s="330">
        <v>0.28999999999999998</v>
      </c>
      <c r="T373" s="66">
        <v>4.2</v>
      </c>
      <c r="U373" s="367"/>
      <c r="V373" s="39">
        <f t="shared" si="302"/>
        <v>5.9238363892806768E-2</v>
      </c>
      <c r="W373" s="172">
        <v>70.900000000000006</v>
      </c>
      <c r="X373" s="66">
        <v>68.900000000000006</v>
      </c>
      <c r="Y373" s="169">
        <f t="shared" si="299"/>
        <v>2</v>
      </c>
      <c r="Z373" s="165">
        <f t="shared" si="300"/>
        <v>2.9027576197387515E-2</v>
      </c>
      <c r="AA373" s="198" t="s">
        <v>3780</v>
      </c>
      <c r="AB373" s="173" t="s">
        <v>45</v>
      </c>
      <c r="AC373" s="86">
        <v>44228</v>
      </c>
      <c r="AD373" s="85">
        <v>44230</v>
      </c>
      <c r="AE373" s="33">
        <f t="shared" si="305"/>
        <v>2</v>
      </c>
      <c r="AF373" s="121" t="s">
        <v>1188</v>
      </c>
    </row>
    <row r="374" spans="1:39" s="273" customFormat="1">
      <c r="A374" s="147"/>
      <c r="B374" s="81"/>
      <c r="C374" s="82"/>
      <c r="D374" s="81"/>
      <c r="E374" s="82"/>
      <c r="F374" s="6"/>
      <c r="G374" s="41"/>
      <c r="H374" s="54"/>
      <c r="I374" s="173"/>
      <c r="J374" s="330"/>
      <c r="K374" s="330"/>
      <c r="L374" s="75"/>
      <c r="M374" s="325"/>
      <c r="N374" s="325"/>
      <c r="O374" s="329"/>
      <c r="P374" s="390"/>
      <c r="Q374" s="362"/>
      <c r="R374" s="308"/>
      <c r="S374" s="330"/>
      <c r="T374" s="66"/>
      <c r="U374" s="367"/>
      <c r="V374" s="39"/>
      <c r="W374" s="168">
        <f>SUM(W357:W373)</f>
        <v>990.89999999999975</v>
      </c>
      <c r="X374" s="66">
        <f>SUM(X357:X373)</f>
        <v>937.75</v>
      </c>
      <c r="Y374" s="169">
        <f>SUM(Y357:Y373)</f>
        <v>53.149999999999977</v>
      </c>
      <c r="Z374" s="165">
        <f>Y374/X374</f>
        <v>5.6678219141562229E-2</v>
      </c>
      <c r="AA374" s="118"/>
      <c r="AB374" s="160">
        <f>W374*(0.001425*0.65)+W374*0.003+X374*(0.001425*0.65)</f>
        <v>4.7591120624999999</v>
      </c>
      <c r="AC374" s="6">
        <f>Y374-AB374</f>
        <v>48.390887937499976</v>
      </c>
      <c r="AD374" s="85"/>
      <c r="AE374" s="33"/>
      <c r="AF374" s="144"/>
      <c r="AG374" s="170"/>
    </row>
    <row r="375" spans="1:39" s="273" customFormat="1">
      <c r="A375" s="147"/>
      <c r="B375" s="81"/>
      <c r="C375" s="82"/>
      <c r="D375" s="81"/>
      <c r="E375" s="82"/>
      <c r="F375" s="6"/>
      <c r="G375" s="41"/>
      <c r="H375" s="50"/>
      <c r="I375" s="173"/>
      <c r="J375" s="330"/>
      <c r="K375" s="330"/>
      <c r="L375" s="75"/>
      <c r="M375" s="325"/>
      <c r="N375" s="325"/>
      <c r="O375" s="329"/>
      <c r="P375" s="390"/>
      <c r="Q375" s="362"/>
      <c r="R375" s="308"/>
      <c r="S375" s="330"/>
      <c r="T375" s="66"/>
      <c r="U375" s="367"/>
      <c r="V375" s="39"/>
      <c r="W375" s="168"/>
      <c r="X375" s="66"/>
      <c r="Y375" s="169"/>
      <c r="Z375" s="165"/>
      <c r="AA375" s="118"/>
      <c r="AB375" s="160">
        <f>W374*(0.001425*0.28)+W374*0.003+X374*(0.001425*0.28)</f>
        <v>3.7422313499999991</v>
      </c>
      <c r="AC375" s="86"/>
      <c r="AD375" s="85"/>
      <c r="AE375" s="33"/>
      <c r="AF375" s="144"/>
      <c r="AG375" s="170"/>
    </row>
    <row r="376" spans="1:39" s="273" customFormat="1">
      <c r="A376" s="147"/>
      <c r="B376" s="81"/>
      <c r="C376" s="82"/>
      <c r="D376" s="81"/>
      <c r="E376" s="82"/>
      <c r="F376" s="6"/>
      <c r="G376" s="41"/>
      <c r="H376" s="50"/>
      <c r="I376" s="173"/>
      <c r="J376" s="330"/>
      <c r="K376" s="330"/>
      <c r="L376" s="75"/>
      <c r="M376" s="325"/>
      <c r="N376" s="325"/>
      <c r="O376" s="329"/>
      <c r="P376" s="390"/>
      <c r="Q376" s="362"/>
      <c r="R376" s="308"/>
      <c r="S376" s="330"/>
      <c r="T376" s="66"/>
      <c r="U376" s="367"/>
      <c r="V376" s="39"/>
      <c r="W376" s="168"/>
      <c r="X376" s="66"/>
      <c r="Y376" s="169"/>
      <c r="Z376" s="165"/>
      <c r="AA376" s="118"/>
      <c r="AB376" s="160"/>
      <c r="AC376" s="86"/>
      <c r="AD376" s="85"/>
      <c r="AE376" s="33"/>
      <c r="AF376" s="144"/>
      <c r="AG376" s="170"/>
    </row>
    <row r="377" spans="1:39" s="282" customFormat="1">
      <c r="A377" s="132" t="s">
        <v>1854</v>
      </c>
      <c r="B377" s="93" t="s">
        <v>1657</v>
      </c>
      <c r="C377" s="93" t="s">
        <v>1658</v>
      </c>
      <c r="D377" s="93" t="s">
        <v>1659</v>
      </c>
      <c r="E377" s="93" t="s">
        <v>1660</v>
      </c>
      <c r="F377" s="8" t="s">
        <v>1122</v>
      </c>
      <c r="G377" s="26" t="s">
        <v>4231</v>
      </c>
      <c r="H377" s="55" t="s">
        <v>3424</v>
      </c>
      <c r="I377" s="1" t="s">
        <v>79</v>
      </c>
      <c r="J377" s="324" t="s">
        <v>1529</v>
      </c>
      <c r="K377" s="324" t="s">
        <v>1217</v>
      </c>
      <c r="L377" s="324" t="s">
        <v>298</v>
      </c>
      <c r="M377" s="324"/>
      <c r="N377" s="324" t="s">
        <v>1121</v>
      </c>
      <c r="O377" s="329"/>
      <c r="P377" s="391" t="s">
        <v>4232</v>
      </c>
      <c r="Q377" s="307" t="s">
        <v>4232</v>
      </c>
      <c r="R377" s="308"/>
      <c r="S377" s="335" t="s">
        <v>4094</v>
      </c>
      <c r="T377" s="10" t="s">
        <v>3488</v>
      </c>
      <c r="U377" s="367"/>
      <c r="V377" s="69" t="s">
        <v>4022</v>
      </c>
      <c r="W377" s="28" t="s">
        <v>3487</v>
      </c>
      <c r="X377" s="17" t="s">
        <v>3489</v>
      </c>
      <c r="Y377" s="14" t="s">
        <v>3420</v>
      </c>
      <c r="Z377" s="21" t="s">
        <v>3421</v>
      </c>
      <c r="AA377" s="25" t="s">
        <v>3422</v>
      </c>
      <c r="AB377" s="1" t="s">
        <v>3423</v>
      </c>
      <c r="AC377" s="73" t="s">
        <v>3425</v>
      </c>
      <c r="AD377" s="74" t="s">
        <v>3426</v>
      </c>
      <c r="AE377" s="32" t="s">
        <v>3427</v>
      </c>
      <c r="AF377" s="46" t="s">
        <v>3428</v>
      </c>
      <c r="AG377" s="170"/>
    </row>
    <row r="378" spans="1:39" s="273" customFormat="1">
      <c r="A378" s="132" t="s">
        <v>3429</v>
      </c>
      <c r="B378" s="81">
        <v>969</v>
      </c>
      <c r="C378" s="95">
        <v>2455</v>
      </c>
      <c r="D378" s="81">
        <v>5</v>
      </c>
      <c r="E378" s="82">
        <v>-3</v>
      </c>
      <c r="F378" s="58">
        <v>13.31</v>
      </c>
      <c r="G378" s="41" t="s">
        <v>3430</v>
      </c>
      <c r="H378" s="30" t="s">
        <v>3432</v>
      </c>
      <c r="I378" s="160" t="s">
        <v>3431</v>
      </c>
      <c r="J378" s="75">
        <v>66.260000000000005</v>
      </c>
      <c r="K378" s="75">
        <v>26.32</v>
      </c>
      <c r="L378" s="75">
        <v>15.8</v>
      </c>
      <c r="M378" s="325"/>
      <c r="N378" s="75">
        <f t="shared" ref="N378:N388" si="306">K378+J378+L378</f>
        <v>108.38000000000001</v>
      </c>
      <c r="O378" s="329"/>
      <c r="P378" s="390"/>
      <c r="Q378" s="362"/>
      <c r="R378" s="308"/>
      <c r="S378" s="330">
        <v>7.57</v>
      </c>
      <c r="T378" s="199">
        <v>0</v>
      </c>
      <c r="U378" s="367"/>
      <c r="V378" s="58">
        <f t="shared" ref="V378:V398" si="307">T378/W378</f>
        <v>0</v>
      </c>
      <c r="W378" s="168">
        <v>53.8</v>
      </c>
      <c r="X378" s="66">
        <v>52.7</v>
      </c>
      <c r="Y378" s="169">
        <f t="shared" ref="Y378:Y387" si="308">W378-X378</f>
        <v>1.0999999999999943</v>
      </c>
      <c r="Z378" s="165">
        <f t="shared" ref="Z378:Z388" si="309">Y378/X378</f>
        <v>2.0872865275142205E-2</v>
      </c>
      <c r="AA378" s="198" t="s">
        <v>3745</v>
      </c>
      <c r="AB378" s="160" t="s">
        <v>3431</v>
      </c>
      <c r="AC378" s="86">
        <v>44218</v>
      </c>
      <c r="AD378" s="85">
        <v>44224</v>
      </c>
      <c r="AE378" s="33">
        <f t="shared" ref="AE378:AE379" si="310">AD378-AC378</f>
        <v>6</v>
      </c>
      <c r="AF378" s="121" t="s">
        <v>3433</v>
      </c>
      <c r="AG378" s="122"/>
    </row>
    <row r="379" spans="1:39" s="273" customFormat="1">
      <c r="A379" s="132" t="s">
        <v>3429</v>
      </c>
      <c r="B379" s="81">
        <v>969</v>
      </c>
      <c r="C379" s="95">
        <v>2455</v>
      </c>
      <c r="D379" s="81">
        <v>5</v>
      </c>
      <c r="E379" s="82">
        <v>-3</v>
      </c>
      <c r="F379" s="58">
        <v>13.31</v>
      </c>
      <c r="G379" s="41" t="s">
        <v>3430</v>
      </c>
      <c r="H379" s="30" t="s">
        <v>3432</v>
      </c>
      <c r="I379" s="160" t="s">
        <v>3431</v>
      </c>
      <c r="J379" s="75">
        <v>66.260000000000005</v>
      </c>
      <c r="K379" s="75">
        <v>26.32</v>
      </c>
      <c r="L379" s="75">
        <v>15.8</v>
      </c>
      <c r="M379" s="325"/>
      <c r="N379" s="75">
        <f t="shared" si="306"/>
        <v>108.38000000000001</v>
      </c>
      <c r="O379" s="329"/>
      <c r="P379" s="390"/>
      <c r="Q379" s="362"/>
      <c r="R379" s="308"/>
      <c r="S379" s="330">
        <v>7.57</v>
      </c>
      <c r="T379" s="199">
        <v>0</v>
      </c>
      <c r="U379" s="367"/>
      <c r="V379" s="58">
        <f t="shared" si="307"/>
        <v>0</v>
      </c>
      <c r="W379" s="168">
        <v>53.8</v>
      </c>
      <c r="X379" s="66">
        <v>52.3</v>
      </c>
      <c r="Y379" s="169">
        <f t="shared" si="308"/>
        <v>1.5</v>
      </c>
      <c r="Z379" s="165">
        <f t="shared" si="309"/>
        <v>2.8680688336520078E-2</v>
      </c>
      <c r="AA379" s="198" t="s">
        <v>3746</v>
      </c>
      <c r="AB379" s="160" t="s">
        <v>3431</v>
      </c>
      <c r="AC379" s="86">
        <v>44217</v>
      </c>
      <c r="AD379" s="85">
        <v>44224</v>
      </c>
      <c r="AE379" s="33">
        <f t="shared" si="310"/>
        <v>7</v>
      </c>
      <c r="AF379" s="121" t="s">
        <v>3433</v>
      </c>
      <c r="AG379" s="122"/>
    </row>
    <row r="380" spans="1:39" s="273" customFormat="1">
      <c r="A380" s="148" t="s">
        <v>3434</v>
      </c>
      <c r="B380" s="81">
        <v>7</v>
      </c>
      <c r="C380" s="81">
        <v>0</v>
      </c>
      <c r="D380" s="82">
        <v>-9</v>
      </c>
      <c r="E380" s="82">
        <v>-1</v>
      </c>
      <c r="F380" s="6">
        <v>7.51</v>
      </c>
      <c r="G380" s="57" t="s">
        <v>3435</v>
      </c>
      <c r="H380" s="30" t="s">
        <v>3432</v>
      </c>
      <c r="I380" s="160" t="s">
        <v>3436</v>
      </c>
      <c r="J380" s="330">
        <v>85.37</v>
      </c>
      <c r="K380" s="330">
        <v>46.74</v>
      </c>
      <c r="L380" s="75">
        <v>0.2</v>
      </c>
      <c r="M380" s="325"/>
      <c r="N380" s="75">
        <f t="shared" si="306"/>
        <v>132.31</v>
      </c>
      <c r="O380" s="329"/>
      <c r="P380" s="390"/>
      <c r="Q380" s="362"/>
      <c r="R380" s="308"/>
      <c r="S380" s="330">
        <v>0</v>
      </c>
      <c r="T380" s="199">
        <v>2.5</v>
      </c>
      <c r="U380" s="367"/>
      <c r="V380" s="97">
        <f t="shared" si="307"/>
        <v>3.7091988130563795E-2</v>
      </c>
      <c r="W380" s="172">
        <v>67.400000000000006</v>
      </c>
      <c r="X380" s="66">
        <v>67.599999999999994</v>
      </c>
      <c r="Y380" s="169">
        <f t="shared" si="308"/>
        <v>-0.19999999999998863</v>
      </c>
      <c r="Z380" s="171">
        <f t="shared" si="309"/>
        <v>-2.9585798816566368E-3</v>
      </c>
      <c r="AA380" s="117" t="s">
        <v>3747</v>
      </c>
      <c r="AB380" s="160" t="s">
        <v>3436</v>
      </c>
      <c r="AC380" s="86">
        <v>44196</v>
      </c>
      <c r="AD380" s="85">
        <v>44224</v>
      </c>
      <c r="AE380" s="33">
        <f>AD380-AC380</f>
        <v>28</v>
      </c>
      <c r="AF380" s="121" t="s">
        <v>3433</v>
      </c>
      <c r="AG380" s="271"/>
      <c r="AH380" s="38"/>
      <c r="AI380" s="66"/>
      <c r="AJ380" s="164"/>
      <c r="AK380" s="66"/>
      <c r="AL380" s="41"/>
      <c r="AM380" s="160"/>
    </row>
    <row r="381" spans="1:39" s="273" customFormat="1">
      <c r="A381" s="148" t="s">
        <v>3434</v>
      </c>
      <c r="B381" s="81">
        <v>7</v>
      </c>
      <c r="C381" s="81">
        <v>0</v>
      </c>
      <c r="D381" s="82">
        <v>-9</v>
      </c>
      <c r="E381" s="82">
        <v>-1</v>
      </c>
      <c r="F381" s="6">
        <v>7.51</v>
      </c>
      <c r="G381" s="57" t="s">
        <v>3435</v>
      </c>
      <c r="H381" s="30" t="s">
        <v>3432</v>
      </c>
      <c r="I381" s="160" t="s">
        <v>3436</v>
      </c>
      <c r="J381" s="330">
        <v>85.37</v>
      </c>
      <c r="K381" s="330">
        <v>46.74</v>
      </c>
      <c r="L381" s="75">
        <v>0.2</v>
      </c>
      <c r="M381" s="325"/>
      <c r="N381" s="75">
        <f t="shared" si="306"/>
        <v>132.31</v>
      </c>
      <c r="O381" s="329"/>
      <c r="P381" s="390"/>
      <c r="Q381" s="362"/>
      <c r="R381" s="308"/>
      <c r="S381" s="330">
        <v>0</v>
      </c>
      <c r="T381" s="199">
        <v>2.5</v>
      </c>
      <c r="U381" s="367"/>
      <c r="V381" s="97">
        <f t="shared" si="307"/>
        <v>3.7091988130563795E-2</v>
      </c>
      <c r="W381" s="172">
        <v>67.400000000000006</v>
      </c>
      <c r="X381" s="66">
        <v>66.7</v>
      </c>
      <c r="Y381" s="169">
        <f t="shared" si="308"/>
        <v>0.70000000000000284</v>
      </c>
      <c r="Z381" s="165">
        <f t="shared" si="309"/>
        <v>1.0494752623688198E-2</v>
      </c>
      <c r="AA381" s="116" t="s">
        <v>3748</v>
      </c>
      <c r="AB381" s="160" t="s">
        <v>3436</v>
      </c>
      <c r="AC381" s="86">
        <v>44183</v>
      </c>
      <c r="AD381" s="85">
        <v>44224</v>
      </c>
      <c r="AE381" s="33">
        <f>AD381-AC381</f>
        <v>41</v>
      </c>
      <c r="AF381" s="121" t="s">
        <v>3433</v>
      </c>
      <c r="AG381" s="271"/>
      <c r="AH381" s="38"/>
      <c r="AI381" s="66"/>
      <c r="AJ381" s="164"/>
      <c r="AK381" s="66"/>
      <c r="AL381" s="41"/>
      <c r="AM381" s="160"/>
    </row>
    <row r="382" spans="1:39" s="273" customFormat="1">
      <c r="A382" s="132" t="s">
        <v>3437</v>
      </c>
      <c r="B382" s="81">
        <v>24</v>
      </c>
      <c r="C382" s="81">
        <v>33</v>
      </c>
      <c r="D382" s="81">
        <v>7</v>
      </c>
      <c r="E382" s="81">
        <v>14</v>
      </c>
      <c r="F382" s="58">
        <v>15.22</v>
      </c>
      <c r="G382" s="41" t="s">
        <v>3438</v>
      </c>
      <c r="H382" s="30" t="s">
        <v>3432</v>
      </c>
      <c r="I382" s="173" t="s">
        <v>3439</v>
      </c>
      <c r="J382" s="75">
        <v>35.799999999999997</v>
      </c>
      <c r="K382" s="75">
        <v>5.67</v>
      </c>
      <c r="L382" s="75">
        <v>37.479999999999997</v>
      </c>
      <c r="M382" s="325"/>
      <c r="N382" s="325">
        <f t="shared" si="306"/>
        <v>78.949999999999989</v>
      </c>
      <c r="O382" s="329"/>
      <c r="P382" s="390"/>
      <c r="Q382" s="362"/>
      <c r="R382" s="308"/>
      <c r="S382" s="330">
        <v>0.5</v>
      </c>
      <c r="T382" s="199">
        <v>2.2999999999999998</v>
      </c>
      <c r="U382" s="367"/>
      <c r="V382" s="97">
        <f t="shared" si="307"/>
        <v>4.1441441441441441E-2</v>
      </c>
      <c r="W382" s="168">
        <v>55.5</v>
      </c>
      <c r="X382" s="162">
        <v>52.7</v>
      </c>
      <c r="Y382" s="169">
        <f t="shared" si="308"/>
        <v>2.7999999999999972</v>
      </c>
      <c r="Z382" s="165">
        <f t="shared" si="309"/>
        <v>5.3130929791271292E-2</v>
      </c>
      <c r="AA382" s="198" t="s">
        <v>3740</v>
      </c>
      <c r="AB382" s="173" t="s">
        <v>3439</v>
      </c>
      <c r="AC382" s="86">
        <v>44222</v>
      </c>
      <c r="AD382" s="85">
        <v>44224</v>
      </c>
      <c r="AE382" s="33">
        <f t="shared" ref="AE382:AE387" si="311">AD382-AC382</f>
        <v>2</v>
      </c>
      <c r="AF382" s="121" t="s">
        <v>3440</v>
      </c>
      <c r="AG382" s="170"/>
    </row>
    <row r="383" spans="1:39" s="273" customFormat="1">
      <c r="A383" s="132" t="s">
        <v>3437</v>
      </c>
      <c r="B383" s="81">
        <v>24</v>
      </c>
      <c r="C383" s="81">
        <v>33</v>
      </c>
      <c r="D383" s="81">
        <v>7</v>
      </c>
      <c r="E383" s="81">
        <v>14</v>
      </c>
      <c r="F383" s="58">
        <v>15.22</v>
      </c>
      <c r="G383" s="41" t="s">
        <v>3438</v>
      </c>
      <c r="H383" s="30" t="s">
        <v>3432</v>
      </c>
      <c r="I383" s="173" t="s">
        <v>3439</v>
      </c>
      <c r="J383" s="75">
        <v>35.799999999999997</v>
      </c>
      <c r="K383" s="75">
        <v>5.67</v>
      </c>
      <c r="L383" s="75">
        <v>37.479999999999997</v>
      </c>
      <c r="M383" s="325"/>
      <c r="N383" s="325">
        <f t="shared" si="306"/>
        <v>78.949999999999989</v>
      </c>
      <c r="O383" s="329"/>
      <c r="P383" s="390"/>
      <c r="Q383" s="362"/>
      <c r="R383" s="308"/>
      <c r="S383" s="330">
        <v>0.5</v>
      </c>
      <c r="T383" s="199">
        <v>2.2999999999999998</v>
      </c>
      <c r="U383" s="367"/>
      <c r="V383" s="97">
        <f t="shared" si="307"/>
        <v>4.1441441441441441E-2</v>
      </c>
      <c r="W383" s="168">
        <v>55.5</v>
      </c>
      <c r="X383" s="162">
        <v>51.8</v>
      </c>
      <c r="Y383" s="169">
        <f t="shared" si="308"/>
        <v>3.7000000000000028</v>
      </c>
      <c r="Z383" s="165">
        <f t="shared" si="309"/>
        <v>7.1428571428571494E-2</v>
      </c>
      <c r="AA383" s="198" t="s">
        <v>1527</v>
      </c>
      <c r="AB383" s="173" t="s">
        <v>3439</v>
      </c>
      <c r="AC383" s="86">
        <v>44219</v>
      </c>
      <c r="AD383" s="85">
        <v>44224</v>
      </c>
      <c r="AE383" s="33">
        <f t="shared" si="311"/>
        <v>5</v>
      </c>
      <c r="AF383" s="121" t="s">
        <v>3440</v>
      </c>
      <c r="AG383" s="170"/>
    </row>
    <row r="384" spans="1:39" s="273" customFormat="1">
      <c r="A384" s="132" t="s">
        <v>3437</v>
      </c>
      <c r="B384" s="81">
        <v>24</v>
      </c>
      <c r="C384" s="81">
        <v>33</v>
      </c>
      <c r="D384" s="81">
        <v>7</v>
      </c>
      <c r="E384" s="81">
        <v>14</v>
      </c>
      <c r="F384" s="58">
        <v>15.22</v>
      </c>
      <c r="G384" s="41" t="s">
        <v>3438</v>
      </c>
      <c r="H384" s="30" t="s">
        <v>3432</v>
      </c>
      <c r="I384" s="173" t="s">
        <v>3439</v>
      </c>
      <c r="J384" s="75">
        <v>35.799999999999997</v>
      </c>
      <c r="K384" s="75">
        <v>5.67</v>
      </c>
      <c r="L384" s="75">
        <v>37.479999999999997</v>
      </c>
      <c r="M384" s="325"/>
      <c r="N384" s="325">
        <f t="shared" si="306"/>
        <v>78.949999999999989</v>
      </c>
      <c r="O384" s="329"/>
      <c r="P384" s="390"/>
      <c r="Q384" s="362"/>
      <c r="R384" s="308"/>
      <c r="S384" s="330">
        <v>0.5</v>
      </c>
      <c r="T384" s="199">
        <v>2.2999999999999998</v>
      </c>
      <c r="U384" s="367"/>
      <c r="V384" s="97">
        <f t="shared" si="307"/>
        <v>4.1441441441441441E-2</v>
      </c>
      <c r="W384" s="168">
        <v>55.5</v>
      </c>
      <c r="X384" s="162">
        <v>51.5</v>
      </c>
      <c r="Y384" s="169">
        <f t="shared" si="308"/>
        <v>4</v>
      </c>
      <c r="Z384" s="165">
        <f t="shared" si="309"/>
        <v>7.7669902912621352E-2</v>
      </c>
      <c r="AA384" s="198" t="s">
        <v>3749</v>
      </c>
      <c r="AB384" s="173" t="s">
        <v>3439</v>
      </c>
      <c r="AC384" s="86">
        <v>44218</v>
      </c>
      <c r="AD384" s="85">
        <v>44224</v>
      </c>
      <c r="AE384" s="33">
        <f t="shared" si="311"/>
        <v>6</v>
      </c>
      <c r="AF384" s="121" t="s">
        <v>3440</v>
      </c>
      <c r="AG384" s="170"/>
    </row>
    <row r="385" spans="1:45" s="273" customFormat="1">
      <c r="A385" s="132" t="s">
        <v>3437</v>
      </c>
      <c r="B385" s="81">
        <v>24</v>
      </c>
      <c r="C385" s="81">
        <v>33</v>
      </c>
      <c r="D385" s="81">
        <v>7</v>
      </c>
      <c r="E385" s="81">
        <v>14</v>
      </c>
      <c r="F385" s="58">
        <v>15.22</v>
      </c>
      <c r="G385" s="41" t="s">
        <v>3438</v>
      </c>
      <c r="H385" s="30" t="s">
        <v>3432</v>
      </c>
      <c r="I385" s="173" t="s">
        <v>3439</v>
      </c>
      <c r="J385" s="75">
        <v>35.799999999999997</v>
      </c>
      <c r="K385" s="75">
        <v>5.67</v>
      </c>
      <c r="L385" s="75">
        <v>37.479999999999997</v>
      </c>
      <c r="M385" s="325"/>
      <c r="N385" s="325">
        <f t="shared" si="306"/>
        <v>78.949999999999989</v>
      </c>
      <c r="O385" s="329"/>
      <c r="P385" s="390"/>
      <c r="Q385" s="362"/>
      <c r="R385" s="308"/>
      <c r="S385" s="330">
        <v>0.5</v>
      </c>
      <c r="T385" s="199">
        <v>2.2999999999999998</v>
      </c>
      <c r="U385" s="367"/>
      <c r="V385" s="97">
        <f t="shared" si="307"/>
        <v>4.1441441441441441E-2</v>
      </c>
      <c r="W385" s="168">
        <v>55.5</v>
      </c>
      <c r="X385" s="162">
        <v>56.5</v>
      </c>
      <c r="Y385" s="169">
        <f t="shared" si="308"/>
        <v>-1</v>
      </c>
      <c r="Z385" s="171">
        <f t="shared" si="309"/>
        <v>-1.7699115044247787E-2</v>
      </c>
      <c r="AA385" s="211" t="s">
        <v>3750</v>
      </c>
      <c r="AB385" s="173" t="s">
        <v>3439</v>
      </c>
      <c r="AC385" s="86">
        <v>44203</v>
      </c>
      <c r="AD385" s="85">
        <v>44224</v>
      </c>
      <c r="AE385" s="33">
        <f t="shared" si="311"/>
        <v>21</v>
      </c>
      <c r="AF385" s="121" t="s">
        <v>3440</v>
      </c>
      <c r="AG385" s="170"/>
    </row>
    <row r="386" spans="1:45" s="273" customFormat="1">
      <c r="A386" s="132" t="s">
        <v>3437</v>
      </c>
      <c r="B386" s="81">
        <v>24</v>
      </c>
      <c r="C386" s="81">
        <v>33</v>
      </c>
      <c r="D386" s="81">
        <v>7</v>
      </c>
      <c r="E386" s="81">
        <v>14</v>
      </c>
      <c r="F386" s="58">
        <v>15.22</v>
      </c>
      <c r="G386" s="41" t="s">
        <v>3438</v>
      </c>
      <c r="H386" s="30" t="s">
        <v>3432</v>
      </c>
      <c r="I386" s="173" t="s">
        <v>3439</v>
      </c>
      <c r="J386" s="75">
        <v>35.799999999999997</v>
      </c>
      <c r="K386" s="75">
        <v>5.67</v>
      </c>
      <c r="L386" s="75">
        <v>37.479999999999997</v>
      </c>
      <c r="M386" s="325"/>
      <c r="N386" s="325">
        <f t="shared" si="306"/>
        <v>78.949999999999989</v>
      </c>
      <c r="O386" s="329"/>
      <c r="P386" s="390"/>
      <c r="Q386" s="362"/>
      <c r="R386" s="308"/>
      <c r="S386" s="330">
        <v>0.5</v>
      </c>
      <c r="T386" s="199">
        <v>2.2999999999999998</v>
      </c>
      <c r="U386" s="367"/>
      <c r="V386" s="97">
        <f t="shared" si="307"/>
        <v>4.1441441441441441E-2</v>
      </c>
      <c r="W386" s="168">
        <v>55.5</v>
      </c>
      <c r="X386" s="162">
        <v>57.7</v>
      </c>
      <c r="Y386" s="169">
        <f t="shared" si="308"/>
        <v>-2.2000000000000028</v>
      </c>
      <c r="Z386" s="171">
        <f t="shared" si="309"/>
        <v>-3.8128249566724483E-2</v>
      </c>
      <c r="AA386" s="211" t="s">
        <v>3751</v>
      </c>
      <c r="AB386" s="173" t="s">
        <v>3439</v>
      </c>
      <c r="AC386" s="86">
        <v>44203</v>
      </c>
      <c r="AD386" s="85">
        <v>44224</v>
      </c>
      <c r="AE386" s="33">
        <f t="shared" si="311"/>
        <v>21</v>
      </c>
      <c r="AF386" s="121" t="s">
        <v>3440</v>
      </c>
      <c r="AG386" s="170"/>
    </row>
    <row r="387" spans="1:45" s="273" customFormat="1">
      <c r="A387" s="132" t="s">
        <v>3437</v>
      </c>
      <c r="B387" s="81">
        <v>24</v>
      </c>
      <c r="C387" s="81">
        <v>33</v>
      </c>
      <c r="D387" s="81">
        <v>7</v>
      </c>
      <c r="E387" s="81">
        <v>14</v>
      </c>
      <c r="F387" s="58">
        <v>15.22</v>
      </c>
      <c r="G387" s="41" t="s">
        <v>3438</v>
      </c>
      <c r="H387" s="30" t="s">
        <v>3432</v>
      </c>
      <c r="I387" s="173" t="s">
        <v>3439</v>
      </c>
      <c r="J387" s="75">
        <v>35.799999999999997</v>
      </c>
      <c r="K387" s="75">
        <v>5.67</v>
      </c>
      <c r="L387" s="75">
        <v>37.479999999999997</v>
      </c>
      <c r="M387" s="325"/>
      <c r="N387" s="325">
        <f t="shared" si="306"/>
        <v>78.949999999999989</v>
      </c>
      <c r="O387" s="329"/>
      <c r="P387" s="390"/>
      <c r="Q387" s="362"/>
      <c r="R387" s="308"/>
      <c r="S387" s="330">
        <v>0.5</v>
      </c>
      <c r="T387" s="199">
        <v>2.2999999999999998</v>
      </c>
      <c r="U387" s="367"/>
      <c r="V387" s="97">
        <f t="shared" si="307"/>
        <v>4.1441441441441441E-2</v>
      </c>
      <c r="W387" s="168">
        <v>55.5</v>
      </c>
      <c r="X387" s="162">
        <v>54.3</v>
      </c>
      <c r="Y387" s="169">
        <f t="shared" si="308"/>
        <v>1.2000000000000028</v>
      </c>
      <c r="Z387" s="165">
        <f t="shared" si="309"/>
        <v>2.2099447513812209E-2</v>
      </c>
      <c r="AA387" s="198" t="s">
        <v>3752</v>
      </c>
      <c r="AB387" s="173" t="s">
        <v>3439</v>
      </c>
      <c r="AC387" s="86">
        <v>44194</v>
      </c>
      <c r="AD387" s="85">
        <v>44224</v>
      </c>
      <c r="AE387" s="33">
        <f t="shared" si="311"/>
        <v>30</v>
      </c>
      <c r="AF387" s="121" t="s">
        <v>3440</v>
      </c>
      <c r="AG387" s="170"/>
    </row>
    <row r="388" spans="1:45" s="273" customFormat="1">
      <c r="A388" s="132" t="s">
        <v>3441</v>
      </c>
      <c r="B388" s="81">
        <v>55</v>
      </c>
      <c r="C388" s="81">
        <v>41</v>
      </c>
      <c r="D388" s="81">
        <v>3</v>
      </c>
      <c r="E388" s="81">
        <v>34</v>
      </c>
      <c r="F388" s="58">
        <v>22.31</v>
      </c>
      <c r="G388" s="41" t="s">
        <v>3442</v>
      </c>
      <c r="H388" s="30" t="s">
        <v>3432</v>
      </c>
      <c r="I388" s="173" t="s">
        <v>3443</v>
      </c>
      <c r="J388" s="75">
        <v>61.92</v>
      </c>
      <c r="K388" s="75">
        <v>34.9</v>
      </c>
      <c r="L388" s="75">
        <v>9.77</v>
      </c>
      <c r="M388" s="325"/>
      <c r="N388" s="75">
        <f t="shared" si="306"/>
        <v>106.58999999999999</v>
      </c>
      <c r="O388" s="329"/>
      <c r="P388" s="390"/>
      <c r="Q388" s="362"/>
      <c r="R388" s="308"/>
      <c r="S388" s="330">
        <v>0.17</v>
      </c>
      <c r="T388" s="199">
        <v>1.3</v>
      </c>
      <c r="U388" s="367"/>
      <c r="V388" s="97">
        <f t="shared" si="307"/>
        <v>2.9782359679266898E-2</v>
      </c>
      <c r="W388" s="168">
        <v>43.65</v>
      </c>
      <c r="X388" s="66">
        <v>41.8</v>
      </c>
      <c r="Y388" s="169">
        <f>W388-X388</f>
        <v>1.8500000000000014</v>
      </c>
      <c r="Z388" s="165">
        <f t="shared" si="309"/>
        <v>4.4258373205741663E-2</v>
      </c>
      <c r="AA388" s="198" t="s">
        <v>3753</v>
      </c>
      <c r="AB388" s="173" t="s">
        <v>3443</v>
      </c>
      <c r="AC388" s="86">
        <v>44208</v>
      </c>
      <c r="AD388" s="85">
        <v>44217</v>
      </c>
      <c r="AE388" s="33">
        <f>AD388-AC388</f>
        <v>9</v>
      </c>
      <c r="AF388" s="121" t="s">
        <v>3440</v>
      </c>
      <c r="AG388" s="170"/>
    </row>
    <row r="389" spans="1:45" s="273" customFormat="1">
      <c r="A389" s="132" t="s">
        <v>3444</v>
      </c>
      <c r="B389" s="82">
        <v>-16</v>
      </c>
      <c r="C389" s="82">
        <v>-15</v>
      </c>
      <c r="D389" s="82">
        <v>-1</v>
      </c>
      <c r="E389" s="81">
        <v>20</v>
      </c>
      <c r="F389" s="58">
        <v>21.2</v>
      </c>
      <c r="G389" s="41" t="s">
        <v>3445</v>
      </c>
      <c r="H389" s="30" t="s">
        <v>3432</v>
      </c>
      <c r="I389" s="173" t="s">
        <v>3446</v>
      </c>
      <c r="J389" s="75">
        <v>64.22</v>
      </c>
      <c r="K389" s="75">
        <v>44.89</v>
      </c>
      <c r="L389" s="330">
        <v>7.1</v>
      </c>
      <c r="M389" s="325"/>
      <c r="N389" s="75">
        <f>K389+J389+L389</f>
        <v>116.21</v>
      </c>
      <c r="O389" s="329"/>
      <c r="P389" s="390"/>
      <c r="Q389" s="362"/>
      <c r="R389" s="308"/>
      <c r="S389" s="330">
        <v>0.2</v>
      </c>
      <c r="T389" s="199">
        <v>4.2</v>
      </c>
      <c r="U389" s="367"/>
      <c r="V389" s="97">
        <f t="shared" si="307"/>
        <v>5.6000000000000001E-2</v>
      </c>
      <c r="W389" s="172">
        <v>75</v>
      </c>
      <c r="X389" s="66">
        <v>72.3</v>
      </c>
      <c r="Y389" s="169">
        <f t="shared" ref="Y389:Y393" si="312">W389-X389</f>
        <v>2.7000000000000028</v>
      </c>
      <c r="Z389" s="165">
        <f>Y389/X389</f>
        <v>3.7344398340249003E-2</v>
      </c>
      <c r="AA389" s="198" t="s">
        <v>2344</v>
      </c>
      <c r="AB389" s="173" t="s">
        <v>3446</v>
      </c>
      <c r="AC389" s="86">
        <v>44208</v>
      </c>
      <c r="AD389" s="85">
        <v>44216</v>
      </c>
      <c r="AE389" s="33">
        <f>AD389-AC389</f>
        <v>8</v>
      </c>
      <c r="AF389" s="121" t="s">
        <v>3440</v>
      </c>
    </row>
    <row r="390" spans="1:45" s="273" customFormat="1">
      <c r="A390" s="148" t="s">
        <v>3447</v>
      </c>
      <c r="B390" s="81">
        <v>52</v>
      </c>
      <c r="C390" s="81">
        <v>39</v>
      </c>
      <c r="D390" s="82">
        <v>1</v>
      </c>
      <c r="E390" s="82">
        <v>-3</v>
      </c>
      <c r="F390" s="6">
        <v>5.07</v>
      </c>
      <c r="G390" s="41" t="s">
        <v>3448</v>
      </c>
      <c r="H390" s="30" t="s">
        <v>3432</v>
      </c>
      <c r="I390" s="160" t="s">
        <v>3449</v>
      </c>
      <c r="J390" s="75">
        <v>73.73</v>
      </c>
      <c r="K390" s="330">
        <v>53.09</v>
      </c>
      <c r="L390" s="330">
        <v>8.09</v>
      </c>
      <c r="M390" s="325"/>
      <c r="N390" s="75">
        <f t="shared" ref="N390:N393" si="313">K390+J390+L390</f>
        <v>134.91</v>
      </c>
      <c r="O390" s="329"/>
      <c r="P390" s="390"/>
      <c r="Q390" s="362"/>
      <c r="R390" s="308"/>
      <c r="S390" s="330">
        <v>2.62</v>
      </c>
      <c r="T390" s="199">
        <v>1.0900000000000001</v>
      </c>
      <c r="U390" s="367"/>
      <c r="V390" s="97">
        <f t="shared" si="307"/>
        <v>1.0954773869346734E-2</v>
      </c>
      <c r="W390" s="172">
        <v>99.5</v>
      </c>
      <c r="X390" s="66">
        <v>99.2</v>
      </c>
      <c r="Y390" s="169">
        <f t="shared" si="312"/>
        <v>0.29999999999999716</v>
      </c>
      <c r="Z390" s="165">
        <f>Y390/X390</f>
        <v>3.0241935483870681E-3</v>
      </c>
      <c r="AA390" s="198" t="s">
        <v>3754</v>
      </c>
      <c r="AB390" s="160" t="s">
        <v>3449</v>
      </c>
      <c r="AC390" s="86">
        <v>44209</v>
      </c>
      <c r="AD390" s="85">
        <v>44211</v>
      </c>
      <c r="AE390" s="33">
        <f>AD390-AC390</f>
        <v>2</v>
      </c>
      <c r="AF390" s="121" t="s">
        <v>3440</v>
      </c>
      <c r="AJ390" s="11"/>
    </row>
    <row r="391" spans="1:45" s="273" customFormat="1">
      <c r="A391" s="148" t="s">
        <v>3447</v>
      </c>
      <c r="B391" s="81">
        <v>52</v>
      </c>
      <c r="C391" s="81">
        <v>39</v>
      </c>
      <c r="D391" s="82">
        <v>1</v>
      </c>
      <c r="E391" s="82">
        <v>-3</v>
      </c>
      <c r="F391" s="6">
        <v>5.07</v>
      </c>
      <c r="G391" s="41" t="s">
        <v>3448</v>
      </c>
      <c r="H391" s="30" t="s">
        <v>3432</v>
      </c>
      <c r="I391" s="160" t="s">
        <v>3449</v>
      </c>
      <c r="J391" s="75">
        <v>73.73</v>
      </c>
      <c r="K391" s="330">
        <v>53.09</v>
      </c>
      <c r="L391" s="330">
        <v>8.09</v>
      </c>
      <c r="M391" s="325"/>
      <c r="N391" s="75">
        <f t="shared" si="313"/>
        <v>134.91</v>
      </c>
      <c r="O391" s="329"/>
      <c r="P391" s="390"/>
      <c r="Q391" s="362"/>
      <c r="R391" s="308"/>
      <c r="S391" s="330">
        <v>2.62</v>
      </c>
      <c r="T391" s="199">
        <v>1.0900000000000001</v>
      </c>
      <c r="U391" s="367"/>
      <c r="V391" s="97">
        <f t="shared" si="307"/>
        <v>1.0954773869346734E-2</v>
      </c>
      <c r="W391" s="172">
        <v>99.5</v>
      </c>
      <c r="X391" s="66">
        <v>99.1</v>
      </c>
      <c r="Y391" s="169">
        <f t="shared" si="312"/>
        <v>0.40000000000000568</v>
      </c>
      <c r="Z391" s="165">
        <f>Y391/X391</f>
        <v>4.0363269424823984E-3</v>
      </c>
      <c r="AA391" s="198" t="s">
        <v>3755</v>
      </c>
      <c r="AB391" s="160" t="s">
        <v>3449</v>
      </c>
      <c r="AC391" s="86">
        <v>44209</v>
      </c>
      <c r="AD391" s="85">
        <v>44211</v>
      </c>
      <c r="AE391" s="33">
        <f>AD391-AC391</f>
        <v>2</v>
      </c>
      <c r="AF391" s="121" t="s">
        <v>3440</v>
      </c>
      <c r="AJ391" s="11"/>
    </row>
    <row r="392" spans="1:45" s="273" customFormat="1">
      <c r="A392" s="148" t="s">
        <v>3447</v>
      </c>
      <c r="B392" s="81">
        <v>52</v>
      </c>
      <c r="C392" s="81">
        <v>39</v>
      </c>
      <c r="D392" s="82">
        <v>1</v>
      </c>
      <c r="E392" s="82">
        <v>-3</v>
      </c>
      <c r="F392" s="6">
        <v>5.07</v>
      </c>
      <c r="G392" s="41" t="s">
        <v>3448</v>
      </c>
      <c r="H392" s="30" t="s">
        <v>3432</v>
      </c>
      <c r="I392" s="160" t="s">
        <v>3449</v>
      </c>
      <c r="J392" s="75">
        <v>73.73</v>
      </c>
      <c r="K392" s="330">
        <v>53.09</v>
      </c>
      <c r="L392" s="330">
        <v>8.09</v>
      </c>
      <c r="M392" s="325"/>
      <c r="N392" s="75">
        <f t="shared" si="313"/>
        <v>134.91</v>
      </c>
      <c r="O392" s="329"/>
      <c r="P392" s="390"/>
      <c r="Q392" s="362"/>
      <c r="R392" s="308"/>
      <c r="S392" s="330">
        <v>2.62</v>
      </c>
      <c r="T392" s="199">
        <v>1.0900000000000001</v>
      </c>
      <c r="U392" s="367"/>
      <c r="V392" s="97">
        <f t="shared" si="307"/>
        <v>1.1248710010319917E-2</v>
      </c>
      <c r="W392" s="172">
        <v>96.9</v>
      </c>
      <c r="X392" s="66">
        <v>93</v>
      </c>
      <c r="Y392" s="169">
        <f t="shared" si="312"/>
        <v>3.9000000000000057</v>
      </c>
      <c r="Z392" s="165">
        <f>Y392/X392</f>
        <v>4.19354838709678E-2</v>
      </c>
      <c r="AA392" s="198" t="s">
        <v>1936</v>
      </c>
      <c r="AB392" s="160" t="s">
        <v>3449</v>
      </c>
      <c r="AC392" s="86">
        <v>44202</v>
      </c>
      <c r="AD392" s="85">
        <v>44207</v>
      </c>
      <c r="AE392" s="33">
        <f>AD392-AC392</f>
        <v>5</v>
      </c>
      <c r="AF392" s="121" t="s">
        <v>3440</v>
      </c>
      <c r="AJ392" s="11"/>
    </row>
    <row r="393" spans="1:45" s="273" customFormat="1">
      <c r="A393" s="132" t="s">
        <v>3437</v>
      </c>
      <c r="B393" s="81">
        <v>24</v>
      </c>
      <c r="C393" s="81">
        <v>33</v>
      </c>
      <c r="D393" s="81">
        <v>7</v>
      </c>
      <c r="E393" s="81">
        <v>14</v>
      </c>
      <c r="F393" s="58">
        <v>15.22</v>
      </c>
      <c r="G393" s="41" t="s">
        <v>3438</v>
      </c>
      <c r="H393" s="30" t="s">
        <v>3432</v>
      </c>
      <c r="I393" s="173" t="s">
        <v>3439</v>
      </c>
      <c r="J393" s="75">
        <v>35.799999999999997</v>
      </c>
      <c r="K393" s="75">
        <v>5.67</v>
      </c>
      <c r="L393" s="75">
        <v>37.479999999999997</v>
      </c>
      <c r="M393" s="325"/>
      <c r="N393" s="325">
        <f t="shared" si="313"/>
        <v>78.949999999999989</v>
      </c>
      <c r="O393" s="329"/>
      <c r="P393" s="390"/>
      <c r="Q393" s="362"/>
      <c r="R393" s="308"/>
      <c r="S393" s="330">
        <v>0.5</v>
      </c>
      <c r="T393" s="199">
        <v>2.2999999999999998</v>
      </c>
      <c r="U393" s="367"/>
      <c r="V393" s="97">
        <f t="shared" si="307"/>
        <v>4.2990654205607472E-2</v>
      </c>
      <c r="W393" s="168">
        <v>53.5</v>
      </c>
      <c r="X393" s="162">
        <v>52.8</v>
      </c>
      <c r="Y393" s="169">
        <f t="shared" si="312"/>
        <v>0.70000000000000284</v>
      </c>
      <c r="Z393" s="165">
        <f t="shared" ref="Z393" si="314">Y393/X393</f>
        <v>1.3257575757575812E-2</v>
      </c>
      <c r="AA393" s="198" t="s">
        <v>2374</v>
      </c>
      <c r="AB393" s="173" t="s">
        <v>3439</v>
      </c>
      <c r="AC393" s="86">
        <v>44196</v>
      </c>
      <c r="AD393" s="85">
        <v>44202</v>
      </c>
      <c r="AE393" s="33">
        <f t="shared" ref="AE393:AE398" si="315">AD393-AC393</f>
        <v>6</v>
      </c>
      <c r="AF393" s="121" t="s">
        <v>3440</v>
      </c>
      <c r="AG393" s="170"/>
    </row>
    <row r="394" spans="1:45" s="273" customFormat="1">
      <c r="A394" s="132" t="s">
        <v>3437</v>
      </c>
      <c r="B394" s="81">
        <v>24</v>
      </c>
      <c r="C394" s="81">
        <v>33</v>
      </c>
      <c r="D394" s="81">
        <v>7</v>
      </c>
      <c r="E394" s="81">
        <v>14</v>
      </c>
      <c r="F394" s="58">
        <v>15.22</v>
      </c>
      <c r="G394" s="41" t="s">
        <v>3438</v>
      </c>
      <c r="H394" s="30" t="s">
        <v>3432</v>
      </c>
      <c r="I394" s="173" t="s">
        <v>3439</v>
      </c>
      <c r="J394" s="75">
        <v>35.799999999999997</v>
      </c>
      <c r="K394" s="75">
        <v>5.67</v>
      </c>
      <c r="L394" s="75">
        <v>37.479999999999997</v>
      </c>
      <c r="M394" s="325"/>
      <c r="N394" s="325">
        <f>K394+J394+L394</f>
        <v>78.949999999999989</v>
      </c>
      <c r="O394" s="329"/>
      <c r="P394" s="390"/>
      <c r="Q394" s="362"/>
      <c r="R394" s="308"/>
      <c r="S394" s="330">
        <v>0.5</v>
      </c>
      <c r="T394" s="199">
        <v>2.2999999999999998</v>
      </c>
      <c r="U394" s="367"/>
      <c r="V394" s="97">
        <f t="shared" si="307"/>
        <v>4.2990654205607472E-2</v>
      </c>
      <c r="W394" s="168">
        <v>53.5</v>
      </c>
      <c r="X394" s="162">
        <v>52.7</v>
      </c>
      <c r="Y394" s="169">
        <f>W394-X394</f>
        <v>0.79999999999999716</v>
      </c>
      <c r="Z394" s="165">
        <f>Y394/X394</f>
        <v>1.5180265654648901E-2</v>
      </c>
      <c r="AA394" s="198" t="s">
        <v>1855</v>
      </c>
      <c r="AB394" s="173" t="s">
        <v>3439</v>
      </c>
      <c r="AC394" s="86">
        <v>44195</v>
      </c>
      <c r="AD394" s="85">
        <v>44202</v>
      </c>
      <c r="AE394" s="33">
        <f t="shared" si="315"/>
        <v>7</v>
      </c>
      <c r="AF394" s="121" t="s">
        <v>3440</v>
      </c>
      <c r="AG394" s="170"/>
    </row>
    <row r="395" spans="1:45" s="273" customFormat="1">
      <c r="A395" s="148" t="s">
        <v>3447</v>
      </c>
      <c r="B395" s="81">
        <v>52</v>
      </c>
      <c r="C395" s="81">
        <v>39</v>
      </c>
      <c r="D395" s="82">
        <v>-8</v>
      </c>
      <c r="E395" s="82">
        <v>-3</v>
      </c>
      <c r="F395" s="6">
        <v>5.07</v>
      </c>
      <c r="G395" s="41" t="s">
        <v>3448</v>
      </c>
      <c r="H395" s="30" t="s">
        <v>3432</v>
      </c>
      <c r="I395" s="160" t="s">
        <v>3449</v>
      </c>
      <c r="J395" s="75">
        <v>71.510000000000005</v>
      </c>
      <c r="K395" s="75">
        <v>50.78</v>
      </c>
      <c r="L395" s="75">
        <v>8.6300000000000008</v>
      </c>
      <c r="M395" s="325"/>
      <c r="N395" s="75">
        <f t="shared" ref="N395" si="316">K395+J395+L395</f>
        <v>130.92000000000002</v>
      </c>
      <c r="O395" s="329"/>
      <c r="P395" s="390"/>
      <c r="Q395" s="362"/>
      <c r="R395" s="308"/>
      <c r="S395" s="330">
        <v>2.98</v>
      </c>
      <c r="T395" s="199">
        <v>1.0900000000000001</v>
      </c>
      <c r="U395" s="367"/>
      <c r="V395" s="97">
        <f t="shared" si="307"/>
        <v>1.1534391534391536E-2</v>
      </c>
      <c r="W395" s="172">
        <v>94.5</v>
      </c>
      <c r="X395" s="66">
        <v>85.3</v>
      </c>
      <c r="Y395" s="169">
        <f t="shared" ref="Y395" si="317">W395-X395</f>
        <v>9.2000000000000028</v>
      </c>
      <c r="Z395" s="165">
        <f t="shared" ref="Z395" si="318">Y395/X395</f>
        <v>0.10785463071512313</v>
      </c>
      <c r="AA395" s="198" t="s">
        <v>3756</v>
      </c>
      <c r="AB395" s="160" t="s">
        <v>3449</v>
      </c>
      <c r="AC395" s="86">
        <v>44189</v>
      </c>
      <c r="AD395" s="85">
        <v>44202</v>
      </c>
      <c r="AE395" s="33">
        <f t="shared" si="315"/>
        <v>13</v>
      </c>
      <c r="AF395" s="121" t="s">
        <v>3440</v>
      </c>
      <c r="AG395" s="167"/>
      <c r="AS395" s="11"/>
    </row>
    <row r="396" spans="1:45" s="273" customFormat="1">
      <c r="A396" s="132" t="s">
        <v>3450</v>
      </c>
      <c r="B396" s="81">
        <v>57</v>
      </c>
      <c r="C396" s="81">
        <v>47</v>
      </c>
      <c r="D396" s="81">
        <v>4</v>
      </c>
      <c r="E396" s="81">
        <v>0</v>
      </c>
      <c r="F396" s="58">
        <v>12.43</v>
      </c>
      <c r="G396" s="41" t="s">
        <v>3451</v>
      </c>
      <c r="H396" s="30" t="s">
        <v>3453</v>
      </c>
      <c r="I396" s="173" t="s">
        <v>3452</v>
      </c>
      <c r="J396" s="330">
        <v>31.47</v>
      </c>
      <c r="K396" s="75">
        <v>12.88</v>
      </c>
      <c r="L396" s="75">
        <v>24.09</v>
      </c>
      <c r="M396" s="325"/>
      <c r="N396" s="325">
        <f>K396+J396+L396</f>
        <v>68.44</v>
      </c>
      <c r="O396" s="329"/>
      <c r="P396" s="390"/>
      <c r="Q396" s="362"/>
      <c r="R396" s="308"/>
      <c r="S396" s="330">
        <v>1.63</v>
      </c>
      <c r="T396" s="199">
        <v>2</v>
      </c>
      <c r="U396" s="367"/>
      <c r="V396" s="97">
        <f t="shared" si="307"/>
        <v>3.7383177570093455E-2</v>
      </c>
      <c r="W396" s="168">
        <v>53.5</v>
      </c>
      <c r="X396" s="162">
        <v>52.8</v>
      </c>
      <c r="Y396" s="169">
        <f>W396-X396</f>
        <v>0.70000000000000284</v>
      </c>
      <c r="Z396" s="165">
        <f>Y396/X396</f>
        <v>1.3257575757575812E-2</v>
      </c>
      <c r="AA396" s="198" t="s">
        <v>2374</v>
      </c>
      <c r="AB396" s="173" t="s">
        <v>3452</v>
      </c>
      <c r="AC396" s="86">
        <v>44200</v>
      </c>
      <c r="AD396" s="85">
        <v>44202</v>
      </c>
      <c r="AE396" s="33">
        <f t="shared" si="315"/>
        <v>2</v>
      </c>
      <c r="AF396" s="121" t="s">
        <v>3454</v>
      </c>
      <c r="AG396" s="170"/>
    </row>
    <row r="397" spans="1:45" s="273" customFormat="1">
      <c r="A397" s="132" t="s">
        <v>3455</v>
      </c>
      <c r="B397" s="81">
        <v>57</v>
      </c>
      <c r="C397" s="81">
        <v>47</v>
      </c>
      <c r="D397" s="81">
        <v>4</v>
      </c>
      <c r="E397" s="81">
        <v>0</v>
      </c>
      <c r="F397" s="58">
        <v>12.43</v>
      </c>
      <c r="G397" s="41" t="s">
        <v>3456</v>
      </c>
      <c r="H397" s="30" t="s">
        <v>3453</v>
      </c>
      <c r="I397" s="173" t="s">
        <v>3452</v>
      </c>
      <c r="J397" s="330">
        <v>31.47</v>
      </c>
      <c r="K397" s="75">
        <v>12.88</v>
      </c>
      <c r="L397" s="75">
        <v>24.09</v>
      </c>
      <c r="M397" s="325"/>
      <c r="N397" s="325">
        <f>K397+J397+L397</f>
        <v>68.44</v>
      </c>
      <c r="O397" s="329"/>
      <c r="P397" s="390"/>
      <c r="Q397" s="362"/>
      <c r="R397" s="308"/>
      <c r="S397" s="330">
        <v>1.63</v>
      </c>
      <c r="T397" s="199">
        <v>2</v>
      </c>
      <c r="U397" s="367"/>
      <c r="V397" s="97">
        <f t="shared" si="307"/>
        <v>3.7383177570093455E-2</v>
      </c>
      <c r="W397" s="168">
        <v>53.5</v>
      </c>
      <c r="X397" s="162">
        <v>54.1</v>
      </c>
      <c r="Y397" s="169">
        <f>W397-X397</f>
        <v>-0.60000000000000142</v>
      </c>
      <c r="Z397" s="171">
        <f>Y397/X397</f>
        <v>-1.1090573012939028E-2</v>
      </c>
      <c r="AA397" s="211" t="s">
        <v>3757</v>
      </c>
      <c r="AB397" s="173" t="s">
        <v>3452</v>
      </c>
      <c r="AC397" s="86">
        <v>44194</v>
      </c>
      <c r="AD397" s="85">
        <v>44202</v>
      </c>
      <c r="AE397" s="33">
        <f t="shared" si="315"/>
        <v>8</v>
      </c>
      <c r="AF397" s="121" t="s">
        <v>3454</v>
      </c>
      <c r="AG397" s="170"/>
    </row>
    <row r="398" spans="1:45" s="273" customFormat="1">
      <c r="A398" s="132" t="s">
        <v>3455</v>
      </c>
      <c r="B398" s="81">
        <v>57</v>
      </c>
      <c r="C398" s="81">
        <v>47</v>
      </c>
      <c r="D398" s="81">
        <v>4</v>
      </c>
      <c r="E398" s="81">
        <v>0</v>
      </c>
      <c r="F398" s="58">
        <v>12.43</v>
      </c>
      <c r="G398" s="41" t="s">
        <v>3456</v>
      </c>
      <c r="H398" s="30" t="s">
        <v>3453</v>
      </c>
      <c r="I398" s="173" t="s">
        <v>3452</v>
      </c>
      <c r="J398" s="330">
        <v>31.47</v>
      </c>
      <c r="K398" s="75">
        <v>12.88</v>
      </c>
      <c r="L398" s="75">
        <v>24.09</v>
      </c>
      <c r="M398" s="325"/>
      <c r="N398" s="325">
        <f>K398+J398+L398</f>
        <v>68.44</v>
      </c>
      <c r="O398" s="329"/>
      <c r="P398" s="390"/>
      <c r="Q398" s="362"/>
      <c r="R398" s="308"/>
      <c r="S398" s="330">
        <v>1.63</v>
      </c>
      <c r="T398" s="199">
        <v>2</v>
      </c>
      <c r="U398" s="367"/>
      <c r="V398" s="97">
        <f t="shared" si="307"/>
        <v>3.7383177570093455E-2</v>
      </c>
      <c r="W398" s="168">
        <v>53.5</v>
      </c>
      <c r="X398" s="162">
        <v>51.9</v>
      </c>
      <c r="Y398" s="169">
        <f>W398-X398</f>
        <v>1.6000000000000014</v>
      </c>
      <c r="Z398" s="165">
        <f>Y398/X398</f>
        <v>3.0828516377649353E-2</v>
      </c>
      <c r="AA398" s="198" t="s">
        <v>3543</v>
      </c>
      <c r="AB398" s="173" t="s">
        <v>3452</v>
      </c>
      <c r="AC398" s="86">
        <v>44189</v>
      </c>
      <c r="AD398" s="85">
        <v>44202</v>
      </c>
      <c r="AE398" s="33">
        <f t="shared" si="315"/>
        <v>13</v>
      </c>
      <c r="AF398" s="121" t="s">
        <v>3454</v>
      </c>
      <c r="AG398" s="170"/>
    </row>
    <row r="399" spans="1:45" s="273" customFormat="1">
      <c r="A399" s="148"/>
      <c r="B399" s="81"/>
      <c r="C399" s="81"/>
      <c r="D399" s="82"/>
      <c r="E399" s="82"/>
      <c r="F399" s="6"/>
      <c r="G399" s="41"/>
      <c r="H399" s="54"/>
      <c r="I399" s="160"/>
      <c r="J399" s="75"/>
      <c r="K399" s="75"/>
      <c r="L399" s="75"/>
      <c r="M399" s="325"/>
      <c r="N399" s="75"/>
      <c r="O399" s="329"/>
      <c r="P399" s="390"/>
      <c r="Q399" s="362"/>
      <c r="R399" s="308"/>
      <c r="S399" s="330"/>
      <c r="T399" s="199"/>
      <c r="U399" s="367"/>
      <c r="V399" s="97"/>
      <c r="W399" s="168">
        <f>SUM(W378:W398)</f>
        <v>1351.9499999999998</v>
      </c>
      <c r="X399" s="66">
        <f>SUM(X378:X398)</f>
        <v>1318.7999999999997</v>
      </c>
      <c r="Y399" s="169">
        <f>SUM(Y378:Y398)</f>
        <v>33.150000000000027</v>
      </c>
      <c r="Z399" s="165">
        <f>Y399/X399</f>
        <v>2.5136487716105577E-2</v>
      </c>
      <c r="AA399" s="174"/>
      <c r="AB399" s="160">
        <f>W399*(0.001425*0.65)+W399*0.003+X399*(0.001425*0.65)</f>
        <v>6.529632187499999</v>
      </c>
      <c r="AC399" s="6">
        <f>Y399-AB399</f>
        <v>26.620367812500028</v>
      </c>
      <c r="AD399" s="85"/>
      <c r="AE399" s="121"/>
      <c r="AF399" s="121"/>
      <c r="AG399" s="167"/>
      <c r="AS399" s="11"/>
    </row>
    <row r="400" spans="1:45" s="273" customFormat="1">
      <c r="A400" s="148"/>
      <c r="B400" s="81"/>
      <c r="C400" s="81"/>
      <c r="D400" s="82"/>
      <c r="E400" s="82"/>
      <c r="F400" s="6"/>
      <c r="G400" s="41"/>
      <c r="H400" s="4"/>
      <c r="I400" s="160"/>
      <c r="J400" s="75"/>
      <c r="K400" s="75"/>
      <c r="L400" s="75"/>
      <c r="M400" s="325"/>
      <c r="N400" s="75"/>
      <c r="O400" s="329"/>
      <c r="P400" s="390"/>
      <c r="Q400" s="362"/>
      <c r="R400" s="308"/>
      <c r="S400" s="330"/>
      <c r="T400" s="199"/>
      <c r="U400" s="367"/>
      <c r="V400" s="97"/>
      <c r="W400" s="168"/>
      <c r="X400" s="66"/>
      <c r="Y400" s="169"/>
      <c r="Z400" s="165"/>
      <c r="AA400" s="174"/>
      <c r="AB400" s="160"/>
      <c r="AC400" s="86"/>
      <c r="AD400" s="85"/>
      <c r="AE400" s="121"/>
      <c r="AF400" s="121"/>
      <c r="AG400" s="167"/>
      <c r="AS400" s="11"/>
    </row>
    <row r="401" spans="1:44" s="282" customFormat="1">
      <c r="A401" s="132" t="s">
        <v>2744</v>
      </c>
      <c r="B401" s="93" t="s">
        <v>2745</v>
      </c>
      <c r="C401" s="93" t="s">
        <v>2746</v>
      </c>
      <c r="D401" s="93" t="s">
        <v>2747</v>
      </c>
      <c r="E401" s="93" t="s">
        <v>2748</v>
      </c>
      <c r="F401" s="8" t="s">
        <v>2749</v>
      </c>
      <c r="G401" s="26" t="s">
        <v>4231</v>
      </c>
      <c r="H401" s="55" t="s">
        <v>2758</v>
      </c>
      <c r="I401" s="1" t="s">
        <v>2750</v>
      </c>
      <c r="J401" s="324" t="s">
        <v>2751</v>
      </c>
      <c r="K401" s="324" t="s">
        <v>2752</v>
      </c>
      <c r="L401" s="324" t="s">
        <v>2753</v>
      </c>
      <c r="M401" s="324"/>
      <c r="N401" s="324" t="s">
        <v>2754</v>
      </c>
      <c r="O401" s="329"/>
      <c r="P401" s="391" t="s">
        <v>4190</v>
      </c>
      <c r="Q401" s="307" t="s">
        <v>4190</v>
      </c>
      <c r="R401" s="308"/>
      <c r="S401" s="335" t="s">
        <v>4094</v>
      </c>
      <c r="T401" s="10" t="s">
        <v>3488</v>
      </c>
      <c r="U401" s="367"/>
      <c r="V401" s="69" t="s">
        <v>3486</v>
      </c>
      <c r="W401" s="28" t="s">
        <v>3487</v>
      </c>
      <c r="X401" s="17" t="s">
        <v>3489</v>
      </c>
      <c r="Y401" s="14" t="s">
        <v>2755</v>
      </c>
      <c r="Z401" s="21" t="s">
        <v>2756</v>
      </c>
      <c r="AA401" s="25" t="s">
        <v>2757</v>
      </c>
      <c r="AB401" s="1" t="s">
        <v>2750</v>
      </c>
      <c r="AC401" s="73" t="s">
        <v>2759</v>
      </c>
      <c r="AD401" s="74" t="s">
        <v>2760</v>
      </c>
      <c r="AE401" s="32" t="s">
        <v>2761</v>
      </c>
      <c r="AF401" s="46" t="s">
        <v>2764</v>
      </c>
      <c r="AG401" s="170"/>
    </row>
    <row r="402" spans="1:44" s="178" customFormat="1" ht="17.100000000000001" customHeight="1">
      <c r="A402" s="132" t="s">
        <v>2765</v>
      </c>
      <c r="B402" s="81">
        <v>79</v>
      </c>
      <c r="C402" s="81">
        <v>153</v>
      </c>
      <c r="D402" s="81">
        <v>6</v>
      </c>
      <c r="E402" s="81">
        <v>34</v>
      </c>
      <c r="F402" s="58">
        <v>10.11</v>
      </c>
      <c r="G402" s="41" t="s">
        <v>2766</v>
      </c>
      <c r="H402" s="30" t="s">
        <v>2762</v>
      </c>
      <c r="I402" s="173" t="s">
        <v>2767</v>
      </c>
      <c r="J402" s="330">
        <v>47.16</v>
      </c>
      <c r="K402" s="75">
        <v>10.68</v>
      </c>
      <c r="L402" s="75">
        <v>47.47</v>
      </c>
      <c r="M402" s="325"/>
      <c r="N402" s="75">
        <f>K402+J402+L402</f>
        <v>105.31</v>
      </c>
      <c r="O402" s="329"/>
      <c r="P402" s="390"/>
      <c r="Q402" s="362"/>
      <c r="R402" s="308"/>
      <c r="S402" s="330">
        <v>4.33</v>
      </c>
      <c r="T402" s="199">
        <v>0.5</v>
      </c>
      <c r="U402" s="367"/>
      <c r="V402" s="58">
        <f>T402/W402</f>
        <v>7.0422535211267607E-3</v>
      </c>
      <c r="W402" s="168">
        <v>71</v>
      </c>
      <c r="X402" s="162">
        <v>62.1</v>
      </c>
      <c r="Y402" s="169">
        <f>W402-X402</f>
        <v>8.8999999999999986</v>
      </c>
      <c r="Z402" s="165">
        <f>Y402/X402</f>
        <v>0.14331723027375198</v>
      </c>
      <c r="AA402" s="174" t="s">
        <v>3758</v>
      </c>
      <c r="AB402" s="173" t="s">
        <v>2767</v>
      </c>
      <c r="AC402" s="86">
        <v>44190</v>
      </c>
      <c r="AD402" s="85">
        <v>44195</v>
      </c>
      <c r="AE402" s="33">
        <f>AD402-AC402</f>
        <v>5</v>
      </c>
      <c r="AF402" s="121" t="s">
        <v>2763</v>
      </c>
      <c r="AG402" s="126"/>
      <c r="AH402" s="11"/>
      <c r="AI402" s="11"/>
      <c r="AJ402" s="11"/>
      <c r="AK402" s="11"/>
      <c r="AL402" s="11"/>
    </row>
    <row r="403" spans="1:44" s="273" customFormat="1">
      <c r="A403" s="148" t="s">
        <v>2768</v>
      </c>
      <c r="B403" s="81">
        <v>307</v>
      </c>
      <c r="C403" s="81">
        <v>153</v>
      </c>
      <c r="D403" s="81">
        <v>3</v>
      </c>
      <c r="E403" s="81">
        <v>199</v>
      </c>
      <c r="F403" s="6">
        <v>8.8800000000000008</v>
      </c>
      <c r="G403" s="41" t="s">
        <v>2769</v>
      </c>
      <c r="H403" s="30" t="s">
        <v>2762</v>
      </c>
      <c r="I403" s="173" t="s">
        <v>2770</v>
      </c>
      <c r="J403" s="75">
        <v>24.14</v>
      </c>
      <c r="K403" s="75">
        <v>3.71</v>
      </c>
      <c r="L403" s="75">
        <v>50.15</v>
      </c>
      <c r="M403" s="325"/>
      <c r="N403" s="325">
        <f>K403+J403+L403</f>
        <v>78</v>
      </c>
      <c r="O403" s="329"/>
      <c r="P403" s="390"/>
      <c r="Q403" s="362"/>
      <c r="R403" s="308"/>
      <c r="S403" s="330">
        <v>3.29</v>
      </c>
      <c r="T403" s="199">
        <v>0.25</v>
      </c>
      <c r="U403" s="367"/>
      <c r="V403" s="58">
        <f>T403/W403</f>
        <v>3.2425421530479898E-3</v>
      </c>
      <c r="W403" s="168">
        <v>77.099999999999994</v>
      </c>
      <c r="X403" s="162">
        <v>61.2</v>
      </c>
      <c r="Y403" s="169">
        <f>W403-X403</f>
        <v>15.899999999999991</v>
      </c>
      <c r="Z403" s="165">
        <f t="shared" ref="Z403:Z404" si="319">Y403/X403</f>
        <v>0.25980392156862731</v>
      </c>
      <c r="AA403" s="102" t="s">
        <v>3759</v>
      </c>
      <c r="AB403" s="173" t="s">
        <v>2770</v>
      </c>
      <c r="AC403" s="86">
        <v>44183</v>
      </c>
      <c r="AD403" s="85">
        <v>44195</v>
      </c>
      <c r="AE403" s="33">
        <f>AD403-AC403</f>
        <v>12</v>
      </c>
      <c r="AF403" s="121" t="s">
        <v>2771</v>
      </c>
      <c r="AG403" s="170"/>
    </row>
    <row r="404" spans="1:44" s="273" customFormat="1">
      <c r="A404" s="148" t="s">
        <v>2768</v>
      </c>
      <c r="B404" s="81">
        <v>307</v>
      </c>
      <c r="C404" s="81">
        <v>153</v>
      </c>
      <c r="D404" s="81">
        <v>3</v>
      </c>
      <c r="E404" s="81">
        <v>199</v>
      </c>
      <c r="F404" s="6">
        <v>8.8800000000000008</v>
      </c>
      <c r="G404" s="41" t="s">
        <v>2769</v>
      </c>
      <c r="H404" s="30" t="s">
        <v>2762</v>
      </c>
      <c r="I404" s="173" t="s">
        <v>2770</v>
      </c>
      <c r="J404" s="75">
        <v>24.14</v>
      </c>
      <c r="K404" s="75">
        <v>3.71</v>
      </c>
      <c r="L404" s="75">
        <v>50.15</v>
      </c>
      <c r="M404" s="325"/>
      <c r="N404" s="325">
        <f>K404+J404+L404</f>
        <v>78</v>
      </c>
      <c r="O404" s="329"/>
      <c r="P404" s="390"/>
      <c r="Q404" s="362"/>
      <c r="R404" s="308"/>
      <c r="S404" s="330">
        <v>3.29</v>
      </c>
      <c r="T404" s="199">
        <v>0.25</v>
      </c>
      <c r="U404" s="367"/>
      <c r="V404" s="58">
        <f>T404/W404</f>
        <v>4.1597337770382693E-3</v>
      </c>
      <c r="W404" s="168">
        <v>60.1</v>
      </c>
      <c r="X404" s="162">
        <v>51</v>
      </c>
      <c r="Y404" s="169">
        <f>W404-X404</f>
        <v>9.1000000000000014</v>
      </c>
      <c r="Z404" s="165">
        <f t="shared" si="319"/>
        <v>0.17843137254901964</v>
      </c>
      <c r="AA404" s="102" t="s">
        <v>3760</v>
      </c>
      <c r="AB404" s="173" t="s">
        <v>2770</v>
      </c>
      <c r="AC404" s="86">
        <v>44183</v>
      </c>
      <c r="AD404" s="85">
        <v>44187</v>
      </c>
      <c r="AE404" s="33">
        <f>AD404-AC404</f>
        <v>4</v>
      </c>
      <c r="AF404" s="121" t="s">
        <v>2771</v>
      </c>
      <c r="AG404" s="170"/>
    </row>
    <row r="405" spans="1:44" s="273" customFormat="1">
      <c r="A405" s="147"/>
      <c r="B405" s="81"/>
      <c r="C405" s="82"/>
      <c r="D405" s="81"/>
      <c r="E405" s="82"/>
      <c r="F405" s="6"/>
      <c r="G405" s="41"/>
      <c r="H405" s="54"/>
      <c r="I405" s="173"/>
      <c r="J405" s="330"/>
      <c r="K405" s="330"/>
      <c r="L405" s="75"/>
      <c r="M405" s="325"/>
      <c r="N405" s="325"/>
      <c r="O405" s="329"/>
      <c r="P405" s="390"/>
      <c r="Q405" s="362"/>
      <c r="R405" s="308"/>
      <c r="S405" s="330"/>
      <c r="T405" s="199"/>
      <c r="U405" s="367"/>
      <c r="V405" s="97"/>
      <c r="W405" s="172">
        <f>SUM(W402:W404)</f>
        <v>208.2</v>
      </c>
      <c r="X405" s="162">
        <f>SUM(X402:X404)</f>
        <v>174.3</v>
      </c>
      <c r="Y405" s="169">
        <f>SUM(Y402:Y404)</f>
        <v>33.899999999999991</v>
      </c>
      <c r="Z405" s="165">
        <f>Y405/X405</f>
        <v>0.19449225473321852</v>
      </c>
      <c r="AA405" s="118"/>
      <c r="AB405" s="160">
        <f>W405*(0.001425*0.65)+W405*0.003+X405*(0.001425*0.65)</f>
        <v>0.97889062500000001</v>
      </c>
      <c r="AC405" s="6">
        <f>Y405-AB405</f>
        <v>32.921109374999993</v>
      </c>
      <c r="AD405" s="85"/>
      <c r="AE405" s="33"/>
      <c r="AF405" s="144"/>
      <c r="AG405" s="170"/>
    </row>
    <row r="406" spans="1:44">
      <c r="B406" s="81"/>
      <c r="C406" s="82"/>
      <c r="D406" s="81"/>
      <c r="E406" s="82"/>
      <c r="F406" s="6"/>
      <c r="G406" s="41"/>
      <c r="H406" s="50"/>
      <c r="I406" s="16"/>
      <c r="J406" s="330"/>
      <c r="K406" s="330"/>
      <c r="N406" s="325"/>
      <c r="T406" s="34"/>
      <c r="V406" s="97"/>
      <c r="W406" s="13"/>
      <c r="X406" s="45"/>
      <c r="Y406" s="15"/>
      <c r="Z406" s="78"/>
      <c r="AA406" s="118"/>
      <c r="AB406" s="16"/>
      <c r="AE406" s="33"/>
    </row>
    <row r="407" spans="1:44">
      <c r="A407" s="132" t="s">
        <v>1854</v>
      </c>
      <c r="B407" s="93" t="s">
        <v>1657</v>
      </c>
      <c r="C407" s="93" t="s">
        <v>1658</v>
      </c>
      <c r="D407" s="93" t="s">
        <v>1659</v>
      </c>
      <c r="E407" s="93" t="s">
        <v>1660</v>
      </c>
      <c r="F407" s="8" t="s">
        <v>1122</v>
      </c>
      <c r="G407" s="26" t="s">
        <v>4231</v>
      </c>
      <c r="H407" s="55" t="s">
        <v>342</v>
      </c>
      <c r="I407" s="1" t="s">
        <v>79</v>
      </c>
      <c r="J407" s="324" t="s">
        <v>1529</v>
      </c>
      <c r="K407" s="324" t="s">
        <v>1217</v>
      </c>
      <c r="L407" s="324" t="s">
        <v>298</v>
      </c>
      <c r="M407" s="324"/>
      <c r="N407" s="324" t="s">
        <v>1121</v>
      </c>
      <c r="P407" s="391" t="s">
        <v>4190</v>
      </c>
      <c r="Q407" s="307" t="s">
        <v>4190</v>
      </c>
      <c r="S407" s="335" t="s">
        <v>4094</v>
      </c>
      <c r="T407" s="10" t="s">
        <v>3488</v>
      </c>
      <c r="V407" s="69" t="s">
        <v>3486</v>
      </c>
      <c r="W407" s="28" t="s">
        <v>3487</v>
      </c>
      <c r="X407" s="17" t="s">
        <v>3489</v>
      </c>
      <c r="Y407" s="14" t="s">
        <v>5</v>
      </c>
      <c r="Z407" s="21" t="s">
        <v>3</v>
      </c>
      <c r="AA407" s="25" t="s">
        <v>117</v>
      </c>
      <c r="AB407" s="1" t="s">
        <v>79</v>
      </c>
      <c r="AC407" s="73" t="s">
        <v>1466</v>
      </c>
      <c r="AD407" s="74" t="s">
        <v>1223</v>
      </c>
      <c r="AE407" s="32" t="s">
        <v>1224</v>
      </c>
      <c r="AF407" s="46" t="s">
        <v>1649</v>
      </c>
    </row>
    <row r="408" spans="1:44" ht="16.5" customHeight="1">
      <c r="A408" s="137"/>
      <c r="B408" s="93"/>
      <c r="C408" s="137"/>
      <c r="D408" s="93"/>
      <c r="E408" s="93"/>
      <c r="F408" s="6"/>
      <c r="G408" s="41" t="s">
        <v>2127</v>
      </c>
      <c r="H408" s="8" t="s">
        <v>1470</v>
      </c>
      <c r="I408" s="22" t="s">
        <v>221</v>
      </c>
      <c r="J408" s="75">
        <v>63.08</v>
      </c>
      <c r="K408" s="203" ph="1">
        <v>64.72</v>
      </c>
      <c r="L408" s="330">
        <v>14.15</v>
      </c>
      <c r="N408" s="75">
        <f>S408+K408+J408+L408</f>
        <v>141.94999999999999</v>
      </c>
      <c r="T408" s="34"/>
      <c r="V408" s="97">
        <f>T408/W408</f>
        <v>0</v>
      </c>
      <c r="W408" s="13">
        <v>6.97</v>
      </c>
      <c r="X408" s="67">
        <v>18.57</v>
      </c>
      <c r="Y408" s="15">
        <f t="shared" ref="Y408" si="320">W408-X408</f>
        <v>-11.600000000000001</v>
      </c>
      <c r="Z408" s="78">
        <f t="shared" ref="Z408" si="321">Y408/X408</f>
        <v>-0.62466343564889615</v>
      </c>
      <c r="AA408" s="118" t="s">
        <v>2131</v>
      </c>
      <c r="AB408" s="22" t="s">
        <v>221</v>
      </c>
      <c r="AE408" s="33" t="e">
        <f>AD408-#REF!</f>
        <v>#REF!</v>
      </c>
      <c r="AF408" s="49" t="s">
        <v>2133</v>
      </c>
      <c r="AG408" s="271"/>
      <c r="AH408" s="271"/>
      <c r="AI408" s="77"/>
      <c r="AJ408" s="67"/>
      <c r="AK408" s="77"/>
      <c r="AL408" s="67"/>
      <c r="AM408" s="41"/>
      <c r="AN408" s="22"/>
    </row>
    <row r="409" spans="1:44" ht="16.5" customHeight="1">
      <c r="A409" s="137"/>
      <c r="B409" s="93"/>
      <c r="C409" s="137"/>
      <c r="D409" s="93"/>
      <c r="E409" s="93"/>
      <c r="F409" s="6"/>
      <c r="G409" s="41" t="s">
        <v>352</v>
      </c>
      <c r="H409" s="50" t="s">
        <v>1574</v>
      </c>
      <c r="I409" s="22" t="s">
        <v>221</v>
      </c>
      <c r="J409" s="75">
        <v>63.08</v>
      </c>
      <c r="K409" s="203" ph="1">
        <v>64.72</v>
      </c>
      <c r="L409" s="330">
        <v>14.15</v>
      </c>
      <c r="N409" s="75">
        <f>S409+K409+J409+L409</f>
        <v>141.94999999999999</v>
      </c>
      <c r="T409" s="34"/>
      <c r="V409" s="97">
        <f>T409/W409</f>
        <v>0</v>
      </c>
      <c r="W409" s="13">
        <v>6.95</v>
      </c>
      <c r="X409" s="67">
        <v>16.73</v>
      </c>
      <c r="Y409" s="15">
        <f t="shared" ref="Y409" si="322">W409-X409</f>
        <v>-9.7800000000000011</v>
      </c>
      <c r="Z409" s="78">
        <f t="shared" ref="Z409" si="323">Y409/X409</f>
        <v>-0.58457860131500305</v>
      </c>
      <c r="AA409" s="118" t="s">
        <v>2135</v>
      </c>
      <c r="AB409" s="22" t="s">
        <v>221</v>
      </c>
      <c r="AE409" s="33" t="e">
        <f>AD409-#REF!</f>
        <v>#REF!</v>
      </c>
      <c r="AF409" s="49" t="s">
        <v>1874</v>
      </c>
      <c r="AG409" s="271"/>
      <c r="AH409" s="271"/>
      <c r="AI409" s="77"/>
      <c r="AJ409" s="67"/>
      <c r="AK409" s="77"/>
      <c r="AL409" s="67"/>
      <c r="AM409" s="41"/>
      <c r="AN409" s="22"/>
    </row>
    <row r="410" spans="1:44">
      <c r="A410" s="132"/>
      <c r="B410" s="93"/>
      <c r="C410" s="93"/>
      <c r="D410" s="93"/>
      <c r="E410" s="93"/>
      <c r="F410" s="8"/>
      <c r="G410" s="25"/>
      <c r="H410" s="55"/>
      <c r="I410" s="1"/>
      <c r="J410" s="324"/>
      <c r="K410" s="324"/>
      <c r="L410" s="324"/>
      <c r="M410" s="324"/>
      <c r="N410" s="324"/>
      <c r="T410" s="10"/>
      <c r="V410" s="69"/>
      <c r="W410" s="28"/>
      <c r="X410" s="17"/>
      <c r="Y410" s="14"/>
      <c r="Z410" s="21"/>
      <c r="AA410" s="25"/>
      <c r="AB410" s="1"/>
      <c r="AC410" s="73"/>
      <c r="AD410" s="74"/>
      <c r="AE410" s="32"/>
      <c r="AF410" s="46"/>
    </row>
    <row r="411" spans="1:44">
      <c r="A411" s="132" t="s">
        <v>1854</v>
      </c>
      <c r="B411" s="93" t="s">
        <v>1657</v>
      </c>
      <c r="C411" s="93" t="s">
        <v>1658</v>
      </c>
      <c r="D411" s="93" t="s">
        <v>1659</v>
      </c>
      <c r="E411" s="93" t="s">
        <v>1660</v>
      </c>
      <c r="F411" s="8" t="s">
        <v>1122</v>
      </c>
      <c r="G411" s="26" t="s">
        <v>4231</v>
      </c>
      <c r="H411" s="55" t="s">
        <v>342</v>
      </c>
      <c r="I411" s="1" t="s">
        <v>79</v>
      </c>
      <c r="J411" s="324" t="s">
        <v>1529</v>
      </c>
      <c r="K411" s="324" t="s">
        <v>1217</v>
      </c>
      <c r="L411" s="324" t="s">
        <v>298</v>
      </c>
      <c r="M411" s="324"/>
      <c r="N411" s="324" t="s">
        <v>1121</v>
      </c>
      <c r="P411" s="391" t="s">
        <v>4190</v>
      </c>
      <c r="Q411" s="307" t="s">
        <v>4190</v>
      </c>
      <c r="S411" s="335" t="s">
        <v>4094</v>
      </c>
      <c r="T411" s="10" t="s">
        <v>3488</v>
      </c>
      <c r="V411" s="69" t="s">
        <v>3486</v>
      </c>
      <c r="W411" s="28" t="s">
        <v>3487</v>
      </c>
      <c r="X411" s="17" t="s">
        <v>3489</v>
      </c>
      <c r="Y411" s="14" t="s">
        <v>5</v>
      </c>
      <c r="Z411" s="21" t="s">
        <v>3</v>
      </c>
      <c r="AA411" s="25" t="s">
        <v>117</v>
      </c>
      <c r="AB411" s="1" t="s">
        <v>79</v>
      </c>
      <c r="AC411" s="73" t="s">
        <v>1466</v>
      </c>
      <c r="AD411" s="74" t="s">
        <v>1223</v>
      </c>
      <c r="AE411" s="32" t="s">
        <v>1224</v>
      </c>
      <c r="AF411" s="46" t="s">
        <v>2229</v>
      </c>
    </row>
    <row r="412" spans="1:44">
      <c r="B412" s="82">
        <v>-61</v>
      </c>
      <c r="C412" s="81">
        <v>22</v>
      </c>
      <c r="D412" s="82">
        <v>-61</v>
      </c>
      <c r="E412" s="81">
        <v>22</v>
      </c>
      <c r="F412" s="6">
        <v>-16.91</v>
      </c>
      <c r="G412" s="41" t="s">
        <v>526</v>
      </c>
      <c r="H412" s="8" t="s">
        <v>1470</v>
      </c>
      <c r="I412" s="22" t="s">
        <v>527</v>
      </c>
      <c r="J412" s="330">
        <v>52.53</v>
      </c>
      <c r="K412" s="330">
        <v>3.65</v>
      </c>
      <c r="L412" s="330">
        <v>38.520000000000003</v>
      </c>
      <c r="N412" s="325">
        <f>S412+K412+J412+L412</f>
        <v>124</v>
      </c>
      <c r="S412" s="330">
        <v>29.3</v>
      </c>
      <c r="T412" s="34">
        <v>0</v>
      </c>
      <c r="V412" s="97">
        <f>T412/W412</f>
        <v>0</v>
      </c>
      <c r="W412" s="13">
        <v>11.8</v>
      </c>
      <c r="X412" s="45">
        <v>13.57</v>
      </c>
      <c r="Y412" s="15">
        <f>W412-X412</f>
        <v>-1.7699999999999996</v>
      </c>
      <c r="Z412" s="78">
        <f>Y412/X412</f>
        <v>-0.13043478260869562</v>
      </c>
      <c r="AA412" s="118" t="s">
        <v>2232</v>
      </c>
      <c r="AB412" s="22" t="s">
        <v>527</v>
      </c>
      <c r="AC412" s="86">
        <v>43362</v>
      </c>
      <c r="AE412" s="33">
        <f>AD412-AC412</f>
        <v>-43362</v>
      </c>
      <c r="AF412" s="41" t="s">
        <v>1188</v>
      </c>
      <c r="AI412" s="11"/>
      <c r="AJ412" s="11"/>
      <c r="AK412" s="11"/>
      <c r="AL412" s="11"/>
      <c r="AO412" s="7"/>
      <c r="AP412" s="31"/>
      <c r="AQ412" s="7"/>
      <c r="AR412" s="7"/>
    </row>
    <row r="413" spans="1:44">
      <c r="B413" s="82">
        <v>-61</v>
      </c>
      <c r="C413" s="81">
        <v>22</v>
      </c>
      <c r="D413" s="82">
        <v>-61</v>
      </c>
      <c r="E413" s="81">
        <v>22</v>
      </c>
      <c r="F413" s="6">
        <v>-16.91</v>
      </c>
      <c r="G413" s="41" t="s">
        <v>526</v>
      </c>
      <c r="H413" s="50" t="s">
        <v>1471</v>
      </c>
      <c r="I413" s="22" t="s">
        <v>527</v>
      </c>
      <c r="J413" s="330">
        <v>52.53</v>
      </c>
      <c r="K413" s="330">
        <v>3.65</v>
      </c>
      <c r="L413" s="330">
        <v>38.520000000000003</v>
      </c>
      <c r="N413" s="325">
        <f>S413+K413+J413+L413</f>
        <v>124</v>
      </c>
      <c r="S413" s="330">
        <v>29.3</v>
      </c>
      <c r="T413" s="34">
        <v>0</v>
      </c>
      <c r="V413" s="97">
        <f>T413/W413</f>
        <v>0</v>
      </c>
      <c r="W413" s="13">
        <v>11.8</v>
      </c>
      <c r="X413" s="45">
        <v>13.57</v>
      </c>
      <c r="Y413" s="15">
        <f>W413-X413</f>
        <v>-1.7699999999999996</v>
      </c>
      <c r="Z413" s="78">
        <f>Y413/X413</f>
        <v>-0.13043478260869562</v>
      </c>
      <c r="AA413" s="118" t="s">
        <v>2233</v>
      </c>
      <c r="AB413" s="22" t="s">
        <v>527</v>
      </c>
      <c r="AC413" s="86">
        <v>43362</v>
      </c>
      <c r="AE413" s="33">
        <f>AD413-AC413</f>
        <v>-43362</v>
      </c>
      <c r="AF413" s="121" t="s">
        <v>1687</v>
      </c>
      <c r="AI413" s="11"/>
      <c r="AJ413" s="11"/>
      <c r="AK413" s="11"/>
      <c r="AL413" s="11"/>
      <c r="AO413" s="7"/>
      <c r="AP413" s="31"/>
      <c r="AQ413" s="7"/>
      <c r="AR413" s="7"/>
    </row>
    <row r="414" spans="1:44" ht="16.5" customHeight="1">
      <c r="A414" s="149"/>
      <c r="B414" s="82">
        <v>-66</v>
      </c>
      <c r="C414" s="82">
        <v>-17</v>
      </c>
      <c r="D414" s="82">
        <v>-66</v>
      </c>
      <c r="E414" s="82">
        <v>-17</v>
      </c>
      <c r="F414" s="6">
        <v>-25.81</v>
      </c>
      <c r="G414" s="41" t="s">
        <v>526</v>
      </c>
      <c r="H414" s="50" t="s">
        <v>1471</v>
      </c>
      <c r="I414" s="22" t="s">
        <v>527</v>
      </c>
      <c r="J414" s="330">
        <v>51.86</v>
      </c>
      <c r="K414" s="75">
        <v>3.98</v>
      </c>
      <c r="L414" s="75">
        <v>34.36</v>
      </c>
      <c r="N414" s="325">
        <f>S414+K414+J414+L414</f>
        <v>119.5</v>
      </c>
      <c r="S414" s="330">
        <v>29.3</v>
      </c>
      <c r="T414" s="34">
        <v>0</v>
      </c>
      <c r="V414" s="97">
        <f>T414/W414</f>
        <v>0</v>
      </c>
      <c r="W414" s="36">
        <v>11.8</v>
      </c>
      <c r="X414" s="45">
        <v>11.3</v>
      </c>
      <c r="Y414" s="15">
        <f>W414-X414</f>
        <v>0.5</v>
      </c>
      <c r="Z414" s="64">
        <f>Y414/X414</f>
        <v>4.4247787610619468E-2</v>
      </c>
      <c r="AA414" s="116" t="s">
        <v>2230</v>
      </c>
      <c r="AB414" s="22" t="s">
        <v>527</v>
      </c>
      <c r="AC414" s="86">
        <v>43711</v>
      </c>
      <c r="AE414" s="33">
        <f>AD414-AC414</f>
        <v>-43711</v>
      </c>
      <c r="AF414" s="121"/>
      <c r="AG414" s="269"/>
    </row>
    <row r="415" spans="1:44" ht="16.5" customHeight="1">
      <c r="B415" s="82">
        <v>-66</v>
      </c>
      <c r="C415" s="82">
        <v>-17</v>
      </c>
      <c r="D415" s="82">
        <v>-66</v>
      </c>
      <c r="E415" s="82">
        <v>-17</v>
      </c>
      <c r="F415" s="6">
        <v>-25.81</v>
      </c>
      <c r="G415" s="41" t="s">
        <v>526</v>
      </c>
      <c r="H415" s="50" t="s">
        <v>1471</v>
      </c>
      <c r="I415" s="22" t="s">
        <v>527</v>
      </c>
      <c r="J415" s="330">
        <v>51.66</v>
      </c>
      <c r="K415" s="75">
        <v>3.67</v>
      </c>
      <c r="L415" s="330">
        <v>34.44</v>
      </c>
      <c r="N415" s="325">
        <f>S415+K415+J415+L415</f>
        <v>119.07</v>
      </c>
      <c r="S415" s="330">
        <v>29.3</v>
      </c>
      <c r="T415" s="34">
        <v>0</v>
      </c>
      <c r="V415" s="97">
        <f>T415/W415</f>
        <v>0</v>
      </c>
      <c r="W415" s="36">
        <v>11.8</v>
      </c>
      <c r="X415" s="45">
        <v>11.25</v>
      </c>
      <c r="Y415" s="15">
        <f>W415-X415</f>
        <v>0.55000000000000071</v>
      </c>
      <c r="Z415" s="64">
        <f>Y415/X415</f>
        <v>4.8888888888888954E-2</v>
      </c>
      <c r="AA415" s="116" t="s">
        <v>2231</v>
      </c>
      <c r="AB415" s="22" t="s">
        <v>527</v>
      </c>
      <c r="AC415" s="86">
        <v>43698</v>
      </c>
      <c r="AE415" s="33">
        <f>AD415-AC415</f>
        <v>-43698</v>
      </c>
      <c r="AF415" s="121"/>
    </row>
    <row r="416" spans="1:44">
      <c r="B416" s="82"/>
      <c r="C416" s="81"/>
      <c r="D416" s="82"/>
      <c r="E416" s="81"/>
      <c r="F416" s="6"/>
      <c r="G416" s="41"/>
      <c r="H416" s="8"/>
      <c r="I416" s="22"/>
      <c r="J416" s="330"/>
      <c r="K416" s="330"/>
      <c r="L416" s="330"/>
      <c r="N416" s="325"/>
      <c r="T416" s="34"/>
      <c r="V416" s="97"/>
      <c r="W416" s="13">
        <f>SUM(W412:W415)</f>
        <v>47.2</v>
      </c>
      <c r="X416" s="45">
        <f>SUM(X412:X415)</f>
        <v>49.69</v>
      </c>
      <c r="Y416" s="15">
        <f>W416-X416</f>
        <v>-2.4899999999999949</v>
      </c>
      <c r="Z416" s="78">
        <f>Y416/X416</f>
        <v>-5.0110686254779532E-2</v>
      </c>
      <c r="AA416" s="118"/>
      <c r="AB416" s="22"/>
      <c r="AE416" s="33"/>
      <c r="AF416" s="121"/>
      <c r="AI416" s="11"/>
      <c r="AJ416" s="11"/>
      <c r="AK416" s="11"/>
      <c r="AL416" s="11"/>
      <c r="AO416" s="7"/>
      <c r="AP416" s="31"/>
      <c r="AQ416" s="7"/>
      <c r="AR416" s="7"/>
    </row>
    <row r="417" spans="1:45">
      <c r="A417" s="132" t="s">
        <v>1854</v>
      </c>
      <c r="B417" s="93" t="s">
        <v>1657</v>
      </c>
      <c r="C417" s="93" t="s">
        <v>1658</v>
      </c>
      <c r="D417" s="93" t="s">
        <v>1659</v>
      </c>
      <c r="E417" s="93" t="s">
        <v>1660</v>
      </c>
      <c r="F417" s="8" t="s">
        <v>1122</v>
      </c>
      <c r="G417" s="26" t="s">
        <v>4231</v>
      </c>
      <c r="H417" s="55" t="s">
        <v>342</v>
      </c>
      <c r="I417" s="1" t="s">
        <v>79</v>
      </c>
      <c r="J417" s="324" t="s">
        <v>1529</v>
      </c>
      <c r="K417" s="324" t="s">
        <v>1217</v>
      </c>
      <c r="L417" s="324" t="s">
        <v>298</v>
      </c>
      <c r="M417" s="324"/>
      <c r="N417" s="324" t="s">
        <v>1121</v>
      </c>
      <c r="P417" s="391" t="s">
        <v>4190</v>
      </c>
      <c r="Q417" s="307" t="s">
        <v>4190</v>
      </c>
      <c r="S417" s="335" t="s">
        <v>4094</v>
      </c>
      <c r="T417" s="10" t="s">
        <v>3488</v>
      </c>
      <c r="V417" s="69" t="s">
        <v>3486</v>
      </c>
      <c r="W417" s="28" t="s">
        <v>3487</v>
      </c>
      <c r="X417" s="17" t="s">
        <v>3489</v>
      </c>
      <c r="Y417" s="14" t="s">
        <v>5</v>
      </c>
      <c r="Z417" s="21" t="s">
        <v>3</v>
      </c>
      <c r="AA417" s="25" t="s">
        <v>117</v>
      </c>
      <c r="AB417" s="1" t="s">
        <v>79</v>
      </c>
      <c r="AC417" s="73" t="s">
        <v>1466</v>
      </c>
      <c r="AD417" s="74" t="s">
        <v>1223</v>
      </c>
      <c r="AE417" s="32" t="s">
        <v>1224</v>
      </c>
      <c r="AF417" s="46" t="s">
        <v>2160</v>
      </c>
    </row>
    <row r="418" spans="1:45" ht="16.5" customHeight="1">
      <c r="A418" s="137"/>
      <c r="B418" s="93"/>
      <c r="C418" s="137"/>
      <c r="D418" s="93"/>
      <c r="E418" s="93"/>
      <c r="F418" s="6"/>
      <c r="G418" s="41" t="s">
        <v>2126</v>
      </c>
      <c r="H418" s="8" t="s">
        <v>1470</v>
      </c>
      <c r="I418" s="22" t="s">
        <v>1572</v>
      </c>
      <c r="J418" s="330">
        <v>55.41</v>
      </c>
      <c r="K418" s="203">
        <v>29</v>
      </c>
      <c r="L418" s="330">
        <v>21.01</v>
      </c>
      <c r="N418" s="75">
        <f>S418+K418+J418+L418</f>
        <v>105.42</v>
      </c>
      <c r="T418" s="34"/>
      <c r="V418" s="97">
        <f>T418/W418</f>
        <v>0</v>
      </c>
      <c r="W418" s="36">
        <v>13.88</v>
      </c>
      <c r="X418" s="45">
        <v>19.579999999999998</v>
      </c>
      <c r="Y418" s="15">
        <f>W418-X418</f>
        <v>-5.6999999999999975</v>
      </c>
      <c r="Z418" s="78">
        <f>Y418/X418</f>
        <v>-0.29111338100102135</v>
      </c>
      <c r="AA418" s="118" t="s">
        <v>2138</v>
      </c>
      <c r="AB418" s="22" t="s">
        <v>1572</v>
      </c>
      <c r="AC418" s="120"/>
      <c r="AE418" s="33">
        <f>AD418-AC418</f>
        <v>0</v>
      </c>
      <c r="AF418" s="49" t="s">
        <v>2132</v>
      </c>
      <c r="AG418" s="271"/>
      <c r="AH418" s="271"/>
      <c r="AI418" s="77"/>
      <c r="AJ418" s="67"/>
      <c r="AK418" s="77"/>
      <c r="AL418" s="67"/>
      <c r="AM418" s="41"/>
      <c r="AN418" s="22"/>
    </row>
    <row r="419" spans="1:45" ht="16.5" customHeight="1">
      <c r="A419" s="137"/>
      <c r="B419" s="93"/>
      <c r="C419" s="137"/>
      <c r="D419" s="93"/>
      <c r="E419" s="93"/>
      <c r="F419" s="6"/>
      <c r="G419" s="41"/>
      <c r="H419" s="8"/>
      <c r="I419" s="22"/>
      <c r="J419" s="330"/>
      <c r="K419" s="203"/>
      <c r="L419" s="330"/>
      <c r="N419" s="75"/>
      <c r="T419" s="34"/>
      <c r="V419" s="97"/>
      <c r="W419" s="13">
        <f>W418*AF418</f>
        <v>749.5200000000001</v>
      </c>
      <c r="X419" s="203">
        <f>X418*AF418</f>
        <v>1057.32</v>
      </c>
      <c r="Y419" s="143">
        <f t="shared" ref="Y419" si="324">W419-X419</f>
        <v>-307.79999999999984</v>
      </c>
      <c r="Z419" s="78">
        <f t="shared" ref="Z419" si="325">Y419/X419</f>
        <v>-0.2911133810010213</v>
      </c>
      <c r="AA419" s="118"/>
      <c r="AB419" s="22"/>
      <c r="AC419" s="120"/>
      <c r="AE419" s="33"/>
      <c r="AF419" s="49"/>
      <c r="AG419" s="271"/>
      <c r="AH419" s="271"/>
      <c r="AI419" s="77"/>
      <c r="AJ419" s="67"/>
      <c r="AK419" s="77"/>
      <c r="AL419" s="67"/>
      <c r="AM419" s="41"/>
      <c r="AN419" s="22"/>
    </row>
    <row r="420" spans="1:45">
      <c r="B420" s="81"/>
      <c r="C420" s="82"/>
      <c r="D420" s="81"/>
      <c r="E420" s="82"/>
      <c r="F420" s="6"/>
      <c r="G420" s="41"/>
      <c r="H420" s="50"/>
      <c r="I420" s="16"/>
      <c r="J420" s="330"/>
      <c r="K420" s="330"/>
      <c r="N420" s="325"/>
      <c r="T420" s="34"/>
      <c r="V420" s="97"/>
      <c r="W420" s="13"/>
      <c r="X420" s="45"/>
      <c r="Y420" s="15"/>
      <c r="Z420" s="78"/>
      <c r="AA420" s="118"/>
      <c r="AB420" s="16"/>
      <c r="AE420" s="33"/>
    </row>
    <row r="421" spans="1:45">
      <c r="A421" s="132" t="s">
        <v>1854</v>
      </c>
      <c r="B421" s="93" t="s">
        <v>1657</v>
      </c>
      <c r="C421" s="93" t="s">
        <v>1658</v>
      </c>
      <c r="D421" s="93" t="s">
        <v>1659</v>
      </c>
      <c r="E421" s="93" t="s">
        <v>1660</v>
      </c>
      <c r="F421" s="8" t="s">
        <v>1122</v>
      </c>
      <c r="G421" s="26" t="s">
        <v>4231</v>
      </c>
      <c r="H421" s="55" t="s">
        <v>342</v>
      </c>
      <c r="I421" s="1" t="s">
        <v>79</v>
      </c>
      <c r="J421" s="324" t="s">
        <v>1529</v>
      </c>
      <c r="K421" s="324" t="s">
        <v>1217</v>
      </c>
      <c r="L421" s="324" t="s">
        <v>298</v>
      </c>
      <c r="M421" s="324"/>
      <c r="N421" s="324" t="s">
        <v>1121</v>
      </c>
      <c r="S421" s="335" t="s">
        <v>4094</v>
      </c>
      <c r="T421" s="10" t="s">
        <v>75</v>
      </c>
      <c r="V421" s="69" t="s">
        <v>1571</v>
      </c>
      <c r="W421" s="28" t="s">
        <v>2</v>
      </c>
      <c r="X421" s="17" t="s">
        <v>1465</v>
      </c>
      <c r="Y421" s="14" t="s">
        <v>5</v>
      </c>
      <c r="Z421" s="21" t="s">
        <v>3</v>
      </c>
      <c r="AA421" s="25" t="s">
        <v>117</v>
      </c>
      <c r="AB421" s="1" t="s">
        <v>79</v>
      </c>
      <c r="AC421" s="73" t="s">
        <v>1466</v>
      </c>
      <c r="AD421" s="74" t="s">
        <v>1223</v>
      </c>
      <c r="AE421" s="32" t="s">
        <v>1224</v>
      </c>
      <c r="AF421" s="46" t="s">
        <v>2040</v>
      </c>
    </row>
    <row r="422" spans="1:45">
      <c r="A422" s="132" t="s">
        <v>1971</v>
      </c>
      <c r="B422" s="81">
        <v>31</v>
      </c>
      <c r="C422" s="81">
        <v>21</v>
      </c>
      <c r="D422" s="81">
        <v>3</v>
      </c>
      <c r="E422" s="81">
        <v>8</v>
      </c>
      <c r="F422" s="58">
        <v>26.31</v>
      </c>
      <c r="G422" s="19" t="s">
        <v>1972</v>
      </c>
      <c r="H422" s="4" t="s">
        <v>249</v>
      </c>
      <c r="I422" s="22" t="s">
        <v>1973</v>
      </c>
      <c r="J422" s="75">
        <v>99.39</v>
      </c>
      <c r="K422" s="75">
        <v>33.28</v>
      </c>
      <c r="L422" s="330"/>
      <c r="N422" s="325">
        <f>S422+K422+J422+L422</f>
        <v>132.67000000000002</v>
      </c>
      <c r="T422" s="34">
        <v>3.3</v>
      </c>
      <c r="V422" s="97">
        <f>T422/W422</f>
        <v>3.793103448275862E-2</v>
      </c>
      <c r="W422" s="13">
        <v>87</v>
      </c>
      <c r="X422" s="45">
        <f>92.6-3</f>
        <v>89.6</v>
      </c>
      <c r="Y422" s="15">
        <f>W422-X422</f>
        <v>-2.5999999999999943</v>
      </c>
      <c r="Z422" s="78">
        <f>Y422/X422</f>
        <v>-2.9017857142857081E-2</v>
      </c>
      <c r="AA422" s="103" t="s">
        <v>2041</v>
      </c>
      <c r="AB422" s="22" t="s">
        <v>1973</v>
      </c>
      <c r="AD422" s="85">
        <v>43833</v>
      </c>
      <c r="AE422" s="33">
        <f>AD422-AC422</f>
        <v>43833</v>
      </c>
      <c r="AF422" s="49" t="s">
        <v>1188</v>
      </c>
      <c r="AG422" s="271"/>
      <c r="AH422" s="271"/>
      <c r="AI422" s="77"/>
      <c r="AJ422" s="67"/>
      <c r="AK422" s="77"/>
      <c r="AL422" s="67"/>
      <c r="AM422" s="19"/>
      <c r="AN422" s="22"/>
    </row>
    <row r="423" spans="1:45">
      <c r="A423" s="132"/>
      <c r="B423" s="81"/>
      <c r="C423" s="81"/>
      <c r="D423" s="81"/>
      <c r="E423" s="81"/>
      <c r="F423" s="58"/>
      <c r="H423" s="4"/>
      <c r="I423" s="22"/>
      <c r="J423" s="75"/>
      <c r="K423" s="75"/>
      <c r="L423" s="330"/>
      <c r="N423" s="325"/>
      <c r="T423" s="34"/>
      <c r="V423" s="97"/>
      <c r="W423" s="13"/>
      <c r="X423" s="67"/>
      <c r="Y423" s="15"/>
      <c r="Z423" s="78"/>
      <c r="AA423" s="103"/>
      <c r="AB423" s="22"/>
      <c r="AD423" s="131"/>
      <c r="AE423" s="33"/>
      <c r="AF423" s="49"/>
      <c r="AG423" s="271"/>
      <c r="AH423" s="271"/>
      <c r="AI423" s="77"/>
      <c r="AJ423" s="67"/>
      <c r="AK423" s="77"/>
      <c r="AL423" s="67"/>
      <c r="AM423" s="19"/>
      <c r="AN423" s="22"/>
    </row>
    <row r="424" spans="1:45">
      <c r="A424" s="132" t="s">
        <v>1854</v>
      </c>
      <c r="B424" s="93" t="s">
        <v>1657</v>
      </c>
      <c r="C424" s="93" t="s">
        <v>1658</v>
      </c>
      <c r="D424" s="93" t="s">
        <v>1659</v>
      </c>
      <c r="E424" s="93" t="s">
        <v>1660</v>
      </c>
      <c r="F424" s="8" t="s">
        <v>1122</v>
      </c>
      <c r="G424" s="26" t="s">
        <v>4231</v>
      </c>
      <c r="H424" s="55" t="s">
        <v>342</v>
      </c>
      <c r="I424" s="1" t="s">
        <v>79</v>
      </c>
      <c r="J424" s="324" t="s">
        <v>1529</v>
      </c>
      <c r="K424" s="324" t="s">
        <v>1217</v>
      </c>
      <c r="L424" s="324" t="s">
        <v>298</v>
      </c>
      <c r="M424" s="324"/>
      <c r="N424" s="324" t="s">
        <v>1121</v>
      </c>
      <c r="S424" s="335" t="s">
        <v>4094</v>
      </c>
      <c r="T424" s="10" t="s">
        <v>75</v>
      </c>
      <c r="V424" s="69" t="s">
        <v>1571</v>
      </c>
      <c r="W424" s="28" t="s">
        <v>2</v>
      </c>
      <c r="X424" s="17" t="s">
        <v>1465</v>
      </c>
      <c r="Y424" s="14" t="s">
        <v>5</v>
      </c>
      <c r="Z424" s="21" t="s">
        <v>3</v>
      </c>
      <c r="AA424" s="25" t="s">
        <v>117</v>
      </c>
      <c r="AB424" s="1" t="s">
        <v>79</v>
      </c>
      <c r="AC424" s="73" t="s">
        <v>1466</v>
      </c>
      <c r="AD424" s="74" t="s">
        <v>1223</v>
      </c>
      <c r="AE424" s="32" t="s">
        <v>1224</v>
      </c>
      <c r="AF424" s="46" t="s">
        <v>1649</v>
      </c>
    </row>
    <row r="425" spans="1:45">
      <c r="A425" s="132" t="s">
        <v>1982</v>
      </c>
      <c r="B425" s="81">
        <v>31</v>
      </c>
      <c r="C425" s="81">
        <v>21</v>
      </c>
      <c r="D425" s="81">
        <v>3</v>
      </c>
      <c r="E425" s="81">
        <v>9</v>
      </c>
      <c r="F425" s="58">
        <v>26.31</v>
      </c>
      <c r="G425" s="19" t="s">
        <v>1972</v>
      </c>
      <c r="H425" s="4" t="s">
        <v>249</v>
      </c>
      <c r="I425" s="22" t="s">
        <v>1973</v>
      </c>
      <c r="J425" s="330">
        <v>75.31</v>
      </c>
      <c r="K425" s="330">
        <v>23.46</v>
      </c>
      <c r="L425" s="330"/>
      <c r="N425" s="325">
        <f>S425+K425+J425+L425</f>
        <v>98.77000000000001</v>
      </c>
      <c r="T425" s="34">
        <v>3.3</v>
      </c>
      <c r="V425" s="97">
        <f>T425/W425</f>
        <v>3.7499999999999999E-2</v>
      </c>
      <c r="W425" s="13">
        <v>88</v>
      </c>
      <c r="X425" s="45">
        <v>85</v>
      </c>
      <c r="Y425" s="15">
        <f>W425-X425</f>
        <v>3</v>
      </c>
      <c r="Z425" s="64">
        <f>Y425/X425</f>
        <v>3.5294117647058823E-2</v>
      </c>
      <c r="AA425" s="104" t="s">
        <v>1748</v>
      </c>
      <c r="AB425" s="22" t="s">
        <v>1973</v>
      </c>
      <c r="AD425" s="85">
        <v>43833</v>
      </c>
      <c r="AE425" s="33">
        <f>AD425-AC425</f>
        <v>43833</v>
      </c>
      <c r="AF425" s="49"/>
      <c r="AG425" s="271"/>
      <c r="AH425" s="271"/>
      <c r="AI425" s="77"/>
      <c r="AJ425" s="67"/>
      <c r="AK425" s="77"/>
      <c r="AL425" s="67"/>
      <c r="AM425" s="19"/>
      <c r="AN425" s="22"/>
    </row>
    <row r="426" spans="1:45">
      <c r="A426" s="132"/>
      <c r="B426" s="81"/>
      <c r="C426" s="81"/>
      <c r="D426" s="81"/>
      <c r="E426" s="81"/>
      <c r="F426" s="58"/>
      <c r="H426" s="4"/>
      <c r="I426" s="22"/>
      <c r="J426" s="330"/>
      <c r="K426" s="330"/>
      <c r="L426" s="330"/>
      <c r="N426" s="325"/>
      <c r="T426" s="34"/>
      <c r="V426" s="97"/>
      <c r="W426" s="36"/>
      <c r="X426" s="67"/>
      <c r="Y426" s="15"/>
      <c r="Z426" s="64"/>
      <c r="AA426" s="104"/>
      <c r="AB426" s="22"/>
      <c r="AD426" s="131"/>
      <c r="AE426" s="33"/>
      <c r="AF426" s="49"/>
      <c r="AG426" s="271"/>
      <c r="AH426" s="271"/>
      <c r="AI426" s="77"/>
      <c r="AJ426" s="67"/>
      <c r="AK426" s="77"/>
      <c r="AL426" s="67"/>
      <c r="AM426" s="19"/>
      <c r="AN426" s="22"/>
    </row>
    <row r="427" spans="1:45">
      <c r="A427" s="132" t="s">
        <v>1854</v>
      </c>
      <c r="B427" s="93" t="s">
        <v>1657</v>
      </c>
      <c r="C427" s="93" t="s">
        <v>1658</v>
      </c>
      <c r="D427" s="93" t="s">
        <v>1659</v>
      </c>
      <c r="E427" s="93" t="s">
        <v>1660</v>
      </c>
      <c r="F427" s="8" t="s">
        <v>1122</v>
      </c>
      <c r="G427" s="26" t="s">
        <v>4231</v>
      </c>
      <c r="H427" s="55" t="s">
        <v>342</v>
      </c>
      <c r="I427" s="1" t="s">
        <v>79</v>
      </c>
      <c r="J427" s="324" t="s">
        <v>1529</v>
      </c>
      <c r="K427" s="324" t="s">
        <v>1217</v>
      </c>
      <c r="L427" s="324" t="s">
        <v>298</v>
      </c>
      <c r="M427" s="324"/>
      <c r="N427" s="324" t="s">
        <v>1121</v>
      </c>
      <c r="S427" s="335" t="s">
        <v>4094</v>
      </c>
      <c r="T427" s="10" t="s">
        <v>75</v>
      </c>
      <c r="V427" s="69" t="s">
        <v>1571</v>
      </c>
      <c r="W427" s="28" t="s">
        <v>2</v>
      </c>
      <c r="X427" s="17" t="s">
        <v>1465</v>
      </c>
      <c r="Y427" s="14" t="s">
        <v>5</v>
      </c>
      <c r="Z427" s="21" t="s">
        <v>3</v>
      </c>
      <c r="AA427" s="25" t="s">
        <v>117</v>
      </c>
      <c r="AB427" s="1" t="s">
        <v>79</v>
      </c>
      <c r="AC427" s="73" t="s">
        <v>1466</v>
      </c>
      <c r="AD427" s="74" t="s">
        <v>1223</v>
      </c>
      <c r="AE427" s="32" t="s">
        <v>1224</v>
      </c>
      <c r="AF427" s="46" t="s">
        <v>1983</v>
      </c>
    </row>
    <row r="428" spans="1:45">
      <c r="B428" s="81">
        <v>80</v>
      </c>
      <c r="C428" s="81">
        <v>78</v>
      </c>
      <c r="D428" s="81">
        <v>80</v>
      </c>
      <c r="E428" s="81">
        <v>78</v>
      </c>
      <c r="F428" s="58">
        <v>26.24</v>
      </c>
      <c r="G428" s="41" t="s">
        <v>1107</v>
      </c>
      <c r="H428" s="50" t="s">
        <v>1471</v>
      </c>
      <c r="I428" s="16" t="s">
        <v>93</v>
      </c>
      <c r="J428" s="330">
        <v>51.77</v>
      </c>
      <c r="K428" s="330">
        <v>3.39</v>
      </c>
      <c r="L428" s="330">
        <v>27.29</v>
      </c>
      <c r="N428" s="325">
        <f>S428+K428+J428+L428</f>
        <v>127.50999999999999</v>
      </c>
      <c r="S428" s="330">
        <v>45.06</v>
      </c>
      <c r="T428" s="34">
        <v>4.3</v>
      </c>
      <c r="V428" s="58">
        <f>T428/W428</f>
        <v>6.3235294117647056E-2</v>
      </c>
      <c r="W428" s="13">
        <v>68</v>
      </c>
      <c r="X428" s="45">
        <f>63.1-1.6-1.6</f>
        <v>59.9</v>
      </c>
      <c r="Y428" s="15">
        <f>W428-X428</f>
        <v>8.1000000000000014</v>
      </c>
      <c r="Z428" s="64">
        <f>Y428/X428</f>
        <v>0.13522537562604342</v>
      </c>
      <c r="AA428" s="116" t="s">
        <v>2027</v>
      </c>
      <c r="AB428" s="16" t="s">
        <v>93</v>
      </c>
      <c r="AD428" s="85">
        <v>43825</v>
      </c>
      <c r="AE428" s="33">
        <f>AD428-AC428</f>
        <v>43825</v>
      </c>
      <c r="AF428" s="121"/>
    </row>
    <row r="429" spans="1:45">
      <c r="B429" s="82">
        <v>-33</v>
      </c>
      <c r="C429" s="82">
        <v>-21</v>
      </c>
      <c r="D429" s="82">
        <v>2</v>
      </c>
      <c r="E429" s="82">
        <v>-9</v>
      </c>
      <c r="F429" s="58">
        <v>16.489999999999998</v>
      </c>
      <c r="G429" s="41" t="s">
        <v>40</v>
      </c>
      <c r="H429" s="30" t="s">
        <v>1531</v>
      </c>
      <c r="I429" s="16" t="s">
        <v>275</v>
      </c>
      <c r="J429" s="330">
        <v>70.91</v>
      </c>
      <c r="K429" s="75">
        <v>30.18</v>
      </c>
      <c r="L429" s="75">
        <v>16.260000000000002</v>
      </c>
      <c r="N429" s="325">
        <f>S429+K429+J429+L429</f>
        <v>132.47</v>
      </c>
      <c r="S429" s="330">
        <v>15.12</v>
      </c>
      <c r="T429" s="34">
        <v>1.6</v>
      </c>
      <c r="V429" s="97">
        <f>T429/W429</f>
        <v>1.737242128121607E-2</v>
      </c>
      <c r="W429" s="13">
        <v>92.1</v>
      </c>
      <c r="X429" s="45">
        <v>85.7</v>
      </c>
      <c r="Y429" s="15">
        <f>W429-X429</f>
        <v>6.3999999999999915</v>
      </c>
      <c r="Z429" s="64">
        <f>Y429/X429</f>
        <v>7.4679113185530818E-2</v>
      </c>
      <c r="AA429" s="102" t="s">
        <v>2021</v>
      </c>
      <c r="AB429" s="16" t="s">
        <v>275</v>
      </c>
      <c r="AD429" s="85">
        <v>43822</v>
      </c>
      <c r="AE429" s="33">
        <f>AD429-AC429</f>
        <v>43822</v>
      </c>
      <c r="AF429" s="121" t="s">
        <v>1189</v>
      </c>
      <c r="AS429" s="11"/>
    </row>
    <row r="430" spans="1:45" ht="16.5" customHeight="1">
      <c r="A430" s="121"/>
      <c r="B430" s="82">
        <v>-68</v>
      </c>
      <c r="C430" s="82">
        <v>-85</v>
      </c>
      <c r="D430" s="82">
        <v>-3</v>
      </c>
      <c r="E430" s="82">
        <v>-40</v>
      </c>
      <c r="F430" s="6">
        <v>1.94</v>
      </c>
      <c r="G430" s="41" t="s">
        <v>1123</v>
      </c>
      <c r="H430" s="50" t="s">
        <v>1471</v>
      </c>
      <c r="I430" s="22" t="s">
        <v>122</v>
      </c>
      <c r="J430" s="75">
        <v>68.19</v>
      </c>
      <c r="K430" s="330">
        <v>24.94</v>
      </c>
      <c r="L430" s="330">
        <v>6</v>
      </c>
      <c r="N430" s="325">
        <f>S430+K430+J430+L430</f>
        <v>112.57</v>
      </c>
      <c r="S430" s="330">
        <v>13.44</v>
      </c>
      <c r="T430" s="34">
        <v>1.2</v>
      </c>
      <c r="V430" s="97">
        <f>T430/W430</f>
        <v>8.9186176142697863E-3</v>
      </c>
      <c r="W430" s="13">
        <v>134.55000000000001</v>
      </c>
      <c r="X430" s="45">
        <v>131.4</v>
      </c>
      <c r="Y430" s="15">
        <f>W430-X430</f>
        <v>3.1500000000000057</v>
      </c>
      <c r="Z430" s="64">
        <f>Y430/X430</f>
        <v>2.3972602739726071E-2</v>
      </c>
      <c r="AA430" s="116" t="s">
        <v>1984</v>
      </c>
      <c r="AB430" s="22" t="s">
        <v>122</v>
      </c>
      <c r="AD430" s="85">
        <v>43811</v>
      </c>
      <c r="AE430" s="33">
        <f>AD430-AC430</f>
        <v>43811</v>
      </c>
      <c r="AF430" s="121"/>
      <c r="AG430" s="269"/>
    </row>
    <row r="431" spans="1:45" ht="16.5" customHeight="1">
      <c r="A431" s="121"/>
      <c r="B431" s="82"/>
      <c r="C431" s="82"/>
      <c r="D431" s="82"/>
      <c r="E431" s="82"/>
      <c r="F431" s="6"/>
      <c r="G431" s="41"/>
      <c r="H431" s="50"/>
      <c r="I431" s="22"/>
      <c r="J431" s="75"/>
      <c r="K431" s="330"/>
      <c r="L431" s="330"/>
      <c r="N431" s="325"/>
      <c r="T431" s="34"/>
      <c r="V431" s="97"/>
      <c r="W431" s="13">
        <f>SUM(W428:W430)</f>
        <v>294.64999999999998</v>
      </c>
      <c r="X431" s="45">
        <f>SUM(X428:X430)</f>
        <v>277</v>
      </c>
      <c r="Y431" s="15">
        <f>W431-X431</f>
        <v>17.649999999999977</v>
      </c>
      <c r="Z431" s="64">
        <f>Y431/X431</f>
        <v>6.3718411552346491E-2</v>
      </c>
      <c r="AA431" s="116"/>
      <c r="AB431" s="22"/>
      <c r="AE431" s="33"/>
      <c r="AF431" s="121"/>
      <c r="AG431" s="269"/>
    </row>
    <row r="432" spans="1:45">
      <c r="A432" s="132" t="s">
        <v>1854</v>
      </c>
      <c r="B432" s="93" t="s">
        <v>1657</v>
      </c>
      <c r="C432" s="93" t="s">
        <v>1658</v>
      </c>
      <c r="D432" s="93" t="s">
        <v>1659</v>
      </c>
      <c r="E432" s="93" t="s">
        <v>1660</v>
      </c>
      <c r="F432" s="8" t="s">
        <v>1122</v>
      </c>
      <c r="G432" s="26" t="s">
        <v>4231</v>
      </c>
      <c r="H432" s="55" t="s">
        <v>342</v>
      </c>
      <c r="I432" s="1" t="s">
        <v>79</v>
      </c>
      <c r="J432" s="324" t="s">
        <v>1529</v>
      </c>
      <c r="K432" s="324" t="s">
        <v>1217</v>
      </c>
      <c r="L432" s="324" t="s">
        <v>298</v>
      </c>
      <c r="M432" s="324"/>
      <c r="N432" s="324" t="s">
        <v>1121</v>
      </c>
      <c r="S432" s="330" t="s">
        <v>1115</v>
      </c>
      <c r="T432" s="10" t="s">
        <v>75</v>
      </c>
      <c r="V432" s="69" t="s">
        <v>1571</v>
      </c>
      <c r="W432" s="28" t="s">
        <v>2</v>
      </c>
      <c r="X432" s="17" t="s">
        <v>1465</v>
      </c>
      <c r="Y432" s="14" t="s">
        <v>5</v>
      </c>
      <c r="Z432" s="21" t="s">
        <v>3</v>
      </c>
      <c r="AA432" s="25" t="s">
        <v>117</v>
      </c>
      <c r="AB432" s="1" t="s">
        <v>79</v>
      </c>
      <c r="AC432" s="73" t="s">
        <v>1466</v>
      </c>
      <c r="AD432" s="74" t="s">
        <v>1223</v>
      </c>
      <c r="AE432" s="32" t="s">
        <v>1224</v>
      </c>
    </row>
    <row r="433" spans="1:45">
      <c r="B433" s="82">
        <v>-33</v>
      </c>
      <c r="C433" s="82">
        <v>-21</v>
      </c>
      <c r="D433" s="82">
        <v>2</v>
      </c>
      <c r="E433" s="82">
        <v>-9</v>
      </c>
      <c r="F433" s="58">
        <v>16.489999999999998</v>
      </c>
      <c r="G433" s="41" t="s">
        <v>40</v>
      </c>
      <c r="H433" s="30" t="s">
        <v>1531</v>
      </c>
      <c r="I433" s="16" t="s">
        <v>275</v>
      </c>
      <c r="J433" s="330">
        <v>70.91</v>
      </c>
      <c r="K433" s="75">
        <v>30.18</v>
      </c>
      <c r="L433" s="75">
        <v>16.260000000000002</v>
      </c>
      <c r="N433" s="325">
        <f>S433+K433+J433+L433</f>
        <v>132.47</v>
      </c>
      <c r="S433" s="330">
        <v>15.12</v>
      </c>
      <c r="T433" s="34">
        <v>1.6</v>
      </c>
      <c r="V433" s="97">
        <f>T433/W433</f>
        <v>5.2117263843648211E-2</v>
      </c>
      <c r="W433" s="36">
        <v>30.7</v>
      </c>
      <c r="X433" s="67">
        <v>28.75</v>
      </c>
      <c r="Y433" s="15">
        <f>W433-X433</f>
        <v>1.9499999999999993</v>
      </c>
      <c r="Z433" s="64">
        <f>Y433/X433</f>
        <v>6.7826086956521717E-2</v>
      </c>
      <c r="AA433" s="102" t="s">
        <v>2015</v>
      </c>
      <c r="AB433" s="16" t="s">
        <v>275</v>
      </c>
      <c r="AC433" s="86">
        <v>43732</v>
      </c>
      <c r="AE433" s="33">
        <f>AD433-AC433</f>
        <v>-43732</v>
      </c>
      <c r="AF433" s="121" t="s">
        <v>1189</v>
      </c>
      <c r="AS433" s="11"/>
    </row>
    <row r="434" spans="1:45">
      <c r="B434" s="82">
        <v>-33</v>
      </c>
      <c r="C434" s="82">
        <v>-21</v>
      </c>
      <c r="D434" s="82">
        <v>2</v>
      </c>
      <c r="E434" s="82">
        <v>-9</v>
      </c>
      <c r="F434" s="58">
        <v>16.489999999999998</v>
      </c>
      <c r="G434" s="41" t="s">
        <v>40</v>
      </c>
      <c r="H434" s="30" t="s">
        <v>1531</v>
      </c>
      <c r="I434" s="16" t="s">
        <v>275</v>
      </c>
      <c r="J434" s="330">
        <v>70.91</v>
      </c>
      <c r="K434" s="75">
        <v>30.18</v>
      </c>
      <c r="L434" s="75">
        <v>16.260000000000002</v>
      </c>
      <c r="N434" s="325">
        <f>S434+K434+J434+L434</f>
        <v>132.47</v>
      </c>
      <c r="S434" s="330">
        <v>15.12</v>
      </c>
      <c r="T434" s="34">
        <v>1.6</v>
      </c>
      <c r="V434" s="97">
        <f>T434/W434</f>
        <v>5.2117263843648211E-2</v>
      </c>
      <c r="W434" s="36">
        <v>30.7</v>
      </c>
      <c r="X434" s="67">
        <v>28.7</v>
      </c>
      <c r="Y434" s="15">
        <f>W434-X434</f>
        <v>2</v>
      </c>
      <c r="Z434" s="64">
        <f>Y434/X434</f>
        <v>6.968641114982578E-2</v>
      </c>
      <c r="AA434" s="102" t="s">
        <v>1962</v>
      </c>
      <c r="AB434" s="16" t="s">
        <v>275</v>
      </c>
      <c r="AC434" s="86">
        <v>43733</v>
      </c>
      <c r="AE434" s="33">
        <f>AD434-AC434</f>
        <v>-43733</v>
      </c>
      <c r="AF434" s="121"/>
      <c r="AS434" s="11"/>
    </row>
    <row r="435" spans="1:45">
      <c r="B435" s="82">
        <v>-33</v>
      </c>
      <c r="C435" s="82">
        <v>-21</v>
      </c>
      <c r="D435" s="82">
        <v>2</v>
      </c>
      <c r="E435" s="82">
        <v>-9</v>
      </c>
      <c r="F435" s="58">
        <v>16.489999999999998</v>
      </c>
      <c r="G435" s="41" t="s">
        <v>40</v>
      </c>
      <c r="H435" s="30" t="s">
        <v>1531</v>
      </c>
      <c r="I435" s="16" t="s">
        <v>275</v>
      </c>
      <c r="J435" s="330">
        <v>70.91</v>
      </c>
      <c r="K435" s="75">
        <v>30.18</v>
      </c>
      <c r="L435" s="75">
        <v>16.260000000000002</v>
      </c>
      <c r="N435" s="325">
        <f>S435+K435+J435+L435</f>
        <v>132.47</v>
      </c>
      <c r="S435" s="330">
        <v>15.12</v>
      </c>
      <c r="T435" s="34">
        <v>1.6</v>
      </c>
      <c r="V435" s="97">
        <f>T435/W435</f>
        <v>5.2117263843648211E-2</v>
      </c>
      <c r="W435" s="36">
        <v>30.7</v>
      </c>
      <c r="X435" s="67">
        <v>28.25</v>
      </c>
      <c r="Y435" s="15">
        <f>W435-X435</f>
        <v>2.4499999999999993</v>
      </c>
      <c r="Z435" s="64">
        <f>Y435/X435</f>
        <v>8.672566371681413E-2</v>
      </c>
      <c r="AA435" s="102" t="s">
        <v>1985</v>
      </c>
      <c r="AB435" s="16" t="s">
        <v>275</v>
      </c>
      <c r="AC435" s="86">
        <v>43734</v>
      </c>
      <c r="AE435" s="33">
        <f>AD435-AC435</f>
        <v>-43734</v>
      </c>
      <c r="AF435" s="121"/>
      <c r="AS435" s="11"/>
    </row>
    <row r="436" spans="1:45">
      <c r="B436" s="82">
        <v>-33</v>
      </c>
      <c r="C436" s="82">
        <v>-21</v>
      </c>
      <c r="D436" s="82">
        <v>-1</v>
      </c>
      <c r="E436" s="82">
        <v>-2</v>
      </c>
      <c r="F436" s="58">
        <v>16.489999999999998</v>
      </c>
      <c r="G436" s="19" t="s">
        <v>40</v>
      </c>
      <c r="H436" s="30" t="s">
        <v>1531</v>
      </c>
      <c r="I436" s="16" t="s">
        <v>275</v>
      </c>
      <c r="J436" s="330">
        <v>70.81</v>
      </c>
      <c r="K436" s="330">
        <v>29.68</v>
      </c>
      <c r="L436" s="75">
        <v>15.66</v>
      </c>
      <c r="N436" s="325">
        <f>S436+K436+J436+L436</f>
        <v>131.27000000000001</v>
      </c>
      <c r="S436" s="330">
        <v>15.12</v>
      </c>
      <c r="T436" s="34">
        <v>1.6</v>
      </c>
      <c r="V436" s="97">
        <f>T436/W436</f>
        <v>5.2117263843648211E-2</v>
      </c>
      <c r="W436" s="36">
        <v>30.7</v>
      </c>
      <c r="X436" s="67">
        <v>27.6</v>
      </c>
      <c r="Y436" s="15">
        <f>W436-X436</f>
        <v>3.0999999999999979</v>
      </c>
      <c r="Z436" s="64">
        <f>Y436/X436</f>
        <v>0.11231884057971006</v>
      </c>
      <c r="AA436" s="102" t="s">
        <v>1738</v>
      </c>
      <c r="AB436" s="16" t="s">
        <v>275</v>
      </c>
      <c r="AC436" s="86">
        <v>43760</v>
      </c>
      <c r="AE436" s="33">
        <f>AD436-AC436</f>
        <v>-43760</v>
      </c>
      <c r="AF436" s="121"/>
      <c r="AG436" s="269"/>
      <c r="AR436" s="11"/>
    </row>
    <row r="437" spans="1:45">
      <c r="B437" s="82"/>
      <c r="C437" s="82"/>
      <c r="D437" s="82"/>
      <c r="E437" s="82"/>
      <c r="F437" s="58"/>
      <c r="G437" s="41"/>
      <c r="H437" s="30"/>
      <c r="I437" s="16"/>
      <c r="J437" s="330"/>
      <c r="K437" s="75"/>
      <c r="N437" s="325"/>
      <c r="T437" s="34"/>
      <c r="V437" s="97"/>
      <c r="W437" s="13">
        <f>SUM(W433:W435)</f>
        <v>92.1</v>
      </c>
      <c r="X437" s="45">
        <f>SUM(X433:X435)</f>
        <v>85.7</v>
      </c>
      <c r="Y437" s="15">
        <f>W437-X437</f>
        <v>6.3999999999999915</v>
      </c>
      <c r="Z437" s="64">
        <f>Y437/X437</f>
        <v>7.4679113185530818E-2</v>
      </c>
      <c r="AA437" s="102"/>
      <c r="AB437" s="16"/>
      <c r="AE437" s="33"/>
      <c r="AF437" s="121"/>
      <c r="AS437" s="11"/>
    </row>
    <row r="438" spans="1:45">
      <c r="A438" s="132" t="s">
        <v>1854</v>
      </c>
      <c r="B438" s="93" t="s">
        <v>1657</v>
      </c>
      <c r="C438" s="93" t="s">
        <v>1658</v>
      </c>
      <c r="D438" s="93" t="s">
        <v>1659</v>
      </c>
      <c r="E438" s="93" t="s">
        <v>1660</v>
      </c>
      <c r="F438" s="8" t="s">
        <v>1122</v>
      </c>
      <c r="G438" s="26" t="s">
        <v>4231</v>
      </c>
      <c r="H438" s="55" t="s">
        <v>342</v>
      </c>
      <c r="I438" s="1" t="s">
        <v>79</v>
      </c>
      <c r="J438" s="324" t="s">
        <v>1529</v>
      </c>
      <c r="K438" s="324" t="s">
        <v>1217</v>
      </c>
      <c r="L438" s="324" t="s">
        <v>298</v>
      </c>
      <c r="M438" s="324"/>
      <c r="N438" s="324" t="s">
        <v>1121</v>
      </c>
      <c r="S438" s="330" t="s">
        <v>1115</v>
      </c>
      <c r="T438" s="10" t="s">
        <v>75</v>
      </c>
      <c r="V438" s="69" t="s">
        <v>1571</v>
      </c>
      <c r="W438" s="28" t="s">
        <v>2</v>
      </c>
      <c r="X438" s="17" t="s">
        <v>1465</v>
      </c>
      <c r="Y438" s="14" t="s">
        <v>5</v>
      </c>
      <c r="Z438" s="21" t="s">
        <v>3</v>
      </c>
      <c r="AA438" s="25" t="s">
        <v>117</v>
      </c>
      <c r="AB438" s="1" t="s">
        <v>79</v>
      </c>
      <c r="AC438" s="73" t="s">
        <v>1466</v>
      </c>
      <c r="AD438" s="74" t="s">
        <v>1223</v>
      </c>
      <c r="AE438" s="32" t="s">
        <v>1224</v>
      </c>
    </row>
    <row r="439" spans="1:45" ht="16.5" customHeight="1">
      <c r="A439" s="121"/>
      <c r="B439" s="82">
        <v>-68</v>
      </c>
      <c r="C439" s="82">
        <v>-85</v>
      </c>
      <c r="D439" s="82">
        <v>-3</v>
      </c>
      <c r="E439" s="82">
        <v>-40</v>
      </c>
      <c r="F439" s="6">
        <v>1.94</v>
      </c>
      <c r="G439" s="41" t="s">
        <v>1123</v>
      </c>
      <c r="H439" s="50" t="s">
        <v>1471</v>
      </c>
      <c r="I439" s="22" t="s">
        <v>122</v>
      </c>
      <c r="J439" s="75">
        <v>68.19</v>
      </c>
      <c r="K439" s="330">
        <v>24.94</v>
      </c>
      <c r="L439" s="330">
        <v>6</v>
      </c>
      <c r="N439" s="325">
        <f>S439+K439+J439+L439</f>
        <v>112.57</v>
      </c>
      <c r="S439" s="330">
        <v>13.44</v>
      </c>
      <c r="T439" s="34">
        <v>1.2</v>
      </c>
      <c r="V439" s="97">
        <f>T439/W439</f>
        <v>4.0133779264214048E-2</v>
      </c>
      <c r="W439" s="36">
        <f>14.95*2</f>
        <v>29.9</v>
      </c>
      <c r="X439" s="67">
        <f>14.85*AF439</f>
        <v>29.7</v>
      </c>
      <c r="Y439" s="15">
        <f t="shared" ref="Y439:Y444" si="326">W439-X439</f>
        <v>0.19999999999999929</v>
      </c>
      <c r="Z439" s="78">
        <f t="shared" ref="Z439:Z444" si="327">Y439/X439</f>
        <v>6.7340067340067103E-3</v>
      </c>
      <c r="AA439" s="117" t="s">
        <v>1741</v>
      </c>
      <c r="AB439" s="22" t="s">
        <v>122</v>
      </c>
      <c r="AC439" s="86">
        <v>43728</v>
      </c>
      <c r="AE439" s="33">
        <f>AD439-AC439</f>
        <v>-43728</v>
      </c>
      <c r="AF439" s="121" t="s">
        <v>1583</v>
      </c>
      <c r="AG439" s="269"/>
    </row>
    <row r="440" spans="1:45" ht="16.5" customHeight="1">
      <c r="A440" s="121"/>
      <c r="B440" s="82">
        <v>-68</v>
      </c>
      <c r="C440" s="82">
        <v>-85</v>
      </c>
      <c r="D440" s="82">
        <v>-3</v>
      </c>
      <c r="E440" s="82">
        <v>-40</v>
      </c>
      <c r="F440" s="6">
        <v>1.94</v>
      </c>
      <c r="G440" s="41" t="s">
        <v>1123</v>
      </c>
      <c r="H440" s="50" t="s">
        <v>1471</v>
      </c>
      <c r="I440" s="22" t="s">
        <v>122</v>
      </c>
      <c r="J440" s="75">
        <v>68.19</v>
      </c>
      <c r="K440" s="330">
        <v>24.94</v>
      </c>
      <c r="L440" s="330">
        <v>6</v>
      </c>
      <c r="N440" s="325">
        <f>S440+K440+J440+L440</f>
        <v>112.57</v>
      </c>
      <c r="S440" s="330">
        <v>13.44</v>
      </c>
      <c r="T440" s="34">
        <v>1.2</v>
      </c>
      <c r="V440" s="97">
        <f>T440/W440</f>
        <v>2.6755852842809368E-2</v>
      </c>
      <c r="W440" s="36">
        <f>14.95*3</f>
        <v>44.849999999999994</v>
      </c>
      <c r="X440" s="67">
        <f>14.8*AF440</f>
        <v>44.400000000000006</v>
      </c>
      <c r="Y440" s="15">
        <f t="shared" si="326"/>
        <v>0.44999999999998863</v>
      </c>
      <c r="Z440" s="64">
        <f t="shared" si="327"/>
        <v>1.0135135135134877E-2</v>
      </c>
      <c r="AA440" s="116" t="s">
        <v>1977</v>
      </c>
      <c r="AB440" s="22" t="s">
        <v>122</v>
      </c>
      <c r="AC440" s="86">
        <v>43728</v>
      </c>
      <c r="AE440" s="33">
        <f>AD440-AC440</f>
        <v>-43728</v>
      </c>
      <c r="AF440" s="121" t="s">
        <v>1695</v>
      </c>
      <c r="AG440" s="269"/>
    </row>
    <row r="441" spans="1:45" ht="16.5" customHeight="1">
      <c r="A441" s="121"/>
      <c r="B441" s="82">
        <v>-68</v>
      </c>
      <c r="C441" s="82">
        <v>-85</v>
      </c>
      <c r="D441" s="82">
        <v>-3</v>
      </c>
      <c r="E441" s="82">
        <v>-40</v>
      </c>
      <c r="F441" s="6">
        <v>1.94</v>
      </c>
      <c r="G441" s="41" t="s">
        <v>1123</v>
      </c>
      <c r="H441" s="50" t="s">
        <v>1471</v>
      </c>
      <c r="I441" s="22" t="s">
        <v>122</v>
      </c>
      <c r="J441" s="75">
        <v>68.19</v>
      </c>
      <c r="K441" s="330">
        <v>24.94</v>
      </c>
      <c r="L441" s="330">
        <v>6</v>
      </c>
      <c r="N441" s="325">
        <f>S441+K441+J441+L441</f>
        <v>112.57</v>
      </c>
      <c r="S441" s="330">
        <v>13.44</v>
      </c>
      <c r="T441" s="34">
        <v>1.2</v>
      </c>
      <c r="V441" s="97">
        <f>T441/W441</f>
        <v>8.0267558528428096E-2</v>
      </c>
      <c r="W441" s="36">
        <v>14.95</v>
      </c>
      <c r="X441" s="67">
        <v>14.75</v>
      </c>
      <c r="Y441" s="15">
        <f t="shared" si="326"/>
        <v>0.19999999999999929</v>
      </c>
      <c r="Z441" s="64">
        <f t="shared" si="327"/>
        <v>1.3559322033898256E-2</v>
      </c>
      <c r="AA441" s="116" t="s">
        <v>1976</v>
      </c>
      <c r="AB441" s="22" t="s">
        <v>122</v>
      </c>
      <c r="AC441" s="86">
        <v>43728</v>
      </c>
      <c r="AE441" s="33">
        <f>AD441-AC441</f>
        <v>-43728</v>
      </c>
      <c r="AF441" s="121" t="s">
        <v>1694</v>
      </c>
      <c r="AG441" s="269"/>
    </row>
    <row r="442" spans="1:45" ht="16.5" customHeight="1">
      <c r="A442" s="121"/>
      <c r="B442" s="82">
        <v>-68</v>
      </c>
      <c r="C442" s="82">
        <v>-85</v>
      </c>
      <c r="D442" s="82">
        <v>-3</v>
      </c>
      <c r="E442" s="82">
        <v>-40</v>
      </c>
      <c r="F442" s="6">
        <v>1.94</v>
      </c>
      <c r="G442" s="41" t="s">
        <v>1123</v>
      </c>
      <c r="H442" s="50" t="s">
        <v>1471</v>
      </c>
      <c r="I442" s="22" t="s">
        <v>122</v>
      </c>
      <c r="J442" s="75">
        <v>68.19</v>
      </c>
      <c r="K442" s="330">
        <v>24.94</v>
      </c>
      <c r="L442" s="330">
        <v>6</v>
      </c>
      <c r="N442" s="325">
        <f>S442+K442+J442+L442</f>
        <v>112.57</v>
      </c>
      <c r="S442" s="330">
        <v>13.44</v>
      </c>
      <c r="T442" s="34">
        <v>1.2</v>
      </c>
      <c r="V442" s="97">
        <f>T442/W442</f>
        <v>8.0267558528428096E-2</v>
      </c>
      <c r="W442" s="36">
        <v>14.95</v>
      </c>
      <c r="X442" s="67">
        <v>14.55</v>
      </c>
      <c r="Y442" s="15">
        <f>W442-X442</f>
        <v>0.39999999999999858</v>
      </c>
      <c r="Z442" s="64">
        <f>Y442/X442</f>
        <v>2.7491408934707806E-2</v>
      </c>
      <c r="AA442" s="116" t="s">
        <v>1979</v>
      </c>
      <c r="AB442" s="22" t="s">
        <v>122</v>
      </c>
      <c r="AC442" s="86">
        <v>43742</v>
      </c>
      <c r="AE442" s="33">
        <f>AD442-AC442</f>
        <v>-43742</v>
      </c>
      <c r="AF442" s="121" t="s">
        <v>1188</v>
      </c>
      <c r="AG442" s="269"/>
    </row>
    <row r="443" spans="1:45" ht="16.5" customHeight="1">
      <c r="A443" s="148">
        <v>332</v>
      </c>
      <c r="B443" s="82">
        <v>-76</v>
      </c>
      <c r="C443" s="82">
        <v>-79</v>
      </c>
      <c r="D443" s="82">
        <v>-1</v>
      </c>
      <c r="E443" s="82">
        <v>-28</v>
      </c>
      <c r="F443" s="6">
        <v>2.0499999999999998</v>
      </c>
      <c r="G443" s="41" t="s">
        <v>1123</v>
      </c>
      <c r="H443" s="50" t="s">
        <v>1471</v>
      </c>
      <c r="I443" s="22" t="s">
        <v>122</v>
      </c>
      <c r="J443" s="330">
        <v>69.13</v>
      </c>
      <c r="K443" s="330">
        <v>25.34</v>
      </c>
      <c r="L443" s="330">
        <v>5.26</v>
      </c>
      <c r="N443" s="325">
        <f>S443+K443+J443+L443</f>
        <v>113.17</v>
      </c>
      <c r="S443" s="330">
        <v>13.44</v>
      </c>
      <c r="T443" s="34">
        <v>1.2</v>
      </c>
      <c r="V443" s="97">
        <f>T443/W443</f>
        <v>4.0133779264214048E-2</v>
      </c>
      <c r="W443" s="36">
        <f>14.95*2</f>
        <v>29.9</v>
      </c>
      <c r="X443" s="67">
        <f>14*2</f>
        <v>28</v>
      </c>
      <c r="Y443" s="15">
        <f>W443-X443</f>
        <v>1.8999999999999986</v>
      </c>
      <c r="Z443" s="64">
        <f>Y443/X443</f>
        <v>6.785714285714281E-2</v>
      </c>
      <c r="AA443" s="116" t="s">
        <v>1980</v>
      </c>
      <c r="AB443" s="22" t="s">
        <v>122</v>
      </c>
      <c r="AC443" s="86">
        <v>43782</v>
      </c>
      <c r="AE443" s="33">
        <f>AD443-AC443</f>
        <v>-43782</v>
      </c>
      <c r="AF443" s="121" t="s">
        <v>1583</v>
      </c>
      <c r="AG443" s="269"/>
    </row>
    <row r="444" spans="1:45" ht="16.5" customHeight="1">
      <c r="A444" s="121"/>
      <c r="B444" s="82"/>
      <c r="C444" s="82"/>
      <c r="D444" s="82"/>
      <c r="E444" s="82"/>
      <c r="F444" s="6"/>
      <c r="G444" s="41"/>
      <c r="H444" s="5"/>
      <c r="I444" s="22"/>
      <c r="J444" s="75"/>
      <c r="K444" s="330"/>
      <c r="L444" s="330"/>
      <c r="N444" s="325"/>
      <c r="T444" s="34"/>
      <c r="V444" s="97"/>
      <c r="W444" s="13">
        <f>SUM(W439:W443)</f>
        <v>134.55000000000001</v>
      </c>
      <c r="X444" s="45">
        <f>SUM(X439:X443)</f>
        <v>131.4</v>
      </c>
      <c r="Y444" s="15">
        <f t="shared" si="326"/>
        <v>3.1500000000000057</v>
      </c>
      <c r="Z444" s="64">
        <f t="shared" si="327"/>
        <v>2.3972602739726071E-2</v>
      </c>
      <c r="AA444" s="116"/>
      <c r="AB444" s="22"/>
      <c r="AC444" s="120"/>
      <c r="AD444" s="131"/>
      <c r="AE444" s="33"/>
      <c r="AF444" s="121" t="s">
        <v>1932</v>
      </c>
      <c r="AG444" s="269"/>
    </row>
    <row r="445" spans="1:45">
      <c r="A445" s="132" t="s">
        <v>1854</v>
      </c>
      <c r="B445" s="93" t="s">
        <v>1657</v>
      </c>
      <c r="C445" s="93" t="s">
        <v>1658</v>
      </c>
      <c r="D445" s="93" t="s">
        <v>1659</v>
      </c>
      <c r="E445" s="93" t="s">
        <v>1660</v>
      </c>
      <c r="F445" s="8" t="s">
        <v>1122</v>
      </c>
      <c r="G445" s="26" t="s">
        <v>4231</v>
      </c>
      <c r="H445" s="55" t="s">
        <v>342</v>
      </c>
      <c r="I445" s="1" t="s">
        <v>79</v>
      </c>
      <c r="J445" s="324" t="s">
        <v>1529</v>
      </c>
      <c r="K445" s="324" t="s">
        <v>1217</v>
      </c>
      <c r="L445" s="324" t="s">
        <v>298</v>
      </c>
      <c r="M445" s="324"/>
      <c r="N445" s="324" t="s">
        <v>1121</v>
      </c>
      <c r="S445" s="330" t="s">
        <v>1115</v>
      </c>
      <c r="T445" s="10" t="s">
        <v>75</v>
      </c>
      <c r="V445" s="69" t="s">
        <v>1571</v>
      </c>
      <c r="W445" s="28" t="s">
        <v>2</v>
      </c>
      <c r="X445" s="17" t="s">
        <v>1465</v>
      </c>
      <c r="Y445" s="14" t="s">
        <v>5</v>
      </c>
      <c r="Z445" s="21" t="s">
        <v>3</v>
      </c>
      <c r="AA445" s="25" t="s">
        <v>117</v>
      </c>
      <c r="AB445" s="1" t="s">
        <v>79</v>
      </c>
      <c r="AC445" s="73" t="s">
        <v>1466</v>
      </c>
      <c r="AD445" s="74" t="s">
        <v>1223</v>
      </c>
      <c r="AE445" s="32" t="s">
        <v>1224</v>
      </c>
      <c r="AF445" s="46" t="s">
        <v>1879</v>
      </c>
    </row>
    <row r="446" spans="1:45" ht="16.5" customHeight="1">
      <c r="B446" s="82">
        <v>-49</v>
      </c>
      <c r="C446" s="82">
        <v>-36</v>
      </c>
      <c r="D446" s="82">
        <v>-49</v>
      </c>
      <c r="E446" s="82">
        <v>-36</v>
      </c>
      <c r="F446" s="58">
        <v>12.88</v>
      </c>
      <c r="G446" s="41" t="s">
        <v>354</v>
      </c>
      <c r="H446" s="50" t="s">
        <v>1471</v>
      </c>
      <c r="I446" s="22" t="s">
        <v>142</v>
      </c>
      <c r="J446" s="330">
        <v>78.17</v>
      </c>
      <c r="K446" s="330">
        <v>3.94</v>
      </c>
      <c r="L446" s="75">
        <v>1.56</v>
      </c>
      <c r="N446" s="75">
        <f>S446+K446+J446+L446</f>
        <v>148.12</v>
      </c>
      <c r="S446" s="330">
        <v>64.45</v>
      </c>
      <c r="T446" s="34">
        <v>0.49</v>
      </c>
      <c r="V446" s="58">
        <f>T446/W446</f>
        <v>4.5539033457249068E-3</v>
      </c>
      <c r="W446" s="13">
        <v>107.6</v>
      </c>
      <c r="X446" s="45">
        <v>103.27</v>
      </c>
      <c r="Y446" s="15">
        <f t="shared" ref="Y446:Y451" si="328">W446-X446</f>
        <v>4.3299999999999983</v>
      </c>
      <c r="Z446" s="64">
        <f t="shared" ref="Z446:Z451" si="329">Y446/X446</f>
        <v>4.1928924179335705E-2</v>
      </c>
      <c r="AA446" s="116" t="s">
        <v>1936</v>
      </c>
      <c r="AB446" s="22" t="s">
        <v>142</v>
      </c>
      <c r="AD446" s="85">
        <v>43789</v>
      </c>
      <c r="AE446" s="33">
        <f>AD446-AC446</f>
        <v>43789</v>
      </c>
      <c r="AF446" s="121"/>
    </row>
    <row r="447" spans="1:45" s="7" customFormat="1" ht="17.100000000000001" customHeight="1">
      <c r="A447" s="130"/>
      <c r="B447" s="81">
        <v>0.6</v>
      </c>
      <c r="C447" s="82">
        <v>-34</v>
      </c>
      <c r="D447" s="81">
        <v>0.6</v>
      </c>
      <c r="E447" s="82">
        <v>-34</v>
      </c>
      <c r="F447" s="6">
        <v>1.53</v>
      </c>
      <c r="G447" s="41" t="s">
        <v>197</v>
      </c>
      <c r="H447" s="50" t="s">
        <v>1471</v>
      </c>
      <c r="I447" s="22" t="s">
        <v>4</v>
      </c>
      <c r="J447" s="333">
        <v>69.78</v>
      </c>
      <c r="K447" s="330">
        <v>42.11</v>
      </c>
      <c r="L447" s="330">
        <v>1.63</v>
      </c>
      <c r="M447" s="325"/>
      <c r="N447" s="325">
        <f>S447+K447+J447+L447</f>
        <v>123.63</v>
      </c>
      <c r="O447" s="329"/>
      <c r="P447" s="390"/>
      <c r="Q447" s="362"/>
      <c r="R447" s="308"/>
      <c r="S447" s="330">
        <v>10.11</v>
      </c>
      <c r="T447" s="200">
        <v>4</v>
      </c>
      <c r="U447" s="367"/>
      <c r="V447" s="97">
        <f>T447/W447</f>
        <v>5.5248618784530384E-2</v>
      </c>
      <c r="W447" s="13">
        <f>90.5*0.8</f>
        <v>72.400000000000006</v>
      </c>
      <c r="X447" s="45">
        <f>94.93-4-4*0.8</f>
        <v>87.73</v>
      </c>
      <c r="Y447" s="45">
        <f t="shared" si="328"/>
        <v>-15.329999999999998</v>
      </c>
      <c r="Z447" s="78">
        <f t="shared" si="329"/>
        <v>-0.17474068163684028</v>
      </c>
      <c r="AA447" s="117" t="s">
        <v>1918</v>
      </c>
      <c r="AB447" s="22" t="s">
        <v>4</v>
      </c>
      <c r="AC447" s="86"/>
      <c r="AD447" s="85">
        <v>43777</v>
      </c>
      <c r="AE447" s="33">
        <f>AD447-AC447</f>
        <v>43777</v>
      </c>
      <c r="AF447" s="121"/>
      <c r="AG447" s="130"/>
      <c r="AH447" s="37"/>
      <c r="AI447" s="37"/>
      <c r="AJ447" s="37"/>
      <c r="AK447" s="37"/>
      <c r="AL447" s="37"/>
      <c r="AM447" s="269"/>
      <c r="AN447" s="269"/>
    </row>
    <row r="448" spans="1:45">
      <c r="B448" s="81">
        <v>100</v>
      </c>
      <c r="C448" s="81">
        <v>67</v>
      </c>
      <c r="D448" s="81">
        <v>100</v>
      </c>
      <c r="E448" s="81">
        <v>67</v>
      </c>
      <c r="F448" s="58">
        <v>18.75</v>
      </c>
      <c r="G448" s="19" t="s">
        <v>103</v>
      </c>
      <c r="H448" s="50" t="s">
        <v>1471</v>
      </c>
      <c r="I448" s="22" t="s">
        <v>104</v>
      </c>
      <c r="J448" s="330">
        <v>80.25</v>
      </c>
      <c r="K448" s="75">
        <v>5.08</v>
      </c>
      <c r="L448" s="75">
        <v>0.35</v>
      </c>
      <c r="N448" s="325">
        <f>S448+K448+J448+L448</f>
        <v>119.25999999999999</v>
      </c>
      <c r="S448" s="330">
        <v>33.58</v>
      </c>
      <c r="T448" s="34">
        <v>1.3</v>
      </c>
      <c r="V448" s="58">
        <f>T448/W448</f>
        <v>2.0280811232449302E-2</v>
      </c>
      <c r="W448" s="13">
        <v>64.099999999999994</v>
      </c>
      <c r="X448" s="45">
        <v>63.2</v>
      </c>
      <c r="Y448" s="71">
        <f t="shared" si="328"/>
        <v>0.89999999999999147</v>
      </c>
      <c r="Z448" s="64">
        <f t="shared" si="329"/>
        <v>1.4240506329113788E-2</v>
      </c>
      <c r="AA448" s="116" t="s">
        <v>1705</v>
      </c>
      <c r="AB448" s="22" t="s">
        <v>104</v>
      </c>
      <c r="AD448" s="85">
        <v>43776</v>
      </c>
      <c r="AE448" s="33">
        <f>AD448-AC448</f>
        <v>43776</v>
      </c>
      <c r="AF448" s="121"/>
    </row>
    <row r="449" spans="1:44">
      <c r="B449" s="81">
        <v>11</v>
      </c>
      <c r="C449" s="81">
        <v>7</v>
      </c>
      <c r="D449" s="81">
        <v>1</v>
      </c>
      <c r="E449" s="82">
        <v>-11</v>
      </c>
      <c r="F449" s="58">
        <v>24.12</v>
      </c>
      <c r="G449" s="19" t="s">
        <v>38</v>
      </c>
      <c r="H449" s="50" t="s">
        <v>1471</v>
      </c>
      <c r="I449" s="16" t="s">
        <v>33</v>
      </c>
      <c r="J449" s="75">
        <v>91.58</v>
      </c>
      <c r="K449" s="75">
        <v>38.26</v>
      </c>
      <c r="L449" s="75">
        <v>0.74</v>
      </c>
      <c r="N449" s="75">
        <f>S449+K449+J449+L449</f>
        <v>175.93</v>
      </c>
      <c r="S449" s="330">
        <v>45.35</v>
      </c>
      <c r="T449" s="34">
        <v>3.2</v>
      </c>
      <c r="V449" s="58">
        <f>T449/W449</f>
        <v>4.7976011994002997E-2</v>
      </c>
      <c r="W449" s="13">
        <v>66.7</v>
      </c>
      <c r="X449" s="45">
        <v>62.8</v>
      </c>
      <c r="Y449" s="15">
        <f t="shared" si="328"/>
        <v>3.9000000000000057</v>
      </c>
      <c r="Z449" s="64">
        <f t="shared" si="329"/>
        <v>6.2101910828025568E-2</v>
      </c>
      <c r="AA449" s="102" t="s">
        <v>1880</v>
      </c>
      <c r="AB449" s="16" t="s">
        <v>33</v>
      </c>
      <c r="AD449" s="85">
        <v>43774</v>
      </c>
      <c r="AE449" s="33">
        <f>AD449-AC449</f>
        <v>43774</v>
      </c>
      <c r="AF449" s="123"/>
    </row>
    <row r="450" spans="1:44">
      <c r="B450" s="82">
        <v>-211</v>
      </c>
      <c r="C450" s="96">
        <v>-5489</v>
      </c>
      <c r="D450" s="82">
        <v>-211</v>
      </c>
      <c r="E450" s="96">
        <v>-5489</v>
      </c>
      <c r="F450" s="6">
        <v>-13.71</v>
      </c>
      <c r="G450" s="41" t="s">
        <v>374</v>
      </c>
      <c r="H450" s="50" t="s">
        <v>1471</v>
      </c>
      <c r="I450" s="22" t="s">
        <v>375</v>
      </c>
      <c r="J450" s="330">
        <v>37.869999999999997</v>
      </c>
      <c r="K450" s="330">
        <v>19.09</v>
      </c>
      <c r="L450" s="330">
        <v>22.04</v>
      </c>
      <c r="N450" s="325">
        <f>S450+K450+J450+L450</f>
        <v>84.52</v>
      </c>
      <c r="S450" s="330">
        <v>5.52</v>
      </c>
      <c r="T450" s="34">
        <v>0.5</v>
      </c>
      <c r="V450" s="97">
        <f>T450/W450</f>
        <v>5.208333333333333E-3</v>
      </c>
      <c r="W450" s="13">
        <v>96</v>
      </c>
      <c r="X450" s="45">
        <v>94.67</v>
      </c>
      <c r="Y450" s="15">
        <f t="shared" si="328"/>
        <v>1.3299999999999983</v>
      </c>
      <c r="Z450" s="64">
        <f t="shared" si="329"/>
        <v>1.404880109855285E-2</v>
      </c>
      <c r="AA450" s="116" t="s">
        <v>1905</v>
      </c>
      <c r="AB450" s="22" t="s">
        <v>375</v>
      </c>
      <c r="AD450" s="85">
        <v>43774</v>
      </c>
      <c r="AE450" s="33">
        <f>AD450-AC450</f>
        <v>43774</v>
      </c>
      <c r="AF450" s="121"/>
      <c r="AI450" s="11"/>
      <c r="AJ450" s="11"/>
      <c r="AK450" s="11"/>
      <c r="AL450" s="11"/>
      <c r="AO450" s="7"/>
      <c r="AP450" s="4"/>
    </row>
    <row r="451" spans="1:44">
      <c r="A451" s="132"/>
      <c r="B451" s="93"/>
      <c r="C451" s="93"/>
      <c r="D451" s="93"/>
      <c r="E451" s="93"/>
      <c r="F451" s="8"/>
      <c r="G451" s="25"/>
      <c r="H451" s="55"/>
      <c r="I451" s="1"/>
      <c r="J451" s="324"/>
      <c r="K451" s="324"/>
      <c r="L451" s="324"/>
      <c r="M451" s="324"/>
      <c r="N451" s="324"/>
      <c r="T451" s="10"/>
      <c r="V451" s="69"/>
      <c r="W451" s="28">
        <f>SUM(W446:W450)</f>
        <v>406.8</v>
      </c>
      <c r="X451" s="17">
        <f>SUM(X446:X450)</f>
        <v>411.67</v>
      </c>
      <c r="Y451" s="15">
        <f t="shared" si="328"/>
        <v>-4.8700000000000045</v>
      </c>
      <c r="Z451" s="78">
        <f t="shared" si="329"/>
        <v>-1.1829863725799802E-2</v>
      </c>
      <c r="AA451" s="25"/>
      <c r="AB451" s="1"/>
      <c r="AC451" s="73"/>
      <c r="AD451" s="74"/>
      <c r="AE451" s="32"/>
      <c r="AF451" s="46"/>
    </row>
    <row r="452" spans="1:44">
      <c r="A452" s="132" t="s">
        <v>1854</v>
      </c>
      <c r="B452" s="93" t="s">
        <v>1657</v>
      </c>
      <c r="C452" s="93" t="s">
        <v>1658</v>
      </c>
      <c r="D452" s="93" t="s">
        <v>1659</v>
      </c>
      <c r="E452" s="93" t="s">
        <v>1660</v>
      </c>
      <c r="F452" s="8" t="s">
        <v>1122</v>
      </c>
      <c r="G452" s="26" t="s">
        <v>4231</v>
      </c>
      <c r="H452" s="55" t="s">
        <v>342</v>
      </c>
      <c r="I452" s="1" t="s">
        <v>79</v>
      </c>
      <c r="J452" s="324" t="s">
        <v>1529</v>
      </c>
      <c r="K452" s="324" t="s">
        <v>1217</v>
      </c>
      <c r="L452" s="324" t="s">
        <v>298</v>
      </c>
      <c r="M452" s="324"/>
      <c r="N452" s="324" t="s">
        <v>1121</v>
      </c>
      <c r="S452" s="330" t="s">
        <v>1115</v>
      </c>
      <c r="T452" s="10" t="s">
        <v>75</v>
      </c>
      <c r="V452" s="69" t="s">
        <v>1571</v>
      </c>
      <c r="W452" s="28" t="s">
        <v>2</v>
      </c>
      <c r="X452" s="17" t="s">
        <v>1465</v>
      </c>
      <c r="Y452" s="14" t="s">
        <v>5</v>
      </c>
      <c r="Z452" s="21" t="s">
        <v>3</v>
      </c>
      <c r="AA452" s="25" t="s">
        <v>117</v>
      </c>
      <c r="AB452" s="1" t="s">
        <v>79</v>
      </c>
      <c r="AC452" s="73" t="s">
        <v>1466</v>
      </c>
      <c r="AD452" s="74" t="s">
        <v>1223</v>
      </c>
      <c r="AE452" s="32" t="s">
        <v>1224</v>
      </c>
    </row>
    <row r="453" spans="1:44" s="7" customFormat="1" ht="17.100000000000001" customHeight="1">
      <c r="A453" s="125"/>
      <c r="B453" s="82">
        <v>-49</v>
      </c>
      <c r="C453" s="82">
        <v>-36</v>
      </c>
      <c r="D453" s="82">
        <v>-49</v>
      </c>
      <c r="E453" s="82">
        <v>-36</v>
      </c>
      <c r="F453" s="58">
        <v>12.88</v>
      </c>
      <c r="G453" s="41" t="s">
        <v>354</v>
      </c>
      <c r="H453" s="50" t="s">
        <v>1471</v>
      </c>
      <c r="I453" s="22" t="s">
        <v>142</v>
      </c>
      <c r="J453" s="330">
        <v>78.17</v>
      </c>
      <c r="K453" s="330">
        <v>3.95</v>
      </c>
      <c r="L453" s="330">
        <v>1.55</v>
      </c>
      <c r="M453" s="325"/>
      <c r="N453" s="75">
        <f>S453+K453+J453+L453</f>
        <v>148.12</v>
      </c>
      <c r="O453" s="329"/>
      <c r="P453" s="390"/>
      <c r="Q453" s="362"/>
      <c r="R453" s="308"/>
      <c r="S453" s="330">
        <v>64.45</v>
      </c>
      <c r="T453" s="34">
        <v>0.49</v>
      </c>
      <c r="U453" s="367"/>
      <c r="V453" s="58">
        <f>T453/W453</f>
        <v>1.8215613382899627E-2</v>
      </c>
      <c r="W453" s="13">
        <v>26.9</v>
      </c>
      <c r="X453" s="67">
        <f>32.54-0.48-0.49</f>
        <v>31.570000000000004</v>
      </c>
      <c r="Y453" s="15">
        <f>W453-X453</f>
        <v>-4.6700000000000053</v>
      </c>
      <c r="Z453" s="78">
        <f>Y453/X453</f>
        <v>-0.14792524548622124</v>
      </c>
      <c r="AA453" s="117" t="s">
        <v>1937</v>
      </c>
      <c r="AB453" s="22" t="s">
        <v>142</v>
      </c>
      <c r="AC453" s="86">
        <v>43216</v>
      </c>
      <c r="AD453" s="85"/>
      <c r="AE453" s="33">
        <f>AD453-AC453</f>
        <v>-43216</v>
      </c>
      <c r="AF453" s="121" t="s">
        <v>1189</v>
      </c>
      <c r="AG453" s="125"/>
      <c r="AH453" s="33"/>
      <c r="AI453" s="11"/>
      <c r="AJ453" s="11"/>
      <c r="AK453" s="11"/>
      <c r="AL453" s="11"/>
      <c r="AM453" s="269"/>
      <c r="AN453" s="269"/>
      <c r="AP453" s="4"/>
      <c r="AQ453" s="269"/>
      <c r="AR453" s="269"/>
    </row>
    <row r="454" spans="1:44" ht="16.5" customHeight="1">
      <c r="A454" s="149"/>
      <c r="B454" s="82">
        <v>-49</v>
      </c>
      <c r="C454" s="82">
        <v>-36</v>
      </c>
      <c r="D454" s="82">
        <v>-49</v>
      </c>
      <c r="E454" s="82">
        <v>-36</v>
      </c>
      <c r="F454" s="58">
        <v>12.88</v>
      </c>
      <c r="G454" s="41" t="s">
        <v>354</v>
      </c>
      <c r="H454" s="50" t="s">
        <v>1471</v>
      </c>
      <c r="I454" s="22" t="s">
        <v>142</v>
      </c>
      <c r="J454" s="75">
        <v>78.22</v>
      </c>
      <c r="K454" s="330">
        <v>3.94</v>
      </c>
      <c r="L454" s="330">
        <v>1.53</v>
      </c>
      <c r="N454" s="75">
        <f>S454+K454+J454+L454</f>
        <v>148.14000000000001</v>
      </c>
      <c r="S454" s="330">
        <v>64.45</v>
      </c>
      <c r="T454" s="34">
        <v>0.49</v>
      </c>
      <c r="V454" s="58">
        <f>T454/W454</f>
        <v>1.8215613382899627E-2</v>
      </c>
      <c r="W454" s="36">
        <v>26.9</v>
      </c>
      <c r="X454" s="67">
        <v>24.05</v>
      </c>
      <c r="Y454" s="15">
        <f>W454-X454</f>
        <v>2.8499999999999979</v>
      </c>
      <c r="Z454" s="64">
        <f>Y454/X454</f>
        <v>0.11850311850311841</v>
      </c>
      <c r="AA454" s="116" t="s">
        <v>1938</v>
      </c>
      <c r="AB454" s="22" t="s">
        <v>142</v>
      </c>
      <c r="AC454" s="86">
        <v>43735</v>
      </c>
      <c r="AE454" s="33">
        <f>AD454-AC454</f>
        <v>-43735</v>
      </c>
      <c r="AF454" s="121"/>
      <c r="AG454" s="269"/>
    </row>
    <row r="455" spans="1:44" ht="16.5" customHeight="1">
      <c r="A455" s="149"/>
      <c r="B455" s="82">
        <v>-49</v>
      </c>
      <c r="C455" s="82">
        <v>-36</v>
      </c>
      <c r="D455" s="82">
        <v>-49</v>
      </c>
      <c r="E455" s="82">
        <v>-36</v>
      </c>
      <c r="F455" s="58">
        <v>12.88</v>
      </c>
      <c r="G455" s="41" t="s">
        <v>354</v>
      </c>
      <c r="H455" s="50" t="s">
        <v>1471</v>
      </c>
      <c r="I455" s="22" t="s">
        <v>142</v>
      </c>
      <c r="J455" s="75">
        <v>78.22</v>
      </c>
      <c r="K455" s="330">
        <v>3.94</v>
      </c>
      <c r="L455" s="330">
        <v>1.53</v>
      </c>
      <c r="N455" s="75">
        <f>S455+K455+J455+L455</f>
        <v>148.14000000000001</v>
      </c>
      <c r="S455" s="330">
        <v>64.45</v>
      </c>
      <c r="T455" s="34">
        <v>0.49</v>
      </c>
      <c r="V455" s="58">
        <f>T455/W455</f>
        <v>1.8215613382899627E-2</v>
      </c>
      <c r="W455" s="36">
        <v>26.9</v>
      </c>
      <c r="X455" s="67">
        <v>23.9</v>
      </c>
      <c r="Y455" s="15">
        <f>W455-X455</f>
        <v>3</v>
      </c>
      <c r="Z455" s="64">
        <f>Y455/X455</f>
        <v>0.12552301255230125</v>
      </c>
      <c r="AA455" s="116" t="s">
        <v>1939</v>
      </c>
      <c r="AB455" s="22" t="s">
        <v>142</v>
      </c>
      <c r="AC455" s="86">
        <v>43710</v>
      </c>
      <c r="AE455" s="33">
        <f>AD455-AC455</f>
        <v>-43710</v>
      </c>
      <c r="AF455" s="121"/>
      <c r="AG455" s="269"/>
    </row>
    <row r="456" spans="1:44" ht="16.5" customHeight="1">
      <c r="B456" s="82">
        <v>-49</v>
      </c>
      <c r="C456" s="82">
        <v>-36</v>
      </c>
      <c r="D456" s="82">
        <v>-49</v>
      </c>
      <c r="E456" s="82">
        <v>-36</v>
      </c>
      <c r="F456" s="58">
        <v>12.88</v>
      </c>
      <c r="G456" s="41" t="s">
        <v>354</v>
      </c>
      <c r="H456" s="50" t="s">
        <v>1471</v>
      </c>
      <c r="I456" s="22" t="s">
        <v>142</v>
      </c>
      <c r="J456" s="330">
        <v>78.17</v>
      </c>
      <c r="K456" s="330">
        <v>3.94</v>
      </c>
      <c r="L456" s="75">
        <v>1.56</v>
      </c>
      <c r="N456" s="75">
        <f>S456+K456+J456+L456</f>
        <v>148.12</v>
      </c>
      <c r="S456" s="330">
        <v>64.45</v>
      </c>
      <c r="T456" s="34">
        <v>0.49</v>
      </c>
      <c r="V456" s="58">
        <f>T456/W456</f>
        <v>1.8215613382899627E-2</v>
      </c>
      <c r="W456" s="36">
        <v>26.9</v>
      </c>
      <c r="X456" s="67">
        <v>23.75</v>
      </c>
      <c r="Y456" s="15">
        <f>W456-X456</f>
        <v>3.1499999999999986</v>
      </c>
      <c r="Z456" s="64">
        <f>Y456/X456</f>
        <v>0.13263157894736835</v>
      </c>
      <c r="AA456" s="116" t="s">
        <v>1940</v>
      </c>
      <c r="AB456" s="22" t="s">
        <v>142</v>
      </c>
      <c r="AC456" s="86">
        <v>43698</v>
      </c>
      <c r="AE456" s="33">
        <f>AD456-AC456</f>
        <v>-43698</v>
      </c>
      <c r="AF456" s="121"/>
    </row>
    <row r="457" spans="1:44" s="7" customFormat="1" ht="17.100000000000001" customHeight="1">
      <c r="A457" s="125"/>
      <c r="B457" s="82"/>
      <c r="C457" s="82"/>
      <c r="D457" s="82"/>
      <c r="E457" s="82"/>
      <c r="F457" s="58"/>
      <c r="G457" s="41"/>
      <c r="H457" s="50"/>
      <c r="I457" s="22"/>
      <c r="J457" s="330"/>
      <c r="K457" s="330"/>
      <c r="L457" s="330"/>
      <c r="M457" s="325"/>
      <c r="N457" s="75"/>
      <c r="O457" s="329"/>
      <c r="P457" s="390"/>
      <c r="Q457" s="362"/>
      <c r="R457" s="308"/>
      <c r="S457" s="330"/>
      <c r="T457" s="34"/>
      <c r="U457" s="367"/>
      <c r="V457" s="58"/>
      <c r="W457" s="13">
        <f>SUM(W453:W456)</f>
        <v>107.6</v>
      </c>
      <c r="X457" s="45">
        <f>SUM(X453:X456)</f>
        <v>103.27000000000001</v>
      </c>
      <c r="Y457" s="15">
        <f>W457-X457</f>
        <v>4.3299999999999841</v>
      </c>
      <c r="Z457" s="64">
        <f>Y457/X457</f>
        <v>4.1928924179335567E-2</v>
      </c>
      <c r="AA457" s="117"/>
      <c r="AB457" s="22"/>
      <c r="AC457" s="86"/>
      <c r="AD457" s="85"/>
      <c r="AE457" s="33"/>
      <c r="AF457" s="121"/>
      <c r="AG457" s="125"/>
      <c r="AH457" s="33"/>
      <c r="AI457" s="11"/>
      <c r="AJ457" s="11"/>
      <c r="AK457" s="11"/>
      <c r="AL457" s="11"/>
      <c r="AM457" s="269"/>
      <c r="AN457" s="269"/>
      <c r="AP457" s="4"/>
      <c r="AQ457" s="269"/>
      <c r="AR457" s="269"/>
    </row>
    <row r="458" spans="1:44">
      <c r="A458" s="132" t="s">
        <v>1854</v>
      </c>
      <c r="B458" s="93" t="s">
        <v>1657</v>
      </c>
      <c r="C458" s="93" t="s">
        <v>1658</v>
      </c>
      <c r="D458" s="93" t="s">
        <v>1659</v>
      </c>
      <c r="E458" s="93" t="s">
        <v>1660</v>
      </c>
      <c r="F458" s="8" t="s">
        <v>1122</v>
      </c>
      <c r="G458" s="25" t="s">
        <v>415</v>
      </c>
      <c r="H458" s="55" t="s">
        <v>342</v>
      </c>
      <c r="I458" s="1" t="s">
        <v>79</v>
      </c>
      <c r="J458" s="324" t="s">
        <v>1529</v>
      </c>
      <c r="K458" s="324" t="s">
        <v>1217</v>
      </c>
      <c r="L458" s="324" t="s">
        <v>298</v>
      </c>
      <c r="M458" s="324"/>
      <c r="N458" s="324" t="s">
        <v>1121</v>
      </c>
      <c r="S458" s="330" t="s">
        <v>1115</v>
      </c>
      <c r="T458" s="10" t="s">
        <v>75</v>
      </c>
      <c r="V458" s="69" t="s">
        <v>1571</v>
      </c>
      <c r="W458" s="28" t="s">
        <v>2</v>
      </c>
      <c r="X458" s="17" t="s">
        <v>1465</v>
      </c>
      <c r="Y458" s="14" t="s">
        <v>5</v>
      </c>
      <c r="Z458" s="21" t="s">
        <v>3</v>
      </c>
      <c r="AA458" s="25" t="s">
        <v>117</v>
      </c>
      <c r="AB458" s="1" t="s">
        <v>79</v>
      </c>
      <c r="AC458" s="73" t="s">
        <v>1466</v>
      </c>
      <c r="AD458" s="74" t="s">
        <v>1223</v>
      </c>
      <c r="AE458" s="32" t="s">
        <v>1224</v>
      </c>
      <c r="AF458" s="46" t="s">
        <v>1649</v>
      </c>
    </row>
    <row r="459" spans="1:44" ht="16.5" customHeight="1">
      <c r="A459" s="132" t="s">
        <v>1810</v>
      </c>
      <c r="B459" s="82">
        <v>-26</v>
      </c>
      <c r="C459" s="82">
        <v>-18</v>
      </c>
      <c r="D459" s="82">
        <v>-1</v>
      </c>
      <c r="E459" s="82">
        <v>-40</v>
      </c>
      <c r="F459" s="58">
        <v>23.76</v>
      </c>
      <c r="G459" s="41" t="s">
        <v>1107</v>
      </c>
      <c r="H459" s="50" t="s">
        <v>1471</v>
      </c>
      <c r="I459" s="16" t="s">
        <v>93</v>
      </c>
      <c r="J459" s="330">
        <v>49.8</v>
      </c>
      <c r="K459" s="330">
        <v>2.81</v>
      </c>
      <c r="L459" s="330">
        <v>31.88</v>
      </c>
      <c r="N459" s="325">
        <f>S459+K459+J459+L459</f>
        <v>129.53</v>
      </c>
      <c r="S459" s="330">
        <v>45.04</v>
      </c>
      <c r="T459" s="34">
        <v>4.3</v>
      </c>
      <c r="V459" s="58">
        <f>T459/W459</f>
        <v>7.5438596491228069E-2</v>
      </c>
      <c r="W459" s="36">
        <v>57</v>
      </c>
      <c r="X459" s="45">
        <v>55.4</v>
      </c>
      <c r="Y459" s="15">
        <f>W459-X459</f>
        <v>1.6000000000000014</v>
      </c>
      <c r="Z459" s="64">
        <f>Y459/X459</f>
        <v>2.8880866425992805E-2</v>
      </c>
      <c r="AA459" s="116" t="s">
        <v>1739</v>
      </c>
      <c r="AB459" s="16" t="s">
        <v>93</v>
      </c>
      <c r="AD459" s="85">
        <v>43783</v>
      </c>
      <c r="AE459" s="33">
        <f>AD459-AC459</f>
        <v>43783</v>
      </c>
      <c r="AF459" s="49" t="s">
        <v>1931</v>
      </c>
      <c r="AG459" s="269"/>
    </row>
    <row r="460" spans="1:44">
      <c r="A460" s="132"/>
      <c r="B460" s="93"/>
      <c r="C460" s="93"/>
      <c r="D460" s="93"/>
      <c r="E460" s="93"/>
      <c r="F460" s="8"/>
      <c r="G460" s="25"/>
      <c r="H460" s="55"/>
      <c r="I460" s="1"/>
      <c r="J460" s="324"/>
      <c r="K460" s="324"/>
      <c r="L460" s="324"/>
      <c r="M460" s="324"/>
      <c r="N460" s="324"/>
      <c r="T460" s="10"/>
      <c r="V460" s="69"/>
      <c r="W460" s="28"/>
      <c r="X460" s="17"/>
      <c r="Y460" s="15"/>
      <c r="Z460" s="64"/>
      <c r="AA460" s="25"/>
      <c r="AB460" s="1"/>
      <c r="AC460" s="73"/>
      <c r="AD460" s="74"/>
      <c r="AE460" s="32"/>
      <c r="AF460" s="46"/>
    </row>
    <row r="461" spans="1:44">
      <c r="A461" s="132" t="s">
        <v>1854</v>
      </c>
      <c r="B461" s="93" t="s">
        <v>1657</v>
      </c>
      <c r="C461" s="93" t="s">
        <v>1658</v>
      </c>
      <c r="D461" s="93" t="s">
        <v>1659</v>
      </c>
      <c r="E461" s="93" t="s">
        <v>1660</v>
      </c>
      <c r="F461" s="8" t="s">
        <v>1122</v>
      </c>
      <c r="G461" s="25" t="s">
        <v>415</v>
      </c>
      <c r="H461" s="55" t="s">
        <v>342</v>
      </c>
      <c r="I461" s="1" t="s">
        <v>79</v>
      </c>
      <c r="J461" s="324" t="s">
        <v>1529</v>
      </c>
      <c r="K461" s="324" t="s">
        <v>1217</v>
      </c>
      <c r="L461" s="324" t="s">
        <v>298</v>
      </c>
      <c r="M461" s="324"/>
      <c r="N461" s="324" t="s">
        <v>1121</v>
      </c>
      <c r="S461" s="330" t="s">
        <v>1115</v>
      </c>
      <c r="T461" s="10" t="s">
        <v>75</v>
      </c>
      <c r="V461" s="69" t="s">
        <v>1571</v>
      </c>
      <c r="W461" s="28" t="s">
        <v>2</v>
      </c>
      <c r="X461" s="17" t="s">
        <v>1465</v>
      </c>
      <c r="Y461" s="14" t="s">
        <v>5</v>
      </c>
      <c r="Z461" s="21" t="s">
        <v>3</v>
      </c>
      <c r="AA461" s="25" t="s">
        <v>117</v>
      </c>
      <c r="AB461" s="1" t="s">
        <v>79</v>
      </c>
      <c r="AC461" s="73" t="s">
        <v>1466</v>
      </c>
      <c r="AD461" s="74" t="s">
        <v>1223</v>
      </c>
      <c r="AE461" s="32" t="s">
        <v>1224</v>
      </c>
    </row>
    <row r="462" spans="1:44">
      <c r="B462" s="81">
        <v>100</v>
      </c>
      <c r="C462" s="81">
        <v>67</v>
      </c>
      <c r="D462" s="81">
        <v>100</v>
      </c>
      <c r="E462" s="81">
        <v>67</v>
      </c>
      <c r="F462" s="58">
        <v>18.75</v>
      </c>
      <c r="G462" s="19" t="s">
        <v>103</v>
      </c>
      <c r="H462" s="30" t="s">
        <v>1531</v>
      </c>
      <c r="I462" s="22" t="s">
        <v>104</v>
      </c>
      <c r="J462" s="330">
        <v>80.25</v>
      </c>
      <c r="K462" s="75">
        <v>5.08</v>
      </c>
      <c r="L462" s="75">
        <v>0.35</v>
      </c>
      <c r="N462" s="325">
        <f>S462+K462+J462+L462</f>
        <v>119.25999999999999</v>
      </c>
      <c r="S462" s="330">
        <v>33.58</v>
      </c>
      <c r="T462" s="34">
        <v>1.3</v>
      </c>
      <c r="V462" s="58">
        <f>T462/W462</f>
        <v>4.0561622464898604E-2</v>
      </c>
      <c r="W462" s="13">
        <v>32.049999999999997</v>
      </c>
      <c r="X462" s="67">
        <v>31.6</v>
      </c>
      <c r="Y462" s="45">
        <f>W462-X462</f>
        <v>0.44999999999999574</v>
      </c>
      <c r="Z462" s="64">
        <f>Y462/X462</f>
        <v>1.4240506329113788E-2</v>
      </c>
      <c r="AA462" s="116" t="s">
        <v>1714</v>
      </c>
      <c r="AB462" s="22" t="s">
        <v>104</v>
      </c>
      <c r="AC462" s="86">
        <v>43689</v>
      </c>
      <c r="AE462" s="33">
        <f>AD462-AC462</f>
        <v>-43689</v>
      </c>
      <c r="AF462" s="41" t="s">
        <v>1188</v>
      </c>
    </row>
    <row r="463" spans="1:44">
      <c r="B463" s="81">
        <v>100</v>
      </c>
      <c r="C463" s="81">
        <v>67</v>
      </c>
      <c r="D463" s="81">
        <v>100</v>
      </c>
      <c r="E463" s="81">
        <v>67</v>
      </c>
      <c r="F463" s="58">
        <v>18.75</v>
      </c>
      <c r="G463" s="19" t="s">
        <v>103</v>
      </c>
      <c r="H463" s="50" t="s">
        <v>1471</v>
      </c>
      <c r="I463" s="22" t="s">
        <v>104</v>
      </c>
      <c r="J463" s="330">
        <v>80.25</v>
      </c>
      <c r="K463" s="75">
        <v>5.08</v>
      </c>
      <c r="L463" s="75">
        <v>0.35</v>
      </c>
      <c r="N463" s="325">
        <f>S463+K463+J463+L463</f>
        <v>119.25999999999999</v>
      </c>
      <c r="S463" s="330">
        <v>33.58</v>
      </c>
      <c r="T463" s="34">
        <v>1.3</v>
      </c>
      <c r="V463" s="58">
        <f>T463/W463</f>
        <v>4.0561622464898604E-2</v>
      </c>
      <c r="W463" s="13">
        <v>32.049999999999997</v>
      </c>
      <c r="X463" s="67">
        <v>31.6</v>
      </c>
      <c r="Y463" s="45">
        <f>W463-X463</f>
        <v>0.44999999999999574</v>
      </c>
      <c r="Z463" s="64">
        <f>Y463/X463</f>
        <v>1.4240506329113788E-2</v>
      </c>
      <c r="AA463" s="116" t="s">
        <v>1714</v>
      </c>
      <c r="AB463" s="22" t="s">
        <v>104</v>
      </c>
      <c r="AC463" s="86">
        <v>43689</v>
      </c>
      <c r="AE463" s="33">
        <f>AD463-AC463</f>
        <v>-43689</v>
      </c>
      <c r="AF463" s="121" t="s">
        <v>1688</v>
      </c>
    </row>
    <row r="464" spans="1:44">
      <c r="B464" s="81"/>
      <c r="C464" s="81"/>
      <c r="D464" s="81"/>
      <c r="E464" s="81"/>
      <c r="F464" s="58"/>
      <c r="H464" s="30"/>
      <c r="I464" s="22"/>
      <c r="J464" s="330"/>
      <c r="K464" s="75"/>
      <c r="N464" s="325"/>
      <c r="T464" s="34"/>
      <c r="V464" s="58"/>
      <c r="W464" s="13">
        <f>SUM(W462:W463)</f>
        <v>64.099999999999994</v>
      </c>
      <c r="X464" s="45">
        <f>SUM(X462:X463)</f>
        <v>63.2</v>
      </c>
      <c r="Y464" s="15">
        <f>W464-X464</f>
        <v>0.89999999999999147</v>
      </c>
      <c r="Z464" s="64">
        <f>Y464/X464</f>
        <v>1.4240506329113788E-2</v>
      </c>
      <c r="AA464" s="116"/>
      <c r="AB464" s="22"/>
      <c r="AE464" s="33"/>
      <c r="AF464" s="121"/>
    </row>
    <row r="465" spans="1:45">
      <c r="A465" s="132" t="s">
        <v>1854</v>
      </c>
      <c r="B465" s="93" t="s">
        <v>1657</v>
      </c>
      <c r="C465" s="93" t="s">
        <v>1658</v>
      </c>
      <c r="D465" s="93" t="s">
        <v>1659</v>
      </c>
      <c r="E465" s="93" t="s">
        <v>1660</v>
      </c>
      <c r="F465" s="8" t="s">
        <v>1122</v>
      </c>
      <c r="G465" s="25" t="s">
        <v>415</v>
      </c>
      <c r="H465" s="55" t="s">
        <v>342</v>
      </c>
      <c r="I465" s="1" t="s">
        <v>79</v>
      </c>
      <c r="J465" s="324" t="s">
        <v>1529</v>
      </c>
      <c r="K465" s="324" t="s">
        <v>1217</v>
      </c>
      <c r="L465" s="324" t="s">
        <v>298</v>
      </c>
      <c r="M465" s="324"/>
      <c r="N465" s="324" t="s">
        <v>1121</v>
      </c>
      <c r="S465" s="330" t="s">
        <v>1115</v>
      </c>
      <c r="T465" s="10" t="s">
        <v>75</v>
      </c>
      <c r="V465" s="69" t="s">
        <v>1571</v>
      </c>
      <c r="W465" s="28" t="s">
        <v>2</v>
      </c>
      <c r="X465" s="17" t="s">
        <v>1465</v>
      </c>
      <c r="Y465" s="14" t="s">
        <v>5</v>
      </c>
      <c r="Z465" s="21" t="s">
        <v>3</v>
      </c>
      <c r="AA465" s="25" t="s">
        <v>117</v>
      </c>
      <c r="AB465" s="1" t="s">
        <v>79</v>
      </c>
      <c r="AC465" s="73" t="s">
        <v>1466</v>
      </c>
      <c r="AD465" s="74" t="s">
        <v>1223</v>
      </c>
      <c r="AE465" s="32" t="s">
        <v>1224</v>
      </c>
    </row>
    <row r="466" spans="1:45">
      <c r="B466" s="82">
        <v>-211</v>
      </c>
      <c r="C466" s="96">
        <v>-5489</v>
      </c>
      <c r="D466" s="82">
        <v>-211</v>
      </c>
      <c r="E466" s="96">
        <v>-5489</v>
      </c>
      <c r="F466" s="6">
        <v>-13.71</v>
      </c>
      <c r="G466" s="41" t="s">
        <v>374</v>
      </c>
      <c r="H466" s="8" t="s">
        <v>1470</v>
      </c>
      <c r="I466" s="22" t="s">
        <v>375</v>
      </c>
      <c r="J466" s="330">
        <v>37.869999999999997</v>
      </c>
      <c r="K466" s="330">
        <v>19.09</v>
      </c>
      <c r="L466" s="330">
        <v>22.04</v>
      </c>
      <c r="N466" s="325">
        <f>S466+K466+J466+L466</f>
        <v>84.52</v>
      </c>
      <c r="S466" s="330">
        <v>5.52</v>
      </c>
      <c r="T466" s="34">
        <v>0.5</v>
      </c>
      <c r="V466" s="97">
        <f>T466/W466</f>
        <v>2.0833333333333332E-2</v>
      </c>
      <c r="W466" s="36">
        <v>24</v>
      </c>
      <c r="X466" s="45">
        <f>26.73-0.52</f>
        <v>26.21</v>
      </c>
      <c r="Y466" s="15">
        <f>W466-X466</f>
        <v>-2.2100000000000009</v>
      </c>
      <c r="Z466" s="78">
        <f>Y466/X466</f>
        <v>-8.4318962228157227E-2</v>
      </c>
      <c r="AA466" s="117" t="s">
        <v>1876</v>
      </c>
      <c r="AB466" s="22" t="s">
        <v>375</v>
      </c>
      <c r="AC466" s="86">
        <v>43353</v>
      </c>
      <c r="AE466" s="33">
        <f>AD466-AC466</f>
        <v>-43353</v>
      </c>
      <c r="AF466" s="121" t="s">
        <v>1188</v>
      </c>
      <c r="AI466" s="11"/>
      <c r="AJ466" s="11"/>
      <c r="AK466" s="11"/>
      <c r="AL466" s="11"/>
      <c r="AO466" s="7"/>
      <c r="AP466" s="4"/>
    </row>
    <row r="467" spans="1:45">
      <c r="B467" s="82">
        <v>-211</v>
      </c>
      <c r="C467" s="96">
        <v>-5489</v>
      </c>
      <c r="D467" s="82">
        <v>-211</v>
      </c>
      <c r="E467" s="96">
        <v>-5489</v>
      </c>
      <c r="F467" s="6">
        <v>-13.71</v>
      </c>
      <c r="G467" s="41" t="s">
        <v>374</v>
      </c>
      <c r="H467" s="50" t="s">
        <v>1471</v>
      </c>
      <c r="I467" s="22" t="s">
        <v>375</v>
      </c>
      <c r="J467" s="330">
        <v>37.869999999999997</v>
      </c>
      <c r="K467" s="330">
        <v>19.09</v>
      </c>
      <c r="L467" s="330">
        <v>22.04</v>
      </c>
      <c r="N467" s="325">
        <f>S467+K467+J467+L467</f>
        <v>84.52</v>
      </c>
      <c r="S467" s="330">
        <v>5.52</v>
      </c>
      <c r="T467" s="34">
        <v>0.5</v>
      </c>
      <c r="V467" s="97">
        <f>T467/W467</f>
        <v>2.0833333333333332E-2</v>
      </c>
      <c r="W467" s="36">
        <v>24</v>
      </c>
      <c r="X467" s="45">
        <f>26.73-0.52-1.7</f>
        <v>24.51</v>
      </c>
      <c r="Y467" s="15">
        <f>W467-X467</f>
        <v>-0.51000000000000156</v>
      </c>
      <c r="Z467" s="78">
        <f>Y467/X467</f>
        <v>-2.0807833537331764E-2</v>
      </c>
      <c r="AA467" s="117" t="s">
        <v>1877</v>
      </c>
      <c r="AB467" s="22" t="s">
        <v>375</v>
      </c>
      <c r="AC467" s="86">
        <v>43353</v>
      </c>
      <c r="AE467" s="33">
        <f>AD467-AC467</f>
        <v>-43353</v>
      </c>
      <c r="AF467" s="121" t="s">
        <v>1632</v>
      </c>
      <c r="AI467" s="11"/>
      <c r="AJ467" s="11"/>
      <c r="AK467" s="11"/>
      <c r="AL467" s="11"/>
      <c r="AO467" s="7"/>
      <c r="AP467" s="4"/>
    </row>
    <row r="468" spans="1:45">
      <c r="B468" s="82">
        <v>-211</v>
      </c>
      <c r="C468" s="96">
        <v>-5489</v>
      </c>
      <c r="D468" s="82">
        <v>-211</v>
      </c>
      <c r="E468" s="96">
        <v>-5489</v>
      </c>
      <c r="F468" s="6">
        <v>-13.71</v>
      </c>
      <c r="G468" s="41" t="s">
        <v>374</v>
      </c>
      <c r="H468" s="50" t="s">
        <v>1471</v>
      </c>
      <c r="I468" s="22" t="s">
        <v>375</v>
      </c>
      <c r="J468" s="330">
        <v>37.869999999999997</v>
      </c>
      <c r="K468" s="330">
        <v>19.09</v>
      </c>
      <c r="L468" s="330">
        <v>22.04</v>
      </c>
      <c r="N468" s="325">
        <f>S468+K468+J468+L468</f>
        <v>84.52</v>
      </c>
      <c r="S468" s="330">
        <v>5.52</v>
      </c>
      <c r="T468" s="34">
        <v>0.5</v>
      </c>
      <c r="V468" s="97">
        <f>T468/W468</f>
        <v>2.0833333333333332E-2</v>
      </c>
      <c r="W468" s="36">
        <v>24</v>
      </c>
      <c r="X468" s="45">
        <v>22.05</v>
      </c>
      <c r="Y468" s="15">
        <f>W468-X468</f>
        <v>1.9499999999999993</v>
      </c>
      <c r="Z468" s="64">
        <f>Y468/X468</f>
        <v>8.8435374149659823E-2</v>
      </c>
      <c r="AA468" s="116" t="s">
        <v>1878</v>
      </c>
      <c r="AB468" s="22" t="s">
        <v>375</v>
      </c>
      <c r="AC468" s="86">
        <v>43731</v>
      </c>
      <c r="AE468" s="33">
        <f>AD468-AC468</f>
        <v>-43731</v>
      </c>
      <c r="AF468" s="121"/>
      <c r="AI468" s="11"/>
      <c r="AJ468" s="11"/>
      <c r="AK468" s="11"/>
      <c r="AL468" s="11"/>
      <c r="AO468" s="7"/>
      <c r="AP468" s="4"/>
    </row>
    <row r="469" spans="1:45">
      <c r="B469" s="82">
        <v>-211</v>
      </c>
      <c r="C469" s="96">
        <v>-5489</v>
      </c>
      <c r="D469" s="82">
        <v>-211</v>
      </c>
      <c r="E469" s="96">
        <v>-5489</v>
      </c>
      <c r="F469" s="6">
        <v>-13.71</v>
      </c>
      <c r="G469" s="41" t="s">
        <v>374</v>
      </c>
      <c r="H469" s="50" t="s">
        <v>1471</v>
      </c>
      <c r="I469" s="22" t="s">
        <v>375</v>
      </c>
      <c r="J469" s="330">
        <v>37.869999999999997</v>
      </c>
      <c r="K469" s="330">
        <v>19.09</v>
      </c>
      <c r="L469" s="330">
        <v>22.04</v>
      </c>
      <c r="N469" s="325">
        <f>S469+K469+J469+L469</f>
        <v>84.52</v>
      </c>
      <c r="S469" s="330">
        <v>5.52</v>
      </c>
      <c r="T469" s="34">
        <v>0.5</v>
      </c>
      <c r="V469" s="97">
        <f>T469/W469</f>
        <v>2.0833333333333332E-2</v>
      </c>
      <c r="W469" s="36">
        <v>24</v>
      </c>
      <c r="X469" s="45">
        <v>21.9</v>
      </c>
      <c r="Y469" s="15">
        <f>W469-X469</f>
        <v>2.1000000000000014</v>
      </c>
      <c r="Z469" s="64">
        <f>Y469/X469</f>
        <v>9.5890410958904188E-2</v>
      </c>
      <c r="AA469" s="116" t="s">
        <v>1651</v>
      </c>
      <c r="AB469" s="22" t="s">
        <v>375</v>
      </c>
      <c r="AC469" s="86">
        <v>43732</v>
      </c>
      <c r="AE469" s="33">
        <f>AD469-AC469</f>
        <v>-43732</v>
      </c>
      <c r="AF469" s="121"/>
      <c r="AI469" s="11"/>
      <c r="AJ469" s="11"/>
      <c r="AK469" s="11"/>
      <c r="AL469" s="11"/>
      <c r="AO469" s="7"/>
      <c r="AP469" s="4"/>
    </row>
    <row r="470" spans="1:45">
      <c r="A470" s="19"/>
      <c r="B470" s="82"/>
      <c r="C470" s="82"/>
      <c r="D470" s="82"/>
      <c r="E470" s="82"/>
      <c r="F470" s="6"/>
      <c r="H470" s="8"/>
      <c r="I470" s="22"/>
      <c r="J470" s="330"/>
      <c r="K470" s="330"/>
      <c r="L470" s="330"/>
      <c r="N470" s="325"/>
      <c r="T470" s="34"/>
      <c r="V470" s="97"/>
      <c r="W470" s="13">
        <f>SUM(W466:W469)</f>
        <v>96</v>
      </c>
      <c r="X470" s="45">
        <f>SUM(X466:X469)</f>
        <v>94.669999999999987</v>
      </c>
      <c r="Y470" s="15">
        <f>W470-X470</f>
        <v>1.3300000000000125</v>
      </c>
      <c r="Z470" s="64">
        <f>Y470/X470</f>
        <v>1.4048801098553002E-2</v>
      </c>
      <c r="AA470" s="118"/>
      <c r="AB470" s="22"/>
      <c r="AE470" s="33"/>
      <c r="AF470" s="41"/>
    </row>
    <row r="471" spans="1:45">
      <c r="A471" s="132" t="s">
        <v>1854</v>
      </c>
      <c r="B471" s="93" t="s">
        <v>1657</v>
      </c>
      <c r="C471" s="93" t="s">
        <v>1658</v>
      </c>
      <c r="D471" s="93" t="s">
        <v>1659</v>
      </c>
      <c r="E471" s="93" t="s">
        <v>1660</v>
      </c>
      <c r="F471" s="8" t="s">
        <v>1122</v>
      </c>
      <c r="G471" s="25" t="s">
        <v>415</v>
      </c>
      <c r="H471" s="55" t="s">
        <v>342</v>
      </c>
      <c r="I471" s="1" t="s">
        <v>79</v>
      </c>
      <c r="J471" s="324" t="s">
        <v>1529</v>
      </c>
      <c r="K471" s="324" t="s">
        <v>1217</v>
      </c>
      <c r="L471" s="324" t="s">
        <v>298</v>
      </c>
      <c r="M471" s="324"/>
      <c r="N471" s="324" t="s">
        <v>1121</v>
      </c>
      <c r="S471" s="330" t="s">
        <v>1115</v>
      </c>
      <c r="T471" s="10" t="s">
        <v>75</v>
      </c>
      <c r="V471" s="69" t="s">
        <v>1571</v>
      </c>
      <c r="W471" s="28" t="s">
        <v>2</v>
      </c>
      <c r="X471" s="17" t="s">
        <v>1465</v>
      </c>
      <c r="Y471" s="14" t="s">
        <v>5</v>
      </c>
      <c r="Z471" s="21" t="s">
        <v>3</v>
      </c>
      <c r="AA471" s="25" t="s">
        <v>117</v>
      </c>
      <c r="AB471" s="1" t="s">
        <v>79</v>
      </c>
      <c r="AC471" s="73" t="s">
        <v>1466</v>
      </c>
      <c r="AD471" s="74" t="s">
        <v>1223</v>
      </c>
      <c r="AE471" s="32" t="s">
        <v>1224</v>
      </c>
      <c r="AF471" s="46" t="s">
        <v>1730</v>
      </c>
    </row>
    <row r="472" spans="1:45">
      <c r="A472" s="121"/>
      <c r="B472" s="81">
        <v>2</v>
      </c>
      <c r="C472" s="82">
        <v>-30</v>
      </c>
      <c r="D472" s="81">
        <v>2</v>
      </c>
      <c r="E472" s="82">
        <v>-30</v>
      </c>
      <c r="F472" s="58">
        <v>10.220000000000001</v>
      </c>
      <c r="G472" s="41" t="s">
        <v>80</v>
      </c>
      <c r="H472" s="50"/>
      <c r="I472" s="22" t="s">
        <v>0</v>
      </c>
      <c r="J472" s="75">
        <v>81.91</v>
      </c>
      <c r="K472" s="330">
        <v>8.74</v>
      </c>
      <c r="L472" s="330">
        <v>2.2599999999999998</v>
      </c>
      <c r="N472" s="325">
        <f>S472+K472+J472+L472</f>
        <v>114.2</v>
      </c>
      <c r="S472" s="330">
        <v>21.29</v>
      </c>
      <c r="T472" s="34">
        <v>0.4</v>
      </c>
      <c r="V472" s="97">
        <f>T472/W472</f>
        <v>8.3682008368200847E-3</v>
      </c>
      <c r="W472" s="36">
        <v>47.8</v>
      </c>
      <c r="X472" s="67">
        <v>43.78</v>
      </c>
      <c r="Y472" s="15">
        <f>W472-X472</f>
        <v>4.019999999999996</v>
      </c>
      <c r="Z472" s="64">
        <f>Y472/X472</f>
        <v>9.1822750114207305E-2</v>
      </c>
      <c r="AA472" s="116"/>
      <c r="AB472" s="22" t="s">
        <v>0</v>
      </c>
      <c r="AD472" s="85">
        <v>43769</v>
      </c>
      <c r="AE472" s="33">
        <f>AD472-AC472</f>
        <v>43769</v>
      </c>
      <c r="AF472" s="121"/>
      <c r="AG472" s="269"/>
    </row>
    <row r="473" spans="1:45">
      <c r="B473" s="82">
        <v>-8</v>
      </c>
      <c r="C473" s="81">
        <v>15</v>
      </c>
      <c r="D473" s="81">
        <v>2</v>
      </c>
      <c r="E473" s="82">
        <v>-31</v>
      </c>
      <c r="F473" s="58">
        <v>23.94</v>
      </c>
      <c r="G473" s="41" t="s">
        <v>179</v>
      </c>
      <c r="H473" s="50"/>
      <c r="I473" s="16" t="s">
        <v>178</v>
      </c>
      <c r="J473" s="330">
        <v>26.05</v>
      </c>
      <c r="K473" s="75">
        <v>10.89</v>
      </c>
      <c r="L473" s="75">
        <v>39.659999999999997</v>
      </c>
      <c r="N473" s="325">
        <f>S473+K473+J473+L473</f>
        <v>81.55</v>
      </c>
      <c r="S473" s="330">
        <v>4.95</v>
      </c>
      <c r="T473" s="34">
        <v>2.5</v>
      </c>
      <c r="V473" s="97">
        <f>T473/W473</f>
        <v>1.7857142857142856E-2</v>
      </c>
      <c r="W473" s="36">
        <v>140</v>
      </c>
      <c r="X473" s="45">
        <v>136.1</v>
      </c>
      <c r="Y473" s="15">
        <f>W473-X473</f>
        <v>3.9000000000000057</v>
      </c>
      <c r="Z473" s="64">
        <f>Y473/X473</f>
        <v>2.8655400440852359E-2</v>
      </c>
      <c r="AA473" s="104" t="s">
        <v>1751</v>
      </c>
      <c r="AB473" s="16" t="s">
        <v>178</v>
      </c>
      <c r="AD473" s="85">
        <v>43769</v>
      </c>
      <c r="AE473" s="33">
        <f>AD473-AC473</f>
        <v>43769</v>
      </c>
      <c r="AF473" s="121"/>
      <c r="AS473" s="11"/>
    </row>
    <row r="474" spans="1:45">
      <c r="A474" s="41"/>
      <c r="B474" s="81"/>
      <c r="C474" s="82"/>
      <c r="D474" s="81"/>
      <c r="E474" s="82"/>
      <c r="F474" s="6"/>
      <c r="H474" s="50"/>
      <c r="I474" s="22"/>
      <c r="J474" s="333"/>
      <c r="K474" s="330"/>
      <c r="N474" s="325"/>
      <c r="T474" s="200"/>
      <c r="V474" s="97"/>
      <c r="W474" s="13">
        <f>SUM(W472:W473)</f>
        <v>187.8</v>
      </c>
      <c r="X474" s="45">
        <f>SUM(X472:X473)</f>
        <v>179.88</v>
      </c>
      <c r="Y474" s="15">
        <f>W474-X474</f>
        <v>7.9200000000000159</v>
      </c>
      <c r="Z474" s="64">
        <f>Y474/X474</f>
        <v>4.4029352901934715E-2</v>
      </c>
      <c r="AA474" s="117"/>
      <c r="AB474" s="22"/>
      <c r="AE474" s="33"/>
      <c r="AF474" s="121"/>
    </row>
    <row r="475" spans="1:45">
      <c r="A475" s="132" t="s">
        <v>1854</v>
      </c>
      <c r="B475" s="93" t="s">
        <v>1657</v>
      </c>
      <c r="C475" s="93" t="s">
        <v>1658</v>
      </c>
      <c r="D475" s="93" t="s">
        <v>1659</v>
      </c>
      <c r="E475" s="93" t="s">
        <v>1660</v>
      </c>
      <c r="F475" s="8" t="s">
        <v>1122</v>
      </c>
      <c r="G475" s="25" t="s">
        <v>415</v>
      </c>
      <c r="H475" s="55" t="s">
        <v>342</v>
      </c>
      <c r="I475" s="1" t="s">
        <v>79</v>
      </c>
      <c r="J475" s="324" t="s">
        <v>1529</v>
      </c>
      <c r="K475" s="324" t="s">
        <v>1217</v>
      </c>
      <c r="L475" s="324" t="s">
        <v>298</v>
      </c>
      <c r="M475" s="324"/>
      <c r="N475" s="324" t="s">
        <v>1121</v>
      </c>
      <c r="S475" s="330" t="s">
        <v>1115</v>
      </c>
      <c r="T475" s="10" t="s">
        <v>75</v>
      </c>
      <c r="V475" s="69" t="s">
        <v>1571</v>
      </c>
      <c r="W475" s="28" t="s">
        <v>2</v>
      </c>
      <c r="X475" s="17" t="s">
        <v>1465</v>
      </c>
      <c r="Y475" s="14" t="s">
        <v>5</v>
      </c>
      <c r="Z475" s="21" t="s">
        <v>3</v>
      </c>
      <c r="AA475" s="25" t="s">
        <v>117</v>
      </c>
      <c r="AB475" s="1" t="s">
        <v>79</v>
      </c>
      <c r="AC475" s="73" t="s">
        <v>1466</v>
      </c>
      <c r="AD475" s="74" t="s">
        <v>1223</v>
      </c>
      <c r="AE475" s="32" t="s">
        <v>1224</v>
      </c>
    </row>
    <row r="476" spans="1:45">
      <c r="B476" s="82">
        <v>-8</v>
      </c>
      <c r="C476" s="81">
        <v>15</v>
      </c>
      <c r="D476" s="81">
        <v>2</v>
      </c>
      <c r="E476" s="82">
        <v>-31</v>
      </c>
      <c r="F476" s="58">
        <v>23.94</v>
      </c>
      <c r="G476" s="41" t="s">
        <v>179</v>
      </c>
      <c r="H476" s="50" t="s">
        <v>1471</v>
      </c>
      <c r="I476" s="16" t="s">
        <v>178</v>
      </c>
      <c r="J476" s="330">
        <v>26.05</v>
      </c>
      <c r="K476" s="75">
        <v>10.89</v>
      </c>
      <c r="L476" s="75">
        <v>39.659999999999997</v>
      </c>
      <c r="N476" s="325">
        <f>S476+K476+J476+L476</f>
        <v>81.55</v>
      </c>
      <c r="S476" s="330">
        <v>4.95</v>
      </c>
      <c r="T476" s="34">
        <v>2.5</v>
      </c>
      <c r="V476" s="97">
        <f>T476/W476</f>
        <v>7.1428571428571425E-2</v>
      </c>
      <c r="W476" s="36">
        <v>35</v>
      </c>
      <c r="X476" s="45">
        <v>34.25</v>
      </c>
      <c r="Y476" s="15">
        <f>W476-X476</f>
        <v>0.75</v>
      </c>
      <c r="Z476" s="64">
        <f>Y476/X476</f>
        <v>2.1897810218978103E-2</v>
      </c>
      <c r="AA476" s="104" t="s">
        <v>1751</v>
      </c>
      <c r="AB476" s="16" t="s">
        <v>178</v>
      </c>
      <c r="AC476" s="86">
        <v>43733</v>
      </c>
      <c r="AE476" s="33">
        <f>AD476-AC476</f>
        <v>-43733</v>
      </c>
      <c r="AF476" s="121" t="s">
        <v>1716</v>
      </c>
      <c r="AS476" s="11"/>
    </row>
    <row r="477" spans="1:45">
      <c r="B477" s="82">
        <v>-8</v>
      </c>
      <c r="C477" s="81">
        <v>15</v>
      </c>
      <c r="D477" s="81">
        <v>2</v>
      </c>
      <c r="E477" s="82">
        <v>-31</v>
      </c>
      <c r="F477" s="58">
        <v>23.94</v>
      </c>
      <c r="G477" s="41" t="s">
        <v>179</v>
      </c>
      <c r="H477" s="50" t="s">
        <v>1471</v>
      </c>
      <c r="I477" s="16" t="s">
        <v>178</v>
      </c>
      <c r="J477" s="330">
        <v>26.05</v>
      </c>
      <c r="K477" s="75">
        <v>10.89</v>
      </c>
      <c r="L477" s="75">
        <v>39.659999999999997</v>
      </c>
      <c r="N477" s="325">
        <f>S477+K477+J477+L477</f>
        <v>81.55</v>
      </c>
      <c r="S477" s="330">
        <v>4.95</v>
      </c>
      <c r="T477" s="34">
        <v>2.5</v>
      </c>
      <c r="V477" s="97">
        <f>T477/W477</f>
        <v>7.1428571428571425E-2</v>
      </c>
      <c r="W477" s="36">
        <v>35</v>
      </c>
      <c r="X477" s="45">
        <v>34.200000000000003</v>
      </c>
      <c r="Y477" s="15">
        <f>W477-X477</f>
        <v>0.79999999999999716</v>
      </c>
      <c r="Z477" s="64">
        <f>Y477/X477</f>
        <v>2.3391812865496991E-2</v>
      </c>
      <c r="AA477" s="104" t="s">
        <v>1650</v>
      </c>
      <c r="AB477" s="16" t="s">
        <v>178</v>
      </c>
      <c r="AC477" s="86">
        <v>43733</v>
      </c>
      <c r="AE477" s="33">
        <f>AD477-AC477</f>
        <v>-43733</v>
      </c>
      <c r="AF477" s="121"/>
      <c r="AS477" s="11"/>
    </row>
    <row r="478" spans="1:45">
      <c r="B478" s="82">
        <v>-8</v>
      </c>
      <c r="C478" s="81">
        <v>15</v>
      </c>
      <c r="D478" s="81">
        <v>2</v>
      </c>
      <c r="E478" s="82">
        <v>-31</v>
      </c>
      <c r="F478" s="58">
        <v>23.94</v>
      </c>
      <c r="G478" s="41" t="s">
        <v>179</v>
      </c>
      <c r="H478" s="50" t="s">
        <v>1471</v>
      </c>
      <c r="I478" s="16" t="s">
        <v>178</v>
      </c>
      <c r="J478" s="330">
        <v>26.05</v>
      </c>
      <c r="K478" s="75">
        <v>10.89</v>
      </c>
      <c r="L478" s="75">
        <v>39.659999999999997</v>
      </c>
      <c r="N478" s="325">
        <f>S478+K478+J478+L478</f>
        <v>81.55</v>
      </c>
      <c r="S478" s="330">
        <v>4.95</v>
      </c>
      <c r="T478" s="34">
        <v>2.5</v>
      </c>
      <c r="V478" s="97">
        <f>T478/W478</f>
        <v>7.1428571428571425E-2</v>
      </c>
      <c r="W478" s="36">
        <v>35</v>
      </c>
      <c r="X478" s="45">
        <v>33.9</v>
      </c>
      <c r="Y478" s="15">
        <f>W478-X478</f>
        <v>1.1000000000000014</v>
      </c>
      <c r="Z478" s="64">
        <f>Y478/X478</f>
        <v>3.2448377581120985E-2</v>
      </c>
      <c r="AA478" s="104" t="s">
        <v>1682</v>
      </c>
      <c r="AB478" s="16" t="s">
        <v>178</v>
      </c>
      <c r="AC478" s="86">
        <v>43733</v>
      </c>
      <c r="AE478" s="33">
        <f>AD478-AC478</f>
        <v>-43733</v>
      </c>
      <c r="AF478" s="121"/>
      <c r="AS478" s="11"/>
    </row>
    <row r="479" spans="1:45">
      <c r="B479" s="82">
        <v>-8</v>
      </c>
      <c r="C479" s="81">
        <v>15</v>
      </c>
      <c r="D479" s="81">
        <v>2</v>
      </c>
      <c r="E479" s="82">
        <v>-31</v>
      </c>
      <c r="F479" s="58">
        <v>23.94</v>
      </c>
      <c r="G479" s="41" t="s">
        <v>179</v>
      </c>
      <c r="H479" s="50" t="s">
        <v>1471</v>
      </c>
      <c r="I479" s="16" t="s">
        <v>178</v>
      </c>
      <c r="J479" s="330">
        <v>26.05</v>
      </c>
      <c r="K479" s="75">
        <v>10.89</v>
      </c>
      <c r="L479" s="75">
        <v>39.659999999999997</v>
      </c>
      <c r="N479" s="325">
        <f>S479+K479+J479+L479</f>
        <v>81.55</v>
      </c>
      <c r="S479" s="330">
        <v>4.95</v>
      </c>
      <c r="T479" s="34">
        <v>2.5</v>
      </c>
      <c r="V479" s="97">
        <f>T479/W479</f>
        <v>7.1428571428571425E-2</v>
      </c>
      <c r="W479" s="36">
        <v>35</v>
      </c>
      <c r="X479" s="45">
        <v>33.75</v>
      </c>
      <c r="Y479" s="15">
        <f>W479-X479</f>
        <v>1.25</v>
      </c>
      <c r="Z479" s="64">
        <f>Y479/X479</f>
        <v>3.7037037037037035E-2</v>
      </c>
      <c r="AA479" s="104" t="s">
        <v>1750</v>
      </c>
      <c r="AB479" s="16" t="s">
        <v>178</v>
      </c>
      <c r="AC479" s="86">
        <v>43731</v>
      </c>
      <c r="AE479" s="33">
        <f>AD479-AC479</f>
        <v>-43731</v>
      </c>
      <c r="AF479" s="121"/>
      <c r="AS479" s="11"/>
    </row>
    <row r="480" spans="1:45">
      <c r="B480" s="82"/>
      <c r="C480" s="81"/>
      <c r="D480" s="81"/>
      <c r="E480" s="82"/>
      <c r="F480" s="58"/>
      <c r="G480" s="41"/>
      <c r="H480" s="50"/>
      <c r="I480" s="16"/>
      <c r="J480" s="330"/>
      <c r="K480" s="75"/>
      <c r="N480" s="325"/>
      <c r="T480" s="34"/>
      <c r="V480" s="97"/>
      <c r="W480" s="13">
        <f>SUM(W476:W479)</f>
        <v>140</v>
      </c>
      <c r="X480" s="45">
        <f>SUM(X476:X479)</f>
        <v>136.1</v>
      </c>
      <c r="Y480" s="15">
        <f>W480-X480</f>
        <v>3.9000000000000057</v>
      </c>
      <c r="Z480" s="64">
        <f>Y480/X480</f>
        <v>2.8655400440852359E-2</v>
      </c>
      <c r="AA480" s="104"/>
      <c r="AB480" s="16"/>
      <c r="AE480" s="33"/>
      <c r="AF480" s="121"/>
      <c r="AS480" s="11"/>
    </row>
    <row r="481" spans="1:44">
      <c r="A481" s="132" t="s">
        <v>1854</v>
      </c>
      <c r="B481" s="93" t="s">
        <v>1657</v>
      </c>
      <c r="C481" s="93" t="s">
        <v>1658</v>
      </c>
      <c r="D481" s="93" t="s">
        <v>1659</v>
      </c>
      <c r="E481" s="93" t="s">
        <v>1660</v>
      </c>
      <c r="F481" s="8" t="s">
        <v>1122</v>
      </c>
      <c r="G481" s="25" t="s">
        <v>415</v>
      </c>
      <c r="H481" s="55" t="s">
        <v>342</v>
      </c>
      <c r="I481" s="1" t="s">
        <v>79</v>
      </c>
      <c r="J481" s="324" t="s">
        <v>1529</v>
      </c>
      <c r="K481" s="324" t="s">
        <v>1217</v>
      </c>
      <c r="L481" s="324" t="s">
        <v>298</v>
      </c>
      <c r="M481" s="324"/>
      <c r="N481" s="324" t="s">
        <v>1121</v>
      </c>
      <c r="S481" s="330" t="s">
        <v>1115</v>
      </c>
      <c r="T481" s="10" t="s">
        <v>75</v>
      </c>
      <c r="V481" s="69" t="s">
        <v>1571</v>
      </c>
      <c r="W481" s="28" t="s">
        <v>2</v>
      </c>
      <c r="X481" s="17" t="s">
        <v>1465</v>
      </c>
      <c r="Y481" s="14" t="s">
        <v>5</v>
      </c>
      <c r="Z481" s="21" t="s">
        <v>3</v>
      </c>
      <c r="AA481" s="25" t="s">
        <v>117</v>
      </c>
      <c r="AB481" s="1" t="s">
        <v>79</v>
      </c>
      <c r="AC481" s="73" t="s">
        <v>1466</v>
      </c>
      <c r="AD481" s="74" t="s">
        <v>1223</v>
      </c>
      <c r="AE481" s="32" t="s">
        <v>1224</v>
      </c>
    </row>
    <row r="482" spans="1:44" s="7" customFormat="1" ht="17.100000000000001" customHeight="1">
      <c r="A482" s="57"/>
      <c r="B482" s="82">
        <v>-5</v>
      </c>
      <c r="C482" s="82">
        <v>-17</v>
      </c>
      <c r="D482" s="82">
        <v>-5</v>
      </c>
      <c r="E482" s="82">
        <v>-17</v>
      </c>
      <c r="F482" s="58">
        <v>14.01</v>
      </c>
      <c r="G482" s="41" t="s">
        <v>80</v>
      </c>
      <c r="H482" s="8" t="s">
        <v>1470</v>
      </c>
      <c r="I482" s="22" t="s">
        <v>0</v>
      </c>
      <c r="J482" s="330">
        <v>81.69</v>
      </c>
      <c r="K482" s="330">
        <v>8.7899999999999991</v>
      </c>
      <c r="L482" s="75">
        <v>2.41</v>
      </c>
      <c r="M482" s="325"/>
      <c r="N482" s="325">
        <f>S482+K482+J482+L482</f>
        <v>114.17999999999999</v>
      </c>
      <c r="O482" s="329"/>
      <c r="P482" s="390"/>
      <c r="Q482" s="362"/>
      <c r="R482" s="308"/>
      <c r="S482" s="330">
        <v>21.29</v>
      </c>
      <c r="T482" s="34">
        <v>0.4</v>
      </c>
      <c r="U482" s="367"/>
      <c r="V482" s="97">
        <f>T482/W482</f>
        <v>1.6736401673640169E-2</v>
      </c>
      <c r="W482" s="13">
        <v>23.9</v>
      </c>
      <c r="X482" s="67">
        <f>23.88-0.7-0.4-0.4</f>
        <v>22.380000000000003</v>
      </c>
      <c r="Y482" s="15">
        <f>W482-X482</f>
        <v>1.519999999999996</v>
      </c>
      <c r="Z482" s="64">
        <f>Y482/X482</f>
        <v>6.7917783735477924E-2</v>
      </c>
      <c r="AA482" s="133" t="s">
        <v>1738</v>
      </c>
      <c r="AB482" s="22" t="s">
        <v>0</v>
      </c>
      <c r="AC482" s="86">
        <v>42800</v>
      </c>
      <c r="AD482" s="85"/>
      <c r="AE482" s="33">
        <f>AD482-AC482</f>
        <v>-42800</v>
      </c>
      <c r="AF482" s="41" t="s">
        <v>1188</v>
      </c>
      <c r="AG482" s="51"/>
      <c r="AH482" s="18"/>
      <c r="AI482" s="269"/>
      <c r="AJ482" s="269"/>
      <c r="AK482" s="269"/>
      <c r="AL482" s="269"/>
      <c r="AM482" s="269"/>
      <c r="AN482" s="269"/>
      <c r="AO482" s="269"/>
      <c r="AP482" s="269"/>
      <c r="AQ482" s="269"/>
      <c r="AR482" s="269"/>
    </row>
    <row r="483" spans="1:44">
      <c r="A483" s="121"/>
      <c r="B483" s="81">
        <v>2</v>
      </c>
      <c r="C483" s="82">
        <v>-30</v>
      </c>
      <c r="D483" s="81">
        <v>2</v>
      </c>
      <c r="E483" s="82">
        <v>-30</v>
      </c>
      <c r="F483" s="58">
        <v>10.220000000000001</v>
      </c>
      <c r="G483" s="41" t="s">
        <v>80</v>
      </c>
      <c r="H483" s="50" t="s">
        <v>1471</v>
      </c>
      <c r="I483" s="22" t="s">
        <v>0</v>
      </c>
      <c r="J483" s="75">
        <v>81.91</v>
      </c>
      <c r="K483" s="330">
        <v>8.74</v>
      </c>
      <c r="L483" s="330">
        <v>2.2599999999999998</v>
      </c>
      <c r="N483" s="325">
        <f>S483+K483+J483+L483</f>
        <v>114.2</v>
      </c>
      <c r="S483" s="330">
        <v>21.29</v>
      </c>
      <c r="T483" s="34">
        <v>0.4</v>
      </c>
      <c r="V483" s="97">
        <f>T483/W483</f>
        <v>1.6736401673640169E-2</v>
      </c>
      <c r="W483" s="36">
        <v>23.9</v>
      </c>
      <c r="X483" s="67">
        <v>21.4</v>
      </c>
      <c r="Y483" s="15">
        <f>W483-X483</f>
        <v>2.5</v>
      </c>
      <c r="Z483" s="64">
        <f>Y483/X483</f>
        <v>0.11682242990654207</v>
      </c>
      <c r="AA483" s="116" t="s">
        <v>1749</v>
      </c>
      <c r="AB483" s="22" t="s">
        <v>0</v>
      </c>
      <c r="AC483" s="86">
        <v>43705</v>
      </c>
      <c r="AE483" s="33">
        <f>AD483-AC483</f>
        <v>-43705</v>
      </c>
      <c r="AF483" s="121" t="s">
        <v>1188</v>
      </c>
      <c r="AG483" s="269"/>
    </row>
    <row r="484" spans="1:44" s="7" customFormat="1" ht="17.100000000000001" customHeight="1">
      <c r="A484" s="57"/>
      <c r="B484" s="82"/>
      <c r="C484" s="82"/>
      <c r="D484" s="82"/>
      <c r="E484" s="82"/>
      <c r="F484" s="58"/>
      <c r="G484" s="41"/>
      <c r="H484" s="8"/>
      <c r="I484" s="22"/>
      <c r="J484" s="330"/>
      <c r="K484" s="330"/>
      <c r="L484" s="75"/>
      <c r="M484" s="325"/>
      <c r="N484" s="325"/>
      <c r="O484" s="329"/>
      <c r="P484" s="390"/>
      <c r="Q484" s="362"/>
      <c r="R484" s="308"/>
      <c r="S484" s="330"/>
      <c r="T484" s="34"/>
      <c r="U484" s="367"/>
      <c r="V484" s="97"/>
      <c r="W484" s="13">
        <f>SUM(W482:W483)</f>
        <v>47.8</v>
      </c>
      <c r="X484" s="45">
        <f>SUM(X482:X483)</f>
        <v>43.78</v>
      </c>
      <c r="Y484" s="15">
        <f>W484-X484</f>
        <v>4.019999999999996</v>
      </c>
      <c r="Z484" s="64">
        <f>Y484/X484</f>
        <v>9.1822750114207305E-2</v>
      </c>
      <c r="AA484" s="117"/>
      <c r="AB484" s="22"/>
      <c r="AC484" s="86"/>
      <c r="AD484" s="85"/>
      <c r="AE484" s="33"/>
      <c r="AF484" s="121"/>
      <c r="AG484" s="51"/>
      <c r="AH484" s="18"/>
      <c r="AI484" s="269"/>
      <c r="AJ484" s="269"/>
      <c r="AK484" s="269"/>
      <c r="AL484" s="269"/>
      <c r="AM484" s="269"/>
      <c r="AN484" s="269"/>
      <c r="AO484" s="269"/>
      <c r="AP484" s="269"/>
      <c r="AQ484" s="269"/>
      <c r="AR484" s="269"/>
    </row>
    <row r="485" spans="1:44">
      <c r="A485" s="132" t="s">
        <v>1854</v>
      </c>
      <c r="B485" s="93" t="s">
        <v>1657</v>
      </c>
      <c r="C485" s="93" t="s">
        <v>1658</v>
      </c>
      <c r="D485" s="93" t="s">
        <v>1659</v>
      </c>
      <c r="E485" s="93" t="s">
        <v>1660</v>
      </c>
      <c r="F485" s="8" t="s">
        <v>1122</v>
      </c>
      <c r="G485" s="25" t="s">
        <v>415</v>
      </c>
      <c r="H485" s="55" t="s">
        <v>342</v>
      </c>
      <c r="I485" s="1" t="s">
        <v>79</v>
      </c>
      <c r="J485" s="324" t="s">
        <v>1529</v>
      </c>
      <c r="K485" s="324" t="s">
        <v>1217</v>
      </c>
      <c r="L485" s="324" t="s">
        <v>298</v>
      </c>
      <c r="M485" s="324"/>
      <c r="N485" s="324" t="s">
        <v>1121</v>
      </c>
      <c r="S485" s="330" t="s">
        <v>1115</v>
      </c>
      <c r="T485" s="10" t="s">
        <v>75</v>
      </c>
      <c r="V485" s="69" t="s">
        <v>1571</v>
      </c>
      <c r="W485" s="28" t="s">
        <v>2</v>
      </c>
      <c r="X485" s="17" t="s">
        <v>1465</v>
      </c>
      <c r="Y485" s="14" t="s">
        <v>5</v>
      </c>
      <c r="Z485" s="21" t="s">
        <v>3</v>
      </c>
      <c r="AA485" s="25" t="s">
        <v>117</v>
      </c>
      <c r="AB485" s="1" t="s">
        <v>79</v>
      </c>
      <c r="AC485" s="73" t="s">
        <v>1466</v>
      </c>
      <c r="AD485" s="74" t="s">
        <v>1223</v>
      </c>
      <c r="AE485" s="32" t="s">
        <v>1224</v>
      </c>
      <c r="AF485" s="46" t="s">
        <v>1664</v>
      </c>
    </row>
    <row r="486" spans="1:44">
      <c r="B486" s="82"/>
      <c r="C486" s="82"/>
      <c r="D486" s="82"/>
      <c r="E486" s="82"/>
      <c r="F486" s="6"/>
      <c r="G486" s="41" t="s">
        <v>36</v>
      </c>
      <c r="H486" s="30"/>
      <c r="I486" s="22" t="s">
        <v>16</v>
      </c>
      <c r="J486" s="330"/>
      <c r="K486" s="75"/>
      <c r="L486" s="330"/>
      <c r="N486" s="325"/>
      <c r="T486" s="34"/>
      <c r="V486" s="97"/>
      <c r="W486" s="13">
        <v>197.4</v>
      </c>
      <c r="X486" s="45">
        <v>189.1</v>
      </c>
      <c r="Y486" s="15">
        <f t="shared" ref="Y486:Y491" si="330">W486-X486</f>
        <v>8.3000000000000114</v>
      </c>
      <c r="Z486" s="64">
        <f t="shared" ref="Z486:Z491" si="331">Y486/X486</f>
        <v>4.3892120571126451E-2</v>
      </c>
      <c r="AA486" s="116"/>
      <c r="AB486" s="22" t="s">
        <v>16</v>
      </c>
      <c r="AD486" s="85">
        <v>43733</v>
      </c>
      <c r="AE486" s="33">
        <f>AD486-AC486</f>
        <v>43733</v>
      </c>
      <c r="AF486" s="121"/>
    </row>
    <row r="487" spans="1:44">
      <c r="B487" s="81"/>
      <c r="C487" s="95"/>
      <c r="D487" s="81"/>
      <c r="E487" s="95"/>
      <c r="F487" s="58"/>
      <c r="G487" s="41" t="s">
        <v>361</v>
      </c>
      <c r="H487" s="8"/>
      <c r="I487" s="22" t="s">
        <v>362</v>
      </c>
      <c r="J487" s="330"/>
      <c r="K487" s="75"/>
      <c r="L487" s="330"/>
      <c r="N487" s="325"/>
      <c r="T487" s="34"/>
      <c r="V487" s="97"/>
      <c r="W487" s="13">
        <v>80.099999999999994</v>
      </c>
      <c r="X487" s="45">
        <v>78.260000000000005</v>
      </c>
      <c r="Y487" s="15">
        <f t="shared" si="330"/>
        <v>1.8399999999999892</v>
      </c>
      <c r="Z487" s="64">
        <f t="shared" si="331"/>
        <v>2.351137234858151E-2</v>
      </c>
      <c r="AA487" s="117"/>
      <c r="AB487" s="22" t="s">
        <v>362</v>
      </c>
      <c r="AD487" s="85">
        <v>43724</v>
      </c>
      <c r="AE487" s="33">
        <f>AD487-AC487</f>
        <v>43724</v>
      </c>
      <c r="AF487" s="121"/>
      <c r="AI487" s="11"/>
      <c r="AJ487" s="11"/>
      <c r="AK487" s="11"/>
      <c r="AL487" s="11"/>
      <c r="AO487" s="7"/>
      <c r="AP487" s="31"/>
      <c r="AQ487" s="7"/>
      <c r="AR487" s="7"/>
    </row>
    <row r="488" spans="1:44">
      <c r="B488" s="82"/>
      <c r="C488" s="82"/>
      <c r="D488" s="82"/>
      <c r="E488" s="82"/>
      <c r="F488" s="6"/>
      <c r="G488" s="41" t="s">
        <v>338</v>
      </c>
      <c r="H488" s="30"/>
      <c r="I488" s="22" t="s">
        <v>339</v>
      </c>
      <c r="J488" s="330"/>
      <c r="K488" s="330"/>
      <c r="L488" s="330"/>
      <c r="N488" s="325"/>
      <c r="T488" s="34"/>
      <c r="V488" s="97"/>
      <c r="W488" s="13">
        <v>135.6</v>
      </c>
      <c r="X488" s="45">
        <v>133.6</v>
      </c>
      <c r="Y488" s="15">
        <f t="shared" si="330"/>
        <v>2</v>
      </c>
      <c r="Z488" s="64">
        <f t="shared" si="331"/>
        <v>1.4970059880239521E-2</v>
      </c>
      <c r="AA488" s="117"/>
      <c r="AB488" s="22" t="s">
        <v>339</v>
      </c>
      <c r="AD488" s="85">
        <v>43724</v>
      </c>
      <c r="AE488" s="33">
        <f>AD488-AC488</f>
        <v>43724</v>
      </c>
      <c r="AF488" s="121"/>
    </row>
    <row r="489" spans="1:44">
      <c r="B489" s="82"/>
      <c r="C489" s="82"/>
      <c r="D489" s="82"/>
      <c r="E489" s="82"/>
      <c r="F489" s="6"/>
      <c r="G489" s="41" t="s">
        <v>1123</v>
      </c>
      <c r="H489" s="30"/>
      <c r="I489" s="22" t="s">
        <v>122</v>
      </c>
      <c r="J489" s="330"/>
      <c r="K489" s="330"/>
      <c r="L489" s="330"/>
      <c r="N489" s="325"/>
      <c r="T489" s="34"/>
      <c r="V489" s="97"/>
      <c r="W489" s="13">
        <v>147.5</v>
      </c>
      <c r="X489" s="45">
        <v>140.85</v>
      </c>
      <c r="Y489" s="15">
        <f t="shared" si="330"/>
        <v>6.6500000000000057</v>
      </c>
      <c r="Z489" s="64">
        <f t="shared" si="331"/>
        <v>4.7213347532836396E-2</v>
      </c>
      <c r="AA489" s="116"/>
      <c r="AB489" s="22" t="s">
        <v>122</v>
      </c>
      <c r="AD489" s="85">
        <v>43724</v>
      </c>
      <c r="AE489" s="33">
        <f>AD489-AC489</f>
        <v>43724</v>
      </c>
      <c r="AF489" s="121"/>
    </row>
    <row r="490" spans="1:44" s="7" customFormat="1" ht="17.100000000000001" customHeight="1">
      <c r="A490" s="41"/>
      <c r="B490" s="82"/>
      <c r="C490" s="82"/>
      <c r="D490" s="82"/>
      <c r="E490" s="82"/>
      <c r="F490" s="6"/>
      <c r="G490" s="41" t="s">
        <v>355</v>
      </c>
      <c r="H490" s="8"/>
      <c r="I490" s="22" t="s">
        <v>71</v>
      </c>
      <c r="J490" s="75"/>
      <c r="K490" s="330"/>
      <c r="L490" s="75"/>
      <c r="M490" s="325"/>
      <c r="N490" s="325"/>
      <c r="O490" s="329"/>
      <c r="P490" s="390"/>
      <c r="Q490" s="362"/>
      <c r="R490" s="308"/>
      <c r="S490" s="330"/>
      <c r="T490" s="34"/>
      <c r="U490" s="367"/>
      <c r="V490" s="97"/>
      <c r="W490" s="13">
        <v>135.80000000000001</v>
      </c>
      <c r="X490" s="45">
        <v>133.85</v>
      </c>
      <c r="Y490" s="15">
        <f t="shared" si="330"/>
        <v>1.9500000000000171</v>
      </c>
      <c r="Z490" s="64">
        <f t="shared" si="331"/>
        <v>1.4568546880836886E-2</v>
      </c>
      <c r="AA490" s="118"/>
      <c r="AB490" s="22" t="s">
        <v>71</v>
      </c>
      <c r="AC490" s="86"/>
      <c r="AD490" s="85">
        <v>43724</v>
      </c>
      <c r="AE490" s="140">
        <f>AD490-AC490</f>
        <v>43724</v>
      </c>
      <c r="AF490" s="121"/>
      <c r="AG490" s="27"/>
      <c r="AH490" s="17"/>
      <c r="AI490" s="11"/>
      <c r="AJ490" s="11"/>
      <c r="AK490" s="11"/>
      <c r="AL490" s="11"/>
      <c r="AM490" s="269"/>
      <c r="AN490" s="269"/>
      <c r="AP490" s="4"/>
      <c r="AQ490" s="269"/>
      <c r="AR490" s="269"/>
    </row>
    <row r="491" spans="1:44" s="7" customFormat="1" ht="17.100000000000001" customHeight="1">
      <c r="A491" s="41"/>
      <c r="B491" s="82"/>
      <c r="C491" s="82"/>
      <c r="D491" s="82"/>
      <c r="E491" s="82"/>
      <c r="F491" s="6"/>
      <c r="G491" s="41"/>
      <c r="H491" s="8"/>
      <c r="I491" s="22"/>
      <c r="J491" s="75"/>
      <c r="K491" s="330"/>
      <c r="L491" s="75"/>
      <c r="M491" s="325"/>
      <c r="N491" s="325"/>
      <c r="O491" s="329"/>
      <c r="P491" s="390"/>
      <c r="Q491" s="362"/>
      <c r="R491" s="308"/>
      <c r="S491" s="330"/>
      <c r="T491" s="34"/>
      <c r="U491" s="367"/>
      <c r="V491" s="97"/>
      <c r="W491" s="13">
        <f>SUM(W486:W490)</f>
        <v>696.40000000000009</v>
      </c>
      <c r="X491" s="45">
        <f>SUM(X486:X490)</f>
        <v>675.66000000000008</v>
      </c>
      <c r="Y491" s="15">
        <f t="shared" si="330"/>
        <v>20.740000000000009</v>
      </c>
      <c r="Z491" s="64">
        <f t="shared" si="331"/>
        <v>3.0695912145161777E-2</v>
      </c>
      <c r="AA491" s="118"/>
      <c r="AB491" s="22"/>
      <c r="AC491" s="86"/>
      <c r="AD491" s="85"/>
      <c r="AE491" s="140"/>
      <c r="AF491" s="121"/>
      <c r="AG491" s="27"/>
      <c r="AH491" s="17"/>
      <c r="AI491" s="11"/>
      <c r="AJ491" s="11"/>
      <c r="AK491" s="11"/>
      <c r="AL491" s="11"/>
      <c r="AM491" s="269"/>
      <c r="AN491" s="269"/>
      <c r="AP491" s="4"/>
      <c r="AQ491" s="269"/>
      <c r="AR491" s="269"/>
    </row>
    <row r="492" spans="1:44">
      <c r="A492" s="132" t="s">
        <v>1854</v>
      </c>
      <c r="B492" s="93" t="s">
        <v>1657</v>
      </c>
      <c r="C492" s="93" t="s">
        <v>1658</v>
      </c>
      <c r="D492" s="93" t="s">
        <v>1659</v>
      </c>
      <c r="E492" s="93" t="s">
        <v>1660</v>
      </c>
      <c r="F492" s="8" t="s">
        <v>1122</v>
      </c>
      <c r="G492" s="25" t="s">
        <v>415</v>
      </c>
      <c r="H492" s="55" t="s">
        <v>342</v>
      </c>
      <c r="I492" s="1" t="s">
        <v>79</v>
      </c>
      <c r="J492" s="324" t="s">
        <v>1529</v>
      </c>
      <c r="K492" s="324" t="s">
        <v>1217</v>
      </c>
      <c r="L492" s="324" t="s">
        <v>298</v>
      </c>
      <c r="M492" s="324"/>
      <c r="N492" s="324" t="s">
        <v>1121</v>
      </c>
      <c r="S492" s="330" t="s">
        <v>1115</v>
      </c>
      <c r="T492" s="10" t="s">
        <v>75</v>
      </c>
      <c r="V492" s="69" t="s">
        <v>1571</v>
      </c>
      <c r="W492" s="28" t="s">
        <v>2</v>
      </c>
      <c r="X492" s="17" t="s">
        <v>1465</v>
      </c>
      <c r="Y492" s="14" t="s">
        <v>5</v>
      </c>
      <c r="Z492" s="21" t="s">
        <v>3</v>
      </c>
      <c r="AA492" s="25" t="s">
        <v>117</v>
      </c>
      <c r="AB492" s="1" t="s">
        <v>79</v>
      </c>
      <c r="AC492" s="73" t="s">
        <v>1466</v>
      </c>
      <c r="AD492" s="74" t="s">
        <v>1223</v>
      </c>
      <c r="AE492" s="32" t="s">
        <v>1224</v>
      </c>
      <c r="AF492" s="46" t="s">
        <v>1703</v>
      </c>
    </row>
    <row r="493" spans="1:44">
      <c r="B493" s="81">
        <v>80</v>
      </c>
      <c r="C493" s="81">
        <v>78</v>
      </c>
      <c r="D493" s="81">
        <v>80</v>
      </c>
      <c r="E493" s="81">
        <v>78</v>
      </c>
      <c r="F493" s="58">
        <v>26.24</v>
      </c>
      <c r="G493" s="41" t="s">
        <v>1107</v>
      </c>
      <c r="H493" s="30" t="s">
        <v>1531</v>
      </c>
      <c r="I493" s="16" t="s">
        <v>93</v>
      </c>
      <c r="J493" s="330">
        <v>51.77</v>
      </c>
      <c r="K493" s="330">
        <v>3.39</v>
      </c>
      <c r="L493" s="330">
        <v>27.29</v>
      </c>
      <c r="N493" s="325">
        <f>S493+K493+J493+L493</f>
        <v>127.50999999999999</v>
      </c>
      <c r="S493" s="330">
        <v>45.06</v>
      </c>
      <c r="T493" s="34">
        <v>4.3</v>
      </c>
      <c r="V493" s="58">
        <f>T493/W493</f>
        <v>7.5438596491228069E-2</v>
      </c>
      <c r="W493" s="13">
        <v>57</v>
      </c>
      <c r="X493" s="45">
        <v>63.1</v>
      </c>
      <c r="Y493" s="15">
        <f t="shared" ref="Y493:Y498" si="332">W493-X493</f>
        <v>-6.1000000000000014</v>
      </c>
      <c r="Z493" s="64">
        <f t="shared" ref="Z493:Z498" si="333">Y493/X493</f>
        <v>-9.667194928684629E-2</v>
      </c>
      <c r="AA493" s="116" t="s">
        <v>1704</v>
      </c>
      <c r="AB493" s="16" t="s">
        <v>93</v>
      </c>
      <c r="AC493" s="86">
        <v>43677</v>
      </c>
      <c r="AD493" s="85">
        <v>43734</v>
      </c>
      <c r="AE493" s="33">
        <f>AD493-AC493</f>
        <v>57</v>
      </c>
      <c r="AF493" s="121" t="s">
        <v>1583</v>
      </c>
    </row>
    <row r="494" spans="1:44" ht="16.5" customHeight="1">
      <c r="A494" s="121"/>
      <c r="B494" s="82">
        <v>-26</v>
      </c>
      <c r="C494" s="82">
        <v>-18</v>
      </c>
      <c r="D494" s="82">
        <v>-26</v>
      </c>
      <c r="E494" s="82">
        <v>-18</v>
      </c>
      <c r="F494" s="58">
        <v>23.76</v>
      </c>
      <c r="G494" s="41" t="s">
        <v>1107</v>
      </c>
      <c r="H494" s="30" t="s">
        <v>1531</v>
      </c>
      <c r="I494" s="16" t="s">
        <v>93</v>
      </c>
      <c r="J494" s="330">
        <v>49.47</v>
      </c>
      <c r="K494" s="330">
        <v>2.89</v>
      </c>
      <c r="L494" s="75">
        <v>29.22</v>
      </c>
      <c r="N494" s="325">
        <f>S494+K494+J494+L494</f>
        <v>126.67</v>
      </c>
      <c r="S494" s="330">
        <v>45.09</v>
      </c>
      <c r="T494" s="34">
        <v>4.3</v>
      </c>
      <c r="V494" s="58">
        <f>T494/W494</f>
        <v>7.5438596491228069E-2</v>
      </c>
      <c r="W494" s="36">
        <v>57</v>
      </c>
      <c r="X494" s="45">
        <v>56.2</v>
      </c>
      <c r="Y494" s="15">
        <f t="shared" si="332"/>
        <v>0.79999999999999716</v>
      </c>
      <c r="Z494" s="64">
        <f t="shared" si="333"/>
        <v>1.4234875444839807E-2</v>
      </c>
      <c r="AA494" s="116" t="s">
        <v>1705</v>
      </c>
      <c r="AB494" s="16" t="s">
        <v>93</v>
      </c>
      <c r="AC494" s="86">
        <v>43710</v>
      </c>
      <c r="AD494" s="85">
        <v>43734</v>
      </c>
      <c r="AE494" s="33">
        <f>AD494-AC494</f>
        <v>24</v>
      </c>
      <c r="AF494" s="121"/>
      <c r="AG494" s="269"/>
    </row>
    <row r="495" spans="1:44" ht="16.5" customHeight="1">
      <c r="A495" s="121"/>
      <c r="B495" s="82">
        <v>-26</v>
      </c>
      <c r="C495" s="82">
        <v>-18</v>
      </c>
      <c r="D495" s="82">
        <v>-26</v>
      </c>
      <c r="E495" s="82">
        <v>-18</v>
      </c>
      <c r="F495" s="58">
        <v>23.76</v>
      </c>
      <c r="G495" s="41" t="s">
        <v>1107</v>
      </c>
      <c r="H495" s="50" t="s">
        <v>1471</v>
      </c>
      <c r="I495" s="16" t="s">
        <v>93</v>
      </c>
      <c r="J495" s="330">
        <v>49.47</v>
      </c>
      <c r="K495" s="330">
        <v>2.89</v>
      </c>
      <c r="L495" s="75">
        <v>29.22</v>
      </c>
      <c r="N495" s="325">
        <f>S495+K495+J495+L495</f>
        <v>126.67</v>
      </c>
      <c r="S495" s="330">
        <v>45.09</v>
      </c>
      <c r="T495" s="34">
        <v>4.3</v>
      </c>
      <c r="V495" s="58">
        <f>T495/W495</f>
        <v>7.5174825174825169E-2</v>
      </c>
      <c r="W495" s="36">
        <v>57.2</v>
      </c>
      <c r="X495" s="45">
        <v>56.2</v>
      </c>
      <c r="Y495" s="15">
        <f t="shared" si="332"/>
        <v>1</v>
      </c>
      <c r="Z495" s="64">
        <f t="shared" si="333"/>
        <v>1.779359430604982E-2</v>
      </c>
      <c r="AA495" s="116" t="s">
        <v>1706</v>
      </c>
      <c r="AB495" s="16" t="s">
        <v>93</v>
      </c>
      <c r="AC495" s="86">
        <v>43710</v>
      </c>
      <c r="AD495" s="85">
        <v>43734</v>
      </c>
      <c r="AE495" s="33">
        <f>AD495-AC495</f>
        <v>24</v>
      </c>
      <c r="AF495" s="121" t="s">
        <v>1702</v>
      </c>
      <c r="AG495" s="269"/>
    </row>
    <row r="496" spans="1:44" ht="16.5" customHeight="1">
      <c r="A496" s="121"/>
      <c r="B496" s="82">
        <v>-26</v>
      </c>
      <c r="C496" s="82">
        <v>-18</v>
      </c>
      <c r="D496" s="81">
        <v>2</v>
      </c>
      <c r="E496" s="82">
        <v>-51</v>
      </c>
      <c r="F496" s="58">
        <v>23.76</v>
      </c>
      <c r="G496" s="41" t="s">
        <v>1107</v>
      </c>
      <c r="H496" s="50" t="s">
        <v>1471</v>
      </c>
      <c r="I496" s="16" t="s">
        <v>93</v>
      </c>
      <c r="J496" s="330">
        <v>49.7</v>
      </c>
      <c r="K496" s="330">
        <v>2.59</v>
      </c>
      <c r="L496" s="75">
        <v>28.97</v>
      </c>
      <c r="N496" s="325">
        <f>S496+K496+J496+L496</f>
        <v>126.32000000000001</v>
      </c>
      <c r="S496" s="330">
        <v>45.06</v>
      </c>
      <c r="T496" s="34">
        <v>4.3</v>
      </c>
      <c r="V496" s="58">
        <f>T496/W496</f>
        <v>7.5174825174825169E-2</v>
      </c>
      <c r="W496" s="36">
        <v>57.2</v>
      </c>
      <c r="X496" s="45">
        <v>54.4</v>
      </c>
      <c r="Y496" s="15">
        <f t="shared" si="332"/>
        <v>2.8000000000000043</v>
      </c>
      <c r="Z496" s="64">
        <f t="shared" si="333"/>
        <v>5.1470588235294198E-2</v>
      </c>
      <c r="AA496" s="116" t="s">
        <v>1707</v>
      </c>
      <c r="AB496" s="16" t="s">
        <v>93</v>
      </c>
      <c r="AC496" s="86">
        <v>43727</v>
      </c>
      <c r="AD496" s="85">
        <v>43734</v>
      </c>
      <c r="AE496" s="33">
        <f>AD496-AC496</f>
        <v>7</v>
      </c>
      <c r="AF496" s="121"/>
      <c r="AG496" s="269"/>
    </row>
    <row r="497" spans="1:44" ht="16.5" customHeight="1">
      <c r="A497" s="121"/>
      <c r="B497" s="82">
        <v>-26</v>
      </c>
      <c r="C497" s="82">
        <v>-18</v>
      </c>
      <c r="D497" s="81">
        <v>2</v>
      </c>
      <c r="E497" s="82">
        <v>-51</v>
      </c>
      <c r="F497" s="58">
        <v>23.76</v>
      </c>
      <c r="G497" s="41" t="s">
        <v>1107</v>
      </c>
      <c r="H497" s="50" t="s">
        <v>1471</v>
      </c>
      <c r="I497" s="16" t="s">
        <v>93</v>
      </c>
      <c r="J497" s="330">
        <v>49.7</v>
      </c>
      <c r="K497" s="330">
        <v>2.59</v>
      </c>
      <c r="L497" s="75">
        <v>28.97</v>
      </c>
      <c r="N497" s="325">
        <f>S497+K497+J497+L497</f>
        <v>126.32000000000001</v>
      </c>
      <c r="S497" s="330">
        <v>45.06</v>
      </c>
      <c r="T497" s="34">
        <v>4.3</v>
      </c>
      <c r="V497" s="58">
        <f>T497/W497</f>
        <v>7.5174825174825169E-2</v>
      </c>
      <c r="W497" s="36">
        <v>57.2</v>
      </c>
      <c r="X497" s="45">
        <v>54.1</v>
      </c>
      <c r="Y497" s="15">
        <f t="shared" si="332"/>
        <v>3.1000000000000014</v>
      </c>
      <c r="Z497" s="64">
        <f t="shared" si="333"/>
        <v>5.7301293900184867E-2</v>
      </c>
      <c r="AA497" s="116" t="s">
        <v>1708</v>
      </c>
      <c r="AB497" s="16" t="s">
        <v>93</v>
      </c>
      <c r="AC497" s="86">
        <v>43733</v>
      </c>
      <c r="AD497" s="85">
        <v>43734</v>
      </c>
      <c r="AE497" s="33">
        <f>AD497-AC497</f>
        <v>1</v>
      </c>
      <c r="AF497" s="121"/>
      <c r="AG497" s="269"/>
    </row>
    <row r="498" spans="1:44">
      <c r="B498" s="81"/>
      <c r="C498" s="81"/>
      <c r="D498" s="81"/>
      <c r="E498" s="81"/>
      <c r="F498" s="58"/>
      <c r="G498" s="41"/>
      <c r="H498" s="30"/>
      <c r="I498" s="16"/>
      <c r="J498" s="330"/>
      <c r="K498" s="75"/>
      <c r="N498" s="325"/>
      <c r="T498" s="34"/>
      <c r="V498" s="58"/>
      <c r="W498" s="13">
        <f>SUM(W493:W497)</f>
        <v>285.59999999999997</v>
      </c>
      <c r="X498" s="45">
        <f>SUM(X493:X497)</f>
        <v>284</v>
      </c>
      <c r="Y498" s="15">
        <f t="shared" si="332"/>
        <v>1.5999999999999659</v>
      </c>
      <c r="Z498" s="64">
        <f t="shared" si="333"/>
        <v>5.6338028169012882E-3</v>
      </c>
      <c r="AA498" s="116"/>
      <c r="AB498" s="16"/>
      <c r="AE498" s="33"/>
      <c r="AF498" s="121"/>
    </row>
    <row r="499" spans="1:44">
      <c r="A499" s="132" t="s">
        <v>1854</v>
      </c>
      <c r="B499" s="93" t="s">
        <v>1657</v>
      </c>
      <c r="C499" s="93" t="s">
        <v>1658</v>
      </c>
      <c r="D499" s="93" t="s">
        <v>1659</v>
      </c>
      <c r="E499" s="93" t="s">
        <v>1660</v>
      </c>
      <c r="F499" s="8" t="s">
        <v>1122</v>
      </c>
      <c r="G499" s="25" t="s">
        <v>415</v>
      </c>
      <c r="H499" s="55" t="s">
        <v>342</v>
      </c>
      <c r="I499" s="1" t="s">
        <v>79</v>
      </c>
      <c r="J499" s="324" t="s">
        <v>1529</v>
      </c>
      <c r="K499" s="324" t="s">
        <v>1217</v>
      </c>
      <c r="L499" s="324" t="s">
        <v>298</v>
      </c>
      <c r="M499" s="324"/>
      <c r="N499" s="324" t="s">
        <v>1121</v>
      </c>
      <c r="S499" s="330" t="s">
        <v>1115</v>
      </c>
      <c r="T499" s="10" t="s">
        <v>75</v>
      </c>
      <c r="V499" s="69" t="s">
        <v>1571</v>
      </c>
      <c r="W499" s="28" t="s">
        <v>2</v>
      </c>
      <c r="X499" s="17" t="s">
        <v>1465</v>
      </c>
      <c r="Y499" s="14" t="s">
        <v>5</v>
      </c>
      <c r="Z499" s="21" t="s">
        <v>3</v>
      </c>
      <c r="AA499" s="25" t="s">
        <v>117</v>
      </c>
      <c r="AB499" s="1" t="s">
        <v>79</v>
      </c>
      <c r="AC499" s="73" t="s">
        <v>1466</v>
      </c>
      <c r="AD499" s="74" t="s">
        <v>1223</v>
      </c>
      <c r="AE499" s="32" t="s">
        <v>1224</v>
      </c>
    </row>
    <row r="500" spans="1:44">
      <c r="B500" s="82">
        <v>0</v>
      </c>
      <c r="C500" s="82">
        <v>-49</v>
      </c>
      <c r="D500" s="82">
        <v>0</v>
      </c>
      <c r="E500" s="82">
        <v>-49</v>
      </c>
      <c r="F500" s="6">
        <v>3.54</v>
      </c>
      <c r="G500" s="41" t="s">
        <v>36</v>
      </c>
      <c r="H500" s="30" t="s">
        <v>1531</v>
      </c>
      <c r="I500" s="22" t="s">
        <v>16</v>
      </c>
      <c r="J500" s="330">
        <v>67.58</v>
      </c>
      <c r="K500" s="75">
        <v>28.12</v>
      </c>
      <c r="L500" s="330">
        <v>1.84</v>
      </c>
      <c r="N500" s="325">
        <f>S500+K500+J500+L500</f>
        <v>103.6</v>
      </c>
      <c r="S500" s="330">
        <v>6.06</v>
      </c>
      <c r="T500" s="34">
        <v>3.2</v>
      </c>
      <c r="V500" s="97">
        <f>T500/W500</f>
        <v>4.8632218844984809E-2</v>
      </c>
      <c r="W500" s="36">
        <v>65.8</v>
      </c>
      <c r="X500" s="67">
        <v>62.3</v>
      </c>
      <c r="Y500" s="15">
        <f>W500-X500</f>
        <v>3.5</v>
      </c>
      <c r="Z500" s="64">
        <f>Y500/X500</f>
        <v>5.6179775280898882E-2</v>
      </c>
      <c r="AA500" s="116" t="s">
        <v>1548</v>
      </c>
      <c r="AB500" s="22" t="s">
        <v>16</v>
      </c>
      <c r="AC500" s="86">
        <v>43696</v>
      </c>
      <c r="AD500" s="85">
        <v>43733</v>
      </c>
      <c r="AE500" s="33">
        <f>AD500-AC500</f>
        <v>37</v>
      </c>
      <c r="AF500" s="121" t="s">
        <v>1685</v>
      </c>
    </row>
    <row r="501" spans="1:44">
      <c r="A501" s="149"/>
      <c r="B501" s="82">
        <v>0</v>
      </c>
      <c r="C501" s="82">
        <v>-49</v>
      </c>
      <c r="D501" s="82">
        <v>0</v>
      </c>
      <c r="E501" s="82">
        <v>-49</v>
      </c>
      <c r="F501" s="6">
        <v>3.54</v>
      </c>
      <c r="G501" s="41" t="s">
        <v>36</v>
      </c>
      <c r="H501" s="30" t="s">
        <v>1531</v>
      </c>
      <c r="I501" s="22" t="s">
        <v>16</v>
      </c>
      <c r="J501" s="75">
        <v>67.62</v>
      </c>
      <c r="K501" s="330">
        <v>28.28</v>
      </c>
      <c r="L501" s="330">
        <v>1.84</v>
      </c>
      <c r="N501" s="325">
        <f>S501+K501+J501+L501</f>
        <v>103.80000000000001</v>
      </c>
      <c r="S501" s="330">
        <v>6.06</v>
      </c>
      <c r="T501" s="34">
        <v>3.2</v>
      </c>
      <c r="V501" s="97">
        <f>T501/W501</f>
        <v>4.8632218844984809E-2</v>
      </c>
      <c r="W501" s="36">
        <v>65.8</v>
      </c>
      <c r="X501" s="67">
        <v>63.4</v>
      </c>
      <c r="Y501" s="15">
        <f>W501-X501</f>
        <v>2.3999999999999986</v>
      </c>
      <c r="Z501" s="64">
        <f>Y501/X501</f>
        <v>3.7854889589905343E-2</v>
      </c>
      <c r="AA501" s="116" t="s">
        <v>1553</v>
      </c>
      <c r="AB501" s="22" t="s">
        <v>16</v>
      </c>
      <c r="AC501" s="86">
        <v>43710</v>
      </c>
      <c r="AD501" s="85">
        <v>43733</v>
      </c>
      <c r="AE501" s="33">
        <f>AD501-AC501</f>
        <v>23</v>
      </c>
      <c r="AF501" s="121"/>
      <c r="AG501" s="269"/>
    </row>
    <row r="502" spans="1:44">
      <c r="A502" s="149"/>
      <c r="B502" s="82">
        <v>0</v>
      </c>
      <c r="C502" s="82">
        <v>-49</v>
      </c>
      <c r="D502" s="82">
        <v>0</v>
      </c>
      <c r="E502" s="82">
        <v>-49</v>
      </c>
      <c r="F502" s="6">
        <v>3.54</v>
      </c>
      <c r="G502" s="41" t="s">
        <v>36</v>
      </c>
      <c r="H502" s="30" t="s">
        <v>1531</v>
      </c>
      <c r="I502" s="22" t="s">
        <v>16</v>
      </c>
      <c r="J502" s="75">
        <v>67.62</v>
      </c>
      <c r="K502" s="330">
        <v>28.28</v>
      </c>
      <c r="L502" s="330">
        <v>1.84</v>
      </c>
      <c r="N502" s="325">
        <f>S502+K502+J502+L502</f>
        <v>103.80000000000001</v>
      </c>
      <c r="S502" s="330">
        <v>6.06</v>
      </c>
      <c r="T502" s="34">
        <v>3.2</v>
      </c>
      <c r="V502" s="97">
        <f>T502/W502</f>
        <v>4.8632218844984809E-2</v>
      </c>
      <c r="W502" s="36">
        <v>65.8</v>
      </c>
      <c r="X502" s="67">
        <v>63.4</v>
      </c>
      <c r="Y502" s="15">
        <f>W502-X502</f>
        <v>2.3999999999999986</v>
      </c>
      <c r="Z502" s="64">
        <f>Y502/X502</f>
        <v>3.7854889589905343E-2</v>
      </c>
      <c r="AA502" s="116" t="s">
        <v>1553</v>
      </c>
      <c r="AB502" s="22" t="s">
        <v>16</v>
      </c>
      <c r="AC502" s="86">
        <v>43710</v>
      </c>
      <c r="AD502" s="85">
        <v>43733</v>
      </c>
      <c r="AE502" s="33">
        <f>AD502-AC502</f>
        <v>23</v>
      </c>
      <c r="AF502" s="121"/>
      <c r="AG502" s="269"/>
    </row>
    <row r="503" spans="1:44">
      <c r="B503" s="82"/>
      <c r="C503" s="82"/>
      <c r="D503" s="82"/>
      <c r="E503" s="82"/>
      <c r="F503" s="6"/>
      <c r="G503" s="41"/>
      <c r="H503" s="30"/>
      <c r="I503" s="22"/>
      <c r="J503" s="330"/>
      <c r="K503" s="75"/>
      <c r="L503" s="330"/>
      <c r="N503" s="325"/>
      <c r="T503" s="34"/>
      <c r="V503" s="97"/>
      <c r="W503" s="13">
        <f>SUM(W500:W502)</f>
        <v>197.39999999999998</v>
      </c>
      <c r="X503" s="45">
        <f>SUM(X500:X502)</f>
        <v>189.1</v>
      </c>
      <c r="Y503" s="15">
        <f>W503-X503</f>
        <v>8.2999999999999829</v>
      </c>
      <c r="Z503" s="64">
        <f>Y503/X503</f>
        <v>4.3892120571126299E-2</v>
      </c>
      <c r="AA503" s="116"/>
      <c r="AB503" s="22"/>
      <c r="AE503" s="33"/>
      <c r="AF503" s="121"/>
    </row>
    <row r="504" spans="1:44">
      <c r="A504" s="132" t="s">
        <v>1854</v>
      </c>
      <c r="B504" s="93" t="s">
        <v>1657</v>
      </c>
      <c r="C504" s="93" t="s">
        <v>1658</v>
      </c>
      <c r="D504" s="93" t="s">
        <v>1659</v>
      </c>
      <c r="E504" s="93" t="s">
        <v>1660</v>
      </c>
      <c r="F504" s="8" t="s">
        <v>1122</v>
      </c>
      <c r="G504" s="25" t="s">
        <v>415</v>
      </c>
      <c r="H504" s="55" t="s">
        <v>342</v>
      </c>
      <c r="I504" s="1" t="s">
        <v>79</v>
      </c>
      <c r="J504" s="324" t="s">
        <v>1529</v>
      </c>
      <c r="K504" s="324" t="s">
        <v>1217</v>
      </c>
      <c r="L504" s="324" t="s">
        <v>298</v>
      </c>
      <c r="M504" s="324"/>
      <c r="N504" s="324" t="s">
        <v>1121</v>
      </c>
      <c r="S504" s="330" t="s">
        <v>1115</v>
      </c>
      <c r="T504" s="10" t="s">
        <v>75</v>
      </c>
      <c r="V504" s="69" t="s">
        <v>1571</v>
      </c>
      <c r="W504" s="28" t="s">
        <v>2</v>
      </c>
      <c r="X504" s="17" t="s">
        <v>1465</v>
      </c>
      <c r="Y504" s="14" t="s">
        <v>5</v>
      </c>
      <c r="Z504" s="21" t="s">
        <v>3</v>
      </c>
      <c r="AA504" s="25" t="s">
        <v>117</v>
      </c>
      <c r="AB504" s="1" t="s">
        <v>79</v>
      </c>
      <c r="AC504" s="73" t="s">
        <v>1466</v>
      </c>
      <c r="AD504" s="74" t="s">
        <v>1223</v>
      </c>
      <c r="AE504" s="32" t="s">
        <v>1224</v>
      </c>
    </row>
    <row r="505" spans="1:44">
      <c r="B505" s="81">
        <v>705</v>
      </c>
      <c r="C505" s="95">
        <v>1518</v>
      </c>
      <c r="D505" s="81">
        <v>705</v>
      </c>
      <c r="E505" s="95">
        <v>1518</v>
      </c>
      <c r="F505" s="58">
        <v>40.08</v>
      </c>
      <c r="G505" s="41" t="s">
        <v>361</v>
      </c>
      <c r="H505" s="8" t="s">
        <v>1470</v>
      </c>
      <c r="I505" s="22" t="s">
        <v>362</v>
      </c>
      <c r="J505" s="330">
        <v>77.25</v>
      </c>
      <c r="K505" s="75">
        <v>11.5</v>
      </c>
      <c r="L505" s="330">
        <v>0.69</v>
      </c>
      <c r="N505" s="325">
        <f t="shared" ref="N505:N510" si="334">S505+K505+J505+L505</f>
        <v>97.75</v>
      </c>
      <c r="S505" s="330">
        <v>8.31</v>
      </c>
      <c r="T505" s="34">
        <v>0.69</v>
      </c>
      <c r="V505" s="97">
        <f t="shared" ref="V505:V510" si="335">T505/W505</f>
        <v>5.1685393258426963E-2</v>
      </c>
      <c r="W505" s="13">
        <v>13.35</v>
      </c>
      <c r="X505" s="67">
        <f>14.32-0.69</f>
        <v>13.63</v>
      </c>
      <c r="Y505" s="15">
        <f t="shared" ref="Y505:Y511" si="336">W505-X505</f>
        <v>-0.28000000000000114</v>
      </c>
      <c r="Z505" s="78">
        <f t="shared" ref="Z505:Z511" si="337">Y505/X505</f>
        <v>-2.0542920029347111E-2</v>
      </c>
      <c r="AA505" s="117" t="s">
        <v>1680</v>
      </c>
      <c r="AB505" s="22" t="s">
        <v>362</v>
      </c>
      <c r="AC505" s="86">
        <v>43362</v>
      </c>
      <c r="AD505" s="85">
        <v>43724</v>
      </c>
      <c r="AE505" s="79">
        <f t="shared" ref="AE505:AE510" si="338">AD505-AC505</f>
        <v>362</v>
      </c>
      <c r="AF505" s="121"/>
      <c r="AI505" s="11"/>
      <c r="AJ505" s="11"/>
      <c r="AK505" s="11"/>
      <c r="AL505" s="11"/>
      <c r="AO505" s="7"/>
      <c r="AP505" s="31"/>
      <c r="AQ505" s="7"/>
      <c r="AR505" s="7"/>
    </row>
    <row r="506" spans="1:44">
      <c r="B506" s="81">
        <v>705</v>
      </c>
      <c r="C506" s="95">
        <v>1518</v>
      </c>
      <c r="D506" s="81">
        <v>705</v>
      </c>
      <c r="E506" s="95">
        <v>1518</v>
      </c>
      <c r="F506" s="58">
        <v>40.08</v>
      </c>
      <c r="G506" s="41" t="s">
        <v>361</v>
      </c>
      <c r="H506" s="8" t="s">
        <v>1470</v>
      </c>
      <c r="I506" s="22" t="s">
        <v>362</v>
      </c>
      <c r="J506" s="330">
        <v>77.25</v>
      </c>
      <c r="K506" s="75">
        <v>11.5</v>
      </c>
      <c r="L506" s="330">
        <v>0.69</v>
      </c>
      <c r="N506" s="325">
        <f t="shared" si="334"/>
        <v>97.75</v>
      </c>
      <c r="S506" s="330">
        <v>8.31</v>
      </c>
      <c r="T506" s="34">
        <v>0.69</v>
      </c>
      <c r="V506" s="97">
        <f t="shared" si="335"/>
        <v>5.1685393258426963E-2</v>
      </c>
      <c r="W506" s="13">
        <v>13.35</v>
      </c>
      <c r="X506" s="67">
        <v>12.75</v>
      </c>
      <c r="Y506" s="15">
        <f t="shared" si="336"/>
        <v>0.59999999999999964</v>
      </c>
      <c r="Z506" s="64">
        <f t="shared" si="337"/>
        <v>4.7058823529411736E-2</v>
      </c>
      <c r="AA506" s="116" t="s">
        <v>1671</v>
      </c>
      <c r="AB506" s="22" t="s">
        <v>362</v>
      </c>
      <c r="AC506" s="86">
        <v>43689</v>
      </c>
      <c r="AD506" s="85">
        <v>43724</v>
      </c>
      <c r="AE506" s="33">
        <f t="shared" si="338"/>
        <v>35</v>
      </c>
      <c r="AF506" s="121"/>
      <c r="AI506" s="11"/>
      <c r="AJ506" s="11"/>
      <c r="AK506" s="11"/>
      <c r="AL506" s="11"/>
      <c r="AO506" s="7"/>
      <c r="AP506" s="31"/>
      <c r="AQ506" s="7"/>
      <c r="AR506" s="7"/>
    </row>
    <row r="507" spans="1:44">
      <c r="B507" s="81">
        <v>705</v>
      </c>
      <c r="C507" s="95">
        <v>1518</v>
      </c>
      <c r="D507" s="81">
        <v>705</v>
      </c>
      <c r="E507" s="95">
        <v>1518</v>
      </c>
      <c r="F507" s="58">
        <v>40.08</v>
      </c>
      <c r="G507" s="41" t="s">
        <v>361</v>
      </c>
      <c r="H507" s="30" t="s">
        <v>1531</v>
      </c>
      <c r="I507" s="22" t="s">
        <v>362</v>
      </c>
      <c r="J507" s="330">
        <v>77.25</v>
      </c>
      <c r="K507" s="75">
        <v>11.5</v>
      </c>
      <c r="L507" s="330">
        <v>0.69</v>
      </c>
      <c r="N507" s="325">
        <f t="shared" si="334"/>
        <v>97.75</v>
      </c>
      <c r="S507" s="330">
        <v>8.31</v>
      </c>
      <c r="T507" s="34">
        <v>0.69</v>
      </c>
      <c r="V507" s="97">
        <f t="shared" si="335"/>
        <v>5.1685393258426963E-2</v>
      </c>
      <c r="W507" s="13">
        <v>13.35</v>
      </c>
      <c r="X507" s="67">
        <v>12.75</v>
      </c>
      <c r="Y507" s="15">
        <f t="shared" si="336"/>
        <v>0.59999999999999964</v>
      </c>
      <c r="Z507" s="64">
        <f t="shared" si="337"/>
        <v>4.7058823529411736E-2</v>
      </c>
      <c r="AA507" s="116" t="s">
        <v>1671</v>
      </c>
      <c r="AB507" s="22" t="s">
        <v>362</v>
      </c>
      <c r="AC507" s="86">
        <v>43689</v>
      </c>
      <c r="AD507" s="85">
        <v>43724</v>
      </c>
      <c r="AE507" s="33">
        <f t="shared" si="338"/>
        <v>35</v>
      </c>
      <c r="AF507" s="121"/>
      <c r="AI507" s="11"/>
      <c r="AJ507" s="11"/>
      <c r="AK507" s="11"/>
      <c r="AL507" s="11"/>
      <c r="AO507" s="7"/>
      <c r="AP507" s="31"/>
      <c r="AQ507" s="7"/>
      <c r="AR507" s="7"/>
    </row>
    <row r="508" spans="1:44">
      <c r="B508" s="81">
        <v>705</v>
      </c>
      <c r="C508" s="95">
        <v>1518</v>
      </c>
      <c r="D508" s="81">
        <v>705</v>
      </c>
      <c r="E508" s="95">
        <v>1518</v>
      </c>
      <c r="F508" s="58">
        <v>40.08</v>
      </c>
      <c r="G508" s="41" t="s">
        <v>361</v>
      </c>
      <c r="H508" s="30" t="s">
        <v>1531</v>
      </c>
      <c r="I508" s="22" t="s">
        <v>362</v>
      </c>
      <c r="J508" s="330">
        <v>77.25</v>
      </c>
      <c r="K508" s="75">
        <v>11.5</v>
      </c>
      <c r="L508" s="330">
        <v>0.69</v>
      </c>
      <c r="N508" s="325">
        <f t="shared" si="334"/>
        <v>97.75</v>
      </c>
      <c r="S508" s="330">
        <v>8.31</v>
      </c>
      <c r="T508" s="34">
        <v>0.69</v>
      </c>
      <c r="V508" s="97">
        <f t="shared" si="335"/>
        <v>5.1685393258426963E-2</v>
      </c>
      <c r="W508" s="13">
        <v>13.35</v>
      </c>
      <c r="X508" s="67">
        <v>12.75</v>
      </c>
      <c r="Y508" s="15">
        <f t="shared" si="336"/>
        <v>0.59999999999999964</v>
      </c>
      <c r="Z508" s="64">
        <f t="shared" si="337"/>
        <v>4.7058823529411736E-2</v>
      </c>
      <c r="AA508" s="116" t="s">
        <v>1671</v>
      </c>
      <c r="AB508" s="22" t="s">
        <v>362</v>
      </c>
      <c r="AC508" s="86">
        <v>43689</v>
      </c>
      <c r="AD508" s="85">
        <v>43724</v>
      </c>
      <c r="AE508" s="33">
        <f t="shared" si="338"/>
        <v>35</v>
      </c>
      <c r="AF508" s="121"/>
      <c r="AI508" s="11"/>
      <c r="AJ508" s="11"/>
      <c r="AK508" s="11"/>
      <c r="AL508" s="11"/>
      <c r="AO508" s="7"/>
      <c r="AP508" s="31"/>
      <c r="AQ508" s="7"/>
      <c r="AR508" s="7"/>
    </row>
    <row r="509" spans="1:44">
      <c r="B509" s="81">
        <v>705</v>
      </c>
      <c r="C509" s="95">
        <v>1518</v>
      </c>
      <c r="D509" s="81">
        <v>705</v>
      </c>
      <c r="E509" s="95">
        <v>1518</v>
      </c>
      <c r="F509" s="58">
        <v>40.08</v>
      </c>
      <c r="G509" s="41" t="s">
        <v>361</v>
      </c>
      <c r="H509" s="50" t="s">
        <v>1471</v>
      </c>
      <c r="I509" s="22" t="s">
        <v>362</v>
      </c>
      <c r="J509" s="330">
        <v>77.25</v>
      </c>
      <c r="K509" s="75">
        <v>11.5</v>
      </c>
      <c r="L509" s="330">
        <v>0.69</v>
      </c>
      <c r="N509" s="325">
        <f t="shared" si="334"/>
        <v>97.75</v>
      </c>
      <c r="S509" s="330">
        <v>8.31</v>
      </c>
      <c r="T509" s="34">
        <v>0.69</v>
      </c>
      <c r="V509" s="97">
        <f t="shared" si="335"/>
        <v>5.1685393258426963E-2</v>
      </c>
      <c r="W509" s="13">
        <v>13.35</v>
      </c>
      <c r="X509" s="67">
        <f>14.32-0.69</f>
        <v>13.63</v>
      </c>
      <c r="Y509" s="15">
        <f t="shared" si="336"/>
        <v>-0.28000000000000114</v>
      </c>
      <c r="Z509" s="78">
        <f t="shared" si="337"/>
        <v>-2.0542920029347111E-2</v>
      </c>
      <c r="AA509" s="117" t="s">
        <v>1680</v>
      </c>
      <c r="AB509" s="22" t="s">
        <v>362</v>
      </c>
      <c r="AC509" s="86">
        <v>43368</v>
      </c>
      <c r="AD509" s="85">
        <v>43724</v>
      </c>
      <c r="AE509" s="79">
        <f t="shared" si="338"/>
        <v>356</v>
      </c>
      <c r="AF509" s="121"/>
      <c r="AI509" s="11"/>
      <c r="AJ509" s="11"/>
      <c r="AK509" s="11"/>
      <c r="AL509" s="11"/>
      <c r="AO509" s="7"/>
      <c r="AP509" s="31"/>
      <c r="AQ509" s="7"/>
      <c r="AR509" s="7"/>
    </row>
    <row r="510" spans="1:44">
      <c r="B510" s="81">
        <v>705</v>
      </c>
      <c r="C510" s="95">
        <v>1518</v>
      </c>
      <c r="D510" s="81">
        <v>705</v>
      </c>
      <c r="E510" s="95">
        <v>1518</v>
      </c>
      <c r="F510" s="58">
        <v>40.08</v>
      </c>
      <c r="G510" s="41" t="s">
        <v>361</v>
      </c>
      <c r="H510" s="50" t="s">
        <v>1471</v>
      </c>
      <c r="I510" s="22" t="s">
        <v>362</v>
      </c>
      <c r="J510" s="330">
        <v>77.25</v>
      </c>
      <c r="K510" s="75">
        <v>11.5</v>
      </c>
      <c r="L510" s="330">
        <v>0.69</v>
      </c>
      <c r="N510" s="325">
        <f t="shared" si="334"/>
        <v>97.75</v>
      </c>
      <c r="S510" s="330">
        <v>8.31</v>
      </c>
      <c r="T510" s="34">
        <v>0.69</v>
      </c>
      <c r="V510" s="97">
        <f t="shared" si="335"/>
        <v>5.1685393258426963E-2</v>
      </c>
      <c r="W510" s="13">
        <v>13.35</v>
      </c>
      <c r="X510" s="67">
        <v>12.75</v>
      </c>
      <c r="Y510" s="15">
        <f t="shared" si="336"/>
        <v>0.59999999999999964</v>
      </c>
      <c r="Z510" s="64">
        <f t="shared" si="337"/>
        <v>4.7058823529411736E-2</v>
      </c>
      <c r="AA510" s="116" t="s">
        <v>1671</v>
      </c>
      <c r="AB510" s="22" t="s">
        <v>362</v>
      </c>
      <c r="AC510" s="86">
        <v>43689</v>
      </c>
      <c r="AD510" s="85">
        <v>43724</v>
      </c>
      <c r="AE510" s="33">
        <f t="shared" si="338"/>
        <v>35</v>
      </c>
      <c r="AF510" s="121"/>
      <c r="AI510" s="11"/>
      <c r="AJ510" s="11"/>
      <c r="AK510" s="11"/>
      <c r="AL510" s="11"/>
      <c r="AO510" s="7"/>
      <c r="AP510" s="31"/>
      <c r="AQ510" s="7"/>
      <c r="AR510" s="7"/>
    </row>
    <row r="511" spans="1:44">
      <c r="B511" s="82"/>
      <c r="C511" s="82"/>
      <c r="D511" s="82"/>
      <c r="E511" s="82"/>
      <c r="F511" s="58"/>
      <c r="H511" s="8"/>
      <c r="I511" s="22"/>
      <c r="J511" s="330"/>
      <c r="K511" s="75"/>
      <c r="L511" s="330"/>
      <c r="N511" s="325"/>
      <c r="T511" s="34"/>
      <c r="V511" s="97"/>
      <c r="W511" s="13">
        <f>SUM(W505:W510)</f>
        <v>80.099999999999994</v>
      </c>
      <c r="X511" s="45">
        <f>SUM(X505:X510)</f>
        <v>78.260000000000005</v>
      </c>
      <c r="Y511" s="15">
        <f t="shared" si="336"/>
        <v>1.8399999999999892</v>
      </c>
      <c r="Z511" s="64">
        <f t="shared" si="337"/>
        <v>2.351137234858151E-2</v>
      </c>
      <c r="AA511" s="117"/>
      <c r="AB511" s="22"/>
      <c r="AE511" s="33"/>
    </row>
    <row r="512" spans="1:44">
      <c r="A512" s="132" t="s">
        <v>1854</v>
      </c>
      <c r="B512" s="93" t="s">
        <v>1657</v>
      </c>
      <c r="C512" s="93" t="s">
        <v>1658</v>
      </c>
      <c r="D512" s="93" t="s">
        <v>1659</v>
      </c>
      <c r="E512" s="93" t="s">
        <v>1660</v>
      </c>
      <c r="F512" s="8" t="s">
        <v>1122</v>
      </c>
      <c r="G512" s="25" t="s">
        <v>415</v>
      </c>
      <c r="H512" s="55" t="s">
        <v>342</v>
      </c>
      <c r="I512" s="1" t="s">
        <v>79</v>
      </c>
      <c r="J512" s="324" t="s">
        <v>1529</v>
      </c>
      <c r="K512" s="324" t="s">
        <v>1217</v>
      </c>
      <c r="L512" s="324" t="s">
        <v>298</v>
      </c>
      <c r="M512" s="324"/>
      <c r="N512" s="324" t="s">
        <v>1121</v>
      </c>
      <c r="S512" s="330" t="s">
        <v>1115</v>
      </c>
      <c r="T512" s="10" t="s">
        <v>75</v>
      </c>
      <c r="V512" s="69" t="s">
        <v>1571</v>
      </c>
      <c r="W512" s="28" t="s">
        <v>2</v>
      </c>
      <c r="X512" s="17" t="s">
        <v>1465</v>
      </c>
      <c r="Y512" s="14" t="s">
        <v>5</v>
      </c>
      <c r="Z512" s="21" t="s">
        <v>3</v>
      </c>
      <c r="AA512" s="25" t="s">
        <v>117</v>
      </c>
      <c r="AB512" s="1" t="s">
        <v>79</v>
      </c>
      <c r="AC512" s="73" t="s">
        <v>1466</v>
      </c>
      <c r="AD512" s="74" t="s">
        <v>1223</v>
      </c>
      <c r="AE512" s="32" t="s">
        <v>1224</v>
      </c>
    </row>
    <row r="513" spans="1:33">
      <c r="B513" s="82">
        <v>-73</v>
      </c>
      <c r="C513" s="82">
        <v>-96</v>
      </c>
      <c r="D513" s="82">
        <v>-73</v>
      </c>
      <c r="E513" s="82">
        <v>-96</v>
      </c>
      <c r="F513" s="6">
        <v>0.63</v>
      </c>
      <c r="G513" s="41" t="s">
        <v>338</v>
      </c>
      <c r="H513" s="30" t="s">
        <v>1531</v>
      </c>
      <c r="I513" s="22" t="s">
        <v>339</v>
      </c>
      <c r="J513" s="330">
        <v>72.38</v>
      </c>
      <c r="K513" s="330">
        <v>11.36</v>
      </c>
      <c r="L513" s="330">
        <v>2.4700000000000002</v>
      </c>
      <c r="N513" s="325">
        <f t="shared" ref="N513:N518" si="339">S513+K513+J513+L513</f>
        <v>96.69</v>
      </c>
      <c r="S513" s="330">
        <v>10.48</v>
      </c>
      <c r="T513" s="34">
        <v>1.75</v>
      </c>
      <c r="V513" s="97">
        <f t="shared" ref="V513:V518" si="340">T513/W513</f>
        <v>7.7433628318584066E-2</v>
      </c>
      <c r="W513" s="13">
        <v>22.6</v>
      </c>
      <c r="X513" s="67">
        <v>23.9</v>
      </c>
      <c r="Y513" s="15">
        <f t="shared" ref="Y513:Y519" si="341">W513-X513</f>
        <v>-1.2999999999999972</v>
      </c>
      <c r="Z513" s="78">
        <f t="shared" ref="Z513:Z519" si="342">Y513/X513</f>
        <v>-5.4393305439330429E-2</v>
      </c>
      <c r="AA513" s="117" t="s">
        <v>1634</v>
      </c>
      <c r="AB513" s="22" t="s">
        <v>339</v>
      </c>
      <c r="AC513" s="86">
        <v>43675</v>
      </c>
      <c r="AD513" s="85">
        <v>43724</v>
      </c>
      <c r="AE513" s="33">
        <f t="shared" ref="AE513:AE518" si="343">AD513-AC513</f>
        <v>49</v>
      </c>
      <c r="AF513" s="121"/>
    </row>
    <row r="514" spans="1:33" ht="16.5" customHeight="1">
      <c r="A514" s="121"/>
      <c r="B514" s="82">
        <v>-105</v>
      </c>
      <c r="C514" s="82">
        <v>-112</v>
      </c>
      <c r="D514" s="82">
        <v>-105</v>
      </c>
      <c r="E514" s="82">
        <v>-112</v>
      </c>
      <c r="F514" s="6">
        <v>-1.92</v>
      </c>
      <c r="G514" s="41" t="s">
        <v>338</v>
      </c>
      <c r="H514" s="30" t="s">
        <v>1531</v>
      </c>
      <c r="I514" s="22" t="s">
        <v>339</v>
      </c>
      <c r="J514" s="330">
        <v>71.709999999999994</v>
      </c>
      <c r="K514" s="330">
        <v>11.16</v>
      </c>
      <c r="L514" s="75">
        <v>2.56</v>
      </c>
      <c r="N514" s="325">
        <f t="shared" si="339"/>
        <v>95.91</v>
      </c>
      <c r="S514" s="330">
        <v>10.48</v>
      </c>
      <c r="T514" s="34">
        <v>1.75</v>
      </c>
      <c r="V514" s="97">
        <f t="shared" si="340"/>
        <v>7.7433628318584066E-2</v>
      </c>
      <c r="W514" s="36">
        <v>22.6</v>
      </c>
      <c r="X514" s="67">
        <v>21.15</v>
      </c>
      <c r="Y514" s="15">
        <f t="shared" si="341"/>
        <v>1.4500000000000028</v>
      </c>
      <c r="Z514" s="64">
        <f t="shared" si="342"/>
        <v>6.855791962174955E-2</v>
      </c>
      <c r="AA514" s="116" t="s">
        <v>1670</v>
      </c>
      <c r="AB514" s="22" t="s">
        <v>339</v>
      </c>
      <c r="AC514" s="86">
        <v>43707</v>
      </c>
      <c r="AD514" s="85">
        <v>43724</v>
      </c>
      <c r="AE514" s="33">
        <f t="shared" si="343"/>
        <v>17</v>
      </c>
      <c r="AF514" s="121"/>
      <c r="AG514" s="269"/>
    </row>
    <row r="515" spans="1:33" ht="16.5" customHeight="1">
      <c r="A515" s="121"/>
      <c r="B515" s="82">
        <v>-105</v>
      </c>
      <c r="C515" s="82">
        <v>-112</v>
      </c>
      <c r="D515" s="82">
        <v>-105</v>
      </c>
      <c r="E515" s="82">
        <v>-112</v>
      </c>
      <c r="F515" s="6">
        <v>-1.92</v>
      </c>
      <c r="G515" s="41" t="s">
        <v>338</v>
      </c>
      <c r="H515" s="30" t="s">
        <v>1531</v>
      </c>
      <c r="I515" s="22" t="s">
        <v>339</v>
      </c>
      <c r="J515" s="330">
        <v>71.22</v>
      </c>
      <c r="K515" s="75">
        <v>11.16</v>
      </c>
      <c r="L515" s="330">
        <v>2.6</v>
      </c>
      <c r="N515" s="325">
        <f t="shared" si="339"/>
        <v>95.46</v>
      </c>
      <c r="S515" s="330">
        <v>10.48</v>
      </c>
      <c r="T515" s="34">
        <v>1.75</v>
      </c>
      <c r="V515" s="97">
        <f t="shared" si="340"/>
        <v>7.7433628318584066E-2</v>
      </c>
      <c r="W515" s="36">
        <v>22.6</v>
      </c>
      <c r="X515" s="67">
        <v>21.75</v>
      </c>
      <c r="Y515" s="15">
        <f t="shared" si="341"/>
        <v>0.85000000000000142</v>
      </c>
      <c r="Z515" s="64">
        <f t="shared" si="342"/>
        <v>3.9080459770115004E-2</v>
      </c>
      <c r="AA515" s="116" t="s">
        <v>1681</v>
      </c>
      <c r="AB515" s="22" t="s">
        <v>339</v>
      </c>
      <c r="AC515" s="86">
        <v>43711</v>
      </c>
      <c r="AD515" s="85">
        <v>43724</v>
      </c>
      <c r="AE515" s="33">
        <f t="shared" si="343"/>
        <v>13</v>
      </c>
      <c r="AF515" s="121"/>
      <c r="AG515" s="269"/>
    </row>
    <row r="516" spans="1:33">
      <c r="B516" s="82">
        <v>-73</v>
      </c>
      <c r="C516" s="82">
        <v>-96</v>
      </c>
      <c r="D516" s="82">
        <v>-73</v>
      </c>
      <c r="E516" s="82">
        <v>-96</v>
      </c>
      <c r="F516" s="6">
        <v>0.63</v>
      </c>
      <c r="G516" s="41" t="s">
        <v>338</v>
      </c>
      <c r="H516" s="50" t="s">
        <v>1471</v>
      </c>
      <c r="I516" s="22" t="s">
        <v>339</v>
      </c>
      <c r="J516" s="330">
        <v>72.38</v>
      </c>
      <c r="K516" s="330">
        <v>11.36</v>
      </c>
      <c r="L516" s="330">
        <v>2.4700000000000002</v>
      </c>
      <c r="N516" s="325">
        <f t="shared" si="339"/>
        <v>96.69</v>
      </c>
      <c r="S516" s="330">
        <v>10.48</v>
      </c>
      <c r="T516" s="34">
        <v>1.75</v>
      </c>
      <c r="V516" s="97">
        <f t="shared" si="340"/>
        <v>7.7433628318584066E-2</v>
      </c>
      <c r="W516" s="13">
        <v>22.6</v>
      </c>
      <c r="X516" s="67">
        <v>23.9</v>
      </c>
      <c r="Y516" s="15">
        <f t="shared" si="341"/>
        <v>-1.2999999999999972</v>
      </c>
      <c r="Z516" s="78">
        <f t="shared" si="342"/>
        <v>-5.4393305439330429E-2</v>
      </c>
      <c r="AA516" s="117" t="s">
        <v>1634</v>
      </c>
      <c r="AB516" s="22" t="s">
        <v>339</v>
      </c>
      <c r="AC516" s="86">
        <v>43675</v>
      </c>
      <c r="AD516" s="85">
        <v>43724</v>
      </c>
      <c r="AE516" s="33">
        <f t="shared" si="343"/>
        <v>49</v>
      </c>
      <c r="AF516" s="121"/>
    </row>
    <row r="517" spans="1:33" ht="16.5" customHeight="1">
      <c r="A517" s="121"/>
      <c r="B517" s="82">
        <v>-105</v>
      </c>
      <c r="C517" s="82">
        <v>-112</v>
      </c>
      <c r="D517" s="82">
        <v>-105</v>
      </c>
      <c r="E517" s="82">
        <v>-112</v>
      </c>
      <c r="F517" s="6">
        <v>-1.92</v>
      </c>
      <c r="G517" s="41" t="s">
        <v>338</v>
      </c>
      <c r="H517" s="50" t="s">
        <v>1471</v>
      </c>
      <c r="I517" s="22" t="s">
        <v>339</v>
      </c>
      <c r="J517" s="330">
        <v>71.709999999999994</v>
      </c>
      <c r="K517" s="330">
        <v>11.16</v>
      </c>
      <c r="L517" s="75">
        <v>2.56</v>
      </c>
      <c r="N517" s="325">
        <f t="shared" si="339"/>
        <v>95.91</v>
      </c>
      <c r="S517" s="330">
        <v>10.48</v>
      </c>
      <c r="T517" s="34">
        <v>1.75</v>
      </c>
      <c r="V517" s="97">
        <f t="shared" si="340"/>
        <v>7.7433628318584066E-2</v>
      </c>
      <c r="W517" s="36">
        <v>22.6</v>
      </c>
      <c r="X517" s="67">
        <v>21.15</v>
      </c>
      <c r="Y517" s="15">
        <f t="shared" si="341"/>
        <v>1.4500000000000028</v>
      </c>
      <c r="Z517" s="64">
        <f t="shared" si="342"/>
        <v>6.855791962174955E-2</v>
      </c>
      <c r="AA517" s="116" t="s">
        <v>1670</v>
      </c>
      <c r="AB517" s="22" t="s">
        <v>339</v>
      </c>
      <c r="AC517" s="86">
        <v>43707</v>
      </c>
      <c r="AD517" s="85">
        <v>43724</v>
      </c>
      <c r="AE517" s="33">
        <f t="shared" si="343"/>
        <v>17</v>
      </c>
      <c r="AF517" s="121"/>
      <c r="AG517" s="269"/>
    </row>
    <row r="518" spans="1:33" ht="16.5" customHeight="1">
      <c r="A518" s="121"/>
      <c r="B518" s="82">
        <v>-105</v>
      </c>
      <c r="C518" s="82">
        <v>-112</v>
      </c>
      <c r="D518" s="82">
        <v>-105</v>
      </c>
      <c r="E518" s="82">
        <v>-112</v>
      </c>
      <c r="F518" s="6">
        <v>-1.92</v>
      </c>
      <c r="G518" s="41" t="s">
        <v>338</v>
      </c>
      <c r="H518" s="50" t="s">
        <v>1471</v>
      </c>
      <c r="I518" s="22" t="s">
        <v>339</v>
      </c>
      <c r="J518" s="330">
        <v>71.22</v>
      </c>
      <c r="K518" s="75">
        <v>11.16</v>
      </c>
      <c r="L518" s="330">
        <v>2.6</v>
      </c>
      <c r="N518" s="325">
        <f t="shared" si="339"/>
        <v>95.46</v>
      </c>
      <c r="S518" s="330">
        <v>10.48</v>
      </c>
      <c r="T518" s="34">
        <v>1.75</v>
      </c>
      <c r="V518" s="97">
        <f t="shared" si="340"/>
        <v>7.7433628318584066E-2</v>
      </c>
      <c r="W518" s="36">
        <v>22.6</v>
      </c>
      <c r="X518" s="67">
        <v>21.75</v>
      </c>
      <c r="Y518" s="15">
        <f t="shared" si="341"/>
        <v>0.85000000000000142</v>
      </c>
      <c r="Z518" s="64">
        <f t="shared" si="342"/>
        <v>3.9080459770115004E-2</v>
      </c>
      <c r="AA518" s="116" t="s">
        <v>1681</v>
      </c>
      <c r="AB518" s="22" t="s">
        <v>339</v>
      </c>
      <c r="AC518" s="86">
        <v>43711</v>
      </c>
      <c r="AD518" s="85">
        <v>43724</v>
      </c>
      <c r="AE518" s="33">
        <f t="shared" si="343"/>
        <v>13</v>
      </c>
      <c r="AF518" s="121"/>
      <c r="AG518" s="269"/>
    </row>
    <row r="519" spans="1:33">
      <c r="B519" s="82"/>
      <c r="C519" s="82"/>
      <c r="D519" s="82"/>
      <c r="E519" s="82"/>
      <c r="F519" s="6"/>
      <c r="G519" s="41"/>
      <c r="H519" s="8"/>
      <c r="I519" s="22"/>
      <c r="J519" s="330"/>
      <c r="K519" s="75"/>
      <c r="N519" s="325"/>
      <c r="T519" s="34"/>
      <c r="V519" s="97"/>
      <c r="W519" s="13">
        <f>SUM(W513:W518)</f>
        <v>135.6</v>
      </c>
      <c r="X519" s="67">
        <f>SUM(X513:X518)</f>
        <v>133.6</v>
      </c>
      <c r="Y519" s="15">
        <f t="shared" si="341"/>
        <v>2</v>
      </c>
      <c r="Z519" s="64">
        <f t="shared" si="342"/>
        <v>1.4970059880239521E-2</v>
      </c>
      <c r="AA519" s="117"/>
      <c r="AB519" s="22"/>
      <c r="AE519" s="33"/>
      <c r="AF519" s="121"/>
    </row>
    <row r="520" spans="1:33">
      <c r="A520" s="132" t="s">
        <v>1854</v>
      </c>
      <c r="B520" s="93" t="s">
        <v>1657</v>
      </c>
      <c r="C520" s="93" t="s">
        <v>1658</v>
      </c>
      <c r="D520" s="93" t="s">
        <v>1659</v>
      </c>
      <c r="E520" s="93" t="s">
        <v>1660</v>
      </c>
      <c r="F520" s="8" t="s">
        <v>1122</v>
      </c>
      <c r="G520" s="25" t="s">
        <v>415</v>
      </c>
      <c r="H520" s="55" t="s">
        <v>342</v>
      </c>
      <c r="I520" s="1" t="s">
        <v>79</v>
      </c>
      <c r="J520" s="324" t="s">
        <v>1529</v>
      </c>
      <c r="K520" s="324" t="s">
        <v>1217</v>
      </c>
      <c r="L520" s="324" t="s">
        <v>298</v>
      </c>
      <c r="M520" s="324"/>
      <c r="N520" s="324" t="s">
        <v>1121</v>
      </c>
      <c r="S520" s="330" t="s">
        <v>1115</v>
      </c>
      <c r="T520" s="10" t="s">
        <v>75</v>
      </c>
      <c r="V520" s="69" t="s">
        <v>1571</v>
      </c>
      <c r="W520" s="28" t="s">
        <v>2</v>
      </c>
      <c r="X520" s="17" t="s">
        <v>1465</v>
      </c>
      <c r="Y520" s="14" t="s">
        <v>5</v>
      </c>
      <c r="Z520" s="21" t="s">
        <v>3</v>
      </c>
      <c r="AA520" s="25" t="s">
        <v>117</v>
      </c>
      <c r="AB520" s="1" t="s">
        <v>79</v>
      </c>
      <c r="AC520" s="73" t="s">
        <v>1466</v>
      </c>
      <c r="AD520" s="74" t="s">
        <v>1223</v>
      </c>
      <c r="AE520" s="32" t="s">
        <v>1224</v>
      </c>
    </row>
    <row r="521" spans="1:33">
      <c r="B521" s="82">
        <v>-68</v>
      </c>
      <c r="C521" s="82">
        <v>-85</v>
      </c>
      <c r="D521" s="82">
        <v>-68</v>
      </c>
      <c r="E521" s="82">
        <v>-85</v>
      </c>
      <c r="F521" s="6">
        <v>1.94</v>
      </c>
      <c r="G521" s="41" t="s">
        <v>1123</v>
      </c>
      <c r="H521" s="30" t="s">
        <v>1531</v>
      </c>
      <c r="I521" s="22" t="s">
        <v>122</v>
      </c>
      <c r="J521" s="330">
        <v>67.84</v>
      </c>
      <c r="K521" s="330">
        <v>25.17</v>
      </c>
      <c r="L521" s="330">
        <v>6.39</v>
      </c>
      <c r="N521" s="325">
        <f t="shared" ref="N521:N530" si="344">S521+K521+J521+L521</f>
        <v>112.85000000000001</v>
      </c>
      <c r="S521" s="330">
        <v>13.45</v>
      </c>
      <c r="T521" s="34">
        <v>1.2</v>
      </c>
      <c r="V521" s="97">
        <f t="shared" ref="V521:V530" si="345">T521/W521</f>
        <v>8.1355932203389825E-2</v>
      </c>
      <c r="W521" s="13">
        <v>14.75</v>
      </c>
      <c r="X521" s="67">
        <v>15</v>
      </c>
      <c r="Y521" s="15">
        <f t="shared" ref="Y521:Y527" si="346">W521-X521</f>
        <v>-0.25</v>
      </c>
      <c r="Z521" s="64">
        <f t="shared" ref="Z521:Z527" si="347">Y521/X521</f>
        <v>-1.6666666666666666E-2</v>
      </c>
      <c r="AA521" s="116" t="s">
        <v>1581</v>
      </c>
      <c r="AB521" s="22" t="s">
        <v>122</v>
      </c>
      <c r="AC521" s="86">
        <v>43675</v>
      </c>
      <c r="AD521" s="85">
        <v>43724</v>
      </c>
      <c r="AE521" s="33">
        <f t="shared" ref="AE521:AE527" si="348">AD521-AC521</f>
        <v>49</v>
      </c>
      <c r="AF521" s="121"/>
    </row>
    <row r="522" spans="1:33" ht="16.5" customHeight="1">
      <c r="B522" s="82">
        <v>-68</v>
      </c>
      <c r="C522" s="82">
        <v>-85</v>
      </c>
      <c r="D522" s="82">
        <v>-68</v>
      </c>
      <c r="E522" s="82">
        <v>-85</v>
      </c>
      <c r="F522" s="6">
        <v>1.94</v>
      </c>
      <c r="G522" s="41" t="s">
        <v>1123</v>
      </c>
      <c r="H522" s="30" t="s">
        <v>1531</v>
      </c>
      <c r="I522" s="22" t="s">
        <v>122</v>
      </c>
      <c r="J522" s="330">
        <v>67.599999999999994</v>
      </c>
      <c r="K522" s="330">
        <v>24.67</v>
      </c>
      <c r="L522" s="75">
        <v>6.45</v>
      </c>
      <c r="N522" s="325">
        <f t="shared" si="344"/>
        <v>112.17</v>
      </c>
      <c r="S522" s="330">
        <v>13.45</v>
      </c>
      <c r="T522" s="34">
        <v>1.2</v>
      </c>
      <c r="V522" s="97">
        <f t="shared" si="345"/>
        <v>8.1355932203389825E-2</v>
      </c>
      <c r="W522" s="36">
        <v>14.75</v>
      </c>
      <c r="X522" s="67">
        <v>13.65</v>
      </c>
      <c r="Y522" s="15">
        <f t="shared" si="346"/>
        <v>1.0999999999999996</v>
      </c>
      <c r="Z522" s="64">
        <f t="shared" si="347"/>
        <v>8.0586080586080563E-2</v>
      </c>
      <c r="AA522" s="116" t="s">
        <v>1669</v>
      </c>
      <c r="AB522" s="22" t="s">
        <v>122</v>
      </c>
      <c r="AC522" s="86">
        <v>43699</v>
      </c>
      <c r="AD522" s="85">
        <v>43724</v>
      </c>
      <c r="AE522" s="33">
        <f t="shared" si="348"/>
        <v>25</v>
      </c>
      <c r="AF522" s="121"/>
    </row>
    <row r="523" spans="1:33" ht="16.5" customHeight="1">
      <c r="B523" s="82">
        <v>-68</v>
      </c>
      <c r="C523" s="82">
        <v>-85</v>
      </c>
      <c r="D523" s="82">
        <v>-68</v>
      </c>
      <c r="E523" s="82">
        <v>-85</v>
      </c>
      <c r="F523" s="6">
        <v>1.94</v>
      </c>
      <c r="G523" s="41" t="s">
        <v>1123</v>
      </c>
      <c r="H523" s="30" t="s">
        <v>1531</v>
      </c>
      <c r="I523" s="22" t="s">
        <v>122</v>
      </c>
      <c r="J523" s="330">
        <v>67.599999999999994</v>
      </c>
      <c r="K523" s="330">
        <v>24.67</v>
      </c>
      <c r="L523" s="75">
        <v>6.45</v>
      </c>
      <c r="N523" s="325">
        <f t="shared" si="344"/>
        <v>112.17</v>
      </c>
      <c r="S523" s="330">
        <v>13.45</v>
      </c>
      <c r="T523" s="34">
        <v>1.2</v>
      </c>
      <c r="V523" s="97">
        <f t="shared" si="345"/>
        <v>8.1355932203389825E-2</v>
      </c>
      <c r="W523" s="36">
        <v>14.75</v>
      </c>
      <c r="X523" s="67">
        <v>13.65</v>
      </c>
      <c r="Y523" s="15">
        <f t="shared" si="346"/>
        <v>1.0999999999999996</v>
      </c>
      <c r="Z523" s="64">
        <f t="shared" si="347"/>
        <v>8.0586080586080563E-2</v>
      </c>
      <c r="AA523" s="116" t="s">
        <v>1669</v>
      </c>
      <c r="AB523" s="22" t="s">
        <v>122</v>
      </c>
      <c r="AC523" s="86">
        <v>43699</v>
      </c>
      <c r="AD523" s="85">
        <v>43724</v>
      </c>
      <c r="AE523" s="33">
        <f t="shared" si="348"/>
        <v>25</v>
      </c>
      <c r="AF523" s="121"/>
    </row>
    <row r="524" spans="1:33" ht="16.5" customHeight="1">
      <c r="A524" s="121"/>
      <c r="B524" s="82">
        <v>-68</v>
      </c>
      <c r="C524" s="82">
        <v>-85</v>
      </c>
      <c r="D524" s="82">
        <v>-68</v>
      </c>
      <c r="E524" s="82">
        <v>-85</v>
      </c>
      <c r="F524" s="6">
        <v>1.94</v>
      </c>
      <c r="G524" s="41" t="s">
        <v>1123</v>
      </c>
      <c r="H524" s="30" t="s">
        <v>1531</v>
      </c>
      <c r="I524" s="22" t="s">
        <v>122</v>
      </c>
      <c r="J524" s="75">
        <v>67.58</v>
      </c>
      <c r="K524" s="330">
        <v>24.53</v>
      </c>
      <c r="L524" s="330">
        <v>6.44</v>
      </c>
      <c r="N524" s="325">
        <f t="shared" si="344"/>
        <v>112</v>
      </c>
      <c r="S524" s="330">
        <v>13.45</v>
      </c>
      <c r="T524" s="34">
        <v>1.2</v>
      </c>
      <c r="V524" s="97">
        <f t="shared" si="345"/>
        <v>8.1355932203389825E-2</v>
      </c>
      <c r="W524" s="36">
        <v>14.75</v>
      </c>
      <c r="X524" s="67">
        <v>14</v>
      </c>
      <c r="Y524" s="15">
        <f>W524-X524</f>
        <v>0.75</v>
      </c>
      <c r="Z524" s="64">
        <f>Y524/X524</f>
        <v>5.3571428571428568E-2</v>
      </c>
      <c r="AA524" s="116" t="s">
        <v>1527</v>
      </c>
      <c r="AB524" s="22" t="s">
        <v>122</v>
      </c>
      <c r="AC524" s="86">
        <v>43710</v>
      </c>
      <c r="AD524" s="85">
        <v>43724</v>
      </c>
      <c r="AE524" s="33">
        <f>AD524-AC524</f>
        <v>14</v>
      </c>
      <c r="AF524" s="121"/>
      <c r="AG524" s="269"/>
    </row>
    <row r="525" spans="1:33">
      <c r="B525" s="82">
        <v>-68</v>
      </c>
      <c r="C525" s="82">
        <v>-85</v>
      </c>
      <c r="D525" s="82">
        <v>-68</v>
      </c>
      <c r="E525" s="82">
        <v>-85</v>
      </c>
      <c r="F525" s="6">
        <v>1.94</v>
      </c>
      <c r="G525" s="41" t="s">
        <v>1123</v>
      </c>
      <c r="H525" s="50" t="s">
        <v>1471</v>
      </c>
      <c r="I525" s="22" t="s">
        <v>122</v>
      </c>
      <c r="J525" s="330">
        <v>67.84</v>
      </c>
      <c r="K525" s="330">
        <v>25.17</v>
      </c>
      <c r="L525" s="330">
        <v>6.39</v>
      </c>
      <c r="N525" s="325">
        <f t="shared" si="344"/>
        <v>112.85000000000001</v>
      </c>
      <c r="S525" s="330">
        <v>13.45</v>
      </c>
      <c r="T525" s="34">
        <v>1.2</v>
      </c>
      <c r="V525" s="97">
        <f t="shared" si="345"/>
        <v>8.1355932203389825E-2</v>
      </c>
      <c r="W525" s="13">
        <v>14.75</v>
      </c>
      <c r="X525" s="67">
        <v>15</v>
      </c>
      <c r="Y525" s="15">
        <f t="shared" si="346"/>
        <v>-0.25</v>
      </c>
      <c r="Z525" s="64">
        <f t="shared" si="347"/>
        <v>-1.6666666666666666E-2</v>
      </c>
      <c r="AA525" s="116" t="s">
        <v>1581</v>
      </c>
      <c r="AB525" s="22" t="s">
        <v>122</v>
      </c>
      <c r="AC525" s="86">
        <v>43675</v>
      </c>
      <c r="AD525" s="85">
        <v>43724</v>
      </c>
      <c r="AE525" s="33">
        <f t="shared" si="348"/>
        <v>49</v>
      </c>
      <c r="AF525" s="121"/>
    </row>
    <row r="526" spans="1:33" ht="16.5" customHeight="1">
      <c r="B526" s="82">
        <v>-68</v>
      </c>
      <c r="C526" s="82">
        <v>-85</v>
      </c>
      <c r="D526" s="82">
        <v>-68</v>
      </c>
      <c r="E526" s="82">
        <v>-85</v>
      </c>
      <c r="F526" s="6">
        <v>1.94</v>
      </c>
      <c r="G526" s="41" t="s">
        <v>1123</v>
      </c>
      <c r="H526" s="50" t="s">
        <v>1471</v>
      </c>
      <c r="I526" s="22" t="s">
        <v>122</v>
      </c>
      <c r="J526" s="330">
        <v>67.599999999999994</v>
      </c>
      <c r="K526" s="330">
        <v>24.67</v>
      </c>
      <c r="L526" s="75">
        <v>6.45</v>
      </c>
      <c r="N526" s="325">
        <f t="shared" si="344"/>
        <v>112.17</v>
      </c>
      <c r="S526" s="330">
        <v>13.45</v>
      </c>
      <c r="T526" s="34">
        <v>1.2</v>
      </c>
      <c r="V526" s="97">
        <f t="shared" si="345"/>
        <v>8.1355932203389825E-2</v>
      </c>
      <c r="W526" s="36">
        <v>14.75</v>
      </c>
      <c r="X526" s="67">
        <v>13.65</v>
      </c>
      <c r="Y526" s="15">
        <f t="shared" si="346"/>
        <v>1.0999999999999996</v>
      </c>
      <c r="Z526" s="64">
        <f t="shared" si="347"/>
        <v>8.0586080586080563E-2</v>
      </c>
      <c r="AA526" s="116" t="s">
        <v>1669</v>
      </c>
      <c r="AB526" s="22" t="s">
        <v>122</v>
      </c>
      <c r="AC526" s="86">
        <v>43699</v>
      </c>
      <c r="AD526" s="85">
        <v>43724</v>
      </c>
      <c r="AE526" s="33">
        <f t="shared" si="348"/>
        <v>25</v>
      </c>
      <c r="AF526" s="121"/>
    </row>
    <row r="527" spans="1:33" ht="16.5" customHeight="1">
      <c r="B527" s="82">
        <v>-68</v>
      </c>
      <c r="C527" s="82">
        <v>-85</v>
      </c>
      <c r="D527" s="82">
        <v>-68</v>
      </c>
      <c r="E527" s="82">
        <v>-85</v>
      </c>
      <c r="F527" s="6">
        <v>1.94</v>
      </c>
      <c r="G527" s="41" t="s">
        <v>1123</v>
      </c>
      <c r="H527" s="50" t="s">
        <v>1471</v>
      </c>
      <c r="I527" s="22" t="s">
        <v>122</v>
      </c>
      <c r="J527" s="330">
        <v>67.599999999999994</v>
      </c>
      <c r="K527" s="330">
        <v>24.67</v>
      </c>
      <c r="L527" s="75">
        <v>6.45</v>
      </c>
      <c r="N527" s="325">
        <f t="shared" si="344"/>
        <v>112.17</v>
      </c>
      <c r="S527" s="330">
        <v>13.45</v>
      </c>
      <c r="T527" s="34">
        <v>1.2</v>
      </c>
      <c r="V527" s="97">
        <f t="shared" si="345"/>
        <v>8.1355932203389825E-2</v>
      </c>
      <c r="W527" s="36">
        <v>14.75</v>
      </c>
      <c r="X527" s="67">
        <v>13.65</v>
      </c>
      <c r="Y527" s="15">
        <f t="shared" si="346"/>
        <v>1.0999999999999996</v>
      </c>
      <c r="Z527" s="64">
        <f t="shared" si="347"/>
        <v>8.0586080586080563E-2</v>
      </c>
      <c r="AA527" s="116" t="s">
        <v>1669</v>
      </c>
      <c r="AB527" s="22" t="s">
        <v>122</v>
      </c>
      <c r="AC527" s="86">
        <v>43699</v>
      </c>
      <c r="AD527" s="85">
        <v>43724</v>
      </c>
      <c r="AE527" s="33">
        <f t="shared" si="348"/>
        <v>25</v>
      </c>
      <c r="AF527" s="121"/>
    </row>
    <row r="528" spans="1:33" ht="16.5" customHeight="1">
      <c r="A528" s="121"/>
      <c r="B528" s="82">
        <v>-68</v>
      </c>
      <c r="C528" s="82">
        <v>-85</v>
      </c>
      <c r="D528" s="82">
        <v>-68</v>
      </c>
      <c r="E528" s="82">
        <v>-85</v>
      </c>
      <c r="F528" s="6">
        <v>1.94</v>
      </c>
      <c r="G528" s="41" t="s">
        <v>1123</v>
      </c>
      <c r="H528" s="50" t="s">
        <v>1471</v>
      </c>
      <c r="I528" s="22" t="s">
        <v>122</v>
      </c>
      <c r="J528" s="75">
        <v>67.58</v>
      </c>
      <c r="K528" s="330">
        <v>24.53</v>
      </c>
      <c r="L528" s="330">
        <v>6.44</v>
      </c>
      <c r="N528" s="325">
        <f t="shared" si="344"/>
        <v>112</v>
      </c>
      <c r="S528" s="330">
        <v>13.45</v>
      </c>
      <c r="T528" s="34">
        <v>1.2</v>
      </c>
      <c r="V528" s="97">
        <f t="shared" si="345"/>
        <v>8.1355932203389825E-2</v>
      </c>
      <c r="W528" s="36">
        <v>14.75</v>
      </c>
      <c r="X528" s="67">
        <v>13.95</v>
      </c>
      <c r="Y528" s="15">
        <f>W528-X528</f>
        <v>0.80000000000000071</v>
      </c>
      <c r="Z528" s="64">
        <f>Y528/X528</f>
        <v>5.7347670250896113E-2</v>
      </c>
      <c r="AA528" s="116" t="s">
        <v>1672</v>
      </c>
      <c r="AB528" s="22" t="s">
        <v>122</v>
      </c>
      <c r="AC528" s="86">
        <v>43710</v>
      </c>
      <c r="AD528" s="85">
        <v>43724</v>
      </c>
      <c r="AE528" s="33">
        <f>AD528-AC528</f>
        <v>14</v>
      </c>
      <c r="AF528" s="121"/>
      <c r="AG528" s="269"/>
    </row>
    <row r="529" spans="1:44" ht="16.5" customHeight="1">
      <c r="A529" s="121"/>
      <c r="B529" s="82">
        <v>-68</v>
      </c>
      <c r="C529" s="82">
        <v>-85</v>
      </c>
      <c r="D529" s="82">
        <v>-68</v>
      </c>
      <c r="E529" s="82">
        <v>-85</v>
      </c>
      <c r="F529" s="6">
        <v>1.94</v>
      </c>
      <c r="G529" s="41" t="s">
        <v>1123</v>
      </c>
      <c r="H529" s="50" t="s">
        <v>1471</v>
      </c>
      <c r="I529" s="22" t="s">
        <v>122</v>
      </c>
      <c r="J529" s="75">
        <v>67.58</v>
      </c>
      <c r="K529" s="330">
        <v>24.5</v>
      </c>
      <c r="L529" s="75">
        <v>6.5</v>
      </c>
      <c r="N529" s="325">
        <f t="shared" si="344"/>
        <v>112.03</v>
      </c>
      <c r="S529" s="330">
        <v>13.45</v>
      </c>
      <c r="T529" s="34">
        <v>1.2</v>
      </c>
      <c r="V529" s="97">
        <f t="shared" si="345"/>
        <v>8.1355932203389825E-2</v>
      </c>
      <c r="W529" s="36">
        <v>14.75</v>
      </c>
      <c r="X529" s="67">
        <v>14.15</v>
      </c>
      <c r="Y529" s="15">
        <f>W529-X529</f>
        <v>0.59999999999999964</v>
      </c>
      <c r="Z529" s="64">
        <f>Y529/X529</f>
        <v>4.240282685512365E-2</v>
      </c>
      <c r="AA529" s="116" t="s">
        <v>1673</v>
      </c>
      <c r="AB529" s="22" t="s">
        <v>122</v>
      </c>
      <c r="AC529" s="86">
        <v>43711</v>
      </c>
      <c r="AD529" s="85">
        <v>43724</v>
      </c>
      <c r="AE529" s="33">
        <f>AD529-AC529</f>
        <v>13</v>
      </c>
      <c r="AF529" s="121"/>
      <c r="AG529" s="269"/>
    </row>
    <row r="530" spans="1:44" ht="16.5" customHeight="1">
      <c r="A530" s="121"/>
      <c r="B530" s="82">
        <v>-68</v>
      </c>
      <c r="C530" s="82">
        <v>-85</v>
      </c>
      <c r="D530" s="82">
        <v>-68</v>
      </c>
      <c r="E530" s="82">
        <v>-85</v>
      </c>
      <c r="F530" s="6">
        <v>1.94</v>
      </c>
      <c r="G530" s="41" t="s">
        <v>1123</v>
      </c>
      <c r="H530" s="50" t="s">
        <v>1471</v>
      </c>
      <c r="I530" s="22" t="s">
        <v>122</v>
      </c>
      <c r="J530" s="75">
        <v>67.58</v>
      </c>
      <c r="K530" s="330">
        <v>24.5</v>
      </c>
      <c r="L530" s="75">
        <v>6.5</v>
      </c>
      <c r="N530" s="325">
        <f t="shared" si="344"/>
        <v>112.03</v>
      </c>
      <c r="S530" s="330">
        <v>13.45</v>
      </c>
      <c r="T530" s="34">
        <v>1.2</v>
      </c>
      <c r="V530" s="97">
        <f t="shared" si="345"/>
        <v>8.1355932203389825E-2</v>
      </c>
      <c r="W530" s="36">
        <v>14.75</v>
      </c>
      <c r="X530" s="67">
        <v>14.15</v>
      </c>
      <c r="Y530" s="15">
        <f>W530-X530</f>
        <v>0.59999999999999964</v>
      </c>
      <c r="Z530" s="64">
        <f>Y530/X530</f>
        <v>4.240282685512365E-2</v>
      </c>
      <c r="AA530" s="116" t="s">
        <v>1673</v>
      </c>
      <c r="AB530" s="22" t="s">
        <v>122</v>
      </c>
      <c r="AC530" s="86">
        <v>43711</v>
      </c>
      <c r="AD530" s="85">
        <v>43724</v>
      </c>
      <c r="AE530" s="33">
        <f>AD530-AC530</f>
        <v>13</v>
      </c>
      <c r="AF530" s="121"/>
      <c r="AG530" s="269"/>
    </row>
    <row r="531" spans="1:44">
      <c r="B531" s="82"/>
      <c r="C531" s="82"/>
      <c r="D531" s="82"/>
      <c r="E531" s="82"/>
      <c r="F531" s="6"/>
      <c r="G531" s="41"/>
      <c r="H531" s="8"/>
      <c r="I531" s="22"/>
      <c r="J531" s="330"/>
      <c r="K531" s="330"/>
      <c r="N531" s="325"/>
      <c r="T531" s="34"/>
      <c r="V531" s="97"/>
      <c r="W531" s="13">
        <f>SUM(W521:W530)</f>
        <v>147.5</v>
      </c>
      <c r="X531" s="67">
        <f>SUM(X521:X530)</f>
        <v>140.85000000000002</v>
      </c>
      <c r="Y531" s="15">
        <f>W531-X531</f>
        <v>6.6499999999999773</v>
      </c>
      <c r="Z531" s="64">
        <f>Y531/X531</f>
        <v>4.7213347532836181E-2</v>
      </c>
      <c r="AA531" s="116"/>
      <c r="AB531" s="22"/>
      <c r="AE531" s="33"/>
      <c r="AF531" s="121"/>
    </row>
    <row r="532" spans="1:44">
      <c r="A532" s="132" t="s">
        <v>1854</v>
      </c>
      <c r="B532" s="93" t="s">
        <v>1657</v>
      </c>
      <c r="C532" s="93" t="s">
        <v>1658</v>
      </c>
      <c r="D532" s="93" t="s">
        <v>1659</v>
      </c>
      <c r="E532" s="93" t="s">
        <v>1660</v>
      </c>
      <c r="F532" s="8" t="s">
        <v>1122</v>
      </c>
      <c r="G532" s="25" t="s">
        <v>415</v>
      </c>
      <c r="H532" s="55" t="s">
        <v>342</v>
      </c>
      <c r="I532" s="1" t="s">
        <v>79</v>
      </c>
      <c r="J532" s="324" t="s">
        <v>1529</v>
      </c>
      <c r="K532" s="324" t="s">
        <v>1217</v>
      </c>
      <c r="L532" s="324" t="s">
        <v>298</v>
      </c>
      <c r="M532" s="324"/>
      <c r="N532" s="324" t="s">
        <v>1121</v>
      </c>
      <c r="S532" s="330" t="s">
        <v>1115</v>
      </c>
      <c r="T532" s="10" t="s">
        <v>75</v>
      </c>
      <c r="V532" s="69" t="s">
        <v>1571</v>
      </c>
      <c r="W532" s="28" t="s">
        <v>2</v>
      </c>
      <c r="X532" s="17" t="s">
        <v>1465</v>
      </c>
      <c r="Y532" s="14" t="s">
        <v>5</v>
      </c>
      <c r="Z532" s="21" t="s">
        <v>3</v>
      </c>
      <c r="AA532" s="25" t="s">
        <v>117</v>
      </c>
      <c r="AB532" s="1" t="s">
        <v>79</v>
      </c>
      <c r="AC532" s="73" t="s">
        <v>1466</v>
      </c>
      <c r="AD532" s="74" t="s">
        <v>1223</v>
      </c>
      <c r="AE532" s="32" t="s">
        <v>1224</v>
      </c>
      <c r="AF532" s="41"/>
    </row>
    <row r="533" spans="1:44" s="7" customFormat="1" ht="17.100000000000001" customHeight="1">
      <c r="A533" s="41"/>
      <c r="B533" s="82">
        <v>-28</v>
      </c>
      <c r="C533" s="82">
        <v>-33</v>
      </c>
      <c r="D533" s="82">
        <v>-28</v>
      </c>
      <c r="E533" s="82">
        <v>-33</v>
      </c>
      <c r="F533" s="6">
        <v>4.51</v>
      </c>
      <c r="G533" s="41" t="s">
        <v>355</v>
      </c>
      <c r="H533" s="8" t="s">
        <v>1470</v>
      </c>
      <c r="I533" s="22" t="s">
        <v>71</v>
      </c>
      <c r="J533" s="75">
        <v>60.93</v>
      </c>
      <c r="K533" s="330">
        <v>34.159999999999997</v>
      </c>
      <c r="L533" s="75">
        <v>1.87</v>
      </c>
      <c r="M533" s="325"/>
      <c r="N533" s="325">
        <f t="shared" ref="N533:N542" si="349">S533+K533+J533+L533</f>
        <v>111.6</v>
      </c>
      <c r="O533" s="329"/>
      <c r="P533" s="390"/>
      <c r="Q533" s="362"/>
      <c r="R533" s="308"/>
      <c r="S533" s="330">
        <v>14.64</v>
      </c>
      <c r="T533" s="34">
        <v>0.3</v>
      </c>
      <c r="U533" s="367"/>
      <c r="V533" s="97">
        <f t="shared" ref="V533:V542" si="350">T533/W533</f>
        <v>2.1660649819494584E-2</v>
      </c>
      <c r="W533" s="13">
        <v>13.85</v>
      </c>
      <c r="X533" s="67">
        <f>16.97-0.3-0.3-0.47</f>
        <v>15.899999999999997</v>
      </c>
      <c r="Y533" s="15">
        <f>W533-X533</f>
        <v>-2.0499999999999972</v>
      </c>
      <c r="Z533" s="78">
        <f>Y533/X533</f>
        <v>-0.12893081761006275</v>
      </c>
      <c r="AA533" s="118" t="s">
        <v>1674</v>
      </c>
      <c r="AB533" s="22" t="s">
        <v>71</v>
      </c>
      <c r="AC533" s="86">
        <v>42719</v>
      </c>
      <c r="AD533" s="85">
        <v>43724</v>
      </c>
      <c r="AE533" s="140">
        <f>AD533-AC533</f>
        <v>1005</v>
      </c>
      <c r="AF533" s="121"/>
      <c r="AG533" s="27"/>
      <c r="AH533" s="17"/>
      <c r="AI533" s="11"/>
      <c r="AJ533" s="11"/>
      <c r="AK533" s="11"/>
      <c r="AL533" s="11"/>
      <c r="AM533" s="269"/>
      <c r="AN533" s="269"/>
      <c r="AP533" s="4"/>
      <c r="AQ533" s="269"/>
      <c r="AR533" s="269"/>
    </row>
    <row r="534" spans="1:44" s="7" customFormat="1" ht="17.100000000000001" customHeight="1">
      <c r="A534" s="41"/>
      <c r="B534" s="82">
        <v>-28</v>
      </c>
      <c r="C534" s="82">
        <v>-33</v>
      </c>
      <c r="D534" s="82">
        <v>-28</v>
      </c>
      <c r="E534" s="82">
        <v>-33</v>
      </c>
      <c r="F534" s="6">
        <v>4.51</v>
      </c>
      <c r="G534" s="41" t="s">
        <v>355</v>
      </c>
      <c r="H534" s="50" t="s">
        <v>1471</v>
      </c>
      <c r="I534" s="22" t="s">
        <v>71</v>
      </c>
      <c r="J534" s="75">
        <v>60.93</v>
      </c>
      <c r="K534" s="330">
        <v>34.159999999999997</v>
      </c>
      <c r="L534" s="75">
        <v>1.87</v>
      </c>
      <c r="M534" s="325"/>
      <c r="N534" s="325">
        <f t="shared" si="349"/>
        <v>111.6</v>
      </c>
      <c r="O534" s="329"/>
      <c r="P534" s="390"/>
      <c r="Q534" s="362"/>
      <c r="R534" s="308"/>
      <c r="S534" s="330">
        <v>14.64</v>
      </c>
      <c r="T534" s="34">
        <v>0.3</v>
      </c>
      <c r="U534" s="367"/>
      <c r="V534" s="97">
        <f t="shared" si="350"/>
        <v>2.1660649819494584E-2</v>
      </c>
      <c r="W534" s="13">
        <v>13.85</v>
      </c>
      <c r="X534" s="67">
        <f>16.87-0.3-0.3-0.46</f>
        <v>15.809999999999999</v>
      </c>
      <c r="Y534" s="15">
        <f>W534-X534</f>
        <v>-1.9599999999999991</v>
      </c>
      <c r="Z534" s="78">
        <f>Y534/X534</f>
        <v>-0.12397216951296643</v>
      </c>
      <c r="AA534" s="118" t="s">
        <v>1675</v>
      </c>
      <c r="AB534" s="22" t="s">
        <v>71</v>
      </c>
      <c r="AC534" s="86">
        <v>42718</v>
      </c>
      <c r="AD534" s="85">
        <v>43724</v>
      </c>
      <c r="AE534" s="140">
        <f>AD534-AC534</f>
        <v>1006</v>
      </c>
      <c r="AF534" s="121"/>
      <c r="AG534" s="27"/>
      <c r="AH534" s="17"/>
      <c r="AI534" s="11"/>
      <c r="AJ534" s="11"/>
      <c r="AK534" s="11"/>
      <c r="AL534" s="11"/>
      <c r="AM534" s="269"/>
      <c r="AN534" s="269"/>
      <c r="AP534" s="4"/>
      <c r="AQ534" s="269"/>
      <c r="AR534" s="269"/>
    </row>
    <row r="535" spans="1:44" s="7" customFormat="1" ht="17.100000000000001" customHeight="1">
      <c r="A535" s="41"/>
      <c r="B535" s="82">
        <v>-28</v>
      </c>
      <c r="C535" s="82">
        <v>-33</v>
      </c>
      <c r="D535" s="82">
        <v>-28</v>
      </c>
      <c r="E535" s="82">
        <v>-33</v>
      </c>
      <c r="F535" s="6">
        <v>4.51</v>
      </c>
      <c r="G535" s="41" t="s">
        <v>355</v>
      </c>
      <c r="H535" s="8" t="s">
        <v>1470</v>
      </c>
      <c r="I535" s="22" t="s">
        <v>71</v>
      </c>
      <c r="J535" s="75">
        <v>60.93</v>
      </c>
      <c r="K535" s="330">
        <v>34.159999999999997</v>
      </c>
      <c r="L535" s="75">
        <v>1.87</v>
      </c>
      <c r="M535" s="325"/>
      <c r="N535" s="325">
        <f t="shared" si="349"/>
        <v>111.6</v>
      </c>
      <c r="O535" s="329"/>
      <c r="P535" s="390"/>
      <c r="Q535" s="362"/>
      <c r="R535" s="308"/>
      <c r="S535" s="330">
        <v>14.64</v>
      </c>
      <c r="T535" s="34">
        <v>0.3</v>
      </c>
      <c r="U535" s="367"/>
      <c r="V535" s="97">
        <f t="shared" si="350"/>
        <v>2.3255813953488372E-2</v>
      </c>
      <c r="W535" s="13">
        <v>12.9</v>
      </c>
      <c r="X535" s="67">
        <f>13.82-0.3</f>
        <v>13.52</v>
      </c>
      <c r="Y535" s="15">
        <f>W535-X535</f>
        <v>-0.61999999999999922</v>
      </c>
      <c r="Z535" s="78">
        <f>Y535/X535</f>
        <v>-4.5857988165680416E-2</v>
      </c>
      <c r="AA535" s="118" t="s">
        <v>1667</v>
      </c>
      <c r="AB535" s="22" t="s">
        <v>71</v>
      </c>
      <c r="AC535" s="86">
        <v>43350</v>
      </c>
      <c r="AD535" s="85">
        <v>43724</v>
      </c>
      <c r="AE535" s="79">
        <f>AD535-AC535</f>
        <v>374</v>
      </c>
      <c r="AF535" s="121"/>
      <c r="AG535" s="27"/>
      <c r="AH535" s="17"/>
      <c r="AI535" s="11"/>
      <c r="AJ535" s="11"/>
      <c r="AK535" s="11"/>
      <c r="AL535" s="11"/>
      <c r="AM535" s="269"/>
      <c r="AN535" s="269"/>
      <c r="AP535" s="4"/>
      <c r="AQ535" s="269"/>
      <c r="AR535" s="269"/>
    </row>
    <row r="536" spans="1:44" s="7" customFormat="1" ht="17.100000000000001" customHeight="1">
      <c r="A536" s="41"/>
      <c r="B536" s="82">
        <v>-28</v>
      </c>
      <c r="C536" s="82">
        <v>-33</v>
      </c>
      <c r="D536" s="82">
        <v>-28</v>
      </c>
      <c r="E536" s="82">
        <v>-33</v>
      </c>
      <c r="F536" s="6">
        <v>4.51</v>
      </c>
      <c r="G536" s="41" t="s">
        <v>355</v>
      </c>
      <c r="H536" s="50" t="s">
        <v>1471</v>
      </c>
      <c r="I536" s="22" t="s">
        <v>71</v>
      </c>
      <c r="J536" s="75">
        <v>60.93</v>
      </c>
      <c r="K536" s="330">
        <v>34.159999999999997</v>
      </c>
      <c r="L536" s="75">
        <v>1.87</v>
      </c>
      <c r="M536" s="325"/>
      <c r="N536" s="325">
        <f t="shared" si="349"/>
        <v>111.6</v>
      </c>
      <c r="O536" s="329"/>
      <c r="P536" s="390"/>
      <c r="Q536" s="362"/>
      <c r="R536" s="308"/>
      <c r="S536" s="330">
        <v>14.64</v>
      </c>
      <c r="T536" s="34">
        <v>0.3</v>
      </c>
      <c r="U536" s="367"/>
      <c r="V536" s="97">
        <f t="shared" si="350"/>
        <v>2.2058823529411766E-2</v>
      </c>
      <c r="W536" s="13">
        <v>13.6</v>
      </c>
      <c r="X536" s="67">
        <f>13.82-0.3</f>
        <v>13.52</v>
      </c>
      <c r="Y536" s="15">
        <f>W536-X536</f>
        <v>8.0000000000000071E-2</v>
      </c>
      <c r="Z536" s="78">
        <f>Y536/X536</f>
        <v>5.9171597633136145E-3</v>
      </c>
      <c r="AA536" s="118" t="s">
        <v>1676</v>
      </c>
      <c r="AB536" s="22" t="s">
        <v>71</v>
      </c>
      <c r="AC536" s="86">
        <v>43350</v>
      </c>
      <c r="AD536" s="85">
        <v>43724</v>
      </c>
      <c r="AE536" s="79">
        <f>AD536-AC536</f>
        <v>374</v>
      </c>
      <c r="AF536" s="121"/>
      <c r="AG536" s="27"/>
      <c r="AH536" s="17"/>
      <c r="AI536" s="11"/>
      <c r="AJ536" s="11"/>
      <c r="AK536" s="11"/>
      <c r="AL536" s="11"/>
      <c r="AM536" s="269"/>
      <c r="AN536" s="269"/>
      <c r="AP536" s="4"/>
      <c r="AQ536" s="269"/>
      <c r="AR536" s="269"/>
    </row>
    <row r="537" spans="1:44" ht="16.5" customHeight="1">
      <c r="B537" s="82">
        <v>-22</v>
      </c>
      <c r="C537" s="82">
        <v>-32</v>
      </c>
      <c r="D537" s="82">
        <v>-22</v>
      </c>
      <c r="E537" s="82">
        <v>-32</v>
      </c>
      <c r="F537" s="6">
        <v>4.38</v>
      </c>
      <c r="G537" s="41" t="s">
        <v>355</v>
      </c>
      <c r="H537" s="50" t="s">
        <v>1471</v>
      </c>
      <c r="I537" s="22" t="s">
        <v>71</v>
      </c>
      <c r="J537" s="75">
        <v>60.98</v>
      </c>
      <c r="K537" s="75">
        <v>34.229999999999997</v>
      </c>
      <c r="L537" s="330">
        <v>1.8</v>
      </c>
      <c r="N537" s="325">
        <f t="shared" si="349"/>
        <v>111.64999999999999</v>
      </c>
      <c r="S537" s="330">
        <v>14.64</v>
      </c>
      <c r="T537" s="34">
        <v>0.3</v>
      </c>
      <c r="V537" s="97">
        <f t="shared" si="350"/>
        <v>2.2058823529411766E-2</v>
      </c>
      <c r="W537" s="36">
        <v>13.6</v>
      </c>
      <c r="X537" s="67">
        <v>12.25</v>
      </c>
      <c r="Y537" s="15">
        <f t="shared" ref="Y537:Y542" si="351">W537-X537</f>
        <v>1.3499999999999996</v>
      </c>
      <c r="Z537" s="64">
        <f t="shared" ref="Z537:Z542" si="352">Y537/X537</f>
        <v>0.11020408163265304</v>
      </c>
      <c r="AA537" s="116" t="s">
        <v>1656</v>
      </c>
      <c r="AB537" s="22" t="s">
        <v>71</v>
      </c>
      <c r="AC537" s="86">
        <v>43697</v>
      </c>
      <c r="AD537" s="85">
        <v>43724</v>
      </c>
      <c r="AE537" s="33">
        <f t="shared" ref="AE537:AE542" si="353">AD537-AC537</f>
        <v>27</v>
      </c>
      <c r="AF537" s="121"/>
    </row>
    <row r="538" spans="1:44" ht="16.5" customHeight="1">
      <c r="B538" s="82">
        <v>-22</v>
      </c>
      <c r="C538" s="82">
        <v>-32</v>
      </c>
      <c r="D538" s="82">
        <v>-22</v>
      </c>
      <c r="E538" s="82">
        <v>-32</v>
      </c>
      <c r="F538" s="6">
        <v>4.38</v>
      </c>
      <c r="G538" s="41" t="s">
        <v>355</v>
      </c>
      <c r="H538" s="50" t="s">
        <v>1471</v>
      </c>
      <c r="I538" s="22" t="s">
        <v>71</v>
      </c>
      <c r="J538" s="75">
        <v>60.98</v>
      </c>
      <c r="K538" s="75">
        <v>34.229999999999997</v>
      </c>
      <c r="L538" s="330">
        <v>1.8</v>
      </c>
      <c r="N538" s="325">
        <f t="shared" si="349"/>
        <v>111.64999999999999</v>
      </c>
      <c r="S538" s="330">
        <v>14.64</v>
      </c>
      <c r="T538" s="34">
        <v>0.3</v>
      </c>
      <c r="V538" s="97">
        <f t="shared" si="350"/>
        <v>2.2058823529411766E-2</v>
      </c>
      <c r="W538" s="36">
        <v>13.6</v>
      </c>
      <c r="X538" s="67">
        <v>12.25</v>
      </c>
      <c r="Y538" s="15">
        <f t="shared" si="351"/>
        <v>1.3499999999999996</v>
      </c>
      <c r="Z538" s="64">
        <f t="shared" si="352"/>
        <v>0.11020408163265304</v>
      </c>
      <c r="AA538" s="116" t="s">
        <v>1656</v>
      </c>
      <c r="AB538" s="22" t="s">
        <v>71</v>
      </c>
      <c r="AC538" s="86">
        <v>43697</v>
      </c>
      <c r="AD538" s="85">
        <v>43724</v>
      </c>
      <c r="AE538" s="33">
        <f t="shared" si="353"/>
        <v>27</v>
      </c>
      <c r="AF538" s="121"/>
    </row>
    <row r="539" spans="1:44" ht="16.5" customHeight="1">
      <c r="A539" s="149"/>
      <c r="B539" s="82">
        <v>-22</v>
      </c>
      <c r="C539" s="82">
        <v>-32</v>
      </c>
      <c r="D539" s="82">
        <v>-22</v>
      </c>
      <c r="E539" s="82">
        <v>-32</v>
      </c>
      <c r="F539" s="6">
        <v>4.38</v>
      </c>
      <c r="G539" s="19" t="s">
        <v>355</v>
      </c>
      <c r="H539" s="50" t="s">
        <v>1471</v>
      </c>
      <c r="I539" s="22" t="s">
        <v>71</v>
      </c>
      <c r="J539" s="75">
        <v>61.16</v>
      </c>
      <c r="K539" s="330">
        <v>34.33</v>
      </c>
      <c r="L539" s="75">
        <v>1.73</v>
      </c>
      <c r="N539" s="325">
        <f t="shared" si="349"/>
        <v>111.86</v>
      </c>
      <c r="S539" s="330">
        <v>14.64</v>
      </c>
      <c r="T539" s="34">
        <v>0.3</v>
      </c>
      <c r="V539" s="97">
        <f t="shared" si="350"/>
        <v>2.2058823529411766E-2</v>
      </c>
      <c r="W539" s="36">
        <v>13.6</v>
      </c>
      <c r="X539" s="67">
        <v>12.6</v>
      </c>
      <c r="Y539" s="15">
        <f t="shared" si="351"/>
        <v>1</v>
      </c>
      <c r="Z539" s="64">
        <f t="shared" si="352"/>
        <v>7.9365079365079361E-2</v>
      </c>
      <c r="AA539" s="116" t="s">
        <v>1677</v>
      </c>
      <c r="AB539" s="22" t="s">
        <v>71</v>
      </c>
      <c r="AC539" s="86">
        <v>43704</v>
      </c>
      <c r="AD539" s="85">
        <v>43724</v>
      </c>
      <c r="AE539" s="33">
        <f t="shared" si="353"/>
        <v>20</v>
      </c>
      <c r="AF539" s="121"/>
      <c r="AG539" s="269"/>
    </row>
    <row r="540" spans="1:44" ht="16.5" customHeight="1">
      <c r="A540" s="149"/>
      <c r="B540" s="82">
        <v>-22</v>
      </c>
      <c r="C540" s="82">
        <v>-32</v>
      </c>
      <c r="D540" s="82">
        <v>-22</v>
      </c>
      <c r="E540" s="82">
        <v>-32</v>
      </c>
      <c r="F540" s="6">
        <v>4.38</v>
      </c>
      <c r="G540" s="19" t="s">
        <v>355</v>
      </c>
      <c r="H540" s="50" t="s">
        <v>1471</v>
      </c>
      <c r="I540" s="22" t="s">
        <v>71</v>
      </c>
      <c r="J540" s="75">
        <v>61.16</v>
      </c>
      <c r="K540" s="330">
        <v>34.33</v>
      </c>
      <c r="L540" s="75">
        <v>1.73</v>
      </c>
      <c r="N540" s="325">
        <f t="shared" si="349"/>
        <v>111.86</v>
      </c>
      <c r="S540" s="330">
        <v>14.64</v>
      </c>
      <c r="T540" s="34">
        <v>0.3</v>
      </c>
      <c r="V540" s="97">
        <f t="shared" si="350"/>
        <v>2.2058823529411766E-2</v>
      </c>
      <c r="W540" s="36">
        <v>13.6</v>
      </c>
      <c r="X540" s="67">
        <v>12.6</v>
      </c>
      <c r="Y540" s="15">
        <f t="shared" si="351"/>
        <v>1</v>
      </c>
      <c r="Z540" s="64">
        <f t="shared" si="352"/>
        <v>7.9365079365079361E-2</v>
      </c>
      <c r="AA540" s="116" t="s">
        <v>1677</v>
      </c>
      <c r="AB540" s="22" t="s">
        <v>71</v>
      </c>
      <c r="AC540" s="86">
        <v>43704</v>
      </c>
      <c r="AD540" s="85">
        <v>43724</v>
      </c>
      <c r="AE540" s="33">
        <f t="shared" si="353"/>
        <v>20</v>
      </c>
      <c r="AF540" s="121"/>
      <c r="AG540" s="269"/>
    </row>
    <row r="541" spans="1:44" ht="16.5" customHeight="1">
      <c r="A541" s="149"/>
      <c r="B541" s="82">
        <v>-22</v>
      </c>
      <c r="C541" s="82">
        <v>-32</v>
      </c>
      <c r="D541" s="82">
        <v>-22</v>
      </c>
      <c r="E541" s="82">
        <v>-32</v>
      </c>
      <c r="F541" s="6">
        <v>4.38</v>
      </c>
      <c r="G541" s="19" t="s">
        <v>355</v>
      </c>
      <c r="H541" s="50" t="s">
        <v>1471</v>
      </c>
      <c r="I541" s="22" t="s">
        <v>71</v>
      </c>
      <c r="J541" s="75">
        <v>61.24</v>
      </c>
      <c r="K541" s="75">
        <v>34.409999999999997</v>
      </c>
      <c r="L541" s="75">
        <v>1.75</v>
      </c>
      <c r="N541" s="325">
        <f t="shared" si="349"/>
        <v>112.03999999999999</v>
      </c>
      <c r="S541" s="330">
        <v>14.64</v>
      </c>
      <c r="T541" s="34">
        <v>0.3</v>
      </c>
      <c r="V541" s="97">
        <f t="shared" si="350"/>
        <v>2.2058823529411766E-2</v>
      </c>
      <c r="W541" s="36">
        <v>13.6</v>
      </c>
      <c r="X541" s="67">
        <v>12.7</v>
      </c>
      <c r="Y541" s="15">
        <f t="shared" si="351"/>
        <v>0.90000000000000036</v>
      </c>
      <c r="Z541" s="64">
        <f t="shared" si="352"/>
        <v>7.0866141732283491E-2</v>
      </c>
      <c r="AA541" s="116" t="s">
        <v>1678</v>
      </c>
      <c r="AB541" s="22" t="s">
        <v>71</v>
      </c>
      <c r="AC541" s="86">
        <v>43710</v>
      </c>
      <c r="AD541" s="85">
        <v>43724</v>
      </c>
      <c r="AE541" s="33">
        <f t="shared" si="353"/>
        <v>14</v>
      </c>
      <c r="AF541" s="121"/>
      <c r="AG541" s="269"/>
    </row>
    <row r="542" spans="1:44" ht="16.5" customHeight="1">
      <c r="A542" s="149"/>
      <c r="B542" s="82">
        <v>-22</v>
      </c>
      <c r="C542" s="82">
        <v>-32</v>
      </c>
      <c r="D542" s="82">
        <v>-22</v>
      </c>
      <c r="E542" s="82">
        <v>-32</v>
      </c>
      <c r="F542" s="6">
        <v>4.38</v>
      </c>
      <c r="G542" s="19" t="s">
        <v>355</v>
      </c>
      <c r="H542" s="50" t="s">
        <v>1471</v>
      </c>
      <c r="I542" s="22" t="s">
        <v>71</v>
      </c>
      <c r="J542" s="75">
        <v>61.24</v>
      </c>
      <c r="K542" s="75">
        <v>34.409999999999997</v>
      </c>
      <c r="L542" s="75">
        <v>1.75</v>
      </c>
      <c r="N542" s="325">
        <f t="shared" si="349"/>
        <v>112.03999999999999</v>
      </c>
      <c r="S542" s="330">
        <v>14.64</v>
      </c>
      <c r="T542" s="34">
        <v>0.3</v>
      </c>
      <c r="V542" s="97">
        <f t="shared" si="350"/>
        <v>2.2058823529411766E-2</v>
      </c>
      <c r="W542" s="36">
        <v>13.6</v>
      </c>
      <c r="X542" s="67">
        <v>12.7</v>
      </c>
      <c r="Y542" s="15">
        <f t="shared" si="351"/>
        <v>0.90000000000000036</v>
      </c>
      <c r="Z542" s="64">
        <f t="shared" si="352"/>
        <v>7.0866141732283491E-2</v>
      </c>
      <c r="AA542" s="116" t="s">
        <v>1679</v>
      </c>
      <c r="AB542" s="22" t="s">
        <v>71</v>
      </c>
      <c r="AC542" s="86">
        <v>43710</v>
      </c>
      <c r="AD542" s="85">
        <v>43724</v>
      </c>
      <c r="AE542" s="33">
        <f t="shared" si="353"/>
        <v>14</v>
      </c>
      <c r="AF542" s="121"/>
      <c r="AG542" s="269"/>
    </row>
    <row r="543" spans="1:44">
      <c r="B543" s="82"/>
      <c r="C543" s="82"/>
      <c r="D543" s="82"/>
      <c r="E543" s="82"/>
      <c r="F543" s="6"/>
      <c r="G543" s="41"/>
      <c r="H543" s="8"/>
      <c r="I543" s="22"/>
      <c r="J543" s="75"/>
      <c r="K543" s="330"/>
      <c r="N543" s="325"/>
      <c r="T543" s="34"/>
      <c r="V543" s="58"/>
      <c r="W543" s="13">
        <f>SUM(W533:W542)</f>
        <v>135.79999999999998</v>
      </c>
      <c r="X543" s="67">
        <f>SUM(X533:X542)</f>
        <v>133.84999999999997</v>
      </c>
      <c r="Y543" s="15">
        <f>W543-X543</f>
        <v>1.9500000000000171</v>
      </c>
      <c r="Z543" s="64">
        <f>Y543/X543</f>
        <v>1.4568546880836889E-2</v>
      </c>
      <c r="AA543" s="118"/>
      <c r="AB543" s="22"/>
      <c r="AE543" s="33"/>
    </row>
    <row r="544" spans="1:44">
      <c r="A544" s="132" t="s">
        <v>1854</v>
      </c>
      <c r="B544" s="93" t="s">
        <v>1657</v>
      </c>
      <c r="C544" s="93" t="s">
        <v>1658</v>
      </c>
      <c r="D544" s="93" t="s">
        <v>1659</v>
      </c>
      <c r="E544" s="93" t="s">
        <v>1660</v>
      </c>
      <c r="F544" s="8" t="s">
        <v>1122</v>
      </c>
      <c r="G544" s="25" t="s">
        <v>415</v>
      </c>
      <c r="H544" s="55" t="s">
        <v>342</v>
      </c>
      <c r="I544" s="1" t="s">
        <v>79</v>
      </c>
      <c r="J544" s="324" t="s">
        <v>1529</v>
      </c>
      <c r="K544" s="324" t="s">
        <v>1217</v>
      </c>
      <c r="L544" s="324" t="s">
        <v>298</v>
      </c>
      <c r="M544" s="324"/>
      <c r="N544" s="324" t="s">
        <v>1121</v>
      </c>
      <c r="S544" s="330" t="s">
        <v>1115</v>
      </c>
      <c r="T544" s="10" t="s">
        <v>75</v>
      </c>
      <c r="V544" s="69" t="s">
        <v>1571</v>
      </c>
      <c r="W544" s="28" t="s">
        <v>2</v>
      </c>
      <c r="X544" s="17" t="s">
        <v>1465</v>
      </c>
      <c r="Y544" s="14" t="s">
        <v>5</v>
      </c>
      <c r="Z544" s="21" t="s">
        <v>3</v>
      </c>
      <c r="AA544" s="25" t="s">
        <v>117</v>
      </c>
      <c r="AB544" s="1" t="s">
        <v>79</v>
      </c>
      <c r="AC544" s="73" t="s">
        <v>1466</v>
      </c>
      <c r="AD544" s="74" t="s">
        <v>1223</v>
      </c>
      <c r="AE544" s="32" t="s">
        <v>1224</v>
      </c>
      <c r="AF544" s="46" t="s">
        <v>1655</v>
      </c>
    </row>
    <row r="545" spans="1:32" ht="16.5" customHeight="1">
      <c r="B545" s="82">
        <v>-467</v>
      </c>
      <c r="C545" s="82">
        <v>-992</v>
      </c>
      <c r="D545" s="82">
        <v>-467</v>
      </c>
      <c r="E545" s="82">
        <v>-992</v>
      </c>
      <c r="F545" s="6">
        <v>-9.84</v>
      </c>
      <c r="G545" s="41" t="s">
        <v>374</v>
      </c>
      <c r="H545" s="50" t="s">
        <v>1471</v>
      </c>
      <c r="I545" s="22" t="s">
        <v>375</v>
      </c>
      <c r="J545" s="330">
        <v>37.770000000000003</v>
      </c>
      <c r="K545" s="75">
        <v>19.420000000000002</v>
      </c>
      <c r="L545" s="75">
        <v>22.63</v>
      </c>
      <c r="N545" s="325">
        <f>S545+K545+J545+L545</f>
        <v>85.47</v>
      </c>
      <c r="S545" s="330">
        <v>5.65</v>
      </c>
      <c r="T545" s="34">
        <v>0.52</v>
      </c>
      <c r="V545" s="97">
        <f>T545/W545</f>
        <v>2.2365591397849462E-2</v>
      </c>
      <c r="W545" s="36">
        <v>23.25</v>
      </c>
      <c r="X545" s="45">
        <v>22.4</v>
      </c>
      <c r="Y545" s="15">
        <f>W545-X545</f>
        <v>0.85000000000000142</v>
      </c>
      <c r="Z545" s="64">
        <f>Y545/X545</f>
        <v>3.7946428571428638E-2</v>
      </c>
      <c r="AA545" s="116" t="s">
        <v>1653</v>
      </c>
      <c r="AB545" s="22" t="s">
        <v>375</v>
      </c>
      <c r="AC545" s="86">
        <v>43696</v>
      </c>
      <c r="AD545" s="85">
        <v>43713</v>
      </c>
      <c r="AE545" s="33">
        <f>AD545-AC545</f>
        <v>17</v>
      </c>
      <c r="AF545" s="121"/>
    </row>
    <row r="546" spans="1:32" ht="16.5" customHeight="1">
      <c r="B546" s="82">
        <v>-467</v>
      </c>
      <c r="C546" s="82">
        <v>-992</v>
      </c>
      <c r="D546" s="82">
        <v>-467</v>
      </c>
      <c r="E546" s="82">
        <v>-992</v>
      </c>
      <c r="F546" s="6">
        <v>-9.84</v>
      </c>
      <c r="G546" s="41" t="s">
        <v>374</v>
      </c>
      <c r="H546" s="50" t="s">
        <v>1471</v>
      </c>
      <c r="I546" s="22" t="s">
        <v>375</v>
      </c>
      <c r="J546" s="330">
        <v>37.770000000000003</v>
      </c>
      <c r="K546" s="75">
        <v>19.420000000000002</v>
      </c>
      <c r="L546" s="75">
        <v>22.63</v>
      </c>
      <c r="N546" s="325">
        <f>S546+K546+J546+L546</f>
        <v>85.47</v>
      </c>
      <c r="S546" s="330">
        <v>5.65</v>
      </c>
      <c r="T546" s="34">
        <v>0.52</v>
      </c>
      <c r="V546" s="97">
        <f>T546/W546</f>
        <v>2.2365591397849462E-2</v>
      </c>
      <c r="W546" s="36">
        <v>23.25</v>
      </c>
      <c r="X546" s="45">
        <v>22.4</v>
      </c>
      <c r="Y546" s="15">
        <f>W546-X546</f>
        <v>0.85000000000000142</v>
      </c>
      <c r="Z546" s="64">
        <f>Y546/X546</f>
        <v>3.7946428571428638E-2</v>
      </c>
      <c r="AA546" s="116" t="s">
        <v>1653</v>
      </c>
      <c r="AB546" s="22" t="s">
        <v>375</v>
      </c>
      <c r="AC546" s="86">
        <v>43696</v>
      </c>
      <c r="AD546" s="85">
        <v>43713</v>
      </c>
      <c r="AE546" s="33">
        <f>AD546-AC546</f>
        <v>17</v>
      </c>
      <c r="AF546" s="49"/>
    </row>
    <row r="547" spans="1:32" ht="16.5" customHeight="1">
      <c r="B547" s="82"/>
      <c r="C547" s="82"/>
      <c r="D547" s="82"/>
      <c r="E547" s="82"/>
      <c r="F547" s="6"/>
      <c r="G547" s="41"/>
      <c r="H547" s="50"/>
      <c r="I547" s="22"/>
      <c r="J547" s="330"/>
      <c r="K547" s="75"/>
      <c r="N547" s="325"/>
      <c r="T547" s="34"/>
      <c r="V547" s="97"/>
      <c r="W547" s="36">
        <f>SUM(W545:W546)</f>
        <v>46.5</v>
      </c>
      <c r="X547" s="45">
        <f>SUM(X545:X546)</f>
        <v>44.8</v>
      </c>
      <c r="Y547" s="15">
        <f>SUM(Y545:Y546)</f>
        <v>1.7000000000000028</v>
      </c>
      <c r="Z547" s="64">
        <f>Y547/X547</f>
        <v>3.7946428571428638E-2</v>
      </c>
      <c r="AA547" s="116"/>
      <c r="AB547" s="22"/>
      <c r="AE547" s="33"/>
      <c r="AF547" s="49"/>
    </row>
    <row r="548" spans="1:32">
      <c r="A548" s="132" t="s">
        <v>1854</v>
      </c>
      <c r="B548" s="93" t="s">
        <v>1657</v>
      </c>
      <c r="C548" s="93" t="s">
        <v>1658</v>
      </c>
      <c r="D548" s="93" t="s">
        <v>1659</v>
      </c>
      <c r="E548" s="93" t="s">
        <v>1660</v>
      </c>
      <c r="F548" s="8" t="s">
        <v>1122</v>
      </c>
      <c r="G548" s="25" t="s">
        <v>415</v>
      </c>
      <c r="H548" s="55" t="s">
        <v>342</v>
      </c>
      <c r="I548" s="1" t="s">
        <v>79</v>
      </c>
      <c r="J548" s="324" t="s">
        <v>1529</v>
      </c>
      <c r="K548" s="324" t="s">
        <v>1217</v>
      </c>
      <c r="L548" s="324" t="s">
        <v>298</v>
      </c>
      <c r="M548" s="324"/>
      <c r="N548" s="324" t="s">
        <v>1121</v>
      </c>
      <c r="S548" s="330" t="s">
        <v>1115</v>
      </c>
      <c r="T548" s="10" t="s">
        <v>75</v>
      </c>
      <c r="V548" s="69" t="s">
        <v>1571</v>
      </c>
      <c r="W548" s="28" t="s">
        <v>2</v>
      </c>
      <c r="X548" s="17" t="s">
        <v>1465</v>
      </c>
      <c r="Y548" s="14" t="s">
        <v>5</v>
      </c>
      <c r="Z548" s="21" t="s">
        <v>3</v>
      </c>
      <c r="AA548" s="25" t="s">
        <v>117</v>
      </c>
      <c r="AB548" s="1" t="s">
        <v>79</v>
      </c>
      <c r="AC548" s="73" t="s">
        <v>1466</v>
      </c>
      <c r="AD548" s="74" t="s">
        <v>1223</v>
      </c>
      <c r="AE548" s="32" t="s">
        <v>1224</v>
      </c>
      <c r="AF548" s="46" t="s">
        <v>1663</v>
      </c>
    </row>
    <row r="549" spans="1:32">
      <c r="B549" s="82">
        <v>-45</v>
      </c>
      <c r="C549" s="82">
        <v>-62</v>
      </c>
      <c r="D549" s="82">
        <v>-45</v>
      </c>
      <c r="E549" s="82">
        <v>-62</v>
      </c>
      <c r="F549" s="58">
        <v>10.51</v>
      </c>
      <c r="G549" s="19" t="s">
        <v>557</v>
      </c>
      <c r="H549" s="50" t="s">
        <v>1471</v>
      </c>
      <c r="I549" s="22" t="s">
        <v>558</v>
      </c>
      <c r="J549" s="330">
        <v>37.96</v>
      </c>
      <c r="K549" s="330">
        <v>0.8</v>
      </c>
      <c r="L549" s="75">
        <v>1.97</v>
      </c>
      <c r="N549" s="325">
        <f>S549+K549+J549+L549</f>
        <v>61.07</v>
      </c>
      <c r="S549" s="330">
        <v>20.34</v>
      </c>
      <c r="T549" s="34">
        <v>1.98</v>
      </c>
      <c r="V549" s="97">
        <f>T549/W549</f>
        <v>6.815834767641997E-2</v>
      </c>
      <c r="W549" s="36">
        <v>29.05</v>
      </c>
      <c r="X549" s="67">
        <f>30.34-2.06</f>
        <v>28.28</v>
      </c>
      <c r="Y549" s="15">
        <f>W549-X549</f>
        <v>0.76999999999999957</v>
      </c>
      <c r="Z549" s="64">
        <f>Y549/X549</f>
        <v>2.722772277227721E-2</v>
      </c>
      <c r="AA549" s="133" t="s">
        <v>1575</v>
      </c>
      <c r="AB549" s="22" t="s">
        <v>558</v>
      </c>
      <c r="AC549" s="86">
        <v>43321</v>
      </c>
      <c r="AD549" s="85">
        <v>43697</v>
      </c>
      <c r="AE549" s="79">
        <f>AD549-AC549</f>
        <v>376</v>
      </c>
      <c r="AF549" s="49"/>
    </row>
    <row r="550" spans="1:32">
      <c r="B550" s="81">
        <v>525</v>
      </c>
      <c r="C550" s="81">
        <v>8</v>
      </c>
      <c r="D550" s="81">
        <v>525</v>
      </c>
      <c r="E550" s="81">
        <v>8</v>
      </c>
      <c r="F550" s="6">
        <v>4.24</v>
      </c>
      <c r="G550" s="41" t="s">
        <v>424</v>
      </c>
      <c r="H550" s="50" t="s">
        <v>1471</v>
      </c>
      <c r="I550" s="22" t="s">
        <v>425</v>
      </c>
      <c r="J550" s="75">
        <v>42.59</v>
      </c>
      <c r="K550" s="330">
        <v>10.37</v>
      </c>
      <c r="L550" s="330">
        <v>9.83</v>
      </c>
      <c r="N550" s="325">
        <f>S550+K550+J550+L550</f>
        <v>76.27</v>
      </c>
      <c r="S550" s="330">
        <v>13.48</v>
      </c>
      <c r="T550" s="34">
        <v>2.5</v>
      </c>
      <c r="V550" s="97">
        <f>T550/W550</f>
        <v>9.727626459143969E-2</v>
      </c>
      <c r="W550" s="36">
        <v>25.7</v>
      </c>
      <c r="X550" s="67">
        <f>27.08-2.5</f>
        <v>24.58</v>
      </c>
      <c r="Y550" s="15">
        <f>W550-X550</f>
        <v>1.120000000000001</v>
      </c>
      <c r="Z550" s="64">
        <f>Y550/X550</f>
        <v>4.5565500406834866E-2</v>
      </c>
      <c r="AA550" s="133" t="s">
        <v>1558</v>
      </c>
      <c r="AB550" s="22" t="s">
        <v>425</v>
      </c>
      <c r="AC550" s="86">
        <v>43335</v>
      </c>
      <c r="AD550" s="85">
        <v>43690</v>
      </c>
      <c r="AE550" s="79">
        <f>AD550-AC550</f>
        <v>355</v>
      </c>
      <c r="AF550" s="49"/>
    </row>
    <row r="551" spans="1:32">
      <c r="B551" s="81">
        <v>525</v>
      </c>
      <c r="C551" s="81">
        <v>8</v>
      </c>
      <c r="D551" s="81">
        <v>525</v>
      </c>
      <c r="E551" s="81">
        <v>8</v>
      </c>
      <c r="F551" s="6">
        <v>4.24</v>
      </c>
      <c r="G551" s="41" t="s">
        <v>424</v>
      </c>
      <c r="H551" s="8" t="s">
        <v>1470</v>
      </c>
      <c r="I551" s="22" t="s">
        <v>425</v>
      </c>
      <c r="J551" s="75">
        <v>42.59</v>
      </c>
      <c r="K551" s="330">
        <v>10.37</v>
      </c>
      <c r="L551" s="330">
        <v>9.83</v>
      </c>
      <c r="N551" s="325">
        <f>S551+K551+J551+L551</f>
        <v>76.27</v>
      </c>
      <c r="S551" s="330">
        <v>13.48</v>
      </c>
      <c r="T551" s="34">
        <v>2.5</v>
      </c>
      <c r="V551" s="97">
        <f>T551/W551</f>
        <v>9.727626459143969E-2</v>
      </c>
      <c r="W551" s="36">
        <v>25.7</v>
      </c>
      <c r="X551" s="67">
        <f>27.03-2.5</f>
        <v>24.53</v>
      </c>
      <c r="Y551" s="15">
        <f>W551-X551</f>
        <v>1.1699999999999982</v>
      </c>
      <c r="Z551" s="64">
        <f>Y551/X551</f>
        <v>4.7696697920913092E-2</v>
      </c>
      <c r="AA551" s="133" t="s">
        <v>1557</v>
      </c>
      <c r="AB551" s="22" t="s">
        <v>425</v>
      </c>
      <c r="AC551" s="86">
        <v>43360</v>
      </c>
      <c r="AD551" s="85">
        <v>43690</v>
      </c>
      <c r="AE551" s="79">
        <f>AD551-AC551</f>
        <v>330</v>
      </c>
      <c r="AF551" s="49"/>
    </row>
    <row r="552" spans="1:32">
      <c r="B552" s="81"/>
      <c r="C552" s="81"/>
      <c r="D552" s="81"/>
      <c r="E552" s="81"/>
      <c r="F552" s="6"/>
      <c r="H552" s="8"/>
      <c r="I552" s="22"/>
      <c r="J552" s="330"/>
      <c r="K552" s="75"/>
      <c r="L552" s="330"/>
      <c r="N552" s="325"/>
      <c r="T552" s="34"/>
      <c r="V552" s="97"/>
      <c r="W552" s="13">
        <f>SUM(W549:W551)</f>
        <v>80.45</v>
      </c>
      <c r="X552" s="45">
        <f>SUM(X549:X551)</f>
        <v>77.39</v>
      </c>
      <c r="Y552" s="15">
        <f>W552-X552</f>
        <v>3.0600000000000023</v>
      </c>
      <c r="Z552" s="64">
        <f>Y552/X552</f>
        <v>3.9539992247060375E-2</v>
      </c>
      <c r="AA552" s="133"/>
      <c r="AB552" s="22"/>
      <c r="AE552" s="33"/>
      <c r="AF552" s="126"/>
    </row>
    <row r="553" spans="1:32">
      <c r="A553" s="132" t="s">
        <v>1854</v>
      </c>
      <c r="B553" s="93" t="s">
        <v>1657</v>
      </c>
      <c r="C553" s="93" t="s">
        <v>1658</v>
      </c>
      <c r="D553" s="93" t="s">
        <v>1659</v>
      </c>
      <c r="E553" s="93" t="s">
        <v>1660</v>
      </c>
      <c r="F553" s="8" t="s">
        <v>1122</v>
      </c>
      <c r="G553" s="25" t="s">
        <v>415</v>
      </c>
      <c r="H553" s="55" t="s">
        <v>342</v>
      </c>
      <c r="I553" s="1" t="s">
        <v>79</v>
      </c>
      <c r="J553" s="324" t="s">
        <v>1529</v>
      </c>
      <c r="K553" s="324" t="s">
        <v>1217</v>
      </c>
      <c r="L553" s="324" t="s">
        <v>298</v>
      </c>
      <c r="M553" s="324"/>
      <c r="N553" s="324" t="s">
        <v>1121</v>
      </c>
      <c r="S553" s="330" t="s">
        <v>1115</v>
      </c>
      <c r="T553" s="10" t="s">
        <v>75</v>
      </c>
      <c r="V553" s="69" t="s">
        <v>1571</v>
      </c>
      <c r="W553" s="28" t="s">
        <v>2</v>
      </c>
      <c r="X553" s="17" t="s">
        <v>1465</v>
      </c>
      <c r="Y553" s="14" t="s">
        <v>5</v>
      </c>
      <c r="Z553" s="21" t="s">
        <v>3</v>
      </c>
      <c r="AA553" s="25" t="s">
        <v>117</v>
      </c>
      <c r="AB553" s="1" t="s">
        <v>79</v>
      </c>
      <c r="AC553" s="73" t="s">
        <v>1466</v>
      </c>
      <c r="AD553" s="74" t="s">
        <v>1223</v>
      </c>
      <c r="AE553" s="32" t="s">
        <v>1224</v>
      </c>
      <c r="AF553" s="46" t="s">
        <v>1662</v>
      </c>
    </row>
    <row r="554" spans="1:32">
      <c r="A554" s="41"/>
      <c r="B554" s="82">
        <v>-92</v>
      </c>
      <c r="C554" s="82">
        <v>-95</v>
      </c>
      <c r="D554" s="82">
        <v>-92</v>
      </c>
      <c r="E554" s="82">
        <v>-95</v>
      </c>
      <c r="F554" s="6">
        <v>1.42</v>
      </c>
      <c r="G554" s="19" t="s">
        <v>1110</v>
      </c>
      <c r="H554" s="50" t="s">
        <v>1471</v>
      </c>
      <c r="I554" s="22" t="s">
        <v>48</v>
      </c>
      <c r="J554" s="75">
        <v>41.39</v>
      </c>
      <c r="K554" s="75">
        <v>25.24</v>
      </c>
      <c r="L554" s="75">
        <v>16.68</v>
      </c>
      <c r="N554" s="325">
        <f t="shared" ref="N554:N560" si="354">S554+K554+J554+L554</f>
        <v>86.35</v>
      </c>
      <c r="S554" s="330">
        <v>3.04</v>
      </c>
      <c r="T554" s="34">
        <v>1.2</v>
      </c>
      <c r="V554" s="97">
        <f t="shared" ref="V554:V560" si="355">T554/W554</f>
        <v>3.8399999999999997E-2</v>
      </c>
      <c r="W554" s="36">
        <v>31.25</v>
      </c>
      <c r="X554" s="67">
        <v>21.58</v>
      </c>
      <c r="Y554" s="15">
        <f t="shared" ref="Y554:Y560" si="356">W554-X554</f>
        <v>9.6700000000000017</v>
      </c>
      <c r="Z554" s="64">
        <f t="shared" ref="Z554:Z561" si="357">Y554/X554</f>
        <v>0.44810009267840606</v>
      </c>
      <c r="AA554" s="116" t="s">
        <v>1530</v>
      </c>
      <c r="AB554" s="22" t="s">
        <v>48</v>
      </c>
      <c r="AC554" s="86">
        <v>43566</v>
      </c>
      <c r="AD554" s="85">
        <v>43676</v>
      </c>
      <c r="AE554" s="79">
        <f t="shared" ref="AE554:AE560" si="358">AD554-AC554</f>
        <v>110</v>
      </c>
      <c r="AF554" s="49"/>
    </row>
    <row r="555" spans="1:32">
      <c r="A555" s="41"/>
      <c r="B555" s="81">
        <v>249</v>
      </c>
      <c r="C555" s="81">
        <v>39</v>
      </c>
      <c r="D555" s="81">
        <v>249</v>
      </c>
      <c r="E555" s="81">
        <v>39</v>
      </c>
      <c r="F555" s="58">
        <v>12.02</v>
      </c>
      <c r="G555" s="19" t="s">
        <v>680</v>
      </c>
      <c r="H555" s="50" t="s">
        <v>1471</v>
      </c>
      <c r="I555" s="22" t="s">
        <v>681</v>
      </c>
      <c r="J555" s="75">
        <v>63.55</v>
      </c>
      <c r="K555" s="75">
        <v>33.49</v>
      </c>
      <c r="L555" s="75">
        <v>18.34</v>
      </c>
      <c r="N555" s="75">
        <f t="shared" si="354"/>
        <v>146.45000000000002</v>
      </c>
      <c r="S555" s="330">
        <v>31.07</v>
      </c>
      <c r="T555" s="34">
        <v>1.8</v>
      </c>
      <c r="V555" s="58">
        <f t="shared" si="355"/>
        <v>3.7460978147762752E-2</v>
      </c>
      <c r="W555" s="13">
        <v>48.05</v>
      </c>
      <c r="X555" s="67">
        <f>35.75-1.8</f>
        <v>33.950000000000003</v>
      </c>
      <c r="Y555" s="15">
        <f t="shared" si="356"/>
        <v>14.099999999999994</v>
      </c>
      <c r="Z555" s="64">
        <f t="shared" si="357"/>
        <v>0.41531664212076563</v>
      </c>
      <c r="AA555" s="133" t="s">
        <v>1542</v>
      </c>
      <c r="AB555" s="22" t="s">
        <v>681</v>
      </c>
      <c r="AC555" s="86">
        <v>43362</v>
      </c>
      <c r="AD555" s="85">
        <v>43676</v>
      </c>
      <c r="AE555" s="79">
        <f t="shared" si="358"/>
        <v>314</v>
      </c>
      <c r="AF555" s="49"/>
    </row>
    <row r="556" spans="1:32">
      <c r="A556" s="41"/>
      <c r="B556" s="81">
        <v>249</v>
      </c>
      <c r="C556" s="81">
        <v>39</v>
      </c>
      <c r="D556" s="81">
        <v>249</v>
      </c>
      <c r="E556" s="81">
        <v>39</v>
      </c>
      <c r="F556" s="58">
        <v>12.02</v>
      </c>
      <c r="G556" s="19" t="s">
        <v>680</v>
      </c>
      <c r="H556" s="8" t="s">
        <v>1470</v>
      </c>
      <c r="I556" s="22" t="s">
        <v>681</v>
      </c>
      <c r="J556" s="75">
        <v>63.55</v>
      </c>
      <c r="K556" s="75">
        <v>33.49</v>
      </c>
      <c r="L556" s="75">
        <v>18.34</v>
      </c>
      <c r="N556" s="75">
        <f t="shared" si="354"/>
        <v>146.45000000000002</v>
      </c>
      <c r="S556" s="330">
        <v>31.07</v>
      </c>
      <c r="T556" s="34">
        <v>1.8</v>
      </c>
      <c r="V556" s="58">
        <f t="shared" si="355"/>
        <v>3.7460978147762752E-2</v>
      </c>
      <c r="W556" s="13">
        <v>48.05</v>
      </c>
      <c r="X556" s="67">
        <f>35.75-1.8</f>
        <v>33.950000000000003</v>
      </c>
      <c r="Y556" s="15">
        <f t="shared" si="356"/>
        <v>14.099999999999994</v>
      </c>
      <c r="Z556" s="64">
        <f t="shared" si="357"/>
        <v>0.41531664212076563</v>
      </c>
      <c r="AA556" s="133" t="s">
        <v>1542</v>
      </c>
      <c r="AB556" s="22" t="s">
        <v>681</v>
      </c>
      <c r="AC556" s="86">
        <v>43362</v>
      </c>
      <c r="AD556" s="85">
        <v>43676</v>
      </c>
      <c r="AE556" s="79">
        <f t="shared" si="358"/>
        <v>314</v>
      </c>
      <c r="AF556" s="49"/>
    </row>
    <row r="557" spans="1:32">
      <c r="A557" s="41"/>
      <c r="B557" s="81">
        <v>476</v>
      </c>
      <c r="C557" s="81">
        <v>181</v>
      </c>
      <c r="D557" s="81">
        <v>476</v>
      </c>
      <c r="E557" s="81">
        <v>181</v>
      </c>
      <c r="F557" s="6">
        <v>3.5</v>
      </c>
      <c r="G557" s="19" t="s">
        <v>645</v>
      </c>
      <c r="H557" s="50" t="s">
        <v>1471</v>
      </c>
      <c r="I557" s="16" t="s">
        <v>646</v>
      </c>
      <c r="J557" s="330">
        <v>40.26</v>
      </c>
      <c r="K557" s="330">
        <v>10.1</v>
      </c>
      <c r="L557" s="330">
        <v>4.92</v>
      </c>
      <c r="N557" s="325">
        <f t="shared" si="354"/>
        <v>89.42</v>
      </c>
      <c r="S557" s="330">
        <v>34.14</v>
      </c>
      <c r="T557" s="34">
        <v>2</v>
      </c>
      <c r="V557" s="58">
        <f t="shared" si="355"/>
        <v>8.4033613445378144E-2</v>
      </c>
      <c r="W557" s="36">
        <v>23.8</v>
      </c>
      <c r="X557" s="67">
        <f>22.33-2</f>
        <v>20.329999999999998</v>
      </c>
      <c r="Y557" s="15">
        <f t="shared" si="356"/>
        <v>3.4700000000000024</v>
      </c>
      <c r="Z557" s="64">
        <f t="shared" si="357"/>
        <v>0.17068371864240053</v>
      </c>
      <c r="AA557" s="133" t="s">
        <v>1543</v>
      </c>
      <c r="AB557" s="16" t="s">
        <v>646</v>
      </c>
      <c r="AC557" s="86">
        <v>43360</v>
      </c>
      <c r="AD557" s="85">
        <v>43676</v>
      </c>
      <c r="AE557" s="79">
        <f t="shared" si="358"/>
        <v>316</v>
      </c>
      <c r="AF557" s="49"/>
    </row>
    <row r="558" spans="1:32">
      <c r="A558" s="41"/>
      <c r="B558" s="81">
        <v>476</v>
      </c>
      <c r="C558" s="81">
        <v>181</v>
      </c>
      <c r="D558" s="81">
        <v>476</v>
      </c>
      <c r="E558" s="81">
        <v>181</v>
      </c>
      <c r="F558" s="6">
        <v>3.5</v>
      </c>
      <c r="G558" s="19" t="s">
        <v>645</v>
      </c>
      <c r="H558" s="8" t="s">
        <v>1470</v>
      </c>
      <c r="I558" s="16" t="s">
        <v>646</v>
      </c>
      <c r="J558" s="330">
        <v>40.26</v>
      </c>
      <c r="K558" s="330">
        <v>10.1</v>
      </c>
      <c r="L558" s="330">
        <v>4.92</v>
      </c>
      <c r="N558" s="325">
        <f t="shared" si="354"/>
        <v>89.42</v>
      </c>
      <c r="S558" s="330">
        <v>34.14</v>
      </c>
      <c r="T558" s="34">
        <v>2</v>
      </c>
      <c r="V558" s="58">
        <f t="shared" si="355"/>
        <v>8.4033613445378144E-2</v>
      </c>
      <c r="W558" s="36">
        <v>23.8</v>
      </c>
      <c r="X558" s="67">
        <f>21.78-2</f>
        <v>19.78</v>
      </c>
      <c r="Y558" s="15">
        <f t="shared" si="356"/>
        <v>4.0199999999999996</v>
      </c>
      <c r="Z558" s="64">
        <f t="shared" si="357"/>
        <v>0.20323559150657225</v>
      </c>
      <c r="AA558" s="133" t="s">
        <v>1544</v>
      </c>
      <c r="AB558" s="16" t="s">
        <v>646</v>
      </c>
      <c r="AC558" s="86">
        <v>43354</v>
      </c>
      <c r="AD558" s="85">
        <v>43676</v>
      </c>
      <c r="AE558" s="79">
        <f t="shared" si="358"/>
        <v>322</v>
      </c>
      <c r="AF558" s="49"/>
    </row>
    <row r="559" spans="1:32">
      <c r="A559" s="41"/>
      <c r="B559" s="81">
        <v>26</v>
      </c>
      <c r="C559" s="82">
        <v>-22</v>
      </c>
      <c r="D559" s="81">
        <v>26</v>
      </c>
      <c r="E559" s="82">
        <v>-22</v>
      </c>
      <c r="F559" s="6">
        <v>6.6</v>
      </c>
      <c r="G559" s="19" t="s">
        <v>300</v>
      </c>
      <c r="H559" s="50" t="s">
        <v>1471</v>
      </c>
      <c r="I559" s="22" t="s">
        <v>301</v>
      </c>
      <c r="J559" s="330">
        <v>20.67</v>
      </c>
      <c r="K559" s="330">
        <v>8.16</v>
      </c>
      <c r="L559" s="75">
        <v>10.37</v>
      </c>
      <c r="N559" s="325">
        <f t="shared" si="354"/>
        <v>49.35</v>
      </c>
      <c r="S559" s="330">
        <v>10.15</v>
      </c>
      <c r="T559" s="34">
        <v>0.85</v>
      </c>
      <c r="V559" s="97">
        <f t="shared" si="355"/>
        <v>2.8192371475953566E-2</v>
      </c>
      <c r="W559" s="36">
        <v>30.15</v>
      </c>
      <c r="X559" s="67">
        <f>31.74-1.5-0.85</f>
        <v>29.389999999999997</v>
      </c>
      <c r="Y559" s="15">
        <f t="shared" si="356"/>
        <v>0.76000000000000156</v>
      </c>
      <c r="Z559" s="64">
        <f t="shared" si="357"/>
        <v>2.5859135760462799E-2</v>
      </c>
      <c r="AA559" s="133" t="s">
        <v>1545</v>
      </c>
      <c r="AB559" s="22" t="s">
        <v>301</v>
      </c>
      <c r="AC559" s="86">
        <v>43215</v>
      </c>
      <c r="AD559" s="85">
        <v>43676</v>
      </c>
      <c r="AE559" s="79">
        <f t="shared" si="358"/>
        <v>461</v>
      </c>
      <c r="AF559" s="49"/>
    </row>
    <row r="560" spans="1:32">
      <c r="A560" s="41"/>
      <c r="B560" s="81">
        <v>26</v>
      </c>
      <c r="C560" s="82">
        <v>-22</v>
      </c>
      <c r="D560" s="81">
        <v>26</v>
      </c>
      <c r="E560" s="82">
        <v>-22</v>
      </c>
      <c r="F560" s="6">
        <v>6.6</v>
      </c>
      <c r="G560" s="19" t="s">
        <v>300</v>
      </c>
      <c r="H560" s="8" t="s">
        <v>1470</v>
      </c>
      <c r="I560" s="22" t="s">
        <v>301</v>
      </c>
      <c r="J560" s="330">
        <v>20.67</v>
      </c>
      <c r="K560" s="330">
        <v>8.16</v>
      </c>
      <c r="L560" s="75">
        <v>10.37</v>
      </c>
      <c r="N560" s="325">
        <f t="shared" si="354"/>
        <v>49.35</v>
      </c>
      <c r="S560" s="330">
        <v>10.15</v>
      </c>
      <c r="T560" s="34">
        <v>0.85</v>
      </c>
      <c r="V560" s="97">
        <f t="shared" si="355"/>
        <v>2.8192371475953566E-2</v>
      </c>
      <c r="W560" s="36">
        <v>30.15</v>
      </c>
      <c r="X560" s="67">
        <f>29.24-0.85</f>
        <v>28.389999999999997</v>
      </c>
      <c r="Y560" s="15">
        <f t="shared" si="356"/>
        <v>1.7600000000000016</v>
      </c>
      <c r="Z560" s="64">
        <f t="shared" si="357"/>
        <v>6.1993659739344904E-2</v>
      </c>
      <c r="AA560" s="133" t="s">
        <v>1546</v>
      </c>
      <c r="AB560" s="22" t="s">
        <v>301</v>
      </c>
      <c r="AC560" s="86">
        <v>43361</v>
      </c>
      <c r="AD560" s="85">
        <v>43676</v>
      </c>
      <c r="AE560" s="79">
        <f t="shared" si="358"/>
        <v>315</v>
      </c>
      <c r="AF560" s="49"/>
    </row>
    <row r="561" spans="1:45">
      <c r="F561" s="269"/>
      <c r="H561" s="269"/>
      <c r="N561" s="334"/>
      <c r="T561" s="71"/>
      <c r="V561" s="233"/>
      <c r="W561" s="13">
        <f>SUM(W554:W560)</f>
        <v>235.25000000000003</v>
      </c>
      <c r="X561" s="45">
        <f>SUM(X554:X560)</f>
        <v>187.36999999999998</v>
      </c>
      <c r="Y561" s="71">
        <f>SUM(Y554:Y560)</f>
        <v>47.879999999999995</v>
      </c>
      <c r="Z561" s="64">
        <f t="shared" si="357"/>
        <v>0.25553717243955809</v>
      </c>
      <c r="AA561" s="134"/>
      <c r="AB561" s="15"/>
      <c r="AC561" s="284"/>
      <c r="AD561" s="284"/>
      <c r="AE561" s="269"/>
      <c r="AF561" s="126"/>
    </row>
    <row r="562" spans="1:45">
      <c r="A562" s="132" t="s">
        <v>1854</v>
      </c>
      <c r="B562" s="93" t="s">
        <v>1657</v>
      </c>
      <c r="C562" s="93" t="s">
        <v>1658</v>
      </c>
      <c r="D562" s="93" t="s">
        <v>1659</v>
      </c>
      <c r="E562" s="93" t="s">
        <v>1660</v>
      </c>
      <c r="F562" s="8" t="s">
        <v>1122</v>
      </c>
      <c r="G562" s="25" t="s">
        <v>415</v>
      </c>
      <c r="H562" s="55" t="s">
        <v>342</v>
      </c>
      <c r="I562" s="1" t="s">
        <v>79</v>
      </c>
      <c r="J562" s="324" t="s">
        <v>1529</v>
      </c>
      <c r="K562" s="324" t="s">
        <v>1217</v>
      </c>
      <c r="L562" s="324" t="s">
        <v>298</v>
      </c>
      <c r="M562" s="324"/>
      <c r="N562" s="324" t="s">
        <v>1121</v>
      </c>
      <c r="S562" s="330" t="s">
        <v>1115</v>
      </c>
      <c r="T562" s="10" t="s">
        <v>75</v>
      </c>
      <c r="V562" s="69" t="s">
        <v>1571</v>
      </c>
      <c r="W562" s="28" t="s">
        <v>1533</v>
      </c>
      <c r="X562" s="17" t="s">
        <v>1534</v>
      </c>
      <c r="Y562" s="14" t="s">
        <v>1535</v>
      </c>
      <c r="Z562" s="21" t="s">
        <v>3</v>
      </c>
      <c r="AA562" s="25" t="s">
        <v>117</v>
      </c>
      <c r="AB562" s="1" t="s">
        <v>79</v>
      </c>
      <c r="AC562" s="73" t="s">
        <v>1466</v>
      </c>
      <c r="AD562" s="74" t="s">
        <v>1223</v>
      </c>
      <c r="AE562" s="32" t="s">
        <v>1224</v>
      </c>
      <c r="AF562" s="46" t="s">
        <v>1689</v>
      </c>
    </row>
    <row r="563" spans="1:45">
      <c r="A563" s="41"/>
      <c r="B563" s="82" t="s">
        <v>299</v>
      </c>
      <c r="C563" s="81" t="s">
        <v>308</v>
      </c>
      <c r="D563" s="82" t="s">
        <v>299</v>
      </c>
      <c r="E563" s="81" t="s">
        <v>308</v>
      </c>
      <c r="F563" s="6">
        <v>-70.83</v>
      </c>
      <c r="G563" s="57" t="s">
        <v>724</v>
      </c>
      <c r="H563" s="50" t="s">
        <v>1471</v>
      </c>
      <c r="I563" s="22" t="s">
        <v>725</v>
      </c>
      <c r="J563" s="75">
        <v>92.03</v>
      </c>
      <c r="K563" s="330">
        <v>7.93</v>
      </c>
      <c r="L563" s="75">
        <v>25.79</v>
      </c>
      <c r="N563" s="75">
        <f t="shared" ref="N563:N568" si="359">S563+K563+J563+L563</f>
        <v>145.13999999999999</v>
      </c>
      <c r="S563" s="330">
        <v>19.39</v>
      </c>
      <c r="T563" s="34">
        <v>0.5</v>
      </c>
      <c r="V563" s="97">
        <f t="shared" ref="V563:V569" si="360">T563/W563</f>
        <v>3.1446540880503145E-2</v>
      </c>
      <c r="W563" s="13">
        <v>15.9</v>
      </c>
      <c r="X563" s="150">
        <v>25</v>
      </c>
      <c r="Y563" s="76">
        <f t="shared" ref="Y563:Y568" si="361">W563*X563</f>
        <v>397.5</v>
      </c>
      <c r="Z563" s="3">
        <f t="shared" ref="Z563:Z569" si="362">Y563/X563</f>
        <v>15.9</v>
      </c>
      <c r="AA563" s="133"/>
      <c r="AB563" s="22" t="s">
        <v>725</v>
      </c>
      <c r="AE563" s="33">
        <f t="shared" ref="AE563:AE568" si="363">AD563-AC563</f>
        <v>0</v>
      </c>
      <c r="AF563" s="49"/>
    </row>
    <row r="564" spans="1:45">
      <c r="A564" s="41"/>
      <c r="B564" s="81" t="s">
        <v>299</v>
      </c>
      <c r="C564" s="81"/>
      <c r="D564" s="81" t="s">
        <v>299</v>
      </c>
      <c r="E564" s="81"/>
      <c r="F564" s="6"/>
      <c r="G564" s="19" t="s">
        <v>35</v>
      </c>
      <c r="H564" s="50" t="s">
        <v>1471</v>
      </c>
      <c r="I564" s="22" t="s">
        <v>279</v>
      </c>
      <c r="J564" s="75">
        <v>68.61</v>
      </c>
      <c r="K564" s="330">
        <v>27.12</v>
      </c>
      <c r="L564" s="330">
        <v>1.17</v>
      </c>
      <c r="N564" s="325">
        <f t="shared" si="359"/>
        <v>119.02</v>
      </c>
      <c r="S564" s="330">
        <v>22.12</v>
      </c>
      <c r="T564" s="34">
        <v>0.8</v>
      </c>
      <c r="V564" s="97">
        <f t="shared" si="360"/>
        <v>5.9479553903345729E-2</v>
      </c>
      <c r="W564" s="13">
        <v>13.45</v>
      </c>
      <c r="X564" s="204">
        <v>31</v>
      </c>
      <c r="Y564" s="76">
        <f t="shared" si="361"/>
        <v>416.95</v>
      </c>
      <c r="Z564" s="3">
        <f t="shared" si="362"/>
        <v>13.45</v>
      </c>
      <c r="AA564" s="135"/>
      <c r="AB564" s="22" t="s">
        <v>279</v>
      </c>
      <c r="AE564" s="33">
        <f t="shared" si="363"/>
        <v>0</v>
      </c>
      <c r="AF564" s="49"/>
    </row>
    <row r="565" spans="1:45">
      <c r="A565" s="41"/>
      <c r="B565" s="81" t="s">
        <v>299</v>
      </c>
      <c r="C565" s="81" t="s">
        <v>308</v>
      </c>
      <c r="D565" s="81" t="s">
        <v>299</v>
      </c>
      <c r="E565" s="81" t="s">
        <v>308</v>
      </c>
      <c r="F565" s="6">
        <v>7.08</v>
      </c>
      <c r="G565" s="19" t="s">
        <v>1467</v>
      </c>
      <c r="H565" s="50" t="s">
        <v>1471</v>
      </c>
      <c r="I565" s="22" t="s">
        <v>478</v>
      </c>
      <c r="J565" s="75">
        <v>50.16</v>
      </c>
      <c r="K565" s="75">
        <v>28.06</v>
      </c>
      <c r="L565" s="75">
        <v>35.39</v>
      </c>
      <c r="N565" s="325">
        <f t="shared" si="359"/>
        <v>115.58999999999999</v>
      </c>
      <c r="S565" s="330">
        <v>1.98</v>
      </c>
      <c r="T565" s="34">
        <v>2.56</v>
      </c>
      <c r="V565" s="97">
        <f t="shared" si="360"/>
        <v>4.8301886792452828E-2</v>
      </c>
      <c r="W565" s="13">
        <v>53</v>
      </c>
      <c r="X565" s="150">
        <v>32</v>
      </c>
      <c r="Y565" s="76">
        <f t="shared" si="361"/>
        <v>1696</v>
      </c>
      <c r="Z565" s="3">
        <f t="shared" si="362"/>
        <v>53</v>
      </c>
      <c r="AA565" s="133"/>
      <c r="AB565" s="22" t="s">
        <v>478</v>
      </c>
      <c r="AE565" s="33">
        <f t="shared" si="363"/>
        <v>0</v>
      </c>
      <c r="AF565" s="49"/>
    </row>
    <row r="566" spans="1:45">
      <c r="A566" s="41"/>
      <c r="B566" s="81" t="s">
        <v>299</v>
      </c>
      <c r="C566" s="81" t="s">
        <v>308</v>
      </c>
      <c r="D566" s="81" t="s">
        <v>299</v>
      </c>
      <c r="E566" s="81" t="s">
        <v>308</v>
      </c>
      <c r="F566" s="6">
        <v>4.6100000000000003</v>
      </c>
      <c r="G566" s="41" t="s">
        <v>1129</v>
      </c>
      <c r="H566" s="50" t="s">
        <v>1471</v>
      </c>
      <c r="I566" s="16" t="s">
        <v>246</v>
      </c>
      <c r="J566" s="330">
        <v>39.42</v>
      </c>
      <c r="K566" s="75">
        <v>8.0500000000000007</v>
      </c>
      <c r="L566" s="330">
        <v>42.3</v>
      </c>
      <c r="N566" s="325">
        <f t="shared" si="359"/>
        <v>106.74</v>
      </c>
      <c r="S566" s="330">
        <v>16.97</v>
      </c>
      <c r="T566" s="34">
        <v>0</v>
      </c>
      <c r="V566" s="97">
        <f t="shared" si="360"/>
        <v>0</v>
      </c>
      <c r="W566" s="36">
        <v>38.85</v>
      </c>
      <c r="X566" s="150">
        <v>19</v>
      </c>
      <c r="Y566" s="76">
        <f t="shared" si="361"/>
        <v>738.15</v>
      </c>
      <c r="Z566" s="3">
        <f t="shared" si="362"/>
        <v>38.85</v>
      </c>
      <c r="AA566" s="133"/>
      <c r="AB566" s="16" t="s">
        <v>246</v>
      </c>
      <c r="AE566" s="33">
        <f t="shared" si="363"/>
        <v>0</v>
      </c>
      <c r="AF566" s="49"/>
    </row>
    <row r="567" spans="1:45">
      <c r="A567" s="41"/>
      <c r="B567" s="81" t="s">
        <v>299</v>
      </c>
      <c r="C567" s="81" t="s">
        <v>308</v>
      </c>
      <c r="D567" s="81" t="s">
        <v>299</v>
      </c>
      <c r="E567" s="81" t="s">
        <v>308</v>
      </c>
      <c r="F567" s="6">
        <v>4.6100000000000003</v>
      </c>
      <c r="G567" s="41" t="s">
        <v>1129</v>
      </c>
      <c r="H567" s="50" t="s">
        <v>1471</v>
      </c>
      <c r="I567" s="16" t="s">
        <v>246</v>
      </c>
      <c r="J567" s="330">
        <v>39.42</v>
      </c>
      <c r="K567" s="75">
        <v>8.0500000000000007</v>
      </c>
      <c r="L567" s="330">
        <v>42.3</v>
      </c>
      <c r="N567" s="325">
        <f t="shared" si="359"/>
        <v>106.74</v>
      </c>
      <c r="S567" s="330">
        <v>16.97</v>
      </c>
      <c r="T567" s="34">
        <v>0</v>
      </c>
      <c r="V567" s="97">
        <f t="shared" si="360"/>
        <v>0</v>
      </c>
      <c r="W567" s="36">
        <v>37.799999999999997</v>
      </c>
      <c r="X567" s="150">
        <v>78</v>
      </c>
      <c r="Y567" s="76">
        <f>W567*X567</f>
        <v>2948.3999999999996</v>
      </c>
      <c r="Z567" s="3">
        <f t="shared" si="362"/>
        <v>37.799999999999997</v>
      </c>
      <c r="AA567" s="133"/>
      <c r="AB567" s="16" t="s">
        <v>246</v>
      </c>
      <c r="AE567" s="33">
        <f>AD567-AC567</f>
        <v>0</v>
      </c>
      <c r="AF567" s="49"/>
    </row>
    <row r="568" spans="1:45">
      <c r="A568" s="41"/>
      <c r="B568" s="81" t="s">
        <v>299</v>
      </c>
      <c r="C568" s="81" t="s">
        <v>308</v>
      </c>
      <c r="D568" s="81" t="s">
        <v>299</v>
      </c>
      <c r="E568" s="81" t="s">
        <v>308</v>
      </c>
      <c r="F568" s="58">
        <v>11.06</v>
      </c>
      <c r="G568" s="41" t="s">
        <v>78</v>
      </c>
      <c r="H568" s="8" t="s">
        <v>1470</v>
      </c>
      <c r="I568" s="22" t="s">
        <v>296</v>
      </c>
      <c r="J568" s="75">
        <v>76.849999999999994</v>
      </c>
      <c r="K568" s="330">
        <v>24.2</v>
      </c>
      <c r="L568" s="330">
        <v>8.7100000000000009</v>
      </c>
      <c r="N568" s="325">
        <f t="shared" si="359"/>
        <v>122.59</v>
      </c>
      <c r="S568" s="330">
        <v>12.83</v>
      </c>
      <c r="T568" s="34">
        <v>3</v>
      </c>
      <c r="V568" s="97">
        <f t="shared" si="360"/>
        <v>6.5146579804560262E-2</v>
      </c>
      <c r="W568" s="13">
        <v>46.05</v>
      </c>
      <c r="X568" s="204">
        <v>30</v>
      </c>
      <c r="Y568" s="76">
        <f t="shared" si="361"/>
        <v>1381.5</v>
      </c>
      <c r="Z568" s="3">
        <f t="shared" si="362"/>
        <v>46.05</v>
      </c>
      <c r="AA568" s="135" t="s">
        <v>228</v>
      </c>
      <c r="AB568" s="22" t="s">
        <v>296</v>
      </c>
      <c r="AE568" s="33">
        <f t="shared" si="363"/>
        <v>0</v>
      </c>
      <c r="AF568" s="49"/>
    </row>
    <row r="569" spans="1:45">
      <c r="B569" s="81" t="s">
        <v>299</v>
      </c>
      <c r="C569" s="81"/>
      <c r="D569" s="81" t="s">
        <v>299</v>
      </c>
      <c r="E569" s="81"/>
      <c r="F569" s="6"/>
      <c r="G569" s="57" t="s">
        <v>353</v>
      </c>
      <c r="H569" s="114" t="s">
        <v>1574</v>
      </c>
      <c r="I569" s="22" t="s">
        <v>1</v>
      </c>
      <c r="J569" s="75">
        <v>30.37</v>
      </c>
      <c r="K569" s="75">
        <v>80.12</v>
      </c>
      <c r="L569" s="330">
        <v>0.16</v>
      </c>
      <c r="N569" s="325">
        <f>S569+J569+K569+L569</f>
        <v>116.83</v>
      </c>
      <c r="S569" s="330">
        <v>6.18</v>
      </c>
      <c r="T569" s="34">
        <v>0.64</v>
      </c>
      <c r="V569" s="97">
        <f t="shared" si="360"/>
        <v>5.245901639344263E-2</v>
      </c>
      <c r="W569" s="13">
        <v>12.2</v>
      </c>
      <c r="X569" s="204">
        <v>107</v>
      </c>
      <c r="Y569" s="76">
        <f>W569*X569</f>
        <v>1305.3999999999999</v>
      </c>
      <c r="Z569" s="3">
        <f t="shared" si="362"/>
        <v>12.2</v>
      </c>
      <c r="AA569" s="135" t="s">
        <v>1463</v>
      </c>
      <c r="AB569" s="22" t="s">
        <v>1</v>
      </c>
      <c r="AF569" s="49"/>
      <c r="AS569" s="11"/>
    </row>
    <row r="570" spans="1:45">
      <c r="A570" s="41"/>
      <c r="B570" s="81"/>
      <c r="C570" s="81"/>
      <c r="D570" s="81"/>
      <c r="E570" s="81"/>
      <c r="F570" s="58"/>
      <c r="G570" s="41"/>
      <c r="H570" s="8"/>
      <c r="I570" s="22"/>
      <c r="J570" s="75"/>
      <c r="K570" s="330"/>
      <c r="L570" s="330"/>
      <c r="N570" s="325"/>
      <c r="T570" s="34"/>
      <c r="V570" s="97"/>
      <c r="W570" s="13"/>
      <c r="X570" s="204"/>
      <c r="Y570" s="15">
        <f>SUM(Y563:Y569)/1000</f>
        <v>8.8838999999999988</v>
      </c>
      <c r="Z570" s="3"/>
      <c r="AA570" s="135"/>
      <c r="AB570" s="22"/>
      <c r="AE570" s="33"/>
      <c r="AF570" s="49"/>
    </row>
    <row r="571" spans="1:45">
      <c r="F571" s="269"/>
      <c r="H571" s="269"/>
      <c r="N571" s="334"/>
      <c r="T571" s="110"/>
      <c r="V571" s="232"/>
      <c r="W571" s="269"/>
      <c r="X571" s="201"/>
      <c r="Y571" s="269"/>
      <c r="Z571" s="269"/>
      <c r="AA571" s="134"/>
      <c r="AB571" s="269"/>
      <c r="AC571" s="284"/>
      <c r="AD571" s="284"/>
      <c r="AE571" s="269"/>
    </row>
    <row r="572" spans="1:45">
      <c r="B572" s="269"/>
      <c r="C572" s="269"/>
      <c r="D572" s="269"/>
      <c r="E572" s="269"/>
      <c r="F572" s="269"/>
      <c r="H572" s="269"/>
      <c r="N572" s="334"/>
      <c r="T572" s="110"/>
      <c r="V572" s="232"/>
      <c r="W572" s="269"/>
      <c r="X572" s="201"/>
      <c r="Y572" s="269"/>
      <c r="Z572" s="269"/>
      <c r="AA572" s="134"/>
      <c r="AB572" s="269"/>
      <c r="AC572" s="284"/>
      <c r="AD572" s="284"/>
      <c r="AE572" s="269"/>
    </row>
    <row r="573" spans="1:45">
      <c r="B573" s="269"/>
      <c r="C573" s="269"/>
      <c r="D573" s="269"/>
      <c r="E573" s="269"/>
      <c r="F573" s="269"/>
      <c r="H573" s="269"/>
      <c r="N573" s="334"/>
      <c r="T573" s="110"/>
      <c r="V573" s="232"/>
      <c r="W573" s="269"/>
      <c r="X573" s="201"/>
      <c r="Y573" s="269"/>
      <c r="Z573" s="269"/>
      <c r="AA573" s="134"/>
      <c r="AB573" s="269"/>
      <c r="AC573" s="284"/>
      <c r="AD573" s="284"/>
      <c r="AE573" s="269"/>
    </row>
    <row r="574" spans="1:45">
      <c r="B574" s="269"/>
      <c r="C574" s="269"/>
      <c r="D574" s="269"/>
      <c r="E574" s="269"/>
      <c r="F574" s="269"/>
      <c r="H574" s="269"/>
      <c r="N574" s="334"/>
      <c r="T574" s="110"/>
      <c r="V574" s="232"/>
      <c r="W574" s="269"/>
      <c r="X574" s="201"/>
      <c r="Y574" s="269"/>
      <c r="Z574" s="269"/>
      <c r="AA574" s="134"/>
      <c r="AB574" s="269"/>
      <c r="AC574" s="284"/>
      <c r="AD574" s="284"/>
      <c r="AE574" s="269"/>
    </row>
    <row r="575" spans="1:45">
      <c r="B575" s="269"/>
      <c r="C575" s="269"/>
      <c r="D575" s="269"/>
      <c r="E575" s="269"/>
      <c r="F575" s="269"/>
      <c r="H575" s="269"/>
      <c r="N575" s="334"/>
      <c r="T575" s="110"/>
      <c r="V575" s="232"/>
      <c r="W575" s="269"/>
      <c r="X575" s="201"/>
      <c r="Y575" s="269"/>
      <c r="Z575" s="269"/>
      <c r="AA575" s="134"/>
      <c r="AB575" s="269"/>
      <c r="AC575" s="284"/>
      <c r="AD575" s="284"/>
      <c r="AE575" s="269"/>
    </row>
    <row r="576" spans="1:45">
      <c r="B576" s="269"/>
      <c r="C576" s="269"/>
      <c r="D576" s="269"/>
      <c r="E576" s="269"/>
      <c r="F576" s="269"/>
      <c r="H576" s="269"/>
      <c r="N576" s="334"/>
      <c r="T576" s="110"/>
      <c r="V576" s="232"/>
      <c r="W576" s="269"/>
      <c r="X576" s="201"/>
      <c r="Y576" s="269"/>
      <c r="Z576" s="269"/>
      <c r="AA576" s="134"/>
      <c r="AB576" s="269"/>
      <c r="AC576" s="284"/>
      <c r="AD576" s="284"/>
      <c r="AE576" s="269"/>
    </row>
    <row r="577" spans="2:31">
      <c r="B577" s="269"/>
      <c r="C577" s="269"/>
      <c r="D577" s="269"/>
      <c r="E577" s="269"/>
      <c r="F577" s="269"/>
      <c r="H577" s="269"/>
      <c r="N577" s="334"/>
      <c r="T577" s="110"/>
      <c r="V577" s="232"/>
      <c r="W577" s="269"/>
      <c r="X577" s="201"/>
      <c r="Y577" s="269"/>
      <c r="Z577" s="269"/>
      <c r="AA577" s="134"/>
      <c r="AB577" s="269"/>
      <c r="AC577" s="284"/>
      <c r="AD577" s="284"/>
      <c r="AE577" s="269"/>
    </row>
    <row r="578" spans="2:31">
      <c r="B578" s="269"/>
      <c r="C578" s="269"/>
      <c r="D578" s="269"/>
      <c r="E578" s="269"/>
      <c r="F578" s="269"/>
      <c r="H578" s="269"/>
      <c r="N578" s="334"/>
      <c r="T578" s="110"/>
      <c r="V578" s="232"/>
      <c r="W578" s="269"/>
      <c r="X578" s="201"/>
      <c r="Y578" s="269"/>
      <c r="Z578" s="269"/>
      <c r="AA578" s="134"/>
      <c r="AB578" s="269"/>
      <c r="AC578" s="284"/>
      <c r="AD578" s="284"/>
      <c r="AE578" s="269"/>
    </row>
    <row r="579" spans="2:31">
      <c r="B579" s="269"/>
      <c r="C579" s="269"/>
      <c r="D579" s="269"/>
      <c r="E579" s="269"/>
      <c r="F579" s="269"/>
      <c r="H579" s="269"/>
      <c r="N579" s="334"/>
      <c r="T579" s="110"/>
      <c r="V579" s="232"/>
      <c r="W579" s="269"/>
      <c r="X579" s="201"/>
      <c r="Y579" s="269"/>
      <c r="Z579" s="269"/>
      <c r="AA579" s="134"/>
      <c r="AB579" s="269"/>
      <c r="AC579" s="284"/>
      <c r="AD579" s="284"/>
      <c r="AE579" s="269"/>
    </row>
    <row r="580" spans="2:31">
      <c r="B580" s="269"/>
      <c r="C580" s="269"/>
      <c r="D580" s="269"/>
      <c r="E580" s="269"/>
      <c r="F580" s="269"/>
      <c r="H580" s="269"/>
      <c r="N580" s="334"/>
      <c r="T580" s="110"/>
      <c r="V580" s="232"/>
      <c r="W580" s="269"/>
      <c r="X580" s="201"/>
      <c r="Y580" s="269"/>
      <c r="Z580" s="269"/>
      <c r="AA580" s="134"/>
      <c r="AB580" s="269"/>
      <c r="AC580" s="284"/>
      <c r="AD580" s="284"/>
      <c r="AE580" s="269"/>
    </row>
    <row r="581" spans="2:31">
      <c r="B581" s="269"/>
      <c r="C581" s="269"/>
      <c r="D581" s="269"/>
      <c r="E581" s="269"/>
      <c r="F581" s="269"/>
      <c r="H581" s="269"/>
      <c r="N581" s="334"/>
      <c r="T581" s="110"/>
      <c r="V581" s="232"/>
      <c r="W581" s="269"/>
      <c r="X581" s="201"/>
      <c r="Y581" s="269"/>
      <c r="Z581" s="269"/>
      <c r="AA581" s="134"/>
      <c r="AB581" s="269"/>
      <c r="AC581" s="284"/>
      <c r="AD581" s="284"/>
      <c r="AE581" s="269"/>
    </row>
    <row r="582" spans="2:31">
      <c r="B582" s="269"/>
      <c r="C582" s="269"/>
      <c r="D582" s="269"/>
      <c r="E582" s="269"/>
      <c r="F582" s="269"/>
      <c r="H582" s="269"/>
      <c r="N582" s="334"/>
      <c r="T582" s="110"/>
      <c r="V582" s="232"/>
      <c r="W582" s="269"/>
      <c r="X582" s="201"/>
      <c r="Y582" s="269"/>
      <c r="Z582" s="269"/>
      <c r="AA582" s="134"/>
      <c r="AB582" s="269"/>
      <c r="AC582" s="284"/>
      <c r="AD582" s="284"/>
      <c r="AE582" s="269"/>
    </row>
    <row r="583" spans="2:31">
      <c r="B583" s="269"/>
      <c r="C583" s="269"/>
      <c r="D583" s="269"/>
      <c r="E583" s="269"/>
      <c r="F583" s="269"/>
      <c r="H583" s="269"/>
      <c r="N583" s="334"/>
      <c r="T583" s="110"/>
      <c r="V583" s="232"/>
      <c r="W583" s="269"/>
      <c r="X583" s="201"/>
      <c r="Y583" s="269"/>
      <c r="Z583" s="269"/>
      <c r="AA583" s="134"/>
      <c r="AB583" s="269"/>
      <c r="AC583" s="284"/>
      <c r="AD583" s="284"/>
      <c r="AE583" s="269"/>
    </row>
    <row r="584" spans="2:31">
      <c r="B584" s="269"/>
      <c r="C584" s="269"/>
      <c r="D584" s="269"/>
      <c r="E584" s="269"/>
      <c r="F584" s="269"/>
      <c r="H584" s="269"/>
      <c r="N584" s="334"/>
      <c r="T584" s="110"/>
      <c r="V584" s="232"/>
      <c r="W584" s="269"/>
      <c r="X584" s="201"/>
      <c r="Y584" s="269"/>
      <c r="Z584" s="269"/>
      <c r="AA584" s="134"/>
      <c r="AB584" s="269"/>
      <c r="AC584" s="284"/>
      <c r="AD584" s="284"/>
      <c r="AE584" s="269"/>
    </row>
    <row r="585" spans="2:31">
      <c r="B585" s="269"/>
      <c r="C585" s="269"/>
      <c r="D585" s="269"/>
      <c r="E585" s="269"/>
      <c r="F585" s="269"/>
      <c r="H585" s="269"/>
      <c r="N585" s="334"/>
      <c r="T585" s="110"/>
      <c r="V585" s="232"/>
      <c r="W585" s="269"/>
      <c r="X585" s="201"/>
      <c r="Y585" s="269"/>
      <c r="Z585" s="269"/>
      <c r="AA585" s="134"/>
      <c r="AB585" s="269"/>
      <c r="AC585" s="284"/>
      <c r="AD585" s="284"/>
      <c r="AE585" s="269"/>
    </row>
    <row r="586" spans="2:31">
      <c r="B586" s="269"/>
      <c r="C586" s="269"/>
      <c r="D586" s="269"/>
      <c r="E586" s="269"/>
      <c r="F586" s="269"/>
      <c r="H586" s="269"/>
      <c r="N586" s="334"/>
      <c r="T586" s="110"/>
      <c r="V586" s="232"/>
      <c r="W586" s="269"/>
      <c r="X586" s="201"/>
      <c r="Y586" s="269"/>
      <c r="Z586" s="269"/>
      <c r="AA586" s="134"/>
      <c r="AB586" s="269"/>
      <c r="AC586" s="284"/>
      <c r="AD586" s="284"/>
      <c r="AE586" s="269"/>
    </row>
    <row r="587" spans="2:31">
      <c r="B587" s="269"/>
      <c r="C587" s="269"/>
      <c r="D587" s="269"/>
      <c r="E587" s="269"/>
      <c r="F587" s="269"/>
      <c r="H587" s="269"/>
      <c r="N587" s="334"/>
      <c r="T587" s="110"/>
      <c r="V587" s="232"/>
      <c r="W587" s="269"/>
      <c r="X587" s="201"/>
      <c r="Y587" s="269"/>
      <c r="Z587" s="269"/>
      <c r="AA587" s="134"/>
      <c r="AB587" s="269"/>
      <c r="AC587" s="284"/>
      <c r="AD587" s="284"/>
      <c r="AE587" s="269"/>
    </row>
    <row r="588" spans="2:31">
      <c r="F588" s="269"/>
      <c r="H588" s="269"/>
      <c r="N588" s="334"/>
      <c r="T588" s="110"/>
      <c r="V588" s="232"/>
      <c r="W588" s="269"/>
      <c r="X588" s="201"/>
      <c r="Y588" s="269"/>
      <c r="Z588" s="269"/>
      <c r="AA588" s="134"/>
      <c r="AB588" s="269"/>
      <c r="AC588" s="284"/>
      <c r="AD588" s="284"/>
      <c r="AE588" s="269"/>
    </row>
    <row r="589" spans="2:31">
      <c r="F589" s="269"/>
      <c r="H589" s="269"/>
      <c r="N589" s="334"/>
      <c r="T589" s="110"/>
      <c r="V589" s="232"/>
      <c r="W589" s="269"/>
      <c r="X589" s="201"/>
      <c r="Y589" s="269"/>
      <c r="Z589" s="269"/>
      <c r="AA589" s="134"/>
      <c r="AB589" s="269"/>
      <c r="AC589" s="284"/>
      <c r="AD589" s="284"/>
      <c r="AE589" s="269"/>
    </row>
    <row r="590" spans="2:31">
      <c r="F590" s="269"/>
      <c r="H590" s="269"/>
      <c r="N590" s="334"/>
      <c r="T590" s="110"/>
      <c r="V590" s="232"/>
      <c r="W590" s="269"/>
      <c r="X590" s="201"/>
      <c r="Y590" s="269"/>
      <c r="Z590" s="269"/>
      <c r="AA590" s="134"/>
      <c r="AB590" s="269"/>
      <c r="AC590" s="284"/>
      <c r="AD590" s="284"/>
      <c r="AE590" s="269"/>
    </row>
    <row r="591" spans="2:31">
      <c r="F591" s="269"/>
      <c r="H591" s="269"/>
      <c r="N591" s="334"/>
      <c r="T591" s="110"/>
      <c r="V591" s="232"/>
      <c r="W591" s="269"/>
      <c r="X591" s="201"/>
      <c r="Y591" s="269"/>
      <c r="Z591" s="269"/>
      <c r="AA591" s="134"/>
      <c r="AB591" s="269"/>
      <c r="AC591" s="284"/>
      <c r="AD591" s="284"/>
      <c r="AE591" s="269"/>
    </row>
    <row r="592" spans="2:31">
      <c r="F592" s="269"/>
      <c r="H592" s="269"/>
      <c r="N592" s="334"/>
      <c r="T592" s="110"/>
      <c r="V592" s="232"/>
      <c r="W592" s="269"/>
      <c r="X592" s="201"/>
      <c r="Y592" s="269"/>
      <c r="Z592" s="269"/>
      <c r="AA592" s="134"/>
      <c r="AB592" s="269"/>
      <c r="AC592" s="284"/>
      <c r="AD592" s="284"/>
      <c r="AE592" s="269"/>
    </row>
    <row r="593" spans="2:31">
      <c r="F593" s="269"/>
      <c r="H593" s="269"/>
      <c r="N593" s="334"/>
      <c r="T593" s="110"/>
      <c r="V593" s="232"/>
      <c r="W593" s="269"/>
      <c r="X593" s="201"/>
      <c r="Y593" s="269"/>
      <c r="Z593" s="269"/>
      <c r="AA593" s="134"/>
      <c r="AB593" s="269"/>
      <c r="AC593" s="284"/>
      <c r="AD593" s="284"/>
      <c r="AE593" s="269"/>
    </row>
    <row r="594" spans="2:31">
      <c r="F594" s="269"/>
      <c r="H594" s="269"/>
      <c r="N594" s="334"/>
      <c r="T594" s="110"/>
      <c r="V594" s="232"/>
      <c r="W594" s="269"/>
      <c r="X594" s="201"/>
      <c r="Y594" s="269"/>
      <c r="Z594" s="269"/>
      <c r="AA594" s="134"/>
      <c r="AB594" s="269"/>
      <c r="AC594" s="284"/>
      <c r="AD594" s="284"/>
      <c r="AE594" s="269"/>
    </row>
    <row r="595" spans="2:31">
      <c r="B595" s="83"/>
      <c r="C595" s="81"/>
      <c r="D595" s="83"/>
      <c r="E595" s="81"/>
      <c r="F595" s="269"/>
      <c r="G595" s="48"/>
      <c r="H595" s="269"/>
      <c r="I595" s="72"/>
      <c r="J595" s="330"/>
      <c r="K595" s="75"/>
      <c r="L595" s="157"/>
      <c r="M595" s="341"/>
      <c r="N595" s="334"/>
      <c r="T595" s="110"/>
      <c r="V595" s="232"/>
      <c r="W595" s="269"/>
      <c r="X595" s="201"/>
      <c r="Y595" s="269"/>
      <c r="Z595" s="269"/>
      <c r="AA595" s="134"/>
      <c r="AB595" s="269"/>
      <c r="AC595" s="284"/>
      <c r="AD595" s="284"/>
      <c r="AE595" s="269"/>
    </row>
    <row r="596" spans="2:31">
      <c r="B596" s="83"/>
      <c r="C596" s="81"/>
      <c r="D596" s="83"/>
      <c r="E596" s="81"/>
      <c r="F596" s="269"/>
      <c r="G596" s="48"/>
      <c r="H596" s="269"/>
      <c r="I596" s="72"/>
      <c r="J596" s="330"/>
      <c r="K596" s="75"/>
      <c r="L596" s="157"/>
      <c r="M596" s="341"/>
      <c r="N596" s="334"/>
      <c r="T596" s="110"/>
      <c r="V596" s="232"/>
      <c r="W596" s="269"/>
      <c r="X596" s="201"/>
      <c r="Y596" s="269"/>
      <c r="Z596" s="269"/>
      <c r="AA596" s="134"/>
      <c r="AB596" s="269"/>
      <c r="AC596" s="284"/>
      <c r="AD596" s="284"/>
      <c r="AE596" s="269"/>
    </row>
    <row r="597" spans="2:31">
      <c r="B597" s="83"/>
      <c r="C597" s="81"/>
      <c r="D597" s="83"/>
      <c r="E597" s="81"/>
      <c r="F597" s="269"/>
      <c r="G597" s="48"/>
      <c r="H597" s="269"/>
      <c r="I597" s="72"/>
      <c r="J597" s="330"/>
      <c r="K597" s="75"/>
      <c r="L597" s="157"/>
      <c r="M597" s="341"/>
      <c r="N597" s="334"/>
      <c r="T597" s="110"/>
      <c r="V597" s="232"/>
      <c r="W597" s="269"/>
      <c r="X597" s="201"/>
      <c r="Y597" s="269"/>
      <c r="Z597" s="269"/>
      <c r="AA597" s="134"/>
      <c r="AB597" s="269"/>
      <c r="AC597" s="284"/>
      <c r="AD597" s="284"/>
      <c r="AE597" s="269"/>
    </row>
    <row r="598" spans="2:31">
      <c r="B598" s="83"/>
      <c r="C598" s="81"/>
      <c r="D598" s="83"/>
      <c r="E598" s="81"/>
      <c r="F598" s="269"/>
      <c r="G598" s="48"/>
      <c r="H598" s="269"/>
      <c r="I598" s="72"/>
      <c r="J598" s="330"/>
      <c r="K598" s="75"/>
      <c r="L598" s="157"/>
      <c r="M598" s="341"/>
      <c r="N598" s="334"/>
      <c r="T598" s="110"/>
      <c r="V598" s="232"/>
      <c r="W598" s="269"/>
      <c r="X598" s="201"/>
      <c r="Y598" s="269"/>
      <c r="Z598" s="269"/>
      <c r="AA598" s="134"/>
      <c r="AB598" s="269"/>
      <c r="AC598" s="284"/>
      <c r="AD598" s="284"/>
      <c r="AE598" s="269"/>
    </row>
    <row r="599" spans="2:31">
      <c r="B599" s="83"/>
      <c r="C599" s="81"/>
      <c r="D599" s="83"/>
      <c r="E599" s="81"/>
      <c r="F599" s="269"/>
      <c r="G599" s="48"/>
      <c r="H599" s="269"/>
      <c r="I599" s="72"/>
      <c r="J599" s="330"/>
      <c r="K599" s="75"/>
      <c r="L599" s="157"/>
      <c r="M599" s="341"/>
      <c r="N599" s="334"/>
      <c r="T599" s="110"/>
      <c r="V599" s="232"/>
      <c r="W599" s="269"/>
      <c r="X599" s="201"/>
      <c r="Y599" s="269"/>
      <c r="Z599" s="269"/>
      <c r="AA599" s="134"/>
      <c r="AB599" s="269"/>
      <c r="AC599" s="284"/>
      <c r="AD599" s="284"/>
      <c r="AE599" s="269"/>
    </row>
    <row r="600" spans="2:31">
      <c r="B600" s="83"/>
      <c r="C600" s="81"/>
      <c r="D600" s="83"/>
      <c r="E600" s="81"/>
      <c r="F600" s="269"/>
      <c r="G600" s="48"/>
      <c r="H600" s="269"/>
      <c r="I600" s="72"/>
      <c r="J600" s="330"/>
      <c r="K600" s="75"/>
      <c r="L600" s="157"/>
      <c r="M600" s="341"/>
      <c r="N600" s="334"/>
      <c r="T600" s="110"/>
      <c r="V600" s="232"/>
      <c r="W600" s="269"/>
      <c r="X600" s="201"/>
      <c r="Y600" s="269"/>
      <c r="Z600" s="269"/>
      <c r="AA600" s="134"/>
      <c r="AB600" s="269"/>
      <c r="AC600" s="284"/>
      <c r="AD600" s="284"/>
      <c r="AE600" s="269"/>
    </row>
    <row r="601" spans="2:31">
      <c r="B601" s="83"/>
      <c r="C601" s="81"/>
      <c r="D601" s="83"/>
      <c r="E601" s="81"/>
      <c r="F601" s="269"/>
      <c r="G601" s="48"/>
      <c r="H601" s="269"/>
      <c r="I601" s="72"/>
      <c r="J601" s="330"/>
      <c r="K601" s="75"/>
      <c r="L601" s="157"/>
      <c r="M601" s="341"/>
      <c r="N601" s="334"/>
      <c r="T601" s="110"/>
      <c r="V601" s="232"/>
      <c r="W601" s="269"/>
      <c r="X601" s="201"/>
      <c r="Y601" s="269"/>
      <c r="Z601" s="269"/>
      <c r="AA601" s="134"/>
      <c r="AB601" s="269"/>
      <c r="AC601" s="284"/>
      <c r="AD601" s="284"/>
      <c r="AE601" s="269"/>
    </row>
    <row r="602" spans="2:31">
      <c r="B602" s="83"/>
      <c r="C602" s="81"/>
      <c r="D602" s="83"/>
      <c r="E602" s="81"/>
      <c r="F602" s="269"/>
      <c r="G602" s="48"/>
      <c r="H602" s="269"/>
      <c r="I602" s="72"/>
      <c r="J602" s="330"/>
      <c r="K602" s="75"/>
      <c r="L602" s="157"/>
      <c r="M602" s="341"/>
      <c r="N602" s="334"/>
      <c r="T602" s="110"/>
      <c r="V602" s="232"/>
      <c r="W602" s="269"/>
      <c r="X602" s="201"/>
      <c r="Y602" s="269"/>
      <c r="Z602" s="269"/>
      <c r="AA602" s="134"/>
      <c r="AB602" s="269"/>
      <c r="AC602" s="284"/>
      <c r="AD602" s="284"/>
      <c r="AE602" s="269"/>
    </row>
    <row r="603" spans="2:31">
      <c r="B603" s="83"/>
      <c r="C603" s="81"/>
      <c r="D603" s="83"/>
      <c r="E603" s="81"/>
      <c r="F603" s="269"/>
      <c r="G603" s="48"/>
      <c r="H603" s="269"/>
      <c r="I603" s="72"/>
      <c r="J603" s="330"/>
      <c r="K603" s="75"/>
      <c r="L603" s="157"/>
      <c r="M603" s="341"/>
      <c r="N603" s="334"/>
      <c r="T603" s="110"/>
      <c r="V603" s="232"/>
      <c r="W603" s="269"/>
      <c r="X603" s="201"/>
      <c r="Y603" s="269"/>
      <c r="Z603" s="269"/>
      <c r="AA603" s="134"/>
      <c r="AB603" s="269"/>
      <c r="AC603" s="284"/>
      <c r="AD603" s="284"/>
      <c r="AE603" s="269"/>
    </row>
    <row r="604" spans="2:31">
      <c r="B604" s="83"/>
      <c r="C604" s="81"/>
      <c r="D604" s="83"/>
      <c r="E604" s="81"/>
      <c r="F604" s="269"/>
      <c r="G604" s="48"/>
      <c r="H604" s="269"/>
      <c r="I604" s="72"/>
      <c r="J604" s="330"/>
      <c r="K604" s="75"/>
      <c r="L604" s="157"/>
      <c r="M604" s="341"/>
      <c r="N604" s="334"/>
      <c r="T604" s="110"/>
      <c r="V604" s="232"/>
      <c r="W604" s="269"/>
      <c r="X604" s="201"/>
      <c r="Y604" s="269"/>
      <c r="Z604" s="269"/>
      <c r="AA604" s="134"/>
      <c r="AB604" s="269"/>
      <c r="AC604" s="284"/>
      <c r="AD604" s="284"/>
      <c r="AE604" s="269"/>
    </row>
    <row r="605" spans="2:31">
      <c r="B605" s="83"/>
      <c r="C605" s="81"/>
      <c r="D605" s="83"/>
      <c r="E605" s="81"/>
      <c r="F605" s="269"/>
      <c r="G605" s="48"/>
      <c r="H605" s="269"/>
      <c r="I605" s="72"/>
      <c r="J605" s="330"/>
      <c r="K605" s="75"/>
      <c r="L605" s="157"/>
      <c r="M605" s="341"/>
      <c r="N605" s="334"/>
      <c r="T605" s="110"/>
      <c r="V605" s="232"/>
      <c r="W605" s="269"/>
      <c r="X605" s="201"/>
      <c r="Y605" s="269"/>
      <c r="Z605" s="269"/>
      <c r="AA605" s="134"/>
      <c r="AB605" s="269"/>
      <c r="AC605" s="284"/>
      <c r="AD605" s="284"/>
      <c r="AE605" s="269"/>
    </row>
    <row r="606" spans="2:31">
      <c r="B606" s="83"/>
      <c r="C606" s="81"/>
      <c r="D606" s="83"/>
      <c r="E606" s="81"/>
      <c r="F606" s="269"/>
      <c r="G606" s="48"/>
      <c r="H606" s="269"/>
      <c r="I606" s="72"/>
      <c r="J606" s="330"/>
      <c r="K606" s="75"/>
      <c r="L606" s="157"/>
      <c r="M606" s="341"/>
      <c r="N606" s="334"/>
      <c r="T606" s="110"/>
      <c r="V606" s="232"/>
      <c r="W606" s="269"/>
      <c r="X606" s="201"/>
      <c r="Y606" s="269"/>
      <c r="Z606" s="269"/>
      <c r="AA606" s="134"/>
      <c r="AB606" s="269"/>
      <c r="AC606" s="284"/>
      <c r="AD606" s="284"/>
      <c r="AE606" s="269"/>
    </row>
    <row r="607" spans="2:31">
      <c r="B607" s="83"/>
      <c r="C607" s="81"/>
      <c r="D607" s="83"/>
      <c r="E607" s="81"/>
      <c r="F607" s="269"/>
      <c r="G607" s="48"/>
      <c r="H607" s="269"/>
      <c r="I607" s="72"/>
      <c r="J607" s="330"/>
      <c r="K607" s="75"/>
      <c r="L607" s="157"/>
      <c r="M607" s="341"/>
      <c r="N607" s="334"/>
      <c r="T607" s="110"/>
      <c r="V607" s="232"/>
      <c r="W607" s="269"/>
      <c r="X607" s="201"/>
      <c r="Y607" s="269"/>
      <c r="Z607" s="269"/>
      <c r="AA607" s="134"/>
      <c r="AB607" s="269"/>
      <c r="AC607" s="284"/>
      <c r="AD607" s="284"/>
      <c r="AE607" s="269"/>
    </row>
    <row r="608" spans="2:31">
      <c r="B608" s="83"/>
      <c r="C608" s="81"/>
      <c r="D608" s="83"/>
      <c r="E608" s="81"/>
      <c r="F608" s="269"/>
      <c r="G608" s="48"/>
      <c r="H608" s="269"/>
      <c r="I608" s="72"/>
      <c r="J608" s="330"/>
      <c r="K608" s="75"/>
      <c r="L608" s="157"/>
      <c r="M608" s="341"/>
      <c r="N608" s="334"/>
      <c r="T608" s="110"/>
      <c r="V608" s="232"/>
      <c r="W608" s="269"/>
      <c r="X608" s="201"/>
      <c r="Y608" s="269"/>
      <c r="Z608" s="269"/>
      <c r="AA608" s="134"/>
      <c r="AB608" s="269"/>
      <c r="AC608" s="284"/>
      <c r="AD608" s="284"/>
      <c r="AE608" s="269"/>
    </row>
    <row r="609" spans="2:31">
      <c r="B609" s="83"/>
      <c r="C609" s="81"/>
      <c r="D609" s="83"/>
      <c r="E609" s="81"/>
      <c r="F609" s="269"/>
      <c r="G609" s="48"/>
      <c r="H609" s="269"/>
      <c r="I609" s="72"/>
      <c r="J609" s="330"/>
      <c r="K609" s="75"/>
      <c r="L609" s="157"/>
      <c r="M609" s="341"/>
      <c r="N609" s="334"/>
      <c r="T609" s="110"/>
      <c r="V609" s="232"/>
      <c r="W609" s="269"/>
      <c r="X609" s="201"/>
      <c r="Y609" s="269"/>
      <c r="Z609" s="269"/>
      <c r="AA609" s="134"/>
      <c r="AB609" s="269"/>
      <c r="AC609" s="284"/>
      <c r="AD609" s="284"/>
      <c r="AE609" s="269"/>
    </row>
    <row r="610" spans="2:31">
      <c r="B610" s="83"/>
      <c r="C610" s="81"/>
      <c r="D610" s="83"/>
      <c r="E610" s="81"/>
      <c r="F610" s="269"/>
      <c r="G610" s="48"/>
      <c r="H610" s="269"/>
      <c r="I610" s="72"/>
      <c r="J610" s="330"/>
      <c r="K610" s="75"/>
      <c r="L610" s="157"/>
      <c r="M610" s="341"/>
      <c r="N610" s="334"/>
      <c r="T610" s="110"/>
      <c r="V610" s="232"/>
      <c r="W610" s="269"/>
      <c r="X610" s="201"/>
      <c r="Y610" s="269"/>
      <c r="Z610" s="269"/>
      <c r="AA610" s="134"/>
      <c r="AB610" s="269"/>
      <c r="AC610" s="284"/>
      <c r="AD610" s="284"/>
      <c r="AE610" s="269"/>
    </row>
    <row r="611" spans="2:31">
      <c r="B611" s="83"/>
      <c r="C611" s="81"/>
      <c r="D611" s="83"/>
      <c r="E611" s="81"/>
      <c r="F611" s="269"/>
      <c r="G611" s="48"/>
      <c r="H611" s="269"/>
      <c r="I611" s="72"/>
      <c r="J611" s="330"/>
      <c r="K611" s="75"/>
      <c r="L611" s="157"/>
      <c r="M611" s="341"/>
      <c r="N611" s="334"/>
      <c r="T611" s="110"/>
      <c r="V611" s="232"/>
      <c r="W611" s="269"/>
      <c r="X611" s="201"/>
      <c r="Y611" s="269"/>
      <c r="Z611" s="269"/>
      <c r="AA611" s="134"/>
      <c r="AB611" s="269"/>
      <c r="AC611" s="284"/>
      <c r="AD611" s="284"/>
      <c r="AE611" s="269"/>
    </row>
    <row r="612" spans="2:31">
      <c r="B612" s="83"/>
      <c r="C612" s="81"/>
      <c r="D612" s="83"/>
      <c r="E612" s="81"/>
      <c r="F612" s="269"/>
      <c r="G612" s="48"/>
      <c r="H612" s="269"/>
      <c r="I612" s="72"/>
      <c r="J612" s="330"/>
      <c r="K612" s="75"/>
      <c r="L612" s="157"/>
      <c r="M612" s="341"/>
      <c r="N612" s="334"/>
      <c r="T612" s="110"/>
      <c r="V612" s="232"/>
      <c r="W612" s="269"/>
      <c r="X612" s="201"/>
      <c r="Y612" s="269"/>
      <c r="Z612" s="269"/>
      <c r="AA612" s="134"/>
      <c r="AB612" s="269"/>
      <c r="AC612" s="284"/>
      <c r="AD612" s="284"/>
      <c r="AE612" s="269"/>
    </row>
    <row r="613" spans="2:31">
      <c r="B613" s="83"/>
      <c r="C613" s="81"/>
      <c r="D613" s="83"/>
      <c r="E613" s="81"/>
      <c r="F613" s="269"/>
      <c r="G613" s="48"/>
      <c r="H613" s="269"/>
      <c r="I613" s="72"/>
      <c r="J613" s="330"/>
      <c r="K613" s="75"/>
      <c r="L613" s="157"/>
      <c r="M613" s="341"/>
      <c r="N613" s="334"/>
      <c r="T613" s="110"/>
      <c r="V613" s="232"/>
      <c r="W613" s="269"/>
      <c r="X613" s="201"/>
      <c r="Y613" s="269"/>
      <c r="Z613" s="269"/>
      <c r="AA613" s="134"/>
      <c r="AB613" s="269"/>
      <c r="AC613" s="284"/>
      <c r="AD613" s="284"/>
      <c r="AE613" s="269"/>
    </row>
    <row r="614" spans="2:31">
      <c r="B614" s="83"/>
      <c r="C614" s="81"/>
      <c r="D614" s="83"/>
      <c r="E614" s="81"/>
      <c r="F614" s="269"/>
      <c r="G614" s="48"/>
      <c r="H614" s="269"/>
      <c r="I614" s="72"/>
      <c r="J614" s="330"/>
      <c r="K614" s="75"/>
      <c r="L614" s="157"/>
      <c r="M614" s="341"/>
      <c r="N614" s="334"/>
      <c r="T614" s="110"/>
      <c r="V614" s="232"/>
      <c r="W614" s="269"/>
      <c r="X614" s="201"/>
      <c r="Y614" s="269"/>
      <c r="Z614" s="269"/>
      <c r="AA614" s="134"/>
      <c r="AB614" s="269"/>
      <c r="AC614" s="284"/>
      <c r="AD614" s="284"/>
      <c r="AE614" s="269"/>
    </row>
    <row r="615" spans="2:31">
      <c r="B615" s="83"/>
      <c r="C615" s="81"/>
      <c r="D615" s="83"/>
      <c r="E615" s="81"/>
      <c r="F615" s="269"/>
      <c r="G615" s="48"/>
      <c r="H615" s="269"/>
      <c r="I615" s="72"/>
      <c r="J615" s="330"/>
      <c r="K615" s="75"/>
      <c r="L615" s="157"/>
      <c r="M615" s="341"/>
      <c r="N615" s="334"/>
      <c r="T615" s="110"/>
      <c r="V615" s="232"/>
      <c r="W615" s="269"/>
      <c r="X615" s="201"/>
      <c r="Y615" s="269"/>
      <c r="Z615" s="269"/>
      <c r="AA615" s="134"/>
      <c r="AB615" s="269"/>
      <c r="AC615" s="284"/>
      <c r="AD615" s="284"/>
      <c r="AE615" s="269"/>
    </row>
    <row r="616" spans="2:31">
      <c r="B616" s="83"/>
      <c r="C616" s="81"/>
      <c r="D616" s="83"/>
      <c r="E616" s="81"/>
      <c r="F616" s="269"/>
      <c r="G616" s="48"/>
      <c r="H616" s="269"/>
      <c r="I616" s="72"/>
      <c r="J616" s="330"/>
      <c r="K616" s="75"/>
      <c r="L616" s="157"/>
      <c r="M616" s="341"/>
      <c r="N616" s="334"/>
      <c r="T616" s="110"/>
      <c r="V616" s="232"/>
      <c r="W616" s="269"/>
      <c r="X616" s="201"/>
      <c r="Y616" s="269"/>
      <c r="Z616" s="269"/>
      <c r="AA616" s="134"/>
      <c r="AB616" s="269"/>
      <c r="AC616" s="284"/>
      <c r="AD616" s="284"/>
      <c r="AE616" s="269"/>
    </row>
    <row r="617" spans="2:31">
      <c r="B617" s="83"/>
      <c r="C617" s="81"/>
      <c r="D617" s="83"/>
      <c r="E617" s="81"/>
      <c r="F617" s="269"/>
      <c r="G617" s="48"/>
      <c r="H617" s="269"/>
      <c r="I617" s="72"/>
      <c r="J617" s="330"/>
      <c r="K617" s="75"/>
      <c r="L617" s="157"/>
      <c r="M617" s="341"/>
      <c r="N617" s="334"/>
      <c r="T617" s="110"/>
      <c r="V617" s="232"/>
      <c r="W617" s="269"/>
      <c r="X617" s="201"/>
      <c r="Y617" s="269"/>
      <c r="Z617" s="269"/>
      <c r="AA617" s="134"/>
      <c r="AB617" s="269"/>
      <c r="AC617" s="284"/>
      <c r="AD617" s="284"/>
      <c r="AE617" s="269"/>
    </row>
    <row r="618" spans="2:31">
      <c r="B618" s="83"/>
      <c r="C618" s="81"/>
      <c r="D618" s="83"/>
      <c r="E618" s="81"/>
      <c r="F618" s="269"/>
      <c r="G618" s="48"/>
      <c r="H618" s="269"/>
      <c r="I618" s="72"/>
      <c r="J618" s="330"/>
      <c r="K618" s="75"/>
      <c r="L618" s="157"/>
      <c r="M618" s="341"/>
      <c r="N618" s="334"/>
      <c r="T618" s="110"/>
      <c r="V618" s="232"/>
      <c r="W618" s="269"/>
      <c r="X618" s="201"/>
      <c r="Y618" s="269"/>
      <c r="Z618" s="269"/>
      <c r="AA618" s="134"/>
      <c r="AB618" s="269"/>
      <c r="AC618" s="284"/>
      <c r="AD618" s="284"/>
      <c r="AE618" s="269"/>
    </row>
    <row r="619" spans="2:31">
      <c r="B619" s="83"/>
      <c r="C619" s="81"/>
      <c r="D619" s="83"/>
      <c r="E619" s="81"/>
      <c r="F619" s="269"/>
      <c r="G619" s="48"/>
      <c r="H619" s="269"/>
      <c r="I619" s="72"/>
      <c r="J619" s="330"/>
      <c r="K619" s="75"/>
      <c r="L619" s="157"/>
      <c r="M619" s="341"/>
      <c r="N619" s="334"/>
      <c r="T619" s="110"/>
      <c r="V619" s="232"/>
      <c r="W619" s="269"/>
      <c r="X619" s="201"/>
      <c r="Y619" s="269"/>
      <c r="Z619" s="269"/>
      <c r="AA619" s="134"/>
      <c r="AB619" s="269"/>
      <c r="AC619" s="284"/>
      <c r="AD619" s="284"/>
      <c r="AE619" s="269"/>
    </row>
    <row r="620" spans="2:31">
      <c r="B620" s="83"/>
      <c r="C620" s="81"/>
      <c r="D620" s="83"/>
      <c r="E620" s="81"/>
      <c r="F620" s="269"/>
      <c r="G620" s="48"/>
      <c r="H620" s="269"/>
      <c r="I620" s="72"/>
      <c r="J620" s="330"/>
      <c r="K620" s="75"/>
      <c r="L620" s="157"/>
      <c r="M620" s="341"/>
      <c r="N620" s="334"/>
      <c r="T620" s="110"/>
      <c r="V620" s="232"/>
      <c r="W620" s="269"/>
      <c r="X620" s="201"/>
      <c r="Y620" s="269"/>
      <c r="Z620" s="269"/>
      <c r="AA620" s="134"/>
      <c r="AB620" s="269"/>
      <c r="AC620" s="284"/>
      <c r="AD620" s="284"/>
      <c r="AE620" s="269"/>
    </row>
    <row r="621" spans="2:31">
      <c r="B621" s="83"/>
      <c r="C621" s="81"/>
      <c r="D621" s="83"/>
      <c r="E621" s="81"/>
      <c r="F621" s="269"/>
      <c r="G621" s="48"/>
      <c r="H621" s="269"/>
      <c r="I621" s="72"/>
      <c r="J621" s="330"/>
      <c r="K621" s="75"/>
      <c r="L621" s="157"/>
      <c r="M621" s="341"/>
      <c r="N621" s="334"/>
      <c r="T621" s="110"/>
      <c r="V621" s="232"/>
      <c r="W621" s="269"/>
      <c r="X621" s="201"/>
      <c r="Y621" s="269"/>
      <c r="Z621" s="269"/>
      <c r="AA621" s="134"/>
      <c r="AB621" s="269"/>
      <c r="AC621" s="284"/>
      <c r="AD621" s="284"/>
      <c r="AE621" s="269"/>
    </row>
    <row r="622" spans="2:31">
      <c r="B622" s="83"/>
      <c r="C622" s="81"/>
      <c r="D622" s="83"/>
      <c r="E622" s="81"/>
      <c r="F622" s="269"/>
      <c r="G622" s="48"/>
      <c r="H622" s="269"/>
      <c r="I622" s="72"/>
      <c r="J622" s="330"/>
      <c r="K622" s="75"/>
      <c r="L622" s="157"/>
      <c r="M622" s="341"/>
      <c r="N622" s="334"/>
      <c r="T622" s="110"/>
      <c r="V622" s="232"/>
      <c r="W622" s="269"/>
      <c r="X622" s="201"/>
      <c r="Y622" s="269"/>
      <c r="Z622" s="269"/>
      <c r="AA622" s="134"/>
      <c r="AB622" s="269"/>
      <c r="AC622" s="284"/>
      <c r="AD622" s="284"/>
      <c r="AE622" s="269"/>
    </row>
    <row r="623" spans="2:31">
      <c r="B623" s="83"/>
      <c r="C623" s="81"/>
      <c r="D623" s="83"/>
      <c r="E623" s="81"/>
      <c r="F623" s="269"/>
      <c r="G623" s="48"/>
      <c r="H623" s="269"/>
      <c r="I623" s="72"/>
      <c r="J623" s="330"/>
      <c r="K623" s="75"/>
      <c r="L623" s="157"/>
      <c r="M623" s="341"/>
      <c r="N623" s="334"/>
      <c r="T623" s="110"/>
      <c r="V623" s="232"/>
      <c r="W623" s="269"/>
      <c r="X623" s="201"/>
      <c r="Y623" s="269"/>
      <c r="Z623" s="269"/>
      <c r="AA623" s="134"/>
      <c r="AB623" s="269"/>
      <c r="AC623" s="284"/>
      <c r="AD623" s="284"/>
      <c r="AE623" s="269"/>
    </row>
    <row r="624" spans="2:31">
      <c r="B624" s="83"/>
      <c r="C624" s="81"/>
      <c r="D624" s="83"/>
      <c r="E624" s="81"/>
      <c r="F624" s="269"/>
      <c r="G624" s="48"/>
      <c r="H624" s="269"/>
      <c r="I624" s="72"/>
      <c r="J624" s="330"/>
      <c r="K624" s="75"/>
      <c r="L624" s="157"/>
      <c r="M624" s="341"/>
      <c r="N624" s="334"/>
      <c r="T624" s="110"/>
      <c r="V624" s="232"/>
      <c r="W624" s="269"/>
      <c r="X624" s="201"/>
      <c r="Y624" s="269"/>
      <c r="Z624" s="269"/>
      <c r="AA624" s="134"/>
      <c r="AB624" s="269"/>
      <c r="AC624" s="284"/>
      <c r="AD624" s="284"/>
      <c r="AE624" s="269"/>
    </row>
    <row r="625" spans="2:31">
      <c r="B625" s="83"/>
      <c r="C625" s="81"/>
      <c r="D625" s="83"/>
      <c r="E625" s="81"/>
      <c r="F625" s="269"/>
      <c r="G625" s="48"/>
      <c r="H625" s="269"/>
      <c r="I625" s="72"/>
      <c r="J625" s="330"/>
      <c r="K625" s="75"/>
      <c r="L625" s="157"/>
      <c r="M625" s="341"/>
      <c r="N625" s="334"/>
      <c r="T625" s="110"/>
      <c r="V625" s="232"/>
      <c r="W625" s="269"/>
      <c r="X625" s="201"/>
      <c r="Y625" s="269"/>
      <c r="Z625" s="269"/>
      <c r="AA625" s="134"/>
      <c r="AB625" s="269"/>
      <c r="AC625" s="284"/>
      <c r="AD625" s="284"/>
      <c r="AE625" s="269"/>
    </row>
    <row r="626" spans="2:31">
      <c r="B626" s="83"/>
      <c r="C626" s="81"/>
      <c r="D626" s="83"/>
      <c r="E626" s="81"/>
      <c r="F626" s="269"/>
      <c r="G626" s="48"/>
      <c r="H626" s="269"/>
      <c r="I626" s="72"/>
      <c r="J626" s="330"/>
      <c r="K626" s="75"/>
      <c r="L626" s="157"/>
      <c r="M626" s="341"/>
      <c r="N626" s="334"/>
      <c r="T626" s="110"/>
      <c r="V626" s="232"/>
      <c r="W626" s="269"/>
      <c r="X626" s="201"/>
      <c r="Y626" s="269"/>
      <c r="Z626" s="269"/>
      <c r="AA626" s="134"/>
      <c r="AB626" s="269"/>
      <c r="AC626" s="284"/>
      <c r="AD626" s="284"/>
      <c r="AE626" s="269"/>
    </row>
    <row r="627" spans="2:31">
      <c r="B627" s="83"/>
      <c r="C627" s="81"/>
      <c r="D627" s="83"/>
      <c r="E627" s="81"/>
      <c r="F627" s="269"/>
      <c r="G627" s="48"/>
      <c r="H627" s="269"/>
      <c r="I627" s="72"/>
      <c r="J627" s="330"/>
      <c r="K627" s="75"/>
      <c r="L627" s="157"/>
      <c r="M627" s="341"/>
      <c r="N627" s="334"/>
      <c r="T627" s="110"/>
      <c r="V627" s="232"/>
      <c r="W627" s="269"/>
      <c r="X627" s="201"/>
      <c r="Y627" s="269"/>
      <c r="Z627" s="269"/>
      <c r="AA627" s="134"/>
      <c r="AB627" s="269"/>
      <c r="AC627" s="284"/>
      <c r="AD627" s="284"/>
      <c r="AE627" s="269"/>
    </row>
    <row r="628" spans="2:31">
      <c r="B628" s="83"/>
      <c r="C628" s="81"/>
      <c r="D628" s="83"/>
      <c r="E628" s="81"/>
      <c r="F628" s="269"/>
      <c r="G628" s="48"/>
      <c r="H628" s="269"/>
      <c r="I628" s="72"/>
      <c r="J628" s="330"/>
      <c r="K628" s="75"/>
      <c r="L628" s="157"/>
      <c r="M628" s="341"/>
      <c r="N628" s="334"/>
      <c r="T628" s="110"/>
      <c r="V628" s="232"/>
      <c r="W628" s="269"/>
      <c r="X628" s="201"/>
      <c r="Y628" s="269"/>
      <c r="Z628" s="269"/>
      <c r="AA628" s="134"/>
      <c r="AB628" s="269"/>
      <c r="AC628" s="284"/>
      <c r="AD628" s="284"/>
      <c r="AE628" s="269"/>
    </row>
    <row r="629" spans="2:31">
      <c r="B629" s="83"/>
      <c r="C629" s="81"/>
      <c r="D629" s="83"/>
      <c r="E629" s="81"/>
      <c r="F629" s="269"/>
      <c r="G629" s="48"/>
      <c r="H629" s="269"/>
      <c r="I629" s="72"/>
      <c r="J629" s="330"/>
      <c r="K629" s="75"/>
      <c r="L629" s="157"/>
      <c r="M629" s="341"/>
      <c r="N629" s="334"/>
      <c r="T629" s="110"/>
      <c r="V629" s="232"/>
      <c r="W629" s="269"/>
      <c r="X629" s="201"/>
      <c r="Y629" s="269"/>
      <c r="Z629" s="269"/>
      <c r="AA629" s="134"/>
      <c r="AB629" s="269"/>
      <c r="AC629" s="284"/>
      <c r="AD629" s="284"/>
      <c r="AE629" s="269"/>
    </row>
    <row r="630" spans="2:31">
      <c r="B630" s="83"/>
      <c r="C630" s="81"/>
      <c r="D630" s="83"/>
      <c r="E630" s="81"/>
      <c r="F630" s="269"/>
      <c r="G630" s="48"/>
      <c r="H630" s="269"/>
      <c r="I630" s="72"/>
      <c r="J630" s="330"/>
      <c r="K630" s="75"/>
      <c r="L630" s="157"/>
      <c r="M630" s="341"/>
      <c r="N630" s="334"/>
      <c r="T630" s="110"/>
      <c r="V630" s="232"/>
      <c r="W630" s="269"/>
      <c r="X630" s="201"/>
      <c r="Y630" s="269"/>
      <c r="Z630" s="269"/>
      <c r="AA630" s="134"/>
      <c r="AB630" s="269"/>
      <c r="AC630" s="284"/>
      <c r="AD630" s="284"/>
      <c r="AE630" s="269"/>
    </row>
    <row r="631" spans="2:31">
      <c r="B631" s="83"/>
      <c r="C631" s="81"/>
      <c r="D631" s="83"/>
      <c r="E631" s="81"/>
      <c r="F631" s="269"/>
      <c r="G631" s="48"/>
      <c r="H631" s="269"/>
      <c r="I631" s="72"/>
      <c r="J631" s="330"/>
      <c r="K631" s="75"/>
      <c r="L631" s="157"/>
      <c r="M631" s="341"/>
      <c r="N631" s="334"/>
      <c r="T631" s="110"/>
      <c r="V631" s="232"/>
      <c r="W631" s="269"/>
      <c r="X631" s="201"/>
      <c r="Y631" s="269"/>
      <c r="Z631" s="269"/>
      <c r="AA631" s="134"/>
      <c r="AB631" s="269"/>
      <c r="AC631" s="284"/>
      <c r="AD631" s="284"/>
      <c r="AE631" s="269"/>
    </row>
    <row r="632" spans="2:31">
      <c r="B632" s="83"/>
      <c r="C632" s="81"/>
      <c r="D632" s="83"/>
      <c r="E632" s="81"/>
      <c r="F632" s="269"/>
      <c r="G632" s="48"/>
      <c r="H632" s="269"/>
      <c r="I632" s="72"/>
      <c r="J632" s="330"/>
      <c r="K632" s="75"/>
      <c r="L632" s="157"/>
      <c r="M632" s="341"/>
      <c r="N632" s="334"/>
      <c r="T632" s="110"/>
      <c r="V632" s="232"/>
      <c r="W632" s="269"/>
      <c r="X632" s="201"/>
      <c r="Y632" s="269"/>
      <c r="Z632" s="269"/>
      <c r="AA632" s="134"/>
      <c r="AB632" s="269"/>
      <c r="AC632" s="284"/>
      <c r="AD632" s="284"/>
      <c r="AE632" s="269"/>
    </row>
    <row r="633" spans="2:31">
      <c r="B633" s="83"/>
      <c r="C633" s="81"/>
      <c r="D633" s="83"/>
      <c r="E633" s="81"/>
      <c r="F633" s="269"/>
      <c r="G633" s="48"/>
      <c r="H633" s="269"/>
      <c r="I633" s="72"/>
      <c r="J633" s="330"/>
      <c r="K633" s="75"/>
      <c r="L633" s="157"/>
      <c r="M633" s="341"/>
      <c r="N633" s="334"/>
      <c r="T633" s="110"/>
      <c r="V633" s="232"/>
      <c r="W633" s="269"/>
      <c r="X633" s="201"/>
      <c r="Y633" s="269"/>
      <c r="Z633" s="269"/>
      <c r="AA633" s="134"/>
      <c r="AB633" s="269"/>
      <c r="AC633" s="284"/>
      <c r="AD633" s="284"/>
      <c r="AE633" s="269"/>
    </row>
    <row r="634" spans="2:31">
      <c r="B634" s="83"/>
      <c r="C634" s="81"/>
      <c r="D634" s="83"/>
      <c r="E634" s="81"/>
      <c r="F634" s="269"/>
      <c r="G634" s="48"/>
      <c r="H634" s="269"/>
      <c r="I634" s="72"/>
      <c r="J634" s="330"/>
      <c r="K634" s="75"/>
      <c r="L634" s="157"/>
      <c r="M634" s="341"/>
      <c r="N634" s="334"/>
      <c r="T634" s="110"/>
      <c r="V634" s="232"/>
      <c r="W634" s="269"/>
      <c r="X634" s="201"/>
      <c r="Y634" s="269"/>
      <c r="Z634" s="269"/>
      <c r="AA634" s="134"/>
      <c r="AB634" s="269"/>
      <c r="AC634" s="284"/>
      <c r="AD634" s="284"/>
      <c r="AE634" s="269"/>
    </row>
    <row r="635" spans="2:31">
      <c r="B635" s="83"/>
      <c r="C635" s="81"/>
      <c r="D635" s="83"/>
      <c r="E635" s="81"/>
      <c r="F635" s="269"/>
      <c r="G635" s="48"/>
      <c r="H635" s="269"/>
      <c r="I635" s="72"/>
      <c r="J635" s="330"/>
      <c r="K635" s="75"/>
      <c r="L635" s="157"/>
      <c r="M635" s="341"/>
      <c r="N635" s="334"/>
      <c r="T635" s="110"/>
      <c r="V635" s="232"/>
      <c r="W635" s="269"/>
      <c r="X635" s="201"/>
      <c r="Y635" s="269"/>
      <c r="Z635" s="269"/>
      <c r="AA635" s="134"/>
      <c r="AB635" s="269"/>
      <c r="AC635" s="284"/>
      <c r="AD635" s="284"/>
      <c r="AE635" s="269"/>
    </row>
    <row r="636" spans="2:31">
      <c r="B636" s="83"/>
      <c r="C636" s="81"/>
      <c r="D636" s="83"/>
      <c r="E636" s="81"/>
      <c r="F636" s="269"/>
      <c r="G636" s="48"/>
      <c r="H636" s="269"/>
      <c r="I636" s="72"/>
      <c r="J636" s="330"/>
      <c r="K636" s="75"/>
      <c r="L636" s="157"/>
      <c r="M636" s="341"/>
      <c r="N636" s="334"/>
      <c r="T636" s="110"/>
      <c r="V636" s="232"/>
      <c r="W636" s="269"/>
      <c r="X636" s="201"/>
      <c r="Y636" s="269"/>
      <c r="Z636" s="269"/>
      <c r="AA636" s="134"/>
      <c r="AB636" s="269"/>
      <c r="AC636" s="284"/>
      <c r="AD636" s="284"/>
      <c r="AE636" s="269"/>
    </row>
    <row r="637" spans="2:31">
      <c r="B637" s="83"/>
      <c r="C637" s="81"/>
      <c r="D637" s="83"/>
      <c r="E637" s="81"/>
      <c r="F637" s="269"/>
      <c r="G637" s="48"/>
      <c r="H637" s="269"/>
      <c r="I637" s="72"/>
      <c r="J637" s="330"/>
      <c r="K637" s="75"/>
      <c r="L637" s="157"/>
      <c r="M637" s="341"/>
      <c r="N637" s="334"/>
      <c r="T637" s="110"/>
      <c r="V637" s="232"/>
      <c r="W637" s="269"/>
      <c r="X637" s="201"/>
      <c r="Y637" s="269"/>
      <c r="Z637" s="269"/>
      <c r="AA637" s="134"/>
      <c r="AB637" s="269"/>
      <c r="AC637" s="284"/>
      <c r="AD637" s="284"/>
      <c r="AE637" s="269"/>
    </row>
    <row r="638" spans="2:31">
      <c r="B638" s="83"/>
      <c r="C638" s="81"/>
      <c r="D638" s="83"/>
      <c r="E638" s="81"/>
      <c r="F638" s="269"/>
      <c r="G638" s="48"/>
      <c r="H638" s="269"/>
      <c r="I638" s="72"/>
      <c r="J638" s="330"/>
      <c r="K638" s="75"/>
      <c r="L638" s="157"/>
      <c r="M638" s="341"/>
      <c r="N638" s="334"/>
      <c r="T638" s="110"/>
      <c r="V638" s="232"/>
      <c r="W638" s="269"/>
      <c r="X638" s="201"/>
      <c r="Y638" s="269"/>
      <c r="Z638" s="269"/>
      <c r="AA638" s="134"/>
      <c r="AB638" s="269"/>
      <c r="AC638" s="284"/>
      <c r="AD638" s="284"/>
      <c r="AE638" s="269"/>
    </row>
    <row r="639" spans="2:31">
      <c r="B639" s="83"/>
      <c r="C639" s="81"/>
      <c r="D639" s="83"/>
      <c r="E639" s="81"/>
      <c r="F639" s="269"/>
      <c r="G639" s="48"/>
      <c r="H639" s="269"/>
      <c r="I639" s="72"/>
      <c r="J639" s="330"/>
      <c r="K639" s="75"/>
      <c r="L639" s="157"/>
      <c r="M639" s="341"/>
      <c r="N639" s="334"/>
      <c r="T639" s="110"/>
      <c r="V639" s="232"/>
      <c r="W639" s="269"/>
      <c r="X639" s="201"/>
      <c r="Y639" s="269"/>
      <c r="Z639" s="269"/>
      <c r="AA639" s="134"/>
      <c r="AB639" s="269"/>
      <c r="AC639" s="284"/>
      <c r="AD639" s="284"/>
      <c r="AE639" s="269"/>
    </row>
    <row r="640" spans="2:31">
      <c r="B640" s="83"/>
      <c r="C640" s="81"/>
      <c r="D640" s="83"/>
      <c r="E640" s="81"/>
      <c r="F640" s="269"/>
      <c r="G640" s="48"/>
      <c r="H640" s="269"/>
      <c r="I640" s="72"/>
      <c r="J640" s="330"/>
      <c r="K640" s="75"/>
      <c r="L640" s="157"/>
      <c r="M640" s="341"/>
      <c r="N640" s="334"/>
      <c r="T640" s="110"/>
      <c r="V640" s="232"/>
      <c r="W640" s="269"/>
      <c r="X640" s="201"/>
      <c r="Y640" s="269"/>
      <c r="Z640" s="269"/>
      <c r="AA640" s="134"/>
      <c r="AB640" s="269"/>
      <c r="AC640" s="284"/>
      <c r="AD640" s="284"/>
      <c r="AE640" s="269"/>
    </row>
    <row r="641" spans="2:31">
      <c r="B641" s="83"/>
      <c r="C641" s="81"/>
      <c r="D641" s="83"/>
      <c r="E641" s="81"/>
      <c r="F641" s="269"/>
      <c r="G641" s="48"/>
      <c r="H641" s="269"/>
      <c r="I641" s="72"/>
      <c r="J641" s="330"/>
      <c r="K641" s="75"/>
      <c r="L641" s="157"/>
      <c r="M641" s="341"/>
      <c r="N641" s="334"/>
      <c r="T641" s="110"/>
      <c r="V641" s="232"/>
      <c r="W641" s="269"/>
      <c r="X641" s="201"/>
      <c r="Y641" s="269"/>
      <c r="Z641" s="269"/>
      <c r="AA641" s="134"/>
      <c r="AB641" s="269"/>
      <c r="AC641" s="284"/>
      <c r="AD641" s="284"/>
      <c r="AE641" s="269"/>
    </row>
    <row r="642" spans="2:31">
      <c r="B642" s="83"/>
      <c r="C642" s="81"/>
      <c r="D642" s="83"/>
      <c r="E642" s="81"/>
      <c r="F642" s="269"/>
      <c r="G642" s="48"/>
      <c r="H642" s="269"/>
      <c r="I642" s="72"/>
      <c r="J642" s="330"/>
      <c r="K642" s="75"/>
      <c r="L642" s="157"/>
      <c r="M642" s="341"/>
      <c r="N642" s="334"/>
      <c r="T642" s="110"/>
      <c r="V642" s="232"/>
      <c r="W642" s="269"/>
      <c r="X642" s="201"/>
      <c r="Y642" s="269"/>
      <c r="Z642" s="269"/>
      <c r="AA642" s="134"/>
      <c r="AB642" s="269"/>
      <c r="AC642" s="284"/>
      <c r="AD642" s="284"/>
      <c r="AE642" s="269"/>
    </row>
    <row r="643" spans="2:31">
      <c r="B643" s="83"/>
      <c r="C643" s="81"/>
      <c r="D643" s="83"/>
      <c r="E643" s="81"/>
      <c r="F643" s="269"/>
      <c r="G643" s="48"/>
      <c r="H643" s="269"/>
      <c r="I643" s="72"/>
      <c r="J643" s="330"/>
      <c r="K643" s="75"/>
      <c r="L643" s="157"/>
      <c r="M643" s="341"/>
      <c r="N643" s="334"/>
      <c r="T643" s="110"/>
      <c r="V643" s="232"/>
      <c r="W643" s="269"/>
      <c r="X643" s="201"/>
      <c r="Y643" s="269"/>
      <c r="Z643" s="269"/>
      <c r="AA643" s="134"/>
      <c r="AB643" s="269"/>
      <c r="AC643" s="284"/>
      <c r="AD643" s="284"/>
      <c r="AE643" s="269"/>
    </row>
    <row r="644" spans="2:31">
      <c r="B644" s="83"/>
      <c r="C644" s="81"/>
      <c r="D644" s="83"/>
      <c r="E644" s="81"/>
      <c r="F644" s="269"/>
      <c r="G644" s="48"/>
      <c r="H644" s="269"/>
      <c r="I644" s="72"/>
      <c r="J644" s="330"/>
      <c r="K644" s="75"/>
      <c r="L644" s="157"/>
      <c r="M644" s="341"/>
      <c r="N644" s="334"/>
      <c r="T644" s="110"/>
      <c r="V644" s="232"/>
      <c r="W644" s="269"/>
      <c r="X644" s="201"/>
      <c r="Y644" s="269"/>
      <c r="Z644" s="269"/>
      <c r="AA644" s="134"/>
      <c r="AB644" s="269"/>
      <c r="AC644" s="284"/>
      <c r="AD644" s="284"/>
      <c r="AE644" s="269"/>
    </row>
    <row r="645" spans="2:31">
      <c r="B645" s="83"/>
      <c r="C645" s="81"/>
      <c r="D645" s="83"/>
      <c r="E645" s="81"/>
      <c r="F645" s="269"/>
      <c r="G645" s="48"/>
      <c r="H645" s="269"/>
      <c r="I645" s="72"/>
      <c r="J645" s="330"/>
      <c r="K645" s="75"/>
      <c r="L645" s="157"/>
      <c r="M645" s="341"/>
      <c r="N645" s="334"/>
      <c r="T645" s="110"/>
      <c r="V645" s="232"/>
      <c r="W645" s="269"/>
      <c r="X645" s="201"/>
      <c r="Y645" s="269"/>
      <c r="Z645" s="269"/>
      <c r="AA645" s="134"/>
      <c r="AB645" s="269"/>
      <c r="AC645" s="284"/>
      <c r="AD645" s="284"/>
      <c r="AE645" s="269"/>
    </row>
    <row r="646" spans="2:31">
      <c r="B646" s="83"/>
      <c r="C646" s="81"/>
      <c r="D646" s="83"/>
      <c r="E646" s="81"/>
      <c r="F646" s="269"/>
      <c r="G646" s="48"/>
      <c r="H646" s="269"/>
      <c r="I646" s="72"/>
      <c r="J646" s="330"/>
      <c r="K646" s="75"/>
      <c r="L646" s="157"/>
      <c r="M646" s="341"/>
      <c r="N646" s="334"/>
      <c r="T646" s="110"/>
      <c r="V646" s="232"/>
      <c r="W646" s="269"/>
      <c r="X646" s="201"/>
      <c r="Y646" s="269"/>
      <c r="Z646" s="269"/>
      <c r="AA646" s="134"/>
      <c r="AB646" s="269"/>
      <c r="AC646" s="284"/>
      <c r="AD646" s="284"/>
      <c r="AE646" s="269"/>
    </row>
    <row r="647" spans="2:31">
      <c r="B647" s="83"/>
      <c r="C647" s="81"/>
      <c r="D647" s="83"/>
      <c r="E647" s="81"/>
      <c r="F647" s="269"/>
      <c r="G647" s="48"/>
      <c r="H647" s="269"/>
      <c r="I647" s="72"/>
      <c r="J647" s="330"/>
      <c r="K647" s="75"/>
      <c r="L647" s="157"/>
      <c r="M647" s="341"/>
      <c r="N647" s="334"/>
      <c r="T647" s="110"/>
      <c r="V647" s="232"/>
      <c r="W647" s="269"/>
      <c r="X647" s="201"/>
      <c r="Y647" s="269"/>
      <c r="Z647" s="269"/>
      <c r="AA647" s="134"/>
      <c r="AB647" s="269"/>
      <c r="AC647" s="284"/>
      <c r="AD647" s="284"/>
      <c r="AE647" s="269"/>
    </row>
    <row r="648" spans="2:31">
      <c r="B648" s="83"/>
      <c r="C648" s="81"/>
      <c r="D648" s="83"/>
      <c r="E648" s="81"/>
      <c r="F648" s="269"/>
      <c r="G648" s="48"/>
      <c r="H648" s="269"/>
      <c r="I648" s="72"/>
      <c r="J648" s="330"/>
      <c r="K648" s="75"/>
      <c r="L648" s="157"/>
      <c r="M648" s="341"/>
      <c r="N648" s="334"/>
      <c r="T648" s="110"/>
      <c r="V648" s="232"/>
      <c r="W648" s="269"/>
      <c r="X648" s="201"/>
      <c r="Y648" s="269"/>
      <c r="Z648" s="269"/>
      <c r="AA648" s="134"/>
      <c r="AB648" s="269"/>
      <c r="AC648" s="284"/>
      <c r="AD648" s="284"/>
      <c r="AE648" s="269"/>
    </row>
    <row r="649" spans="2:31">
      <c r="B649" s="83"/>
      <c r="C649" s="81"/>
      <c r="D649" s="83"/>
      <c r="E649" s="81"/>
      <c r="F649" s="269"/>
      <c r="G649" s="48"/>
      <c r="H649" s="269"/>
      <c r="I649" s="72"/>
      <c r="J649" s="330"/>
      <c r="K649" s="75"/>
      <c r="L649" s="157"/>
      <c r="M649" s="341"/>
      <c r="N649" s="334"/>
      <c r="T649" s="110"/>
      <c r="V649" s="232"/>
      <c r="W649" s="269"/>
      <c r="X649" s="201"/>
      <c r="Y649" s="269"/>
      <c r="Z649" s="269"/>
      <c r="AA649" s="134"/>
      <c r="AB649" s="269"/>
      <c r="AC649" s="284"/>
      <c r="AD649" s="284"/>
      <c r="AE649" s="269"/>
    </row>
    <row r="650" spans="2:31">
      <c r="B650" s="83"/>
      <c r="C650" s="81"/>
      <c r="D650" s="83"/>
      <c r="E650" s="81"/>
      <c r="F650" s="269"/>
      <c r="G650" s="48"/>
      <c r="H650" s="269"/>
      <c r="I650" s="72"/>
      <c r="J650" s="330"/>
      <c r="K650" s="75"/>
      <c r="L650" s="157"/>
      <c r="M650" s="341"/>
      <c r="N650" s="334"/>
      <c r="T650" s="110"/>
      <c r="V650" s="232"/>
      <c r="W650" s="269"/>
      <c r="X650" s="201"/>
      <c r="Y650" s="269"/>
      <c r="Z650" s="269"/>
      <c r="AA650" s="134"/>
      <c r="AB650" s="269"/>
      <c r="AC650" s="284"/>
      <c r="AD650" s="284"/>
      <c r="AE650" s="269"/>
    </row>
    <row r="651" spans="2:31">
      <c r="B651" s="83"/>
      <c r="C651" s="81"/>
      <c r="D651" s="83"/>
      <c r="E651" s="81"/>
      <c r="F651" s="269"/>
      <c r="G651" s="48"/>
      <c r="H651" s="269"/>
      <c r="I651" s="72"/>
      <c r="J651" s="330"/>
      <c r="K651" s="75"/>
      <c r="L651" s="157"/>
      <c r="M651" s="341"/>
      <c r="N651" s="334"/>
      <c r="T651" s="110"/>
      <c r="V651" s="232"/>
      <c r="W651" s="269"/>
      <c r="X651" s="201"/>
      <c r="Y651" s="269"/>
      <c r="Z651" s="269"/>
      <c r="AA651" s="134"/>
      <c r="AB651" s="269"/>
      <c r="AC651" s="284"/>
      <c r="AD651" s="284"/>
      <c r="AE651" s="269"/>
    </row>
    <row r="652" spans="2:31">
      <c r="B652" s="83"/>
      <c r="C652" s="81"/>
      <c r="D652" s="83"/>
      <c r="E652" s="81"/>
      <c r="F652" s="269"/>
      <c r="G652" s="48"/>
      <c r="H652" s="269"/>
      <c r="I652" s="72"/>
      <c r="J652" s="330"/>
      <c r="K652" s="75"/>
      <c r="L652" s="157"/>
      <c r="M652" s="341"/>
      <c r="N652" s="334"/>
      <c r="T652" s="110"/>
      <c r="V652" s="232"/>
      <c r="W652" s="269"/>
      <c r="X652" s="201"/>
      <c r="Y652" s="269"/>
      <c r="Z652" s="269"/>
      <c r="AA652" s="134"/>
      <c r="AB652" s="269"/>
      <c r="AC652" s="284"/>
      <c r="AD652" s="284"/>
      <c r="AE652" s="269"/>
    </row>
    <row r="653" spans="2:31">
      <c r="B653" s="83"/>
      <c r="C653" s="81"/>
      <c r="D653" s="83"/>
      <c r="E653" s="81"/>
      <c r="F653" s="269"/>
      <c r="G653" s="48"/>
      <c r="H653" s="269"/>
      <c r="I653" s="72"/>
      <c r="J653" s="330"/>
      <c r="K653" s="75"/>
      <c r="L653" s="157"/>
      <c r="M653" s="341"/>
      <c r="N653" s="334"/>
      <c r="T653" s="110"/>
      <c r="V653" s="232"/>
      <c r="W653" s="269"/>
      <c r="X653" s="201"/>
      <c r="Y653" s="269"/>
      <c r="Z653" s="269"/>
      <c r="AA653" s="134"/>
      <c r="AB653" s="269"/>
      <c r="AC653" s="284"/>
      <c r="AD653" s="284"/>
      <c r="AE653" s="269"/>
    </row>
    <row r="654" spans="2:31">
      <c r="B654" s="83"/>
      <c r="C654" s="81"/>
      <c r="D654" s="83"/>
      <c r="E654" s="81"/>
      <c r="F654" s="269"/>
      <c r="G654" s="48"/>
      <c r="H654" s="269"/>
      <c r="I654" s="72"/>
      <c r="J654" s="330"/>
      <c r="K654" s="75"/>
      <c r="L654" s="157"/>
      <c r="M654" s="341"/>
      <c r="N654" s="334"/>
      <c r="T654" s="110"/>
      <c r="V654" s="232"/>
      <c r="W654" s="269"/>
      <c r="X654" s="201"/>
      <c r="Y654" s="269"/>
      <c r="Z654" s="269"/>
      <c r="AA654" s="134"/>
      <c r="AB654" s="269"/>
      <c r="AC654" s="284"/>
      <c r="AD654" s="284"/>
      <c r="AE654" s="269"/>
    </row>
    <row r="655" spans="2:31">
      <c r="B655" s="83"/>
      <c r="C655" s="81"/>
      <c r="D655" s="83"/>
      <c r="E655" s="81"/>
      <c r="F655" s="269"/>
      <c r="G655" s="48"/>
      <c r="H655" s="269"/>
      <c r="I655" s="72"/>
      <c r="J655" s="330"/>
      <c r="K655" s="75"/>
      <c r="L655" s="157"/>
      <c r="M655" s="341"/>
      <c r="N655" s="334"/>
      <c r="T655" s="110"/>
      <c r="V655" s="232"/>
      <c r="W655" s="269"/>
      <c r="X655" s="201"/>
      <c r="Y655" s="269"/>
      <c r="Z655" s="269"/>
      <c r="AA655" s="134"/>
      <c r="AB655" s="269"/>
      <c r="AC655" s="284"/>
      <c r="AD655" s="284"/>
      <c r="AE655" s="269"/>
    </row>
    <row r="656" spans="2:31">
      <c r="B656" s="83"/>
      <c r="C656" s="81"/>
      <c r="D656" s="83"/>
      <c r="E656" s="81"/>
      <c r="F656" s="269"/>
      <c r="G656" s="48"/>
      <c r="H656" s="269"/>
      <c r="I656" s="72"/>
      <c r="J656" s="330"/>
      <c r="K656" s="75"/>
      <c r="L656" s="157"/>
      <c r="M656" s="341"/>
      <c r="N656" s="334"/>
      <c r="T656" s="110"/>
      <c r="V656" s="232"/>
      <c r="W656" s="269"/>
      <c r="X656" s="201"/>
      <c r="Y656" s="269"/>
      <c r="Z656" s="269"/>
      <c r="AA656" s="134"/>
      <c r="AB656" s="269"/>
      <c r="AC656" s="284"/>
      <c r="AD656" s="284"/>
      <c r="AE656" s="269"/>
    </row>
    <row r="657" spans="2:31">
      <c r="B657" s="83"/>
      <c r="C657" s="81"/>
      <c r="D657" s="83"/>
      <c r="E657" s="81"/>
      <c r="F657" s="269"/>
      <c r="G657" s="48"/>
      <c r="H657" s="269"/>
      <c r="I657" s="72"/>
      <c r="J657" s="330"/>
      <c r="K657" s="75"/>
      <c r="L657" s="157"/>
      <c r="M657" s="341"/>
      <c r="N657" s="334"/>
      <c r="T657" s="110"/>
      <c r="V657" s="232"/>
      <c r="W657" s="269"/>
      <c r="X657" s="201"/>
      <c r="Y657" s="269"/>
      <c r="Z657" s="269"/>
      <c r="AA657" s="134"/>
      <c r="AB657" s="269"/>
      <c r="AC657" s="284"/>
      <c r="AD657" s="284"/>
      <c r="AE657" s="269"/>
    </row>
    <row r="658" spans="2:31">
      <c r="B658" s="83"/>
      <c r="C658" s="81"/>
      <c r="D658" s="83"/>
      <c r="E658" s="81"/>
      <c r="F658" s="269"/>
      <c r="G658" s="48"/>
      <c r="H658" s="269"/>
      <c r="I658" s="72"/>
      <c r="J658" s="330"/>
      <c r="K658" s="75"/>
      <c r="L658" s="157"/>
      <c r="M658" s="341"/>
      <c r="N658" s="334"/>
      <c r="T658" s="110"/>
      <c r="V658" s="232"/>
      <c r="W658" s="269"/>
      <c r="X658" s="201"/>
      <c r="Y658" s="269"/>
      <c r="Z658" s="269"/>
      <c r="AA658" s="134"/>
      <c r="AB658" s="269"/>
      <c r="AC658" s="284"/>
      <c r="AD658" s="284"/>
      <c r="AE658" s="269"/>
    </row>
    <row r="659" spans="2:31">
      <c r="B659" s="83"/>
      <c r="C659" s="81"/>
      <c r="D659" s="83"/>
      <c r="E659" s="81"/>
      <c r="F659" s="269"/>
      <c r="G659" s="48"/>
      <c r="H659" s="269"/>
      <c r="I659" s="72"/>
      <c r="J659" s="330"/>
      <c r="K659" s="75"/>
      <c r="L659" s="157"/>
      <c r="M659" s="341"/>
      <c r="N659" s="334"/>
      <c r="T659" s="110"/>
      <c r="V659" s="232"/>
      <c r="W659" s="269"/>
      <c r="X659" s="201"/>
      <c r="Y659" s="269"/>
      <c r="Z659" s="269"/>
      <c r="AA659" s="134"/>
      <c r="AB659" s="269"/>
      <c r="AC659" s="284"/>
      <c r="AD659" s="284"/>
      <c r="AE659" s="269"/>
    </row>
    <row r="660" spans="2:31">
      <c r="B660" s="83"/>
      <c r="C660" s="81"/>
      <c r="D660" s="83"/>
      <c r="E660" s="81"/>
      <c r="F660" s="269"/>
      <c r="G660" s="48"/>
      <c r="H660" s="269"/>
      <c r="I660" s="72"/>
      <c r="J660" s="330"/>
      <c r="K660" s="75"/>
      <c r="L660" s="157"/>
      <c r="M660" s="341"/>
      <c r="N660" s="334"/>
      <c r="T660" s="110"/>
      <c r="V660" s="232"/>
      <c r="W660" s="269"/>
      <c r="X660" s="201"/>
      <c r="Y660" s="269"/>
      <c r="Z660" s="269"/>
      <c r="AA660" s="134"/>
      <c r="AB660" s="269"/>
      <c r="AC660" s="284"/>
      <c r="AD660" s="284"/>
      <c r="AE660" s="269"/>
    </row>
    <row r="661" spans="2:31">
      <c r="B661" s="83"/>
      <c r="C661" s="81"/>
      <c r="D661" s="83"/>
      <c r="E661" s="81"/>
      <c r="F661" s="269"/>
      <c r="G661" s="48"/>
      <c r="H661" s="269"/>
      <c r="I661" s="72"/>
      <c r="J661" s="330"/>
      <c r="K661" s="75"/>
      <c r="L661" s="157"/>
      <c r="M661" s="341"/>
      <c r="N661" s="334"/>
      <c r="T661" s="110"/>
      <c r="V661" s="232"/>
      <c r="W661" s="269"/>
      <c r="X661" s="201"/>
      <c r="Y661" s="269"/>
      <c r="Z661" s="269"/>
      <c r="AA661" s="134"/>
      <c r="AB661" s="269"/>
      <c r="AC661" s="284"/>
      <c r="AD661" s="284"/>
      <c r="AE661" s="269"/>
    </row>
    <row r="662" spans="2:31">
      <c r="B662" s="83"/>
      <c r="C662" s="81"/>
      <c r="D662" s="83"/>
      <c r="E662" s="81"/>
      <c r="F662" s="269"/>
      <c r="G662" s="48"/>
      <c r="H662" s="269"/>
      <c r="I662" s="72"/>
      <c r="J662" s="330"/>
      <c r="K662" s="75"/>
      <c r="L662" s="157"/>
      <c r="M662" s="341"/>
      <c r="N662" s="334"/>
      <c r="T662" s="110"/>
      <c r="V662" s="232"/>
      <c r="W662" s="269"/>
      <c r="X662" s="201"/>
      <c r="Y662" s="269"/>
      <c r="Z662" s="269"/>
      <c r="AA662" s="134"/>
      <c r="AB662" s="269"/>
      <c r="AC662" s="284"/>
      <c r="AD662" s="284"/>
      <c r="AE662" s="269"/>
    </row>
    <row r="663" spans="2:31">
      <c r="B663" s="83"/>
      <c r="C663" s="81"/>
      <c r="D663" s="83"/>
      <c r="E663" s="81"/>
      <c r="F663" s="269"/>
      <c r="G663" s="48"/>
      <c r="H663" s="269"/>
      <c r="I663" s="72"/>
      <c r="J663" s="330"/>
      <c r="K663" s="75"/>
      <c r="L663" s="157"/>
      <c r="M663" s="341"/>
      <c r="N663" s="334"/>
      <c r="T663" s="110"/>
      <c r="V663" s="232"/>
      <c r="W663" s="269"/>
      <c r="X663" s="201"/>
      <c r="Y663" s="269"/>
      <c r="Z663" s="269"/>
      <c r="AA663" s="134"/>
      <c r="AB663" s="269"/>
      <c r="AC663" s="284"/>
      <c r="AD663" s="284"/>
      <c r="AE663" s="269"/>
    </row>
    <row r="664" spans="2:31">
      <c r="B664" s="83"/>
      <c r="C664" s="81"/>
      <c r="D664" s="83"/>
      <c r="E664" s="81"/>
      <c r="F664" s="269"/>
      <c r="G664" s="48"/>
      <c r="H664" s="269"/>
      <c r="I664" s="72"/>
      <c r="J664" s="330"/>
      <c r="K664" s="75"/>
      <c r="L664" s="157"/>
      <c r="M664" s="341"/>
      <c r="N664" s="334"/>
      <c r="T664" s="110"/>
      <c r="V664" s="232"/>
      <c r="W664" s="269"/>
      <c r="X664" s="201"/>
      <c r="Y664" s="269"/>
      <c r="Z664" s="269"/>
      <c r="AA664" s="134"/>
      <c r="AB664" s="269"/>
      <c r="AC664" s="284"/>
      <c r="AD664" s="284"/>
      <c r="AE664" s="269"/>
    </row>
    <row r="665" spans="2:31">
      <c r="B665" s="83"/>
      <c r="C665" s="81"/>
      <c r="D665" s="83"/>
      <c r="E665" s="81"/>
      <c r="F665" s="269"/>
      <c r="G665" s="48"/>
      <c r="H665" s="269"/>
      <c r="I665" s="72"/>
      <c r="J665" s="330"/>
      <c r="K665" s="75"/>
      <c r="L665" s="157"/>
      <c r="M665" s="341"/>
      <c r="N665" s="334"/>
      <c r="T665" s="110"/>
      <c r="V665" s="232"/>
      <c r="W665" s="269"/>
      <c r="X665" s="201"/>
      <c r="Y665" s="269"/>
      <c r="Z665" s="269"/>
      <c r="AA665" s="134"/>
      <c r="AB665" s="269"/>
      <c r="AC665" s="284"/>
      <c r="AD665" s="284"/>
      <c r="AE665" s="269"/>
    </row>
    <row r="666" spans="2:31">
      <c r="B666" s="83"/>
      <c r="C666" s="81"/>
      <c r="D666" s="83"/>
      <c r="E666" s="81"/>
      <c r="F666" s="269"/>
      <c r="G666" s="48"/>
      <c r="H666" s="269"/>
      <c r="I666" s="72"/>
      <c r="J666" s="330"/>
      <c r="K666" s="75"/>
      <c r="L666" s="157"/>
      <c r="M666" s="341"/>
      <c r="N666" s="334"/>
      <c r="T666" s="110"/>
      <c r="V666" s="232"/>
      <c r="W666" s="269"/>
      <c r="X666" s="201"/>
      <c r="Y666" s="269"/>
      <c r="Z666" s="269"/>
      <c r="AA666" s="134"/>
      <c r="AB666" s="269"/>
      <c r="AC666" s="284"/>
      <c r="AD666" s="284"/>
      <c r="AE666" s="269"/>
    </row>
    <row r="667" spans="2:31">
      <c r="B667" s="83"/>
      <c r="C667" s="81"/>
      <c r="D667" s="83"/>
      <c r="E667" s="81"/>
      <c r="F667" s="269"/>
      <c r="G667" s="48"/>
      <c r="H667" s="269"/>
      <c r="I667" s="72"/>
      <c r="J667" s="330"/>
      <c r="K667" s="75"/>
      <c r="L667" s="157"/>
      <c r="M667" s="341"/>
      <c r="N667" s="334"/>
      <c r="T667" s="110"/>
      <c r="V667" s="232"/>
      <c r="W667" s="269"/>
      <c r="X667" s="201"/>
      <c r="Y667" s="269"/>
      <c r="Z667" s="269"/>
      <c r="AA667" s="134"/>
      <c r="AB667" s="269"/>
      <c r="AC667" s="284"/>
      <c r="AD667" s="284"/>
      <c r="AE667" s="269"/>
    </row>
    <row r="668" spans="2:31">
      <c r="B668" s="83"/>
      <c r="C668" s="81"/>
      <c r="D668" s="83"/>
      <c r="E668" s="81"/>
      <c r="F668" s="269"/>
      <c r="G668" s="48"/>
      <c r="H668" s="269"/>
      <c r="I668" s="72"/>
      <c r="J668" s="330"/>
      <c r="K668" s="75"/>
      <c r="L668" s="157"/>
      <c r="M668" s="341"/>
      <c r="N668" s="334"/>
      <c r="T668" s="110"/>
      <c r="V668" s="232"/>
      <c r="W668" s="269"/>
      <c r="X668" s="201"/>
      <c r="Y668" s="269"/>
      <c r="Z668" s="269"/>
      <c r="AA668" s="134"/>
      <c r="AB668" s="269"/>
      <c r="AC668" s="284"/>
      <c r="AD668" s="284"/>
      <c r="AE668" s="269"/>
    </row>
    <row r="669" spans="2:31">
      <c r="B669" s="83"/>
      <c r="C669" s="81"/>
      <c r="D669" s="83"/>
      <c r="E669" s="81"/>
      <c r="F669" s="269"/>
      <c r="G669" s="48"/>
      <c r="H669" s="269"/>
      <c r="I669" s="72"/>
      <c r="J669" s="330"/>
      <c r="K669" s="75"/>
      <c r="L669" s="157"/>
      <c r="M669" s="341"/>
      <c r="N669" s="334"/>
      <c r="T669" s="110"/>
      <c r="V669" s="232"/>
      <c r="W669" s="269"/>
      <c r="X669" s="201"/>
      <c r="Y669" s="269"/>
      <c r="Z669" s="269"/>
      <c r="AA669" s="134"/>
      <c r="AB669" s="269"/>
      <c r="AC669" s="284"/>
      <c r="AD669" s="284"/>
      <c r="AE669" s="269"/>
    </row>
    <row r="670" spans="2:31">
      <c r="B670" s="83"/>
      <c r="C670" s="81"/>
      <c r="D670" s="83"/>
      <c r="E670" s="81"/>
      <c r="F670" s="269"/>
      <c r="G670" s="48"/>
      <c r="H670" s="269"/>
      <c r="I670" s="72"/>
      <c r="J670" s="330"/>
      <c r="K670" s="75"/>
      <c r="L670" s="157"/>
      <c r="M670" s="341"/>
      <c r="N670" s="334"/>
      <c r="T670" s="110"/>
      <c r="V670" s="232"/>
      <c r="W670" s="269"/>
      <c r="X670" s="201"/>
      <c r="Y670" s="269"/>
      <c r="Z670" s="269"/>
      <c r="AA670" s="134"/>
      <c r="AB670" s="269"/>
      <c r="AC670" s="284"/>
      <c r="AD670" s="284"/>
      <c r="AE670" s="269"/>
    </row>
    <row r="671" spans="2:31">
      <c r="B671" s="83"/>
      <c r="C671" s="81"/>
      <c r="D671" s="83"/>
      <c r="E671" s="81"/>
      <c r="F671" s="269"/>
      <c r="G671" s="48"/>
      <c r="H671" s="269"/>
      <c r="I671" s="72"/>
      <c r="J671" s="330"/>
      <c r="K671" s="75"/>
      <c r="L671" s="157"/>
      <c r="M671" s="341"/>
      <c r="N671" s="334"/>
      <c r="T671" s="110"/>
      <c r="V671" s="232"/>
      <c r="W671" s="269"/>
      <c r="X671" s="201"/>
      <c r="Y671" s="269"/>
      <c r="Z671" s="269"/>
      <c r="AA671" s="134"/>
      <c r="AB671" s="269"/>
      <c r="AC671" s="284"/>
      <c r="AD671" s="284"/>
      <c r="AE671" s="269"/>
    </row>
    <row r="672" spans="2:31">
      <c r="B672" s="83"/>
      <c r="C672" s="81"/>
      <c r="D672" s="83"/>
      <c r="E672" s="81"/>
      <c r="F672" s="269"/>
      <c r="G672" s="48"/>
      <c r="H672" s="269"/>
      <c r="I672" s="72"/>
      <c r="J672" s="330"/>
      <c r="K672" s="75"/>
      <c r="L672" s="157"/>
      <c r="M672" s="341"/>
      <c r="N672" s="334"/>
      <c r="T672" s="110"/>
      <c r="V672" s="232"/>
      <c r="W672" s="269"/>
      <c r="X672" s="201"/>
      <c r="Y672" s="269"/>
      <c r="Z672" s="269"/>
      <c r="AA672" s="134"/>
      <c r="AB672" s="269"/>
      <c r="AC672" s="284"/>
      <c r="AD672" s="284"/>
      <c r="AE672" s="269"/>
    </row>
    <row r="673" spans="2:31">
      <c r="B673" s="83"/>
      <c r="C673" s="81"/>
      <c r="D673" s="83"/>
      <c r="E673" s="81"/>
      <c r="F673" s="269"/>
      <c r="G673" s="48"/>
      <c r="H673" s="269"/>
      <c r="I673" s="72"/>
      <c r="J673" s="330"/>
      <c r="K673" s="75"/>
      <c r="L673" s="157"/>
      <c r="M673" s="341"/>
      <c r="N673" s="334"/>
      <c r="T673" s="110"/>
      <c r="V673" s="232"/>
      <c r="W673" s="269"/>
      <c r="X673" s="201"/>
      <c r="Y673" s="269"/>
      <c r="Z673" s="269"/>
      <c r="AA673" s="134"/>
      <c r="AB673" s="269"/>
      <c r="AC673" s="284"/>
      <c r="AD673" s="284"/>
      <c r="AE673" s="269"/>
    </row>
    <row r="674" spans="2:31">
      <c r="B674" s="83"/>
      <c r="C674" s="81"/>
      <c r="D674" s="83"/>
      <c r="E674" s="81"/>
      <c r="F674" s="269"/>
      <c r="G674" s="48"/>
      <c r="H674" s="269"/>
      <c r="I674" s="72"/>
      <c r="J674" s="330"/>
      <c r="K674" s="75"/>
      <c r="L674" s="157"/>
      <c r="M674" s="341"/>
      <c r="N674" s="334"/>
      <c r="T674" s="110"/>
      <c r="V674" s="232"/>
      <c r="W674" s="269"/>
      <c r="X674" s="201"/>
      <c r="Y674" s="269"/>
      <c r="Z674" s="269"/>
      <c r="AA674" s="134"/>
      <c r="AB674" s="269"/>
      <c r="AC674" s="284"/>
      <c r="AD674" s="284"/>
      <c r="AE674" s="269"/>
    </row>
    <row r="675" spans="2:31">
      <c r="B675" s="83"/>
      <c r="C675" s="81"/>
      <c r="D675" s="83"/>
      <c r="E675" s="81"/>
      <c r="F675" s="269"/>
      <c r="G675" s="48"/>
      <c r="H675" s="269"/>
      <c r="I675" s="72"/>
      <c r="J675" s="330"/>
      <c r="K675" s="75"/>
      <c r="L675" s="157"/>
      <c r="M675" s="341"/>
      <c r="N675" s="334"/>
      <c r="T675" s="110"/>
      <c r="V675" s="232"/>
      <c r="W675" s="269"/>
      <c r="X675" s="201"/>
      <c r="Y675" s="269"/>
      <c r="Z675" s="269"/>
      <c r="AA675" s="134"/>
      <c r="AB675" s="269"/>
      <c r="AC675" s="284"/>
      <c r="AD675" s="284"/>
      <c r="AE675" s="269"/>
    </row>
    <row r="676" spans="2:31">
      <c r="B676" s="83"/>
      <c r="C676" s="81"/>
      <c r="D676" s="83"/>
      <c r="E676" s="81"/>
      <c r="F676" s="269"/>
      <c r="G676" s="48"/>
      <c r="H676" s="269"/>
      <c r="I676" s="72"/>
      <c r="J676" s="330"/>
      <c r="K676" s="75"/>
      <c r="L676" s="157"/>
      <c r="M676" s="341"/>
      <c r="N676" s="334"/>
      <c r="T676" s="110"/>
      <c r="V676" s="232"/>
      <c r="W676" s="269"/>
      <c r="X676" s="201"/>
      <c r="Y676" s="269"/>
      <c r="Z676" s="269"/>
      <c r="AA676" s="134"/>
      <c r="AB676" s="269"/>
      <c r="AC676" s="284"/>
      <c r="AD676" s="284"/>
      <c r="AE676" s="269"/>
    </row>
    <row r="677" spans="2:31">
      <c r="B677" s="83"/>
      <c r="C677" s="81"/>
      <c r="D677" s="83"/>
      <c r="E677" s="81"/>
      <c r="F677" s="269"/>
      <c r="G677" s="48"/>
      <c r="H677" s="269"/>
      <c r="I677" s="72"/>
      <c r="J677" s="330"/>
      <c r="K677" s="75"/>
      <c r="L677" s="157"/>
      <c r="M677" s="341"/>
      <c r="N677" s="334"/>
      <c r="T677" s="110"/>
      <c r="V677" s="232"/>
      <c r="W677" s="269"/>
      <c r="X677" s="201"/>
      <c r="Y677" s="269"/>
      <c r="Z677" s="269"/>
      <c r="AA677" s="134"/>
      <c r="AB677" s="269"/>
      <c r="AC677" s="284"/>
      <c r="AD677" s="284"/>
      <c r="AE677" s="269"/>
    </row>
    <row r="678" spans="2:31">
      <c r="B678" s="83"/>
      <c r="C678" s="81"/>
      <c r="D678" s="83"/>
      <c r="E678" s="81"/>
      <c r="F678" s="269"/>
      <c r="G678" s="48"/>
      <c r="H678" s="269"/>
      <c r="I678" s="72"/>
      <c r="J678" s="330"/>
      <c r="K678" s="75"/>
      <c r="L678" s="157"/>
      <c r="M678" s="341"/>
      <c r="N678" s="334"/>
      <c r="T678" s="110"/>
      <c r="V678" s="232"/>
      <c r="W678" s="269"/>
      <c r="X678" s="201"/>
      <c r="Y678" s="269"/>
      <c r="Z678" s="269"/>
      <c r="AA678" s="134"/>
      <c r="AB678" s="269"/>
      <c r="AC678" s="284"/>
      <c r="AD678" s="284"/>
      <c r="AE678" s="269"/>
    </row>
    <row r="679" spans="2:31">
      <c r="B679" s="83"/>
      <c r="C679" s="81"/>
      <c r="D679" s="83"/>
      <c r="E679" s="81"/>
      <c r="F679" s="269"/>
      <c r="G679" s="48"/>
      <c r="H679" s="269"/>
      <c r="I679" s="72"/>
      <c r="J679" s="330"/>
      <c r="K679" s="75"/>
      <c r="L679" s="157"/>
      <c r="M679" s="341"/>
      <c r="N679" s="334"/>
      <c r="T679" s="110"/>
      <c r="V679" s="232"/>
      <c r="W679" s="269"/>
      <c r="X679" s="201"/>
      <c r="Y679" s="269"/>
      <c r="Z679" s="269"/>
      <c r="AA679" s="134"/>
      <c r="AB679" s="269"/>
      <c r="AC679" s="284"/>
      <c r="AD679" s="284"/>
      <c r="AE679" s="269"/>
    </row>
    <row r="680" spans="2:31">
      <c r="B680" s="83"/>
      <c r="C680" s="81"/>
      <c r="D680" s="83"/>
      <c r="E680" s="81"/>
      <c r="F680" s="269"/>
      <c r="G680" s="48"/>
      <c r="H680" s="269"/>
      <c r="I680" s="72"/>
      <c r="J680" s="330"/>
      <c r="K680" s="75"/>
      <c r="L680" s="157"/>
      <c r="M680" s="341"/>
      <c r="N680" s="334"/>
      <c r="T680" s="110"/>
      <c r="V680" s="232"/>
      <c r="W680" s="269"/>
      <c r="X680" s="201"/>
      <c r="Y680" s="269"/>
      <c r="Z680" s="269"/>
      <c r="AA680" s="134"/>
      <c r="AB680" s="269"/>
      <c r="AC680" s="284"/>
      <c r="AD680" s="284"/>
      <c r="AE680" s="269"/>
    </row>
    <row r="681" spans="2:31">
      <c r="B681" s="83"/>
      <c r="C681" s="81"/>
      <c r="D681" s="83"/>
      <c r="E681" s="81"/>
      <c r="F681" s="269"/>
      <c r="G681" s="48"/>
      <c r="H681" s="269"/>
      <c r="I681" s="72"/>
      <c r="J681" s="330"/>
      <c r="K681" s="75"/>
      <c r="L681" s="157"/>
      <c r="M681" s="341"/>
      <c r="N681" s="334"/>
      <c r="T681" s="110"/>
      <c r="V681" s="232"/>
      <c r="W681" s="269"/>
      <c r="X681" s="201"/>
      <c r="Y681" s="269"/>
      <c r="Z681" s="269"/>
      <c r="AA681" s="134"/>
      <c r="AB681" s="269"/>
      <c r="AC681" s="284"/>
      <c r="AD681" s="284"/>
      <c r="AE681" s="269"/>
    </row>
    <row r="682" spans="2:31">
      <c r="B682" s="83"/>
      <c r="C682" s="81"/>
      <c r="D682" s="83"/>
      <c r="E682" s="81"/>
      <c r="F682" s="269"/>
      <c r="G682" s="48"/>
      <c r="H682" s="269"/>
      <c r="I682" s="72"/>
      <c r="J682" s="330"/>
      <c r="K682" s="75"/>
      <c r="L682" s="157"/>
      <c r="M682" s="341"/>
      <c r="N682" s="334"/>
      <c r="T682" s="110"/>
      <c r="V682" s="232"/>
      <c r="W682" s="269"/>
      <c r="X682" s="201"/>
      <c r="Y682" s="269"/>
      <c r="Z682" s="269"/>
      <c r="AA682" s="134"/>
      <c r="AB682" s="269"/>
      <c r="AC682" s="284"/>
      <c r="AD682" s="284"/>
      <c r="AE682" s="269"/>
    </row>
    <row r="683" spans="2:31">
      <c r="B683" s="83"/>
      <c r="C683" s="81"/>
      <c r="D683" s="83"/>
      <c r="E683" s="81"/>
      <c r="F683" s="269"/>
      <c r="G683" s="48"/>
      <c r="H683" s="269"/>
      <c r="I683" s="72"/>
      <c r="J683" s="330"/>
      <c r="K683" s="75"/>
      <c r="L683" s="157"/>
      <c r="M683" s="341"/>
      <c r="N683" s="334"/>
      <c r="T683" s="110"/>
      <c r="V683" s="232"/>
      <c r="W683" s="269"/>
      <c r="X683" s="201"/>
      <c r="Y683" s="269"/>
      <c r="Z683" s="269"/>
      <c r="AA683" s="134"/>
      <c r="AB683" s="269"/>
      <c r="AC683" s="284"/>
      <c r="AD683" s="284"/>
      <c r="AE683" s="269"/>
    </row>
    <row r="684" spans="2:31">
      <c r="B684" s="83"/>
      <c r="C684" s="81"/>
      <c r="D684" s="83"/>
      <c r="E684" s="81"/>
      <c r="F684" s="269"/>
      <c r="G684" s="48"/>
      <c r="H684" s="269"/>
      <c r="I684" s="72"/>
      <c r="J684" s="330"/>
      <c r="K684" s="75"/>
      <c r="L684" s="157"/>
      <c r="M684" s="341"/>
      <c r="N684" s="334"/>
      <c r="T684" s="110"/>
      <c r="V684" s="232"/>
      <c r="W684" s="269"/>
      <c r="X684" s="201"/>
      <c r="Y684" s="269"/>
      <c r="Z684" s="269"/>
      <c r="AA684" s="134"/>
      <c r="AB684" s="269"/>
      <c r="AC684" s="284"/>
      <c r="AD684" s="284"/>
      <c r="AE684" s="269"/>
    </row>
    <row r="685" spans="2:31">
      <c r="B685" s="83"/>
      <c r="C685" s="81"/>
      <c r="D685" s="83"/>
      <c r="E685" s="81"/>
      <c r="F685" s="269"/>
      <c r="G685" s="48"/>
      <c r="H685" s="269"/>
      <c r="I685" s="72"/>
      <c r="J685" s="330"/>
      <c r="K685" s="75"/>
      <c r="L685" s="157"/>
      <c r="M685" s="341"/>
      <c r="N685" s="334"/>
      <c r="T685" s="110"/>
      <c r="V685" s="232"/>
      <c r="W685" s="269"/>
      <c r="X685" s="201"/>
      <c r="Y685" s="269"/>
      <c r="Z685" s="269"/>
      <c r="AA685" s="134"/>
      <c r="AB685" s="269"/>
      <c r="AC685" s="284"/>
      <c r="AD685" s="284"/>
      <c r="AE685" s="269"/>
    </row>
    <row r="686" spans="2:31">
      <c r="B686" s="83"/>
      <c r="C686" s="81"/>
      <c r="D686" s="83"/>
      <c r="E686" s="81"/>
      <c r="F686" s="269"/>
      <c r="G686" s="48"/>
      <c r="H686" s="269"/>
      <c r="I686" s="72"/>
      <c r="J686" s="330"/>
      <c r="K686" s="75"/>
      <c r="L686" s="157"/>
      <c r="M686" s="341"/>
      <c r="N686" s="334"/>
      <c r="T686" s="110"/>
      <c r="V686" s="232"/>
      <c r="W686" s="269"/>
      <c r="X686" s="201"/>
      <c r="Y686" s="269"/>
      <c r="Z686" s="269"/>
      <c r="AA686" s="134"/>
      <c r="AB686" s="269"/>
      <c r="AC686" s="284"/>
      <c r="AD686" s="284"/>
      <c r="AE686" s="269"/>
    </row>
    <row r="687" spans="2:31">
      <c r="B687" s="83"/>
      <c r="C687" s="81"/>
      <c r="D687" s="83"/>
      <c r="E687" s="81"/>
      <c r="F687" s="269"/>
      <c r="G687" s="48"/>
      <c r="H687" s="269"/>
      <c r="I687" s="72"/>
      <c r="J687" s="330"/>
      <c r="K687" s="75"/>
      <c r="L687" s="157"/>
      <c r="M687" s="341"/>
      <c r="N687" s="334"/>
      <c r="T687" s="110"/>
      <c r="V687" s="232"/>
      <c r="W687" s="269"/>
      <c r="X687" s="201"/>
      <c r="Y687" s="269"/>
      <c r="Z687" s="269"/>
      <c r="AA687" s="134"/>
      <c r="AB687" s="269"/>
      <c r="AC687" s="284"/>
      <c r="AD687" s="284"/>
      <c r="AE687" s="269"/>
    </row>
    <row r="688" spans="2:31">
      <c r="B688" s="83"/>
      <c r="C688" s="81"/>
      <c r="D688" s="83"/>
      <c r="E688" s="81"/>
      <c r="F688" s="269"/>
      <c r="G688" s="48"/>
      <c r="H688" s="269"/>
      <c r="I688" s="72"/>
      <c r="J688" s="330"/>
      <c r="K688" s="75"/>
      <c r="L688" s="157"/>
      <c r="M688" s="341"/>
      <c r="N688" s="334"/>
      <c r="T688" s="110"/>
      <c r="V688" s="232"/>
      <c r="W688" s="269"/>
      <c r="X688" s="201"/>
      <c r="Y688" s="269"/>
      <c r="Z688" s="269"/>
      <c r="AA688" s="134"/>
      <c r="AB688" s="269"/>
      <c r="AC688" s="284"/>
      <c r="AD688" s="284"/>
      <c r="AE688" s="269"/>
    </row>
    <row r="689" spans="2:31">
      <c r="B689" s="83"/>
      <c r="C689" s="81"/>
      <c r="D689" s="83"/>
      <c r="E689" s="81"/>
      <c r="F689" s="269"/>
      <c r="G689" s="48"/>
      <c r="H689" s="269"/>
      <c r="I689" s="72"/>
      <c r="J689" s="330"/>
      <c r="K689" s="75"/>
      <c r="L689" s="157"/>
      <c r="M689" s="341"/>
      <c r="N689" s="334"/>
      <c r="T689" s="110"/>
      <c r="V689" s="232"/>
      <c r="W689" s="269"/>
      <c r="X689" s="201"/>
      <c r="Y689" s="269"/>
      <c r="Z689" s="269"/>
      <c r="AA689" s="134"/>
      <c r="AB689" s="269"/>
      <c r="AC689" s="284"/>
      <c r="AD689" s="284"/>
      <c r="AE689" s="269"/>
    </row>
    <row r="690" spans="2:31">
      <c r="B690" s="83"/>
      <c r="C690" s="81"/>
      <c r="D690" s="83"/>
      <c r="E690" s="81"/>
      <c r="F690" s="269"/>
      <c r="G690" s="48"/>
      <c r="H690" s="269"/>
      <c r="I690" s="72"/>
      <c r="J690" s="330"/>
      <c r="K690" s="75"/>
      <c r="L690" s="157"/>
      <c r="M690" s="341"/>
      <c r="N690" s="334"/>
      <c r="T690" s="110"/>
      <c r="V690" s="232"/>
      <c r="W690" s="269"/>
      <c r="X690" s="201"/>
      <c r="Y690" s="269"/>
      <c r="Z690" s="269"/>
      <c r="AA690" s="134"/>
      <c r="AB690" s="269"/>
      <c r="AC690" s="284"/>
      <c r="AD690" s="284"/>
      <c r="AE690" s="269"/>
    </row>
    <row r="691" spans="2:31">
      <c r="B691" s="83"/>
      <c r="C691" s="81"/>
      <c r="D691" s="83"/>
      <c r="E691" s="81"/>
      <c r="F691" s="269"/>
      <c r="G691" s="48"/>
      <c r="H691" s="269"/>
      <c r="I691" s="72"/>
      <c r="J691" s="330"/>
      <c r="K691" s="75"/>
      <c r="L691" s="157"/>
      <c r="M691" s="341"/>
      <c r="N691" s="334"/>
      <c r="T691" s="110"/>
      <c r="V691" s="232"/>
      <c r="W691" s="269"/>
      <c r="X691" s="201"/>
      <c r="Y691" s="269"/>
      <c r="Z691" s="269"/>
      <c r="AA691" s="134"/>
      <c r="AB691" s="269"/>
      <c r="AC691" s="284"/>
      <c r="AD691" s="284"/>
      <c r="AE691" s="269"/>
    </row>
    <row r="692" spans="2:31">
      <c r="B692" s="83"/>
      <c r="C692" s="81"/>
      <c r="D692" s="83"/>
      <c r="E692" s="81"/>
      <c r="F692" s="269"/>
      <c r="G692" s="48"/>
      <c r="H692" s="269"/>
      <c r="I692" s="72"/>
      <c r="J692" s="330"/>
      <c r="K692" s="75"/>
      <c r="L692" s="157"/>
      <c r="M692" s="341"/>
      <c r="N692" s="334"/>
      <c r="T692" s="110"/>
      <c r="V692" s="232"/>
      <c r="W692" s="269"/>
      <c r="X692" s="201"/>
      <c r="Y692" s="269"/>
      <c r="Z692" s="269"/>
      <c r="AA692" s="134"/>
      <c r="AB692" s="269"/>
      <c r="AC692" s="284"/>
      <c r="AD692" s="284"/>
      <c r="AE692" s="269"/>
    </row>
    <row r="693" spans="2:31">
      <c r="B693" s="83"/>
      <c r="C693" s="81"/>
      <c r="D693" s="83"/>
      <c r="E693" s="81"/>
      <c r="F693" s="269"/>
      <c r="G693" s="48"/>
      <c r="H693" s="269"/>
      <c r="I693" s="72"/>
      <c r="J693" s="330"/>
      <c r="K693" s="75"/>
      <c r="L693" s="157"/>
      <c r="M693" s="341"/>
      <c r="N693" s="334"/>
      <c r="T693" s="110"/>
      <c r="V693" s="232"/>
      <c r="W693" s="269"/>
      <c r="X693" s="201"/>
      <c r="Y693" s="269"/>
      <c r="Z693" s="269"/>
      <c r="AA693" s="134"/>
      <c r="AB693" s="269"/>
      <c r="AC693" s="284"/>
      <c r="AD693" s="284"/>
      <c r="AE693" s="269"/>
    </row>
    <row r="694" spans="2:31">
      <c r="B694" s="83"/>
      <c r="C694" s="81"/>
      <c r="D694" s="83"/>
      <c r="E694" s="81"/>
      <c r="F694" s="269"/>
      <c r="G694" s="48"/>
      <c r="H694" s="269"/>
      <c r="I694" s="72"/>
      <c r="J694" s="330"/>
      <c r="K694" s="75"/>
      <c r="L694" s="157"/>
      <c r="M694" s="341"/>
      <c r="N694" s="334"/>
      <c r="T694" s="110"/>
      <c r="V694" s="232"/>
      <c r="W694" s="269"/>
      <c r="X694" s="201"/>
      <c r="Y694" s="269"/>
      <c r="Z694" s="269"/>
      <c r="AA694" s="134"/>
      <c r="AB694" s="269"/>
      <c r="AC694" s="284"/>
      <c r="AD694" s="284"/>
      <c r="AE694" s="269"/>
    </row>
    <row r="695" spans="2:31">
      <c r="B695" s="83"/>
      <c r="C695" s="81"/>
      <c r="D695" s="83"/>
      <c r="E695" s="81"/>
      <c r="F695" s="269"/>
      <c r="G695" s="48"/>
      <c r="H695" s="269"/>
      <c r="I695" s="72"/>
      <c r="J695" s="330"/>
      <c r="K695" s="75"/>
      <c r="L695" s="157"/>
      <c r="M695" s="341"/>
      <c r="N695" s="334"/>
      <c r="T695" s="110"/>
      <c r="V695" s="232"/>
      <c r="W695" s="269"/>
      <c r="X695" s="201"/>
      <c r="Y695" s="269"/>
      <c r="Z695" s="269"/>
      <c r="AA695" s="134"/>
      <c r="AB695" s="269"/>
      <c r="AC695" s="284"/>
      <c r="AD695" s="284"/>
      <c r="AE695" s="269"/>
    </row>
    <row r="696" spans="2:31">
      <c r="B696" s="83"/>
      <c r="C696" s="81"/>
      <c r="D696" s="83"/>
      <c r="E696" s="81"/>
      <c r="F696" s="269"/>
      <c r="G696" s="48"/>
      <c r="H696" s="269"/>
      <c r="I696" s="72"/>
      <c r="J696" s="330"/>
      <c r="K696" s="75"/>
      <c r="L696" s="157"/>
      <c r="M696" s="341"/>
      <c r="N696" s="334"/>
      <c r="T696" s="110"/>
      <c r="V696" s="232"/>
      <c r="W696" s="269"/>
      <c r="X696" s="201"/>
      <c r="Y696" s="269"/>
      <c r="Z696" s="269"/>
      <c r="AA696" s="134"/>
      <c r="AB696" s="269"/>
      <c r="AC696" s="284"/>
      <c r="AD696" s="284"/>
      <c r="AE696" s="269"/>
    </row>
    <row r="697" spans="2:31">
      <c r="B697" s="83"/>
      <c r="C697" s="81"/>
      <c r="D697" s="83"/>
      <c r="E697" s="81"/>
      <c r="F697" s="269"/>
      <c r="G697" s="48"/>
      <c r="H697" s="269"/>
      <c r="I697" s="72"/>
      <c r="J697" s="330"/>
      <c r="K697" s="75"/>
      <c r="L697" s="157"/>
      <c r="M697" s="341"/>
      <c r="N697" s="334"/>
      <c r="T697" s="110"/>
      <c r="V697" s="232"/>
      <c r="W697" s="269"/>
      <c r="X697" s="201"/>
      <c r="Y697" s="269"/>
      <c r="Z697" s="269"/>
      <c r="AA697" s="134"/>
      <c r="AB697" s="269"/>
      <c r="AC697" s="284"/>
      <c r="AD697" s="284"/>
      <c r="AE697" s="269"/>
    </row>
    <row r="698" spans="2:31">
      <c r="B698" s="83"/>
      <c r="C698" s="81"/>
      <c r="D698" s="83"/>
      <c r="E698" s="81"/>
      <c r="F698" s="269"/>
      <c r="G698" s="48"/>
      <c r="H698" s="269"/>
      <c r="I698" s="72"/>
      <c r="J698" s="330"/>
      <c r="K698" s="75"/>
      <c r="L698" s="157"/>
      <c r="M698" s="341"/>
      <c r="N698" s="334"/>
      <c r="T698" s="110"/>
      <c r="V698" s="232"/>
      <c r="W698" s="269"/>
      <c r="X698" s="201"/>
      <c r="Y698" s="269"/>
      <c r="Z698" s="269"/>
      <c r="AA698" s="134"/>
      <c r="AB698" s="269"/>
      <c r="AC698" s="284"/>
      <c r="AD698" s="284"/>
      <c r="AE698" s="269"/>
    </row>
    <row r="699" spans="2:31">
      <c r="B699" s="83"/>
      <c r="C699" s="81"/>
      <c r="D699" s="83"/>
      <c r="E699" s="81"/>
      <c r="F699" s="269"/>
      <c r="G699" s="48"/>
      <c r="H699" s="269"/>
      <c r="I699" s="72"/>
      <c r="J699" s="330"/>
      <c r="K699" s="75"/>
      <c r="L699" s="157"/>
      <c r="M699" s="341"/>
      <c r="N699" s="334"/>
      <c r="T699" s="110"/>
      <c r="V699" s="232"/>
      <c r="W699" s="269"/>
      <c r="X699" s="201"/>
      <c r="Y699" s="269"/>
      <c r="Z699" s="269"/>
      <c r="AA699" s="134"/>
      <c r="AB699" s="269"/>
      <c r="AC699" s="284"/>
      <c r="AD699" s="284"/>
      <c r="AE699" s="269"/>
    </row>
    <row r="700" spans="2:31">
      <c r="B700" s="83"/>
      <c r="C700" s="81"/>
      <c r="D700" s="83"/>
      <c r="E700" s="81"/>
      <c r="F700" s="269"/>
      <c r="G700" s="48"/>
      <c r="H700" s="269"/>
      <c r="I700" s="72"/>
      <c r="J700" s="330"/>
      <c r="K700" s="75"/>
      <c r="L700" s="157"/>
      <c r="M700" s="341"/>
      <c r="N700" s="334"/>
      <c r="T700" s="110"/>
      <c r="V700" s="232"/>
      <c r="W700" s="269"/>
      <c r="X700" s="201"/>
      <c r="Y700" s="269"/>
      <c r="Z700" s="269"/>
      <c r="AA700" s="134"/>
      <c r="AB700" s="269"/>
      <c r="AC700" s="284"/>
      <c r="AD700" s="284"/>
      <c r="AE700" s="269"/>
    </row>
    <row r="701" spans="2:31">
      <c r="B701" s="83"/>
      <c r="C701" s="81"/>
      <c r="D701" s="83"/>
      <c r="E701" s="81"/>
      <c r="F701" s="269"/>
      <c r="G701" s="48"/>
      <c r="H701" s="269"/>
      <c r="I701" s="72"/>
      <c r="J701" s="330"/>
      <c r="K701" s="75"/>
      <c r="L701" s="157"/>
      <c r="M701" s="341"/>
      <c r="N701" s="334"/>
      <c r="T701" s="110"/>
      <c r="V701" s="232"/>
      <c r="W701" s="269"/>
      <c r="X701" s="201"/>
      <c r="Y701" s="269"/>
      <c r="Z701" s="269"/>
      <c r="AA701" s="134"/>
      <c r="AB701" s="269"/>
      <c r="AC701" s="284"/>
      <c r="AD701" s="284"/>
      <c r="AE701" s="269"/>
    </row>
    <row r="702" spans="2:31">
      <c r="B702" s="83"/>
      <c r="C702" s="81"/>
      <c r="D702" s="83"/>
      <c r="E702" s="81"/>
      <c r="F702" s="269"/>
      <c r="G702" s="48"/>
      <c r="H702" s="269"/>
      <c r="I702" s="72"/>
      <c r="J702" s="330"/>
      <c r="K702" s="75"/>
      <c r="L702" s="157"/>
      <c r="M702" s="341"/>
      <c r="N702" s="334"/>
      <c r="T702" s="110"/>
      <c r="V702" s="232"/>
      <c r="W702" s="269"/>
      <c r="X702" s="201"/>
      <c r="Y702" s="269"/>
      <c r="Z702" s="269"/>
      <c r="AA702" s="134"/>
      <c r="AB702" s="269"/>
      <c r="AC702" s="284"/>
      <c r="AD702" s="284"/>
      <c r="AE702" s="269"/>
    </row>
    <row r="703" spans="2:31">
      <c r="B703" s="83"/>
      <c r="C703" s="81"/>
      <c r="D703" s="83"/>
      <c r="E703" s="81"/>
      <c r="F703" s="269"/>
      <c r="G703" s="48"/>
      <c r="H703" s="269"/>
      <c r="I703" s="72"/>
      <c r="J703" s="330"/>
      <c r="K703" s="75"/>
      <c r="L703" s="157"/>
      <c r="M703" s="341"/>
      <c r="N703" s="334"/>
      <c r="T703" s="110"/>
      <c r="V703" s="232"/>
      <c r="W703" s="269"/>
      <c r="X703" s="201"/>
      <c r="Y703" s="269"/>
      <c r="Z703" s="269"/>
      <c r="AA703" s="134"/>
      <c r="AB703" s="269"/>
      <c r="AC703" s="284"/>
      <c r="AD703" s="284"/>
      <c r="AE703" s="269"/>
    </row>
    <row r="704" spans="2:31">
      <c r="B704" s="83"/>
      <c r="C704" s="81"/>
      <c r="D704" s="83"/>
      <c r="E704" s="81"/>
      <c r="F704" s="269"/>
      <c r="G704" s="48"/>
      <c r="H704" s="269"/>
      <c r="I704" s="72"/>
      <c r="J704" s="330"/>
      <c r="K704" s="75"/>
      <c r="L704" s="157"/>
      <c r="M704" s="341"/>
      <c r="N704" s="334"/>
      <c r="T704" s="110"/>
      <c r="V704" s="232"/>
      <c r="W704" s="269"/>
      <c r="X704" s="201"/>
      <c r="Y704" s="269"/>
      <c r="Z704" s="269"/>
      <c r="AA704" s="134"/>
      <c r="AB704" s="269"/>
      <c r="AC704" s="284"/>
      <c r="AD704" s="284"/>
      <c r="AE704" s="269"/>
    </row>
    <row r="705" spans="2:31">
      <c r="B705" s="83"/>
      <c r="C705" s="81"/>
      <c r="D705" s="83"/>
      <c r="E705" s="81"/>
      <c r="F705" s="269"/>
      <c r="G705" s="48"/>
      <c r="H705" s="269"/>
      <c r="I705" s="72"/>
      <c r="J705" s="330"/>
      <c r="K705" s="75"/>
      <c r="L705" s="157"/>
      <c r="M705" s="341"/>
      <c r="N705" s="334"/>
      <c r="T705" s="110"/>
      <c r="V705" s="232"/>
      <c r="W705" s="269"/>
      <c r="X705" s="201"/>
      <c r="Y705" s="269"/>
      <c r="Z705" s="269"/>
      <c r="AA705" s="134"/>
      <c r="AB705" s="269"/>
      <c r="AC705" s="284"/>
      <c r="AD705" s="284"/>
      <c r="AE705" s="269"/>
    </row>
    <row r="706" spans="2:31">
      <c r="B706" s="83"/>
      <c r="C706" s="81"/>
      <c r="D706" s="83"/>
      <c r="E706" s="81"/>
      <c r="F706" s="269"/>
      <c r="G706" s="48"/>
      <c r="H706" s="269"/>
      <c r="I706" s="72"/>
      <c r="J706" s="330"/>
      <c r="K706" s="75"/>
      <c r="L706" s="157"/>
      <c r="M706" s="341"/>
      <c r="N706" s="334"/>
      <c r="T706" s="110"/>
      <c r="V706" s="232"/>
      <c r="W706" s="269"/>
      <c r="X706" s="201"/>
      <c r="Y706" s="269"/>
      <c r="Z706" s="269"/>
      <c r="AA706" s="134"/>
      <c r="AB706" s="269"/>
      <c r="AC706" s="284"/>
      <c r="AD706" s="284"/>
      <c r="AE706" s="269"/>
    </row>
    <row r="707" spans="2:31">
      <c r="B707" s="83"/>
      <c r="C707" s="81"/>
      <c r="D707" s="83"/>
      <c r="E707" s="81"/>
      <c r="F707" s="269"/>
      <c r="G707" s="48"/>
      <c r="H707" s="269"/>
      <c r="I707" s="72"/>
      <c r="J707" s="330"/>
      <c r="K707" s="75"/>
      <c r="L707" s="157"/>
      <c r="M707" s="341"/>
      <c r="N707" s="334"/>
      <c r="T707" s="110"/>
      <c r="V707" s="232"/>
      <c r="W707" s="269"/>
      <c r="X707" s="201"/>
      <c r="Y707" s="269"/>
      <c r="Z707" s="269"/>
      <c r="AA707" s="134"/>
      <c r="AB707" s="269"/>
      <c r="AC707" s="284"/>
      <c r="AD707" s="284"/>
      <c r="AE707" s="269"/>
    </row>
    <row r="708" spans="2:31">
      <c r="B708" s="83"/>
      <c r="C708" s="81"/>
      <c r="D708" s="83"/>
      <c r="E708" s="81"/>
      <c r="F708" s="269"/>
      <c r="G708" s="48"/>
      <c r="H708" s="269"/>
      <c r="I708" s="72"/>
      <c r="J708" s="330"/>
      <c r="K708" s="75"/>
      <c r="L708" s="157"/>
      <c r="M708" s="341"/>
      <c r="N708" s="334"/>
      <c r="T708" s="110"/>
      <c r="V708" s="232"/>
      <c r="W708" s="269"/>
      <c r="X708" s="201"/>
      <c r="Y708" s="269"/>
      <c r="Z708" s="269"/>
      <c r="AA708" s="134"/>
      <c r="AB708" s="269"/>
      <c r="AC708" s="284"/>
      <c r="AD708" s="284"/>
      <c r="AE708" s="269"/>
    </row>
    <row r="709" spans="2:31">
      <c r="B709" s="83"/>
      <c r="C709" s="81"/>
      <c r="D709" s="83"/>
      <c r="E709" s="81"/>
      <c r="F709" s="269"/>
      <c r="G709" s="48"/>
      <c r="H709" s="269"/>
      <c r="I709" s="72"/>
      <c r="J709" s="330"/>
      <c r="K709" s="75"/>
      <c r="L709" s="157"/>
      <c r="M709" s="341"/>
      <c r="N709" s="334"/>
      <c r="T709" s="110"/>
      <c r="V709" s="232"/>
      <c r="W709" s="269"/>
      <c r="X709" s="201"/>
      <c r="Y709" s="269"/>
      <c r="Z709" s="269"/>
      <c r="AA709" s="134"/>
      <c r="AB709" s="269"/>
      <c r="AC709" s="284"/>
      <c r="AD709" s="284"/>
      <c r="AE709" s="269"/>
    </row>
    <row r="710" spans="2:31">
      <c r="B710" s="83"/>
      <c r="C710" s="81"/>
      <c r="D710" s="83"/>
      <c r="E710" s="81"/>
      <c r="F710" s="269"/>
      <c r="G710" s="48"/>
      <c r="H710" s="269"/>
      <c r="I710" s="72"/>
      <c r="J710" s="330"/>
      <c r="K710" s="75"/>
      <c r="L710" s="157"/>
      <c r="M710" s="341"/>
      <c r="N710" s="334"/>
      <c r="T710" s="110"/>
      <c r="V710" s="232"/>
      <c r="W710" s="269"/>
      <c r="X710" s="201"/>
      <c r="Y710" s="269"/>
      <c r="Z710" s="269"/>
      <c r="AA710" s="134"/>
      <c r="AB710" s="269"/>
      <c r="AC710" s="284"/>
      <c r="AD710" s="284"/>
      <c r="AE710" s="269"/>
    </row>
    <row r="711" spans="2:31">
      <c r="B711" s="83"/>
      <c r="C711" s="81"/>
      <c r="D711" s="83"/>
      <c r="E711" s="81"/>
      <c r="F711" s="269"/>
      <c r="G711" s="48"/>
      <c r="H711" s="269"/>
      <c r="I711" s="72"/>
      <c r="J711" s="330"/>
      <c r="K711" s="75"/>
      <c r="L711" s="157"/>
      <c r="M711" s="341"/>
      <c r="N711" s="334"/>
      <c r="T711" s="110"/>
      <c r="V711" s="232"/>
      <c r="W711" s="269"/>
      <c r="X711" s="201"/>
      <c r="Y711" s="269"/>
      <c r="Z711" s="269"/>
      <c r="AA711" s="134"/>
      <c r="AB711" s="269"/>
      <c r="AC711" s="284"/>
      <c r="AD711" s="284"/>
      <c r="AE711" s="269"/>
    </row>
    <row r="712" spans="2:31">
      <c r="B712" s="83"/>
      <c r="C712" s="81"/>
      <c r="D712" s="83"/>
      <c r="E712" s="81"/>
      <c r="F712" s="269"/>
      <c r="G712" s="48"/>
      <c r="H712" s="269"/>
      <c r="I712" s="72"/>
      <c r="J712" s="330"/>
      <c r="K712" s="75"/>
      <c r="L712" s="157"/>
      <c r="M712" s="341"/>
      <c r="N712" s="334"/>
      <c r="T712" s="110"/>
      <c r="V712" s="232"/>
      <c r="W712" s="269"/>
      <c r="X712" s="201"/>
      <c r="Y712" s="269"/>
      <c r="Z712" s="269"/>
      <c r="AA712" s="134"/>
      <c r="AB712" s="269"/>
      <c r="AC712" s="284"/>
      <c r="AD712" s="284"/>
      <c r="AE712" s="269"/>
    </row>
    <row r="713" spans="2:31">
      <c r="B713" s="83"/>
      <c r="C713" s="81"/>
      <c r="D713" s="83"/>
      <c r="E713" s="81"/>
      <c r="F713" s="269"/>
      <c r="G713" s="48"/>
      <c r="H713" s="269"/>
      <c r="I713" s="72"/>
      <c r="J713" s="330"/>
      <c r="K713" s="75"/>
      <c r="L713" s="157"/>
      <c r="M713" s="341"/>
      <c r="N713" s="334"/>
      <c r="T713" s="110"/>
      <c r="V713" s="232"/>
      <c r="W713" s="269"/>
      <c r="X713" s="201"/>
      <c r="Y713" s="269"/>
      <c r="Z713" s="269"/>
      <c r="AA713" s="134"/>
      <c r="AB713" s="269"/>
      <c r="AC713" s="284"/>
      <c r="AD713" s="284"/>
      <c r="AE713" s="269"/>
    </row>
    <row r="714" spans="2:31">
      <c r="B714" s="83"/>
      <c r="C714" s="81"/>
      <c r="D714" s="83"/>
      <c r="E714" s="81"/>
      <c r="F714" s="269"/>
      <c r="G714" s="48"/>
      <c r="H714" s="269"/>
      <c r="I714" s="72"/>
      <c r="J714" s="330"/>
      <c r="K714" s="75"/>
      <c r="L714" s="157"/>
      <c r="M714" s="341"/>
      <c r="N714" s="334"/>
      <c r="T714" s="110"/>
      <c r="V714" s="232"/>
      <c r="W714" s="269"/>
      <c r="X714" s="201"/>
      <c r="Y714" s="269"/>
      <c r="Z714" s="269"/>
      <c r="AA714" s="134"/>
      <c r="AB714" s="269"/>
      <c r="AC714" s="284"/>
      <c r="AD714" s="284"/>
      <c r="AE714" s="269"/>
    </row>
    <row r="715" spans="2:31">
      <c r="B715" s="83"/>
      <c r="C715" s="81"/>
      <c r="D715" s="83"/>
      <c r="E715" s="81"/>
      <c r="F715" s="269"/>
      <c r="G715" s="48"/>
      <c r="H715" s="269"/>
      <c r="I715" s="72"/>
      <c r="J715" s="330"/>
      <c r="K715" s="75"/>
      <c r="L715" s="157"/>
      <c r="M715" s="341"/>
      <c r="N715" s="334"/>
      <c r="T715" s="110"/>
      <c r="V715" s="232"/>
      <c r="W715" s="269"/>
      <c r="X715" s="201"/>
      <c r="Y715" s="269"/>
      <c r="Z715" s="269"/>
      <c r="AA715" s="134"/>
      <c r="AB715" s="269"/>
      <c r="AC715" s="284"/>
      <c r="AD715" s="284"/>
      <c r="AE715" s="269"/>
    </row>
    <row r="716" spans="2:31">
      <c r="B716" s="83"/>
      <c r="C716" s="81"/>
      <c r="D716" s="83"/>
      <c r="E716" s="81"/>
      <c r="F716" s="269"/>
      <c r="G716" s="48"/>
      <c r="H716" s="269"/>
      <c r="I716" s="72"/>
      <c r="J716" s="330"/>
      <c r="K716" s="75"/>
      <c r="L716" s="157"/>
      <c r="M716" s="341"/>
      <c r="N716" s="334"/>
      <c r="T716" s="110"/>
      <c r="V716" s="232"/>
      <c r="W716" s="269"/>
      <c r="X716" s="201"/>
      <c r="Y716" s="269"/>
      <c r="Z716" s="269"/>
      <c r="AA716" s="134"/>
      <c r="AB716" s="269"/>
      <c r="AC716" s="284"/>
      <c r="AD716" s="284"/>
      <c r="AE716" s="269"/>
    </row>
    <row r="717" spans="2:31">
      <c r="B717" s="83"/>
      <c r="C717" s="81"/>
      <c r="D717" s="83"/>
      <c r="E717" s="81"/>
      <c r="F717" s="269"/>
      <c r="G717" s="48"/>
      <c r="H717" s="269"/>
      <c r="I717" s="72"/>
      <c r="J717" s="330"/>
      <c r="K717" s="75"/>
      <c r="L717" s="157"/>
      <c r="M717" s="341"/>
      <c r="N717" s="334"/>
      <c r="T717" s="110"/>
      <c r="V717" s="232"/>
      <c r="W717" s="269"/>
      <c r="X717" s="201"/>
      <c r="Y717" s="269"/>
      <c r="Z717" s="269"/>
      <c r="AA717" s="134"/>
      <c r="AB717" s="269"/>
      <c r="AC717" s="284"/>
      <c r="AD717" s="284"/>
      <c r="AE717" s="269"/>
    </row>
    <row r="718" spans="2:31">
      <c r="B718" s="83"/>
      <c r="C718" s="81"/>
      <c r="D718" s="83"/>
      <c r="E718" s="81"/>
      <c r="F718" s="269"/>
      <c r="G718" s="48"/>
      <c r="H718" s="269"/>
      <c r="I718" s="72"/>
      <c r="J718" s="330"/>
      <c r="K718" s="75"/>
      <c r="L718" s="157"/>
      <c r="M718" s="341"/>
      <c r="N718" s="334"/>
      <c r="T718" s="110"/>
      <c r="V718" s="232"/>
      <c r="W718" s="269"/>
      <c r="X718" s="201"/>
      <c r="Y718" s="269"/>
      <c r="Z718" s="269"/>
      <c r="AA718" s="134"/>
      <c r="AB718" s="269"/>
      <c r="AC718" s="284"/>
      <c r="AD718" s="284"/>
      <c r="AE718" s="269"/>
    </row>
    <row r="719" spans="2:31">
      <c r="B719" s="83"/>
      <c r="C719" s="81"/>
      <c r="D719" s="83"/>
      <c r="E719" s="81"/>
      <c r="F719" s="269"/>
      <c r="G719" s="48"/>
      <c r="H719" s="269"/>
      <c r="I719" s="72"/>
      <c r="J719" s="330"/>
      <c r="K719" s="75"/>
      <c r="L719" s="157"/>
      <c r="M719" s="341"/>
      <c r="N719" s="334"/>
      <c r="T719" s="110"/>
      <c r="V719" s="232"/>
      <c r="W719" s="269"/>
      <c r="X719" s="201"/>
      <c r="Y719" s="269"/>
      <c r="Z719" s="269"/>
      <c r="AA719" s="134"/>
      <c r="AB719" s="269"/>
      <c r="AC719" s="284"/>
      <c r="AD719" s="284"/>
      <c r="AE719" s="269"/>
    </row>
    <row r="720" spans="2:31">
      <c r="B720" s="83"/>
      <c r="C720" s="81"/>
      <c r="D720" s="83"/>
      <c r="E720" s="81"/>
      <c r="F720" s="269"/>
      <c r="G720" s="48"/>
      <c r="H720" s="269"/>
      <c r="I720" s="72"/>
      <c r="J720" s="330"/>
      <c r="K720" s="75"/>
      <c r="L720" s="157"/>
      <c r="M720" s="341"/>
      <c r="N720" s="334"/>
      <c r="T720" s="110"/>
      <c r="V720" s="232"/>
      <c r="W720" s="269"/>
      <c r="X720" s="201"/>
      <c r="Y720" s="269"/>
      <c r="Z720" s="269"/>
      <c r="AA720" s="134"/>
      <c r="AB720" s="269"/>
      <c r="AC720" s="284"/>
      <c r="AD720" s="284"/>
      <c r="AE720" s="269"/>
    </row>
    <row r="721" spans="2:31">
      <c r="B721" s="83"/>
      <c r="C721" s="81"/>
      <c r="D721" s="83"/>
      <c r="E721" s="81"/>
      <c r="F721" s="269"/>
      <c r="G721" s="48"/>
      <c r="H721" s="269"/>
      <c r="I721" s="72"/>
      <c r="J721" s="330"/>
      <c r="K721" s="75"/>
      <c r="L721" s="157"/>
      <c r="M721" s="341"/>
      <c r="N721" s="334"/>
      <c r="T721" s="110"/>
      <c r="V721" s="232"/>
      <c r="W721" s="269"/>
      <c r="X721" s="201"/>
      <c r="Y721" s="269"/>
      <c r="Z721" s="269"/>
      <c r="AA721" s="134"/>
      <c r="AB721" s="269"/>
      <c r="AC721" s="284"/>
      <c r="AD721" s="284"/>
      <c r="AE721" s="269"/>
    </row>
    <row r="722" spans="2:31">
      <c r="B722" s="83"/>
      <c r="C722" s="81"/>
      <c r="D722" s="83"/>
      <c r="E722" s="81"/>
      <c r="F722" s="269"/>
      <c r="G722" s="48"/>
      <c r="H722" s="269"/>
      <c r="I722" s="72"/>
      <c r="J722" s="330"/>
      <c r="K722" s="75"/>
      <c r="L722" s="157"/>
      <c r="M722" s="341"/>
      <c r="N722" s="334"/>
      <c r="T722" s="110"/>
      <c r="V722" s="232"/>
      <c r="W722" s="269"/>
      <c r="X722" s="201"/>
      <c r="Y722" s="269"/>
      <c r="Z722" s="269"/>
      <c r="AA722" s="134"/>
      <c r="AB722" s="269"/>
      <c r="AC722" s="284"/>
      <c r="AD722" s="284"/>
      <c r="AE722" s="269"/>
    </row>
    <row r="723" spans="2:31">
      <c r="B723" s="83"/>
      <c r="C723" s="81"/>
      <c r="D723" s="83"/>
      <c r="E723" s="81"/>
      <c r="F723" s="269"/>
      <c r="G723" s="48"/>
      <c r="H723" s="269"/>
      <c r="I723" s="72"/>
      <c r="J723" s="330"/>
      <c r="K723" s="75"/>
      <c r="L723" s="157"/>
      <c r="M723" s="341"/>
      <c r="N723" s="334"/>
      <c r="T723" s="110"/>
      <c r="V723" s="232"/>
      <c r="W723" s="269"/>
      <c r="X723" s="201"/>
      <c r="Y723" s="269"/>
      <c r="Z723" s="269"/>
      <c r="AA723" s="134"/>
      <c r="AB723" s="269"/>
      <c r="AC723" s="284"/>
      <c r="AD723" s="284"/>
      <c r="AE723" s="269"/>
    </row>
    <row r="724" spans="2:31">
      <c r="B724" s="83"/>
      <c r="C724" s="81"/>
      <c r="D724" s="83"/>
      <c r="E724" s="81"/>
      <c r="F724" s="269"/>
      <c r="G724" s="48"/>
      <c r="H724" s="269"/>
      <c r="I724" s="72"/>
      <c r="J724" s="330"/>
      <c r="K724" s="75"/>
      <c r="L724" s="157"/>
      <c r="M724" s="341"/>
      <c r="N724" s="334"/>
      <c r="T724" s="110"/>
      <c r="V724" s="232"/>
      <c r="W724" s="269"/>
      <c r="X724" s="201"/>
      <c r="Y724" s="269"/>
      <c r="Z724" s="269"/>
      <c r="AA724" s="134"/>
      <c r="AB724" s="269"/>
      <c r="AC724" s="284"/>
      <c r="AD724" s="284"/>
      <c r="AE724" s="269"/>
    </row>
    <row r="725" spans="2:31">
      <c r="B725" s="83"/>
      <c r="C725" s="81"/>
      <c r="D725" s="83"/>
      <c r="E725" s="81"/>
      <c r="F725" s="269"/>
      <c r="G725" s="48"/>
      <c r="H725" s="269"/>
      <c r="I725" s="72"/>
      <c r="J725" s="330"/>
      <c r="K725" s="75"/>
      <c r="L725" s="157"/>
      <c r="M725" s="341"/>
      <c r="N725" s="334"/>
      <c r="T725" s="110"/>
      <c r="V725" s="232"/>
      <c r="W725" s="269"/>
      <c r="X725" s="201"/>
      <c r="Y725" s="269"/>
      <c r="Z725" s="269"/>
      <c r="AA725" s="134"/>
      <c r="AB725" s="269"/>
      <c r="AC725" s="284"/>
      <c r="AD725" s="284"/>
      <c r="AE725" s="269"/>
    </row>
    <row r="726" spans="2:31">
      <c r="B726" s="83"/>
      <c r="C726" s="81"/>
      <c r="D726" s="83"/>
      <c r="E726" s="81"/>
      <c r="F726" s="269"/>
      <c r="G726" s="48"/>
      <c r="H726" s="269"/>
      <c r="I726" s="72"/>
      <c r="J726" s="330"/>
      <c r="K726" s="75"/>
      <c r="L726" s="157"/>
      <c r="M726" s="341"/>
      <c r="N726" s="334"/>
      <c r="T726" s="110"/>
      <c r="V726" s="232"/>
      <c r="W726" s="269"/>
      <c r="X726" s="201"/>
      <c r="Y726" s="269"/>
      <c r="Z726" s="269"/>
      <c r="AA726" s="134"/>
      <c r="AB726" s="269"/>
      <c r="AC726" s="284"/>
      <c r="AD726" s="284"/>
      <c r="AE726" s="269"/>
    </row>
    <row r="727" spans="2:31">
      <c r="B727" s="83"/>
      <c r="C727" s="81"/>
      <c r="D727" s="83"/>
      <c r="E727" s="81"/>
      <c r="F727" s="269"/>
      <c r="G727" s="48"/>
      <c r="H727" s="269"/>
      <c r="I727" s="72"/>
      <c r="J727" s="330"/>
      <c r="K727" s="75"/>
      <c r="L727" s="157"/>
      <c r="M727" s="341"/>
      <c r="N727" s="334"/>
      <c r="T727" s="110"/>
      <c r="V727" s="232"/>
      <c r="W727" s="269"/>
      <c r="X727" s="201"/>
      <c r="Y727" s="269"/>
      <c r="Z727" s="269"/>
      <c r="AA727" s="134"/>
      <c r="AB727" s="269"/>
      <c r="AC727" s="284"/>
      <c r="AD727" s="284"/>
      <c r="AE727" s="269"/>
    </row>
    <row r="728" spans="2:31">
      <c r="B728" s="83"/>
      <c r="C728" s="81"/>
      <c r="D728" s="83"/>
      <c r="E728" s="81"/>
      <c r="F728" s="269"/>
      <c r="G728" s="48"/>
      <c r="H728" s="269"/>
      <c r="I728" s="72"/>
      <c r="J728" s="330"/>
      <c r="K728" s="75"/>
      <c r="L728" s="157"/>
      <c r="M728" s="341"/>
      <c r="N728" s="334"/>
      <c r="T728" s="110"/>
      <c r="V728" s="232"/>
      <c r="W728" s="269"/>
      <c r="X728" s="201"/>
      <c r="Y728" s="269"/>
      <c r="Z728" s="269"/>
      <c r="AA728" s="134"/>
      <c r="AB728" s="269"/>
      <c r="AC728" s="284"/>
      <c r="AD728" s="284"/>
      <c r="AE728" s="269"/>
    </row>
    <row r="729" spans="2:31">
      <c r="B729" s="83"/>
      <c r="C729" s="81"/>
      <c r="D729" s="83"/>
      <c r="E729" s="81"/>
      <c r="F729" s="269"/>
      <c r="G729" s="48"/>
      <c r="H729" s="269"/>
      <c r="I729" s="72"/>
      <c r="J729" s="330"/>
      <c r="K729" s="75"/>
      <c r="L729" s="157"/>
      <c r="M729" s="341"/>
      <c r="N729" s="334"/>
      <c r="T729" s="110"/>
      <c r="V729" s="232"/>
      <c r="W729" s="269"/>
      <c r="X729" s="201"/>
      <c r="Y729" s="269"/>
      <c r="Z729" s="269"/>
      <c r="AA729" s="134"/>
      <c r="AB729" s="269"/>
      <c r="AC729" s="284"/>
      <c r="AD729" s="284"/>
      <c r="AE729" s="269"/>
    </row>
    <row r="730" spans="2:31">
      <c r="B730" s="83"/>
      <c r="C730" s="81"/>
      <c r="D730" s="83"/>
      <c r="E730" s="81"/>
      <c r="F730" s="269"/>
      <c r="G730" s="48"/>
      <c r="H730" s="269"/>
      <c r="I730" s="72"/>
      <c r="J730" s="330"/>
      <c r="K730" s="75"/>
      <c r="L730" s="157"/>
      <c r="M730" s="341"/>
      <c r="N730" s="334"/>
      <c r="T730" s="110"/>
      <c r="V730" s="232"/>
      <c r="W730" s="269"/>
      <c r="X730" s="201"/>
      <c r="Y730" s="269"/>
      <c r="Z730" s="269"/>
      <c r="AA730" s="134"/>
      <c r="AB730" s="269"/>
      <c r="AC730" s="284"/>
      <c r="AD730" s="284"/>
      <c r="AE730" s="269"/>
    </row>
    <row r="731" spans="2:31">
      <c r="B731" s="83"/>
      <c r="C731" s="81"/>
      <c r="D731" s="83"/>
      <c r="E731" s="81"/>
      <c r="F731" s="269"/>
      <c r="G731" s="48"/>
      <c r="H731" s="269"/>
      <c r="I731" s="72"/>
      <c r="J731" s="330"/>
      <c r="K731" s="75"/>
      <c r="L731" s="157"/>
      <c r="M731" s="341"/>
      <c r="N731" s="334"/>
      <c r="T731" s="110"/>
      <c r="V731" s="232"/>
      <c r="W731" s="269"/>
      <c r="X731" s="201"/>
      <c r="Y731" s="269"/>
      <c r="Z731" s="269"/>
      <c r="AA731" s="134"/>
      <c r="AB731" s="269"/>
      <c r="AC731" s="284"/>
      <c r="AD731" s="284"/>
      <c r="AE731" s="269"/>
    </row>
    <row r="732" spans="2:31">
      <c r="B732" s="83"/>
      <c r="C732" s="81"/>
      <c r="D732" s="83"/>
      <c r="E732" s="81"/>
      <c r="F732" s="269"/>
      <c r="G732" s="48"/>
      <c r="H732" s="269"/>
      <c r="I732" s="72"/>
      <c r="J732" s="330"/>
      <c r="K732" s="75"/>
      <c r="L732" s="157"/>
      <c r="M732" s="341"/>
      <c r="N732" s="334"/>
      <c r="T732" s="110"/>
      <c r="V732" s="232"/>
      <c r="W732" s="269"/>
      <c r="X732" s="201"/>
      <c r="Y732" s="269"/>
      <c r="Z732" s="269"/>
      <c r="AA732" s="134"/>
      <c r="AB732" s="269"/>
      <c r="AC732" s="284"/>
      <c r="AD732" s="284"/>
      <c r="AE732" s="269"/>
    </row>
    <row r="733" spans="2:31">
      <c r="B733" s="83"/>
      <c r="C733" s="81"/>
      <c r="D733" s="83"/>
      <c r="E733" s="81"/>
      <c r="F733" s="269"/>
      <c r="G733" s="48"/>
      <c r="H733" s="269"/>
      <c r="I733" s="72"/>
      <c r="J733" s="330"/>
      <c r="K733" s="75"/>
      <c r="L733" s="157"/>
      <c r="M733" s="341"/>
      <c r="N733" s="334"/>
      <c r="T733" s="110"/>
      <c r="V733" s="232"/>
      <c r="W733" s="269"/>
      <c r="X733" s="201"/>
      <c r="Y733" s="269"/>
      <c r="Z733" s="269"/>
      <c r="AA733" s="134"/>
      <c r="AB733" s="269"/>
      <c r="AC733" s="284"/>
      <c r="AD733" s="284"/>
      <c r="AE733" s="269"/>
    </row>
    <row r="734" spans="2:31">
      <c r="B734" s="83"/>
      <c r="C734" s="81"/>
      <c r="D734" s="83"/>
      <c r="E734" s="81"/>
      <c r="F734" s="269"/>
      <c r="G734" s="48"/>
      <c r="H734" s="269"/>
      <c r="I734" s="72"/>
      <c r="J734" s="330"/>
      <c r="K734" s="75"/>
      <c r="L734" s="157"/>
      <c r="M734" s="341"/>
      <c r="N734" s="334"/>
      <c r="T734" s="110"/>
      <c r="V734" s="232"/>
      <c r="W734" s="269"/>
      <c r="X734" s="201"/>
      <c r="Y734" s="269"/>
      <c r="Z734" s="269"/>
      <c r="AA734" s="134"/>
      <c r="AB734" s="269"/>
      <c r="AC734" s="284"/>
      <c r="AD734" s="284"/>
      <c r="AE734" s="269"/>
    </row>
    <row r="735" spans="2:31">
      <c r="B735" s="83"/>
      <c r="C735" s="81"/>
      <c r="D735" s="83"/>
      <c r="E735" s="81"/>
      <c r="F735" s="269"/>
      <c r="G735" s="48"/>
      <c r="H735" s="269"/>
      <c r="I735" s="72"/>
      <c r="J735" s="330"/>
      <c r="K735" s="75"/>
      <c r="L735" s="157"/>
      <c r="M735" s="341"/>
      <c r="N735" s="334"/>
      <c r="T735" s="110"/>
      <c r="V735" s="232"/>
      <c r="W735" s="269"/>
      <c r="X735" s="201"/>
      <c r="Y735" s="269"/>
      <c r="Z735" s="269"/>
      <c r="AA735" s="134"/>
      <c r="AB735" s="269"/>
      <c r="AC735" s="284"/>
      <c r="AD735" s="284"/>
      <c r="AE735" s="269"/>
    </row>
    <row r="736" spans="2:31">
      <c r="B736" s="83"/>
      <c r="C736" s="81"/>
      <c r="D736" s="83"/>
      <c r="E736" s="81"/>
      <c r="F736" s="269"/>
      <c r="G736" s="48"/>
      <c r="H736" s="269"/>
      <c r="I736" s="72"/>
      <c r="J736" s="330"/>
      <c r="K736" s="75"/>
      <c r="L736" s="157"/>
      <c r="M736" s="341"/>
      <c r="N736" s="334"/>
      <c r="T736" s="110"/>
      <c r="V736" s="232"/>
      <c r="W736" s="269"/>
      <c r="X736" s="201"/>
      <c r="Y736" s="269"/>
      <c r="Z736" s="269"/>
      <c r="AA736" s="134"/>
      <c r="AB736" s="269"/>
      <c r="AC736" s="284"/>
      <c r="AD736" s="284"/>
      <c r="AE736" s="269"/>
    </row>
    <row r="737" spans="2:31">
      <c r="B737" s="83"/>
      <c r="C737" s="81"/>
      <c r="D737" s="83"/>
      <c r="E737" s="81"/>
      <c r="F737" s="269"/>
      <c r="G737" s="48"/>
      <c r="H737" s="269"/>
      <c r="I737" s="72"/>
      <c r="J737" s="330"/>
      <c r="K737" s="75"/>
      <c r="L737" s="157"/>
      <c r="M737" s="341"/>
      <c r="N737" s="334"/>
      <c r="T737" s="110"/>
      <c r="V737" s="232"/>
      <c r="W737" s="269"/>
      <c r="X737" s="201"/>
      <c r="Y737" s="269"/>
      <c r="Z737" s="269"/>
      <c r="AA737" s="134"/>
      <c r="AB737" s="269"/>
      <c r="AC737" s="284"/>
      <c r="AD737" s="284"/>
      <c r="AE737" s="269"/>
    </row>
    <row r="738" spans="2:31">
      <c r="B738" s="83"/>
      <c r="C738" s="81"/>
      <c r="D738" s="83"/>
      <c r="E738" s="81"/>
      <c r="F738" s="269"/>
      <c r="G738" s="48"/>
      <c r="H738" s="269"/>
      <c r="I738" s="72"/>
      <c r="J738" s="330"/>
      <c r="K738" s="75"/>
      <c r="L738" s="157"/>
      <c r="M738" s="341"/>
      <c r="N738" s="334"/>
      <c r="T738" s="110"/>
      <c r="V738" s="232"/>
      <c r="W738" s="269"/>
      <c r="X738" s="201"/>
      <c r="Y738" s="269"/>
      <c r="Z738" s="269"/>
      <c r="AA738" s="134"/>
      <c r="AB738" s="269"/>
      <c r="AC738" s="284"/>
      <c r="AD738" s="284"/>
      <c r="AE738" s="269"/>
    </row>
    <row r="739" spans="2:31">
      <c r="B739" s="83"/>
      <c r="C739" s="81"/>
      <c r="D739" s="83"/>
      <c r="E739" s="81"/>
      <c r="F739" s="269"/>
      <c r="G739" s="48"/>
      <c r="H739" s="269"/>
      <c r="I739" s="72"/>
      <c r="J739" s="330"/>
      <c r="K739" s="75"/>
      <c r="L739" s="157"/>
      <c r="M739" s="341"/>
      <c r="N739" s="334"/>
      <c r="T739" s="110"/>
      <c r="V739" s="232"/>
      <c r="W739" s="269"/>
      <c r="X739" s="201"/>
      <c r="Y739" s="269"/>
      <c r="Z739" s="269"/>
      <c r="AA739" s="134"/>
      <c r="AB739" s="269"/>
      <c r="AC739" s="284"/>
      <c r="AD739" s="284"/>
      <c r="AE739" s="269"/>
    </row>
    <row r="740" spans="2:31">
      <c r="B740" s="83"/>
      <c r="C740" s="81"/>
      <c r="D740" s="83"/>
      <c r="E740" s="81"/>
      <c r="F740" s="269"/>
      <c r="G740" s="48"/>
      <c r="H740" s="269"/>
      <c r="I740" s="72"/>
      <c r="J740" s="330"/>
      <c r="K740" s="75"/>
      <c r="L740" s="157"/>
      <c r="M740" s="341"/>
      <c r="N740" s="334"/>
      <c r="T740" s="110"/>
      <c r="V740" s="232"/>
      <c r="W740" s="269"/>
      <c r="X740" s="201"/>
      <c r="Y740" s="269"/>
      <c r="Z740" s="269"/>
      <c r="AA740" s="134"/>
      <c r="AB740" s="269"/>
      <c r="AC740" s="284"/>
      <c r="AD740" s="284"/>
      <c r="AE740" s="269"/>
    </row>
    <row r="741" spans="2:31">
      <c r="B741" s="83"/>
      <c r="C741" s="81"/>
      <c r="D741" s="83"/>
      <c r="E741" s="81"/>
      <c r="F741" s="269"/>
      <c r="G741" s="48"/>
      <c r="H741" s="269"/>
      <c r="I741" s="72"/>
      <c r="J741" s="330"/>
      <c r="K741" s="75"/>
      <c r="L741" s="157"/>
      <c r="M741" s="341"/>
      <c r="N741" s="334"/>
      <c r="T741" s="110"/>
      <c r="V741" s="232"/>
      <c r="W741" s="269"/>
      <c r="X741" s="201"/>
      <c r="Y741" s="269"/>
      <c r="Z741" s="269"/>
      <c r="AA741" s="134"/>
      <c r="AB741" s="269"/>
      <c r="AC741" s="284"/>
      <c r="AD741" s="284"/>
      <c r="AE741" s="269"/>
    </row>
    <row r="742" spans="2:31">
      <c r="B742" s="83"/>
      <c r="C742" s="81"/>
      <c r="D742" s="83"/>
      <c r="E742" s="81"/>
      <c r="F742" s="269"/>
      <c r="G742" s="48"/>
      <c r="H742" s="269"/>
      <c r="I742" s="72"/>
      <c r="J742" s="330"/>
      <c r="K742" s="75"/>
      <c r="L742" s="157"/>
      <c r="M742" s="341"/>
      <c r="N742" s="334"/>
      <c r="T742" s="110"/>
      <c r="V742" s="232"/>
      <c r="W742" s="269"/>
      <c r="X742" s="201"/>
      <c r="Y742" s="269"/>
      <c r="Z742" s="269"/>
      <c r="AA742" s="134"/>
      <c r="AB742" s="269"/>
      <c r="AC742" s="284"/>
      <c r="AD742" s="284"/>
      <c r="AE742" s="269"/>
    </row>
    <row r="743" spans="2:31">
      <c r="B743" s="83"/>
      <c r="C743" s="81"/>
      <c r="D743" s="83"/>
      <c r="E743" s="81"/>
      <c r="F743" s="269"/>
      <c r="G743" s="48"/>
      <c r="H743" s="269"/>
      <c r="I743" s="72"/>
      <c r="J743" s="330"/>
      <c r="K743" s="75"/>
      <c r="L743" s="157"/>
      <c r="M743" s="341"/>
      <c r="N743" s="334"/>
      <c r="T743" s="110"/>
      <c r="V743" s="232"/>
      <c r="W743" s="269"/>
      <c r="X743" s="201"/>
      <c r="Y743" s="269"/>
      <c r="Z743" s="269"/>
      <c r="AA743" s="134"/>
      <c r="AB743" s="269"/>
      <c r="AC743" s="284"/>
      <c r="AD743" s="284"/>
      <c r="AE743" s="269"/>
    </row>
    <row r="744" spans="2:31">
      <c r="B744" s="83"/>
      <c r="C744" s="81"/>
      <c r="D744" s="83"/>
      <c r="E744" s="81"/>
      <c r="F744" s="269"/>
      <c r="G744" s="48"/>
      <c r="H744" s="269"/>
      <c r="I744" s="72"/>
      <c r="J744" s="330"/>
      <c r="K744" s="75"/>
      <c r="L744" s="157"/>
      <c r="M744" s="341"/>
      <c r="N744" s="334"/>
      <c r="T744" s="110"/>
      <c r="V744" s="232"/>
      <c r="W744" s="269"/>
      <c r="X744" s="201"/>
      <c r="Y744" s="269"/>
      <c r="Z744" s="269"/>
      <c r="AA744" s="134"/>
      <c r="AB744" s="269"/>
      <c r="AC744" s="284"/>
      <c r="AD744" s="284"/>
      <c r="AE744" s="269"/>
    </row>
    <row r="745" spans="2:31">
      <c r="B745" s="83"/>
      <c r="C745" s="81"/>
      <c r="D745" s="83"/>
      <c r="E745" s="81"/>
      <c r="F745" s="269"/>
      <c r="G745" s="48"/>
      <c r="H745" s="269"/>
      <c r="I745" s="72"/>
      <c r="J745" s="330"/>
      <c r="K745" s="75"/>
      <c r="L745" s="157"/>
      <c r="M745" s="341"/>
      <c r="N745" s="334"/>
      <c r="T745" s="110"/>
      <c r="V745" s="232"/>
      <c r="W745" s="269"/>
      <c r="X745" s="201"/>
      <c r="Y745" s="269"/>
      <c r="Z745" s="269"/>
      <c r="AA745" s="134"/>
      <c r="AB745" s="269"/>
      <c r="AC745" s="284"/>
      <c r="AD745" s="284"/>
      <c r="AE745" s="269"/>
    </row>
    <row r="746" spans="2:31">
      <c r="B746" s="83"/>
      <c r="C746" s="81"/>
      <c r="D746" s="83"/>
      <c r="E746" s="81"/>
      <c r="F746" s="269"/>
      <c r="G746" s="48"/>
      <c r="H746" s="269"/>
      <c r="I746" s="72"/>
      <c r="J746" s="330"/>
      <c r="K746" s="75"/>
      <c r="L746" s="157"/>
      <c r="M746" s="341"/>
      <c r="N746" s="334"/>
      <c r="T746" s="110"/>
      <c r="V746" s="232"/>
      <c r="W746" s="269"/>
      <c r="X746" s="201"/>
      <c r="Y746" s="269"/>
      <c r="Z746" s="269"/>
      <c r="AA746" s="134"/>
      <c r="AB746" s="269"/>
      <c r="AC746" s="284"/>
      <c r="AD746" s="284"/>
      <c r="AE746" s="269"/>
    </row>
    <row r="747" spans="2:31">
      <c r="B747" s="83"/>
      <c r="C747" s="81"/>
      <c r="D747" s="83"/>
      <c r="E747" s="81"/>
      <c r="F747" s="269"/>
      <c r="G747" s="48"/>
      <c r="H747" s="269"/>
      <c r="I747" s="72"/>
      <c r="J747" s="330"/>
      <c r="K747" s="75"/>
      <c r="L747" s="157"/>
      <c r="M747" s="341"/>
      <c r="N747" s="334"/>
      <c r="T747" s="110"/>
      <c r="V747" s="232"/>
      <c r="W747" s="269"/>
      <c r="X747" s="201"/>
      <c r="Y747" s="269"/>
      <c r="Z747" s="269"/>
      <c r="AA747" s="134"/>
      <c r="AB747" s="269"/>
      <c r="AC747" s="284"/>
      <c r="AD747" s="284"/>
      <c r="AE747" s="269"/>
    </row>
    <row r="748" spans="2:31">
      <c r="B748" s="83"/>
      <c r="C748" s="81"/>
      <c r="D748" s="83"/>
      <c r="E748" s="81"/>
      <c r="F748" s="269"/>
      <c r="G748" s="48"/>
      <c r="H748" s="269"/>
      <c r="I748" s="72"/>
      <c r="J748" s="330"/>
      <c r="K748" s="75"/>
      <c r="L748" s="157"/>
      <c r="M748" s="341"/>
      <c r="N748" s="334"/>
      <c r="T748" s="110"/>
      <c r="V748" s="232"/>
      <c r="W748" s="269"/>
      <c r="X748" s="201"/>
      <c r="Y748" s="269"/>
      <c r="Z748" s="269"/>
      <c r="AA748" s="134"/>
      <c r="AB748" s="269"/>
      <c r="AC748" s="284"/>
      <c r="AD748" s="284"/>
      <c r="AE748" s="269"/>
    </row>
    <row r="749" spans="2:31">
      <c r="B749" s="83"/>
      <c r="C749" s="81"/>
      <c r="D749" s="83"/>
      <c r="E749" s="81"/>
      <c r="F749" s="269"/>
      <c r="G749" s="48"/>
      <c r="H749" s="269"/>
      <c r="I749" s="72"/>
      <c r="J749" s="330"/>
      <c r="K749" s="75"/>
      <c r="L749" s="157"/>
      <c r="M749" s="341"/>
      <c r="N749" s="334"/>
      <c r="T749" s="110"/>
      <c r="V749" s="232"/>
      <c r="W749" s="269"/>
      <c r="X749" s="201"/>
      <c r="Y749" s="269"/>
      <c r="Z749" s="269"/>
      <c r="AA749" s="134"/>
      <c r="AB749" s="269"/>
      <c r="AC749" s="284"/>
      <c r="AD749" s="284"/>
      <c r="AE749" s="269"/>
    </row>
    <row r="750" spans="2:31">
      <c r="B750" s="83"/>
      <c r="C750" s="81"/>
      <c r="D750" s="83"/>
      <c r="E750" s="81"/>
      <c r="F750" s="269"/>
      <c r="G750" s="48"/>
      <c r="H750" s="269"/>
      <c r="I750" s="72"/>
      <c r="J750" s="330"/>
      <c r="K750" s="75"/>
      <c r="L750" s="157"/>
      <c r="M750" s="341"/>
      <c r="N750" s="334"/>
      <c r="T750" s="110"/>
      <c r="V750" s="232"/>
      <c r="W750" s="269"/>
      <c r="X750" s="201"/>
      <c r="Y750" s="269"/>
      <c r="Z750" s="269"/>
      <c r="AA750" s="134"/>
      <c r="AB750" s="269"/>
      <c r="AC750" s="284"/>
      <c r="AD750" s="284"/>
      <c r="AE750" s="269"/>
    </row>
    <row r="751" spans="2:31">
      <c r="B751" s="83"/>
      <c r="C751" s="81"/>
      <c r="D751" s="83"/>
      <c r="E751" s="81"/>
      <c r="F751" s="269"/>
      <c r="G751" s="48"/>
      <c r="H751" s="269"/>
      <c r="I751" s="72"/>
      <c r="J751" s="330"/>
      <c r="K751" s="75"/>
      <c r="L751" s="157"/>
      <c r="M751" s="341"/>
      <c r="N751" s="334"/>
      <c r="T751" s="110"/>
      <c r="V751" s="232"/>
      <c r="W751" s="269"/>
      <c r="X751" s="201"/>
      <c r="Y751" s="269"/>
      <c r="Z751" s="269"/>
      <c r="AA751" s="134"/>
      <c r="AB751" s="269"/>
      <c r="AC751" s="284"/>
      <c r="AD751" s="284"/>
      <c r="AE751" s="269"/>
    </row>
    <row r="752" spans="2:31">
      <c r="B752" s="83"/>
      <c r="C752" s="81"/>
      <c r="D752" s="83"/>
      <c r="E752" s="81"/>
      <c r="F752" s="269"/>
      <c r="G752" s="48"/>
      <c r="H752" s="269"/>
      <c r="I752" s="72"/>
      <c r="J752" s="330"/>
      <c r="K752" s="75"/>
      <c r="L752" s="157"/>
      <c r="M752" s="341"/>
      <c r="N752" s="334"/>
      <c r="T752" s="110"/>
      <c r="V752" s="232"/>
      <c r="W752" s="269"/>
      <c r="X752" s="201"/>
      <c r="Y752" s="269"/>
      <c r="Z752" s="269"/>
      <c r="AA752" s="134"/>
      <c r="AB752" s="269"/>
      <c r="AC752" s="284"/>
      <c r="AD752" s="284"/>
      <c r="AE752" s="269"/>
    </row>
    <row r="753" spans="2:31">
      <c r="B753" s="83"/>
      <c r="C753" s="81"/>
      <c r="D753" s="83"/>
      <c r="E753" s="81"/>
      <c r="F753" s="269"/>
      <c r="G753" s="48"/>
      <c r="H753" s="269"/>
      <c r="I753" s="72"/>
      <c r="J753" s="330"/>
      <c r="K753" s="75"/>
      <c r="L753" s="157"/>
      <c r="M753" s="341"/>
      <c r="N753" s="334"/>
      <c r="T753" s="110"/>
      <c r="V753" s="232"/>
      <c r="W753" s="269"/>
      <c r="X753" s="201"/>
      <c r="Y753" s="269"/>
      <c r="Z753" s="269"/>
      <c r="AA753" s="134"/>
      <c r="AB753" s="269"/>
      <c r="AC753" s="284"/>
      <c r="AD753" s="284"/>
      <c r="AE753" s="269"/>
    </row>
    <row r="754" spans="2:31">
      <c r="B754" s="83"/>
      <c r="C754" s="81"/>
      <c r="D754" s="83"/>
      <c r="E754" s="81"/>
      <c r="F754" s="269"/>
      <c r="G754" s="48"/>
      <c r="H754" s="269"/>
      <c r="I754" s="72"/>
      <c r="J754" s="330"/>
      <c r="K754" s="75"/>
      <c r="L754" s="157"/>
      <c r="M754" s="341"/>
      <c r="N754" s="334"/>
      <c r="T754" s="110"/>
      <c r="V754" s="232"/>
      <c r="W754" s="269"/>
      <c r="X754" s="201"/>
      <c r="Y754" s="269"/>
      <c r="Z754" s="269"/>
      <c r="AA754" s="134"/>
      <c r="AB754" s="269"/>
      <c r="AC754" s="284"/>
      <c r="AD754" s="284"/>
      <c r="AE754" s="269"/>
    </row>
    <row r="755" spans="2:31">
      <c r="B755" s="83"/>
      <c r="C755" s="81"/>
      <c r="D755" s="83"/>
      <c r="E755" s="81"/>
      <c r="F755" s="269"/>
      <c r="G755" s="48"/>
      <c r="H755" s="269"/>
      <c r="I755" s="72"/>
      <c r="J755" s="330"/>
      <c r="K755" s="75"/>
      <c r="L755" s="157"/>
      <c r="M755" s="341"/>
      <c r="N755" s="334"/>
      <c r="T755" s="110"/>
      <c r="V755" s="232"/>
      <c r="W755" s="269"/>
      <c r="X755" s="201"/>
      <c r="Y755" s="269"/>
      <c r="Z755" s="269"/>
      <c r="AA755" s="134"/>
      <c r="AB755" s="269"/>
      <c r="AC755" s="284"/>
      <c r="AD755" s="284"/>
      <c r="AE755" s="269"/>
    </row>
    <row r="756" spans="2:31">
      <c r="B756" s="83"/>
      <c r="C756" s="81"/>
      <c r="D756" s="83"/>
      <c r="E756" s="81"/>
      <c r="F756" s="269"/>
      <c r="G756" s="48"/>
      <c r="H756" s="269"/>
      <c r="I756" s="72"/>
      <c r="J756" s="330"/>
      <c r="K756" s="75"/>
      <c r="L756" s="157"/>
      <c r="M756" s="341"/>
      <c r="N756" s="334"/>
      <c r="T756" s="110"/>
      <c r="V756" s="232"/>
      <c r="W756" s="269"/>
      <c r="X756" s="201"/>
      <c r="Y756" s="269"/>
      <c r="Z756" s="269"/>
      <c r="AA756" s="134"/>
      <c r="AB756" s="269"/>
      <c r="AC756" s="284"/>
      <c r="AD756" s="284"/>
      <c r="AE756" s="269"/>
    </row>
    <row r="757" spans="2:31">
      <c r="B757" s="83"/>
      <c r="C757" s="81"/>
      <c r="D757" s="83"/>
      <c r="E757" s="81"/>
      <c r="F757" s="269"/>
      <c r="G757" s="48"/>
      <c r="H757" s="269"/>
      <c r="I757" s="72"/>
      <c r="J757" s="330"/>
      <c r="K757" s="75"/>
      <c r="L757" s="157"/>
      <c r="M757" s="341"/>
      <c r="N757" s="334"/>
      <c r="T757" s="110"/>
      <c r="V757" s="232"/>
      <c r="W757" s="269"/>
      <c r="X757" s="201"/>
      <c r="Y757" s="269"/>
      <c r="Z757" s="269"/>
      <c r="AA757" s="134"/>
      <c r="AB757" s="269"/>
      <c r="AC757" s="284"/>
      <c r="AD757" s="284"/>
      <c r="AE757" s="269"/>
    </row>
    <row r="758" spans="2:31">
      <c r="B758" s="83"/>
      <c r="C758" s="81"/>
      <c r="D758" s="83"/>
      <c r="E758" s="81"/>
      <c r="F758" s="269"/>
      <c r="G758" s="48"/>
      <c r="H758" s="269"/>
      <c r="I758" s="72"/>
      <c r="J758" s="330"/>
      <c r="K758" s="75"/>
      <c r="L758" s="157"/>
      <c r="M758" s="341"/>
      <c r="N758" s="334"/>
      <c r="T758" s="110"/>
      <c r="V758" s="232"/>
      <c r="W758" s="269"/>
      <c r="X758" s="201"/>
      <c r="Y758" s="269"/>
      <c r="Z758" s="269"/>
      <c r="AA758" s="134"/>
      <c r="AB758" s="269"/>
      <c r="AC758" s="284"/>
      <c r="AD758" s="284"/>
      <c r="AE758" s="269"/>
    </row>
    <row r="759" spans="2:31">
      <c r="B759" s="83"/>
      <c r="C759" s="81"/>
      <c r="D759" s="83"/>
      <c r="E759" s="81"/>
      <c r="F759" s="269"/>
      <c r="G759" s="48"/>
      <c r="H759" s="269"/>
      <c r="I759" s="72"/>
      <c r="J759" s="330"/>
      <c r="K759" s="75"/>
      <c r="L759" s="157"/>
      <c r="M759" s="341"/>
      <c r="N759" s="334"/>
      <c r="T759" s="110"/>
      <c r="V759" s="232"/>
      <c r="W759" s="269"/>
      <c r="X759" s="201"/>
      <c r="Y759" s="269"/>
      <c r="Z759" s="269"/>
      <c r="AA759" s="134"/>
      <c r="AB759" s="269"/>
      <c r="AC759" s="284"/>
      <c r="AD759" s="284"/>
      <c r="AE759" s="269"/>
    </row>
    <row r="760" spans="2:31">
      <c r="B760" s="83"/>
      <c r="C760" s="81"/>
      <c r="D760" s="83"/>
      <c r="E760" s="81"/>
      <c r="F760" s="269"/>
      <c r="G760" s="48"/>
      <c r="H760" s="269"/>
      <c r="I760" s="72"/>
      <c r="J760" s="330"/>
      <c r="K760" s="75"/>
      <c r="L760" s="157"/>
      <c r="M760" s="341"/>
      <c r="N760" s="334"/>
      <c r="T760" s="110"/>
      <c r="V760" s="232"/>
      <c r="W760" s="269"/>
      <c r="X760" s="201"/>
      <c r="Y760" s="269"/>
      <c r="Z760" s="269"/>
      <c r="AA760" s="134"/>
      <c r="AB760" s="269"/>
      <c r="AC760" s="284"/>
      <c r="AD760" s="284"/>
      <c r="AE760" s="269"/>
    </row>
    <row r="761" spans="2:31">
      <c r="B761" s="83"/>
      <c r="C761" s="81"/>
      <c r="D761" s="83"/>
      <c r="E761" s="81"/>
      <c r="F761" s="269"/>
      <c r="G761" s="48"/>
      <c r="H761" s="269"/>
      <c r="I761" s="72"/>
      <c r="J761" s="330"/>
      <c r="K761" s="75"/>
      <c r="L761" s="157"/>
      <c r="M761" s="341"/>
      <c r="N761" s="334"/>
      <c r="T761" s="110"/>
      <c r="V761" s="232"/>
      <c r="W761" s="269"/>
      <c r="X761" s="201"/>
      <c r="Y761" s="269"/>
      <c r="Z761" s="269"/>
      <c r="AA761" s="134"/>
      <c r="AB761" s="269"/>
      <c r="AC761" s="284"/>
      <c r="AD761" s="284"/>
      <c r="AE761" s="269"/>
    </row>
    <row r="762" spans="2:31">
      <c r="B762" s="83"/>
      <c r="C762" s="81"/>
      <c r="D762" s="83"/>
      <c r="E762" s="81"/>
      <c r="F762" s="269"/>
      <c r="G762" s="48"/>
      <c r="H762" s="269"/>
      <c r="I762" s="72"/>
      <c r="J762" s="330"/>
      <c r="K762" s="75"/>
      <c r="L762" s="157"/>
      <c r="M762" s="341"/>
      <c r="N762" s="334"/>
      <c r="T762" s="110"/>
      <c r="V762" s="232"/>
      <c r="W762" s="269"/>
      <c r="X762" s="201"/>
      <c r="Y762" s="269"/>
      <c r="Z762" s="269"/>
      <c r="AA762" s="134"/>
      <c r="AB762" s="269"/>
      <c r="AC762" s="284"/>
      <c r="AD762" s="284"/>
      <c r="AE762" s="269"/>
    </row>
    <row r="763" spans="2:31">
      <c r="B763" s="83"/>
      <c r="C763" s="81"/>
      <c r="D763" s="83"/>
      <c r="E763" s="81"/>
      <c r="F763" s="269"/>
      <c r="G763" s="48"/>
      <c r="H763" s="269"/>
      <c r="I763" s="72"/>
      <c r="J763" s="330"/>
      <c r="K763" s="75"/>
      <c r="L763" s="157"/>
      <c r="M763" s="341"/>
      <c r="N763" s="334"/>
      <c r="T763" s="110"/>
      <c r="V763" s="232"/>
      <c r="W763" s="269"/>
      <c r="X763" s="201"/>
      <c r="Y763" s="269"/>
      <c r="Z763" s="269"/>
      <c r="AA763" s="134"/>
      <c r="AB763" s="269"/>
      <c r="AC763" s="284"/>
      <c r="AD763" s="284"/>
      <c r="AE763" s="269"/>
    </row>
    <row r="764" spans="2:31">
      <c r="B764" s="83"/>
      <c r="C764" s="81"/>
      <c r="D764" s="83"/>
      <c r="E764" s="81"/>
      <c r="F764" s="269"/>
      <c r="G764" s="48"/>
      <c r="H764" s="269"/>
      <c r="I764" s="72"/>
      <c r="J764" s="330"/>
      <c r="K764" s="75"/>
      <c r="L764" s="157"/>
      <c r="M764" s="341"/>
      <c r="N764" s="334"/>
      <c r="T764" s="110"/>
      <c r="V764" s="232"/>
      <c r="W764" s="269"/>
      <c r="X764" s="201"/>
      <c r="Y764" s="269"/>
      <c r="Z764" s="269"/>
      <c r="AA764" s="134"/>
      <c r="AB764" s="269"/>
      <c r="AC764" s="284"/>
      <c r="AD764" s="284"/>
      <c r="AE764" s="269"/>
    </row>
    <row r="765" spans="2:31">
      <c r="B765" s="83"/>
      <c r="C765" s="81"/>
      <c r="D765" s="83"/>
      <c r="E765" s="81"/>
      <c r="F765" s="269"/>
      <c r="G765" s="48"/>
      <c r="H765" s="269"/>
      <c r="I765" s="72"/>
      <c r="J765" s="330"/>
      <c r="K765" s="75"/>
      <c r="L765" s="157"/>
      <c r="M765" s="341"/>
      <c r="N765" s="334"/>
      <c r="T765" s="110"/>
      <c r="V765" s="232"/>
      <c r="W765" s="269"/>
      <c r="X765" s="201"/>
      <c r="Y765" s="269"/>
      <c r="Z765" s="269"/>
      <c r="AA765" s="134"/>
      <c r="AB765" s="269"/>
      <c r="AC765" s="284"/>
      <c r="AD765" s="284"/>
      <c r="AE765" s="269"/>
    </row>
    <row r="766" spans="2:31">
      <c r="B766" s="83"/>
      <c r="C766" s="81"/>
      <c r="D766" s="83"/>
      <c r="E766" s="81"/>
      <c r="F766" s="269"/>
      <c r="G766" s="48"/>
      <c r="H766" s="269"/>
      <c r="I766" s="72"/>
      <c r="J766" s="330"/>
      <c r="K766" s="75"/>
      <c r="L766" s="157"/>
      <c r="M766" s="341"/>
      <c r="N766" s="334"/>
      <c r="T766" s="110"/>
      <c r="V766" s="232"/>
      <c r="W766" s="269"/>
      <c r="X766" s="201"/>
      <c r="Y766" s="269"/>
      <c r="Z766" s="269"/>
      <c r="AA766" s="134"/>
      <c r="AB766" s="269"/>
      <c r="AC766" s="284"/>
      <c r="AD766" s="284"/>
      <c r="AE766" s="269"/>
    </row>
    <row r="767" spans="2:31">
      <c r="B767" s="83"/>
      <c r="C767" s="81"/>
      <c r="D767" s="83"/>
      <c r="E767" s="81"/>
      <c r="F767" s="269"/>
      <c r="G767" s="48"/>
      <c r="H767" s="269"/>
      <c r="I767" s="72"/>
      <c r="J767" s="330"/>
      <c r="K767" s="75"/>
      <c r="L767" s="157"/>
      <c r="M767" s="341"/>
      <c r="N767" s="334"/>
      <c r="T767" s="110"/>
      <c r="V767" s="232"/>
      <c r="W767" s="269"/>
      <c r="X767" s="201"/>
      <c r="Y767" s="269"/>
      <c r="Z767" s="269"/>
      <c r="AA767" s="134"/>
      <c r="AB767" s="269"/>
      <c r="AC767" s="284"/>
      <c r="AD767" s="284"/>
      <c r="AE767" s="269"/>
    </row>
    <row r="768" spans="2:31">
      <c r="B768" s="83"/>
      <c r="C768" s="81"/>
      <c r="D768" s="83"/>
      <c r="E768" s="81"/>
      <c r="F768" s="269"/>
      <c r="G768" s="48"/>
      <c r="H768" s="269"/>
      <c r="I768" s="72"/>
      <c r="J768" s="330"/>
      <c r="K768" s="75"/>
      <c r="L768" s="157"/>
      <c r="M768" s="341"/>
      <c r="N768" s="334"/>
      <c r="T768" s="110"/>
      <c r="V768" s="232"/>
      <c r="W768" s="269"/>
      <c r="X768" s="201"/>
      <c r="Y768" s="269"/>
      <c r="Z768" s="269"/>
      <c r="AA768" s="134"/>
      <c r="AB768" s="269"/>
      <c r="AC768" s="284"/>
      <c r="AD768" s="284"/>
      <c r="AE768" s="269"/>
    </row>
    <row r="769" spans="2:31">
      <c r="B769" s="83"/>
      <c r="C769" s="81"/>
      <c r="D769" s="83"/>
      <c r="E769" s="81"/>
      <c r="F769" s="269"/>
      <c r="G769" s="48"/>
      <c r="H769" s="269"/>
      <c r="I769" s="72"/>
      <c r="J769" s="330"/>
      <c r="K769" s="75"/>
      <c r="L769" s="157"/>
      <c r="M769" s="341"/>
      <c r="N769" s="334"/>
      <c r="T769" s="110"/>
      <c r="V769" s="232"/>
      <c r="W769" s="269"/>
      <c r="X769" s="201"/>
      <c r="Y769" s="269"/>
      <c r="Z769" s="269"/>
      <c r="AA769" s="134"/>
      <c r="AB769" s="269"/>
      <c r="AC769" s="284"/>
      <c r="AD769" s="284"/>
      <c r="AE769" s="269"/>
    </row>
    <row r="770" spans="2:31">
      <c r="B770" s="83"/>
      <c r="C770" s="81"/>
      <c r="D770" s="83"/>
      <c r="E770" s="81"/>
      <c r="F770" s="269"/>
      <c r="G770" s="48"/>
      <c r="H770" s="269"/>
      <c r="I770" s="72"/>
      <c r="J770" s="330"/>
      <c r="K770" s="75"/>
      <c r="L770" s="157"/>
      <c r="M770" s="341"/>
      <c r="N770" s="334"/>
      <c r="T770" s="110"/>
      <c r="V770" s="232"/>
      <c r="W770" s="269"/>
      <c r="X770" s="201"/>
      <c r="Y770" s="269"/>
      <c r="Z770" s="269"/>
      <c r="AA770" s="134"/>
      <c r="AB770" s="269"/>
      <c r="AC770" s="284"/>
      <c r="AD770" s="284"/>
      <c r="AE770" s="269"/>
    </row>
    <row r="771" spans="2:31">
      <c r="B771" s="83"/>
      <c r="C771" s="81"/>
      <c r="D771" s="83"/>
      <c r="E771" s="81"/>
      <c r="F771" s="269"/>
      <c r="G771" s="48"/>
      <c r="H771" s="269"/>
      <c r="I771" s="72"/>
      <c r="J771" s="330"/>
      <c r="K771" s="75"/>
      <c r="L771" s="157"/>
      <c r="M771" s="341"/>
      <c r="N771" s="334"/>
      <c r="T771" s="110"/>
      <c r="V771" s="232"/>
      <c r="W771" s="269"/>
      <c r="X771" s="201"/>
      <c r="Y771" s="269"/>
      <c r="Z771" s="269"/>
      <c r="AA771" s="134"/>
      <c r="AB771" s="269"/>
      <c r="AC771" s="284"/>
      <c r="AD771" s="284"/>
      <c r="AE771" s="269"/>
    </row>
    <row r="772" spans="2:31">
      <c r="B772" s="83"/>
      <c r="C772" s="81"/>
      <c r="D772" s="83"/>
      <c r="E772" s="81"/>
      <c r="F772" s="269"/>
      <c r="G772" s="48"/>
      <c r="H772" s="269"/>
      <c r="I772" s="72"/>
      <c r="J772" s="330"/>
      <c r="K772" s="75"/>
      <c r="L772" s="157"/>
      <c r="M772" s="341"/>
      <c r="N772" s="334"/>
      <c r="T772" s="110"/>
      <c r="V772" s="232"/>
      <c r="W772" s="269"/>
      <c r="X772" s="201"/>
      <c r="Y772" s="269"/>
      <c r="Z772" s="269"/>
      <c r="AA772" s="134"/>
      <c r="AB772" s="269"/>
      <c r="AC772" s="284"/>
      <c r="AD772" s="284"/>
      <c r="AE772" s="269"/>
    </row>
    <row r="773" spans="2:31">
      <c r="B773" s="83"/>
      <c r="C773" s="81"/>
      <c r="D773" s="83"/>
      <c r="E773" s="81"/>
      <c r="F773" s="269"/>
      <c r="G773" s="48"/>
      <c r="H773" s="269"/>
      <c r="I773" s="72"/>
      <c r="J773" s="330"/>
      <c r="K773" s="75"/>
      <c r="L773" s="157"/>
      <c r="M773" s="341"/>
      <c r="N773" s="334"/>
      <c r="T773" s="110"/>
      <c r="V773" s="232"/>
      <c r="W773" s="269"/>
      <c r="X773" s="201"/>
      <c r="Y773" s="269"/>
      <c r="Z773" s="269"/>
      <c r="AA773" s="134"/>
      <c r="AB773" s="269"/>
      <c r="AC773" s="284"/>
      <c r="AD773" s="284"/>
      <c r="AE773" s="269"/>
    </row>
    <row r="774" spans="2:31">
      <c r="B774" s="83"/>
      <c r="C774" s="81"/>
      <c r="D774" s="83"/>
      <c r="E774" s="81"/>
      <c r="F774" s="269"/>
      <c r="G774" s="48"/>
      <c r="H774" s="269"/>
      <c r="I774" s="72"/>
      <c r="J774" s="330"/>
      <c r="K774" s="75"/>
      <c r="L774" s="157"/>
      <c r="M774" s="341"/>
      <c r="N774" s="334"/>
      <c r="T774" s="110"/>
      <c r="V774" s="232"/>
      <c r="W774" s="269"/>
      <c r="X774" s="201"/>
      <c r="Y774" s="269"/>
      <c r="Z774" s="269"/>
      <c r="AA774" s="134"/>
      <c r="AB774" s="269"/>
      <c r="AC774" s="284"/>
      <c r="AD774" s="284"/>
      <c r="AE774" s="269"/>
    </row>
    <row r="775" spans="2:31">
      <c r="B775" s="83"/>
      <c r="C775" s="81"/>
      <c r="D775" s="83"/>
      <c r="E775" s="81"/>
      <c r="F775" s="269"/>
      <c r="G775" s="48"/>
      <c r="H775" s="269"/>
      <c r="I775" s="72"/>
      <c r="J775" s="330"/>
      <c r="K775" s="75"/>
      <c r="L775" s="157"/>
      <c r="M775" s="341"/>
      <c r="N775" s="334"/>
      <c r="T775" s="110"/>
      <c r="V775" s="232"/>
      <c r="W775" s="269"/>
      <c r="X775" s="201"/>
      <c r="Y775" s="269"/>
      <c r="Z775" s="269"/>
      <c r="AA775" s="134"/>
      <c r="AB775" s="269"/>
      <c r="AC775" s="284"/>
      <c r="AD775" s="284"/>
      <c r="AE775" s="269"/>
    </row>
    <row r="776" spans="2:31">
      <c r="B776" s="83"/>
      <c r="C776" s="81"/>
      <c r="D776" s="83"/>
      <c r="E776" s="81"/>
      <c r="F776" s="269"/>
      <c r="G776" s="48"/>
      <c r="H776" s="269"/>
      <c r="I776" s="72"/>
      <c r="J776" s="330"/>
      <c r="K776" s="75"/>
      <c r="L776" s="157"/>
      <c r="M776" s="341"/>
      <c r="N776" s="334"/>
      <c r="T776" s="110"/>
      <c r="V776" s="232"/>
      <c r="W776" s="269"/>
      <c r="X776" s="201"/>
      <c r="Y776" s="269"/>
      <c r="Z776" s="269"/>
      <c r="AA776" s="134"/>
      <c r="AB776" s="269"/>
      <c r="AC776" s="284"/>
      <c r="AD776" s="284"/>
      <c r="AE776" s="269"/>
    </row>
    <row r="777" spans="2:31">
      <c r="B777" s="83"/>
      <c r="C777" s="81"/>
      <c r="D777" s="83"/>
      <c r="E777" s="81"/>
      <c r="F777" s="269"/>
      <c r="G777" s="48"/>
      <c r="H777" s="269"/>
      <c r="I777" s="72"/>
      <c r="J777" s="330"/>
      <c r="K777" s="75"/>
      <c r="L777" s="157"/>
      <c r="M777" s="341"/>
      <c r="N777" s="334"/>
      <c r="T777" s="110"/>
      <c r="V777" s="232"/>
      <c r="W777" s="269"/>
      <c r="X777" s="201"/>
      <c r="Y777" s="269"/>
      <c r="Z777" s="269"/>
      <c r="AA777" s="134"/>
      <c r="AB777" s="269"/>
      <c r="AC777" s="284"/>
      <c r="AD777" s="284"/>
      <c r="AE777" s="269"/>
    </row>
    <row r="778" spans="2:31">
      <c r="B778" s="83"/>
      <c r="C778" s="81"/>
      <c r="D778" s="83"/>
      <c r="E778" s="81"/>
      <c r="F778" s="269"/>
      <c r="G778" s="48"/>
      <c r="H778" s="269"/>
      <c r="I778" s="72"/>
      <c r="J778" s="330"/>
      <c r="K778" s="75"/>
      <c r="L778" s="157"/>
      <c r="M778" s="341"/>
      <c r="N778" s="334"/>
      <c r="T778" s="110"/>
      <c r="V778" s="232"/>
      <c r="W778" s="269"/>
      <c r="X778" s="201"/>
      <c r="Y778" s="269"/>
      <c r="Z778" s="269"/>
      <c r="AA778" s="134"/>
      <c r="AB778" s="269"/>
      <c r="AC778" s="284"/>
      <c r="AD778" s="284"/>
      <c r="AE778" s="269"/>
    </row>
    <row r="779" spans="2:31">
      <c r="B779" s="83"/>
      <c r="C779" s="81"/>
      <c r="D779" s="83"/>
      <c r="E779" s="81"/>
      <c r="F779" s="269"/>
      <c r="G779" s="48"/>
      <c r="H779" s="269"/>
      <c r="I779" s="72"/>
      <c r="J779" s="330"/>
      <c r="K779" s="75"/>
      <c r="L779" s="157"/>
      <c r="M779" s="341"/>
      <c r="N779" s="334"/>
      <c r="T779" s="110"/>
      <c r="V779" s="232"/>
      <c r="W779" s="269"/>
      <c r="X779" s="201"/>
      <c r="Y779" s="269"/>
      <c r="Z779" s="269"/>
      <c r="AA779" s="134"/>
      <c r="AB779" s="269"/>
      <c r="AC779" s="284"/>
      <c r="AD779" s="284"/>
      <c r="AE779" s="269"/>
    </row>
    <row r="780" spans="2:31">
      <c r="B780" s="83"/>
      <c r="C780" s="81"/>
      <c r="D780" s="83"/>
      <c r="E780" s="81"/>
      <c r="F780" s="269"/>
      <c r="G780" s="48"/>
      <c r="H780" s="269"/>
      <c r="I780" s="72"/>
      <c r="J780" s="330"/>
      <c r="K780" s="75"/>
      <c r="L780" s="157"/>
      <c r="M780" s="341"/>
      <c r="N780" s="334"/>
      <c r="T780" s="110"/>
      <c r="V780" s="232"/>
      <c r="W780" s="269"/>
      <c r="X780" s="201"/>
      <c r="Y780" s="269"/>
      <c r="Z780" s="269"/>
      <c r="AA780" s="134"/>
      <c r="AB780" s="269"/>
      <c r="AC780" s="284"/>
      <c r="AD780" s="284"/>
      <c r="AE780" s="269"/>
    </row>
    <row r="781" spans="2:31">
      <c r="B781" s="83"/>
      <c r="C781" s="81"/>
      <c r="D781" s="83"/>
      <c r="E781" s="81"/>
      <c r="F781" s="269"/>
      <c r="G781" s="48"/>
      <c r="H781" s="269"/>
      <c r="I781" s="72"/>
      <c r="J781" s="330"/>
      <c r="K781" s="75"/>
      <c r="L781" s="157"/>
      <c r="M781" s="341"/>
      <c r="N781" s="334"/>
      <c r="T781" s="110"/>
      <c r="V781" s="232"/>
      <c r="W781" s="269"/>
      <c r="X781" s="201"/>
      <c r="Y781" s="269"/>
      <c r="Z781" s="269"/>
      <c r="AA781" s="134"/>
      <c r="AB781" s="269"/>
      <c r="AC781" s="284"/>
      <c r="AD781" s="284"/>
      <c r="AE781" s="269"/>
    </row>
    <row r="782" spans="2:31">
      <c r="B782" s="83"/>
      <c r="C782" s="81"/>
      <c r="D782" s="83"/>
      <c r="E782" s="81"/>
      <c r="F782" s="269"/>
      <c r="G782" s="48"/>
      <c r="H782" s="269"/>
      <c r="I782" s="72"/>
      <c r="J782" s="330"/>
      <c r="K782" s="75"/>
      <c r="L782" s="157"/>
      <c r="M782" s="341"/>
      <c r="N782" s="334"/>
      <c r="T782" s="110"/>
      <c r="V782" s="232"/>
      <c r="W782" s="269"/>
      <c r="X782" s="201"/>
      <c r="Y782" s="269"/>
      <c r="Z782" s="269"/>
      <c r="AA782" s="134"/>
      <c r="AB782" s="269"/>
      <c r="AC782" s="284"/>
      <c r="AD782" s="284"/>
      <c r="AE782" s="269"/>
    </row>
    <row r="783" spans="2:31">
      <c r="B783" s="83"/>
      <c r="C783" s="81"/>
      <c r="D783" s="83"/>
      <c r="E783" s="81"/>
      <c r="F783" s="269"/>
      <c r="G783" s="48"/>
      <c r="H783" s="269"/>
      <c r="I783" s="72"/>
      <c r="J783" s="330"/>
      <c r="K783" s="75"/>
      <c r="L783" s="157"/>
      <c r="M783" s="341"/>
      <c r="N783" s="334"/>
      <c r="T783" s="110"/>
      <c r="V783" s="232"/>
      <c r="W783" s="269"/>
      <c r="X783" s="201"/>
      <c r="Y783" s="269"/>
      <c r="Z783" s="269"/>
      <c r="AA783" s="134"/>
      <c r="AB783" s="269"/>
      <c r="AC783" s="284"/>
      <c r="AD783" s="284"/>
      <c r="AE783" s="269"/>
    </row>
    <row r="784" spans="2:31">
      <c r="B784" s="83"/>
      <c r="C784" s="81"/>
      <c r="D784" s="83"/>
      <c r="E784" s="81"/>
      <c r="F784" s="269"/>
      <c r="G784" s="48"/>
      <c r="H784" s="269"/>
      <c r="I784" s="72"/>
      <c r="J784" s="330"/>
      <c r="K784" s="75"/>
      <c r="L784" s="157"/>
      <c r="M784" s="341"/>
      <c r="N784" s="334"/>
      <c r="T784" s="110"/>
      <c r="V784" s="232"/>
      <c r="W784" s="269"/>
      <c r="X784" s="201"/>
      <c r="Y784" s="269"/>
      <c r="Z784" s="269"/>
      <c r="AA784" s="134"/>
      <c r="AB784" s="269"/>
      <c r="AC784" s="284"/>
      <c r="AD784" s="284"/>
      <c r="AE784" s="269"/>
    </row>
    <row r="785" spans="2:31">
      <c r="B785" s="83"/>
      <c r="C785" s="81"/>
      <c r="D785" s="83"/>
      <c r="E785" s="81"/>
      <c r="F785" s="269"/>
      <c r="G785" s="48"/>
      <c r="H785" s="269"/>
      <c r="I785" s="72"/>
      <c r="J785" s="330"/>
      <c r="K785" s="75"/>
      <c r="L785" s="157"/>
      <c r="M785" s="341"/>
      <c r="N785" s="334"/>
      <c r="T785" s="110"/>
      <c r="V785" s="232"/>
      <c r="W785" s="269"/>
      <c r="X785" s="201"/>
      <c r="Y785" s="269"/>
      <c r="Z785" s="269"/>
      <c r="AA785" s="134"/>
      <c r="AB785" s="269"/>
      <c r="AC785" s="284"/>
      <c r="AD785" s="284"/>
      <c r="AE785" s="269"/>
    </row>
    <row r="786" spans="2:31">
      <c r="B786" s="83"/>
      <c r="C786" s="81"/>
      <c r="D786" s="83"/>
      <c r="E786" s="81"/>
      <c r="F786" s="269"/>
      <c r="G786" s="48"/>
      <c r="H786" s="269"/>
      <c r="I786" s="72"/>
      <c r="J786" s="330"/>
      <c r="K786" s="75"/>
      <c r="L786" s="157"/>
      <c r="M786" s="341"/>
      <c r="N786" s="334"/>
      <c r="T786" s="110"/>
      <c r="V786" s="232"/>
      <c r="W786" s="269"/>
      <c r="X786" s="201"/>
      <c r="Y786" s="269"/>
      <c r="Z786" s="269"/>
      <c r="AA786" s="134"/>
      <c r="AB786" s="269"/>
      <c r="AC786" s="284"/>
      <c r="AD786" s="284"/>
      <c r="AE786" s="269"/>
    </row>
    <row r="787" spans="2:31">
      <c r="B787" s="83"/>
      <c r="C787" s="81"/>
      <c r="D787" s="83"/>
      <c r="E787" s="81"/>
      <c r="F787" s="269"/>
      <c r="G787" s="48"/>
      <c r="H787" s="269"/>
      <c r="I787" s="72"/>
      <c r="J787" s="330"/>
      <c r="K787" s="75"/>
      <c r="L787" s="157"/>
      <c r="M787" s="341"/>
      <c r="N787" s="334"/>
      <c r="T787" s="110"/>
      <c r="V787" s="232"/>
      <c r="W787" s="269"/>
      <c r="X787" s="201"/>
      <c r="Y787" s="269"/>
      <c r="Z787" s="269"/>
      <c r="AA787" s="134"/>
      <c r="AB787" s="269"/>
      <c r="AC787" s="284"/>
      <c r="AD787" s="284"/>
      <c r="AE787" s="269"/>
    </row>
    <row r="788" spans="2:31">
      <c r="B788" s="83"/>
      <c r="C788" s="81"/>
      <c r="D788" s="83"/>
      <c r="E788" s="81"/>
      <c r="F788" s="269"/>
      <c r="G788" s="48"/>
      <c r="H788" s="269"/>
      <c r="I788" s="72"/>
      <c r="J788" s="330"/>
      <c r="K788" s="75"/>
      <c r="L788" s="157"/>
      <c r="M788" s="341"/>
      <c r="N788" s="334"/>
      <c r="T788" s="110"/>
      <c r="V788" s="232"/>
      <c r="W788" s="269"/>
      <c r="X788" s="201"/>
      <c r="Y788" s="269"/>
      <c r="Z788" s="269"/>
      <c r="AA788" s="134"/>
      <c r="AB788" s="269"/>
      <c r="AC788" s="284"/>
      <c r="AD788" s="284"/>
      <c r="AE788" s="269"/>
    </row>
    <row r="789" spans="2:31">
      <c r="B789" s="83"/>
      <c r="C789" s="81"/>
      <c r="D789" s="83"/>
      <c r="E789" s="81"/>
      <c r="F789" s="269"/>
      <c r="G789" s="48"/>
      <c r="H789" s="269"/>
      <c r="I789" s="72"/>
      <c r="J789" s="330"/>
      <c r="K789" s="75"/>
      <c r="L789" s="157"/>
      <c r="M789" s="341"/>
      <c r="N789" s="334"/>
      <c r="T789" s="110"/>
      <c r="V789" s="232"/>
      <c r="W789" s="269"/>
      <c r="X789" s="201"/>
      <c r="Y789" s="269"/>
      <c r="Z789" s="269"/>
      <c r="AA789" s="134"/>
      <c r="AB789" s="269"/>
      <c r="AC789" s="284"/>
      <c r="AD789" s="284"/>
      <c r="AE789" s="269"/>
    </row>
    <row r="790" spans="2:31">
      <c r="B790" s="83"/>
      <c r="C790" s="81"/>
      <c r="D790" s="83"/>
      <c r="E790" s="81"/>
      <c r="F790" s="269"/>
      <c r="G790" s="48"/>
      <c r="H790" s="269"/>
      <c r="I790" s="72"/>
      <c r="J790" s="330"/>
      <c r="K790" s="75"/>
      <c r="L790" s="157"/>
      <c r="M790" s="341"/>
      <c r="N790" s="334"/>
      <c r="T790" s="110"/>
      <c r="V790" s="232"/>
      <c r="W790" s="269"/>
      <c r="X790" s="201"/>
      <c r="Y790" s="269"/>
      <c r="Z790" s="269"/>
      <c r="AA790" s="134"/>
      <c r="AB790" s="269"/>
      <c r="AC790" s="284"/>
      <c r="AD790" s="284"/>
      <c r="AE790" s="269"/>
    </row>
    <row r="791" spans="2:31">
      <c r="B791" s="83"/>
      <c r="C791" s="81"/>
      <c r="D791" s="83"/>
      <c r="E791" s="81"/>
      <c r="F791" s="269"/>
      <c r="G791" s="48"/>
      <c r="H791" s="269"/>
      <c r="I791" s="72"/>
      <c r="J791" s="330"/>
      <c r="K791" s="75"/>
      <c r="L791" s="157"/>
      <c r="M791" s="341"/>
      <c r="N791" s="334"/>
      <c r="T791" s="110"/>
      <c r="V791" s="232"/>
      <c r="W791" s="269"/>
      <c r="X791" s="201"/>
      <c r="Y791" s="269"/>
      <c r="Z791" s="269"/>
      <c r="AA791" s="134"/>
      <c r="AB791" s="269"/>
      <c r="AC791" s="284"/>
      <c r="AD791" s="284"/>
      <c r="AE791" s="269"/>
    </row>
    <row r="792" spans="2:31">
      <c r="B792" s="83"/>
      <c r="C792" s="81"/>
      <c r="D792" s="83"/>
      <c r="E792" s="81"/>
      <c r="F792" s="269"/>
      <c r="G792" s="48"/>
      <c r="H792" s="269"/>
      <c r="I792" s="72"/>
      <c r="J792" s="330"/>
      <c r="K792" s="75"/>
      <c r="L792" s="157"/>
      <c r="M792" s="341"/>
      <c r="N792" s="334"/>
      <c r="T792" s="110"/>
      <c r="V792" s="232"/>
      <c r="W792" s="269"/>
      <c r="X792" s="201"/>
      <c r="Y792" s="269"/>
      <c r="Z792" s="269"/>
      <c r="AA792" s="134"/>
      <c r="AB792" s="269"/>
      <c r="AC792" s="284"/>
      <c r="AD792" s="284"/>
      <c r="AE792" s="269"/>
    </row>
    <row r="793" spans="2:31">
      <c r="B793" s="83"/>
      <c r="C793" s="81"/>
      <c r="D793" s="83"/>
      <c r="E793" s="81"/>
      <c r="F793" s="269"/>
      <c r="G793" s="48"/>
      <c r="H793" s="269"/>
      <c r="I793" s="72"/>
      <c r="J793" s="330"/>
      <c r="K793" s="75"/>
      <c r="L793" s="157"/>
      <c r="M793" s="341"/>
      <c r="N793" s="334"/>
      <c r="T793" s="110"/>
      <c r="V793" s="232"/>
      <c r="W793" s="269"/>
      <c r="X793" s="201"/>
      <c r="Y793" s="269"/>
      <c r="Z793" s="269"/>
      <c r="AA793" s="134"/>
      <c r="AB793" s="269"/>
      <c r="AC793" s="284"/>
      <c r="AD793" s="284"/>
      <c r="AE793" s="269"/>
    </row>
    <row r="794" spans="2:31">
      <c r="B794" s="83"/>
      <c r="C794" s="81"/>
      <c r="D794" s="83"/>
      <c r="E794" s="81"/>
      <c r="F794" s="269"/>
      <c r="G794" s="48"/>
      <c r="H794" s="269"/>
      <c r="I794" s="72"/>
      <c r="J794" s="330"/>
      <c r="K794" s="75"/>
      <c r="L794" s="157"/>
      <c r="M794" s="341"/>
      <c r="N794" s="334"/>
      <c r="T794" s="110"/>
      <c r="V794" s="232"/>
      <c r="W794" s="269"/>
      <c r="X794" s="201"/>
      <c r="Y794" s="269"/>
      <c r="Z794" s="269"/>
      <c r="AA794" s="134"/>
      <c r="AB794" s="269"/>
      <c r="AC794" s="284"/>
      <c r="AD794" s="284"/>
      <c r="AE794" s="269"/>
    </row>
    <row r="795" spans="2:31">
      <c r="B795" s="83"/>
      <c r="C795" s="81"/>
      <c r="D795" s="83"/>
      <c r="E795" s="81"/>
      <c r="F795" s="269"/>
      <c r="G795" s="48"/>
      <c r="H795" s="269"/>
      <c r="I795" s="72"/>
      <c r="J795" s="330"/>
      <c r="K795" s="75"/>
      <c r="L795" s="157"/>
      <c r="M795" s="341"/>
      <c r="N795" s="334"/>
      <c r="T795" s="110"/>
      <c r="V795" s="232"/>
      <c r="W795" s="269"/>
      <c r="X795" s="201"/>
      <c r="Y795" s="269"/>
      <c r="Z795" s="269"/>
      <c r="AA795" s="134"/>
      <c r="AB795" s="269"/>
      <c r="AC795" s="284"/>
      <c r="AD795" s="284"/>
      <c r="AE795" s="269"/>
    </row>
    <row r="796" spans="2:31">
      <c r="B796" s="83"/>
      <c r="C796" s="81"/>
      <c r="D796" s="83"/>
      <c r="E796" s="81"/>
      <c r="F796" s="269"/>
      <c r="G796" s="48"/>
      <c r="H796" s="269"/>
      <c r="I796" s="72"/>
      <c r="J796" s="330"/>
      <c r="K796" s="75"/>
      <c r="L796" s="157"/>
      <c r="M796" s="341"/>
      <c r="N796" s="334"/>
      <c r="T796" s="110"/>
      <c r="V796" s="232"/>
      <c r="W796" s="269"/>
      <c r="X796" s="201"/>
      <c r="Y796" s="269"/>
      <c r="Z796" s="269"/>
      <c r="AA796" s="134"/>
      <c r="AB796" s="269"/>
      <c r="AC796" s="284"/>
      <c r="AD796" s="284"/>
      <c r="AE796" s="269"/>
    </row>
    <row r="797" spans="2:31">
      <c r="B797" s="83"/>
      <c r="C797" s="81"/>
      <c r="D797" s="83"/>
      <c r="E797" s="81"/>
      <c r="F797" s="269"/>
      <c r="G797" s="48"/>
      <c r="H797" s="269"/>
      <c r="I797" s="72"/>
      <c r="J797" s="330"/>
      <c r="K797" s="75"/>
      <c r="L797" s="157"/>
      <c r="M797" s="341"/>
      <c r="N797" s="334"/>
      <c r="T797" s="110"/>
      <c r="V797" s="232"/>
      <c r="W797" s="269"/>
      <c r="X797" s="201"/>
      <c r="Y797" s="269"/>
      <c r="Z797" s="269"/>
      <c r="AA797" s="134"/>
      <c r="AB797" s="269"/>
      <c r="AC797" s="284"/>
      <c r="AD797" s="284"/>
      <c r="AE797" s="269"/>
    </row>
    <row r="798" spans="2:31">
      <c r="B798" s="83"/>
      <c r="C798" s="81"/>
      <c r="D798" s="83"/>
      <c r="E798" s="81"/>
      <c r="F798" s="269"/>
      <c r="G798" s="48"/>
      <c r="H798" s="269"/>
      <c r="I798" s="72"/>
      <c r="J798" s="330"/>
      <c r="K798" s="75"/>
      <c r="L798" s="157"/>
      <c r="M798" s="341"/>
      <c r="N798" s="334"/>
      <c r="T798" s="110"/>
      <c r="V798" s="232"/>
      <c r="W798" s="269"/>
      <c r="X798" s="201"/>
      <c r="Y798" s="269"/>
      <c r="Z798" s="269"/>
      <c r="AA798" s="134"/>
      <c r="AB798" s="269"/>
      <c r="AC798" s="284"/>
      <c r="AD798" s="284"/>
      <c r="AE798" s="269"/>
    </row>
    <row r="799" spans="2:31">
      <c r="B799" s="83"/>
      <c r="C799" s="81"/>
      <c r="D799" s="83"/>
      <c r="E799" s="81"/>
      <c r="F799" s="269"/>
      <c r="G799" s="48"/>
      <c r="H799" s="269"/>
      <c r="I799" s="72"/>
      <c r="J799" s="330"/>
      <c r="K799" s="75"/>
      <c r="L799" s="157"/>
      <c r="M799" s="341"/>
      <c r="N799" s="334"/>
      <c r="T799" s="110"/>
      <c r="V799" s="232"/>
      <c r="W799" s="269"/>
      <c r="X799" s="201"/>
      <c r="Y799" s="269"/>
      <c r="Z799" s="269"/>
      <c r="AA799" s="134"/>
      <c r="AB799" s="269"/>
      <c r="AC799" s="284"/>
      <c r="AD799" s="284"/>
      <c r="AE799" s="269"/>
    </row>
    <row r="800" spans="2:31">
      <c r="B800" s="83"/>
      <c r="C800" s="81"/>
      <c r="D800" s="83"/>
      <c r="E800" s="81"/>
      <c r="F800" s="269"/>
      <c r="G800" s="48"/>
      <c r="H800" s="269"/>
      <c r="I800" s="72"/>
      <c r="J800" s="330"/>
      <c r="K800" s="75"/>
      <c r="L800" s="157"/>
      <c r="M800" s="341"/>
      <c r="N800" s="334"/>
      <c r="T800" s="110"/>
      <c r="V800" s="232"/>
      <c r="W800" s="269"/>
      <c r="X800" s="201"/>
      <c r="Y800" s="269"/>
      <c r="Z800" s="269"/>
      <c r="AA800" s="134"/>
      <c r="AB800" s="269"/>
      <c r="AC800" s="284"/>
      <c r="AD800" s="284"/>
      <c r="AE800" s="269"/>
    </row>
    <row r="801" spans="2:31">
      <c r="B801" s="83"/>
      <c r="C801" s="81"/>
      <c r="D801" s="83"/>
      <c r="E801" s="81"/>
      <c r="F801" s="269"/>
      <c r="G801" s="48"/>
      <c r="H801" s="269"/>
      <c r="I801" s="72"/>
      <c r="J801" s="330"/>
      <c r="K801" s="75"/>
      <c r="L801" s="157"/>
      <c r="M801" s="341"/>
      <c r="N801" s="334"/>
      <c r="T801" s="110"/>
      <c r="V801" s="232"/>
      <c r="W801" s="269"/>
      <c r="X801" s="201"/>
      <c r="Y801" s="269"/>
      <c r="Z801" s="269"/>
      <c r="AA801" s="134"/>
      <c r="AB801" s="269"/>
      <c r="AC801" s="284"/>
      <c r="AD801" s="284"/>
      <c r="AE801" s="269"/>
    </row>
    <row r="802" spans="2:31">
      <c r="B802" s="83"/>
      <c r="C802" s="81"/>
      <c r="D802" s="83"/>
      <c r="E802" s="81"/>
      <c r="F802" s="269"/>
      <c r="G802" s="48"/>
      <c r="H802" s="269"/>
      <c r="I802" s="72"/>
      <c r="J802" s="330"/>
      <c r="K802" s="75"/>
      <c r="L802" s="157"/>
      <c r="M802" s="341"/>
      <c r="N802" s="334"/>
      <c r="T802" s="110"/>
      <c r="V802" s="232"/>
      <c r="W802" s="269"/>
      <c r="X802" s="201"/>
      <c r="Y802" s="269"/>
      <c r="Z802" s="269"/>
      <c r="AA802" s="134"/>
      <c r="AB802" s="269"/>
      <c r="AC802" s="284"/>
      <c r="AD802" s="284"/>
      <c r="AE802" s="269"/>
    </row>
    <row r="803" spans="2:31">
      <c r="B803" s="83"/>
      <c r="C803" s="81"/>
      <c r="D803" s="83"/>
      <c r="E803" s="81"/>
      <c r="F803" s="269"/>
      <c r="G803" s="48"/>
      <c r="H803" s="269"/>
      <c r="I803" s="72"/>
      <c r="J803" s="330"/>
      <c r="K803" s="75"/>
      <c r="L803" s="157"/>
      <c r="M803" s="341"/>
      <c r="N803" s="334"/>
      <c r="T803" s="110"/>
      <c r="V803" s="232"/>
      <c r="W803" s="269"/>
      <c r="X803" s="201"/>
      <c r="Y803" s="269"/>
      <c r="Z803" s="269"/>
      <c r="AA803" s="134"/>
      <c r="AB803" s="269"/>
      <c r="AC803" s="284"/>
      <c r="AD803" s="284"/>
      <c r="AE803" s="269"/>
    </row>
    <row r="804" spans="2:31">
      <c r="B804" s="83"/>
      <c r="C804" s="81"/>
      <c r="D804" s="83"/>
      <c r="E804" s="81"/>
      <c r="F804" s="269"/>
      <c r="G804" s="48"/>
      <c r="H804" s="269"/>
      <c r="I804" s="72"/>
      <c r="J804" s="330"/>
      <c r="K804" s="75"/>
      <c r="L804" s="157"/>
      <c r="M804" s="341"/>
      <c r="N804" s="334"/>
      <c r="T804" s="110"/>
      <c r="V804" s="232"/>
      <c r="W804" s="269"/>
      <c r="X804" s="201"/>
      <c r="Y804" s="269"/>
      <c r="Z804" s="269"/>
      <c r="AA804" s="134"/>
      <c r="AB804" s="269"/>
      <c r="AC804" s="284"/>
      <c r="AD804" s="284"/>
      <c r="AE804" s="269"/>
    </row>
    <row r="805" spans="2:31">
      <c r="B805" s="83"/>
      <c r="C805" s="81"/>
      <c r="D805" s="83"/>
      <c r="E805" s="81"/>
      <c r="F805" s="269"/>
      <c r="G805" s="48"/>
      <c r="H805" s="269"/>
      <c r="I805" s="72"/>
      <c r="J805" s="330"/>
      <c r="K805" s="75"/>
      <c r="L805" s="157"/>
      <c r="M805" s="341"/>
      <c r="N805" s="334"/>
      <c r="T805" s="110"/>
      <c r="V805" s="232"/>
      <c r="W805" s="269"/>
      <c r="X805" s="201"/>
      <c r="Y805" s="269"/>
      <c r="Z805" s="269"/>
      <c r="AA805" s="134"/>
      <c r="AB805" s="269"/>
      <c r="AC805" s="284"/>
      <c r="AD805" s="284"/>
      <c r="AE805" s="269"/>
    </row>
    <row r="806" spans="2:31">
      <c r="B806" s="83"/>
      <c r="C806" s="81"/>
      <c r="D806" s="83"/>
      <c r="E806" s="81"/>
      <c r="F806" s="269"/>
      <c r="G806" s="48"/>
      <c r="H806" s="269"/>
      <c r="I806" s="72"/>
      <c r="J806" s="330"/>
      <c r="K806" s="75"/>
      <c r="L806" s="157"/>
      <c r="M806" s="341"/>
      <c r="N806" s="334"/>
      <c r="T806" s="110"/>
      <c r="V806" s="232"/>
      <c r="W806" s="269"/>
      <c r="X806" s="201"/>
      <c r="Y806" s="269"/>
      <c r="Z806" s="269"/>
      <c r="AA806" s="134"/>
      <c r="AB806" s="269"/>
      <c r="AC806" s="284"/>
      <c r="AD806" s="284"/>
      <c r="AE806" s="269"/>
    </row>
    <row r="807" spans="2:31">
      <c r="B807" s="83"/>
      <c r="C807" s="81"/>
      <c r="D807" s="83"/>
      <c r="E807" s="81"/>
      <c r="F807" s="269"/>
      <c r="G807" s="48"/>
      <c r="H807" s="269"/>
      <c r="I807" s="72"/>
      <c r="J807" s="330"/>
      <c r="K807" s="75"/>
      <c r="L807" s="157"/>
      <c r="M807" s="341"/>
      <c r="N807" s="334"/>
      <c r="T807" s="110"/>
      <c r="V807" s="232"/>
      <c r="W807" s="269"/>
      <c r="X807" s="201"/>
      <c r="Y807" s="269"/>
      <c r="Z807" s="269"/>
      <c r="AA807" s="134"/>
      <c r="AB807" s="269"/>
      <c r="AC807" s="284"/>
      <c r="AD807" s="284"/>
      <c r="AE807" s="269"/>
    </row>
    <row r="808" spans="2:31">
      <c r="B808" s="83"/>
      <c r="C808" s="81"/>
      <c r="D808" s="83"/>
      <c r="E808" s="81"/>
      <c r="F808" s="269"/>
      <c r="G808" s="48"/>
      <c r="H808" s="269"/>
      <c r="I808" s="72"/>
      <c r="J808" s="330"/>
      <c r="K808" s="75"/>
      <c r="L808" s="157"/>
      <c r="M808" s="341"/>
      <c r="N808" s="334"/>
      <c r="T808" s="110"/>
      <c r="V808" s="232"/>
      <c r="W808" s="269"/>
      <c r="X808" s="201"/>
      <c r="Y808" s="269"/>
      <c r="Z808" s="269"/>
      <c r="AA808" s="134"/>
      <c r="AB808" s="269"/>
      <c r="AC808" s="284"/>
      <c r="AD808" s="284"/>
      <c r="AE808" s="269"/>
    </row>
    <row r="809" spans="2:31">
      <c r="B809" s="83"/>
      <c r="C809" s="81"/>
      <c r="D809" s="83"/>
      <c r="E809" s="81"/>
      <c r="F809" s="269"/>
      <c r="G809" s="48"/>
      <c r="H809" s="269"/>
      <c r="I809" s="72"/>
      <c r="J809" s="330"/>
      <c r="K809" s="75"/>
      <c r="L809" s="157"/>
      <c r="M809" s="341"/>
      <c r="N809" s="334"/>
      <c r="T809" s="110"/>
      <c r="V809" s="232"/>
      <c r="W809" s="269"/>
      <c r="X809" s="201"/>
      <c r="Y809" s="269"/>
      <c r="Z809" s="269"/>
      <c r="AA809" s="134"/>
      <c r="AB809" s="269"/>
      <c r="AC809" s="284"/>
      <c r="AD809" s="284"/>
      <c r="AE809" s="269"/>
    </row>
    <row r="810" spans="2:31">
      <c r="B810" s="83"/>
      <c r="C810" s="81"/>
      <c r="D810" s="83"/>
      <c r="E810" s="81"/>
      <c r="F810" s="269"/>
      <c r="G810" s="48"/>
      <c r="H810" s="269"/>
      <c r="I810" s="72"/>
      <c r="J810" s="330"/>
      <c r="K810" s="75"/>
      <c r="L810" s="157"/>
      <c r="M810" s="341"/>
      <c r="N810" s="334"/>
      <c r="T810" s="110"/>
      <c r="V810" s="232"/>
      <c r="W810" s="269"/>
      <c r="X810" s="201"/>
      <c r="Y810" s="269"/>
      <c r="Z810" s="269"/>
      <c r="AA810" s="134"/>
      <c r="AB810" s="269"/>
      <c r="AC810" s="284"/>
      <c r="AD810" s="284"/>
      <c r="AE810" s="269"/>
    </row>
    <row r="811" spans="2:31">
      <c r="B811" s="83"/>
      <c r="C811" s="81"/>
      <c r="D811" s="83"/>
      <c r="E811" s="81"/>
      <c r="F811" s="269"/>
      <c r="G811" s="48"/>
      <c r="H811" s="269"/>
      <c r="I811" s="72"/>
      <c r="J811" s="330"/>
      <c r="K811" s="75"/>
      <c r="L811" s="157"/>
      <c r="M811" s="341"/>
      <c r="N811" s="334"/>
      <c r="T811" s="110"/>
      <c r="V811" s="232"/>
      <c r="W811" s="269"/>
      <c r="X811" s="201"/>
      <c r="Y811" s="269"/>
      <c r="Z811" s="269"/>
      <c r="AA811" s="134"/>
      <c r="AB811" s="269"/>
      <c r="AC811" s="284"/>
      <c r="AD811" s="284"/>
      <c r="AE811" s="269"/>
    </row>
    <row r="812" spans="2:31">
      <c r="B812" s="83"/>
      <c r="C812" s="81"/>
      <c r="D812" s="83"/>
      <c r="E812" s="81"/>
      <c r="F812" s="269"/>
      <c r="G812" s="48"/>
      <c r="H812" s="269"/>
      <c r="I812" s="72"/>
      <c r="J812" s="330"/>
      <c r="K812" s="75"/>
      <c r="L812" s="157"/>
      <c r="M812" s="341"/>
      <c r="N812" s="334"/>
      <c r="T812" s="110"/>
      <c r="V812" s="232"/>
      <c r="W812" s="269"/>
      <c r="X812" s="201"/>
      <c r="Y812" s="269"/>
      <c r="Z812" s="269"/>
      <c r="AA812" s="134"/>
      <c r="AB812" s="269"/>
      <c r="AC812" s="284"/>
      <c r="AD812" s="284"/>
      <c r="AE812" s="269"/>
    </row>
    <row r="813" spans="2:31">
      <c r="B813" s="83"/>
      <c r="C813" s="81"/>
      <c r="D813" s="83"/>
      <c r="E813" s="81"/>
      <c r="F813" s="269"/>
      <c r="G813" s="48"/>
      <c r="H813" s="269"/>
      <c r="I813" s="72"/>
      <c r="J813" s="330"/>
      <c r="K813" s="75"/>
      <c r="L813" s="157"/>
      <c r="M813" s="341"/>
      <c r="N813" s="334"/>
      <c r="T813" s="110"/>
      <c r="V813" s="232"/>
      <c r="W813" s="269"/>
      <c r="X813" s="201"/>
      <c r="Y813" s="269"/>
      <c r="Z813" s="269"/>
      <c r="AA813" s="134"/>
      <c r="AB813" s="269"/>
      <c r="AC813" s="284"/>
      <c r="AD813" s="284"/>
      <c r="AE813" s="269"/>
    </row>
    <row r="814" spans="2:31">
      <c r="B814" s="83"/>
      <c r="C814" s="81"/>
      <c r="D814" s="83"/>
      <c r="E814" s="81"/>
      <c r="F814" s="269"/>
      <c r="G814" s="48"/>
      <c r="H814" s="269"/>
      <c r="I814" s="72"/>
      <c r="J814" s="330"/>
      <c r="K814" s="75"/>
      <c r="L814" s="157"/>
      <c r="M814" s="341"/>
      <c r="N814" s="334"/>
      <c r="T814" s="110"/>
      <c r="V814" s="232"/>
      <c r="W814" s="269"/>
      <c r="X814" s="201"/>
      <c r="Y814" s="269"/>
      <c r="Z814" s="269"/>
      <c r="AA814" s="134"/>
      <c r="AB814" s="269"/>
      <c r="AC814" s="284"/>
      <c r="AD814" s="284"/>
      <c r="AE814" s="269"/>
    </row>
    <row r="815" spans="2:31">
      <c r="B815" s="83"/>
      <c r="C815" s="81"/>
      <c r="D815" s="83"/>
      <c r="E815" s="81"/>
      <c r="F815" s="269"/>
      <c r="G815" s="48"/>
      <c r="H815" s="269"/>
      <c r="I815" s="72"/>
      <c r="J815" s="330"/>
      <c r="K815" s="75"/>
      <c r="L815" s="157"/>
      <c r="M815" s="341"/>
      <c r="N815" s="334"/>
      <c r="T815" s="110"/>
      <c r="V815" s="232"/>
      <c r="W815" s="269"/>
      <c r="X815" s="201"/>
      <c r="Y815" s="269"/>
      <c r="Z815" s="269"/>
      <c r="AA815" s="134"/>
      <c r="AB815" s="269"/>
      <c r="AC815" s="284"/>
      <c r="AD815" s="284"/>
      <c r="AE815" s="269"/>
    </row>
    <row r="816" spans="2:31">
      <c r="B816" s="83"/>
      <c r="C816" s="81"/>
      <c r="D816" s="83"/>
      <c r="E816" s="81"/>
      <c r="F816" s="269"/>
      <c r="G816" s="48"/>
      <c r="H816" s="269"/>
      <c r="I816" s="72"/>
      <c r="J816" s="330"/>
      <c r="K816" s="75"/>
      <c r="L816" s="157"/>
      <c r="M816" s="341"/>
      <c r="N816" s="334"/>
      <c r="T816" s="110"/>
      <c r="V816" s="232"/>
      <c r="W816" s="269"/>
      <c r="X816" s="201"/>
      <c r="Y816" s="269"/>
      <c r="Z816" s="269"/>
      <c r="AA816" s="134"/>
      <c r="AB816" s="269"/>
      <c r="AC816" s="284"/>
      <c r="AD816" s="284"/>
      <c r="AE816" s="269"/>
    </row>
    <row r="817" spans="2:31">
      <c r="B817" s="83"/>
      <c r="C817" s="81"/>
      <c r="D817" s="83"/>
      <c r="E817" s="81"/>
      <c r="F817" s="269"/>
      <c r="G817" s="48"/>
      <c r="H817" s="269"/>
      <c r="I817" s="72"/>
      <c r="J817" s="330"/>
      <c r="K817" s="75"/>
      <c r="L817" s="157"/>
      <c r="M817" s="341"/>
      <c r="N817" s="334"/>
      <c r="T817" s="110"/>
      <c r="V817" s="232"/>
      <c r="W817" s="269"/>
      <c r="X817" s="201"/>
      <c r="Y817" s="269"/>
      <c r="Z817" s="269"/>
      <c r="AA817" s="134"/>
      <c r="AB817" s="269"/>
      <c r="AC817" s="284"/>
      <c r="AD817" s="284"/>
      <c r="AE817" s="269"/>
    </row>
    <row r="818" spans="2:31">
      <c r="B818" s="83"/>
      <c r="C818" s="81"/>
      <c r="D818" s="83"/>
      <c r="E818" s="81"/>
      <c r="F818" s="269"/>
      <c r="G818" s="48"/>
      <c r="H818" s="269"/>
      <c r="I818" s="72"/>
      <c r="J818" s="330"/>
      <c r="K818" s="75"/>
      <c r="L818" s="157"/>
      <c r="M818" s="341"/>
      <c r="N818" s="334"/>
      <c r="T818" s="110"/>
      <c r="V818" s="232"/>
      <c r="W818" s="269"/>
      <c r="X818" s="201"/>
      <c r="Y818" s="269"/>
      <c r="Z818" s="269"/>
      <c r="AA818" s="134"/>
      <c r="AB818" s="269"/>
      <c r="AC818" s="284"/>
      <c r="AD818" s="284"/>
      <c r="AE818" s="269"/>
    </row>
    <row r="819" spans="2:31">
      <c r="B819" s="83"/>
      <c r="C819" s="81"/>
      <c r="D819" s="83"/>
      <c r="E819" s="81"/>
      <c r="F819" s="269"/>
      <c r="G819" s="48"/>
      <c r="H819" s="269"/>
      <c r="I819" s="72"/>
      <c r="J819" s="330"/>
      <c r="K819" s="75"/>
      <c r="L819" s="157"/>
      <c r="M819" s="341"/>
      <c r="N819" s="334"/>
      <c r="T819" s="110"/>
      <c r="V819" s="232"/>
      <c r="W819" s="269"/>
      <c r="X819" s="201"/>
      <c r="Y819" s="269"/>
      <c r="Z819" s="269"/>
      <c r="AA819" s="134"/>
      <c r="AB819" s="269"/>
      <c r="AC819" s="284"/>
      <c r="AD819" s="284"/>
      <c r="AE819" s="269"/>
    </row>
    <row r="820" spans="2:31">
      <c r="B820" s="83"/>
      <c r="C820" s="81"/>
      <c r="D820" s="83"/>
      <c r="E820" s="81"/>
      <c r="F820" s="269"/>
      <c r="G820" s="48"/>
      <c r="H820" s="269"/>
      <c r="I820" s="72"/>
      <c r="J820" s="330"/>
      <c r="K820" s="75"/>
      <c r="L820" s="157"/>
      <c r="M820" s="341"/>
      <c r="N820" s="334"/>
      <c r="T820" s="110"/>
      <c r="V820" s="232"/>
      <c r="W820" s="269"/>
      <c r="X820" s="201"/>
      <c r="Y820" s="269"/>
      <c r="Z820" s="269"/>
      <c r="AA820" s="134"/>
      <c r="AB820" s="269"/>
      <c r="AC820" s="284"/>
      <c r="AD820" s="284"/>
      <c r="AE820" s="269"/>
    </row>
    <row r="821" spans="2:31">
      <c r="B821" s="83"/>
      <c r="C821" s="81"/>
      <c r="D821" s="83"/>
      <c r="E821" s="81"/>
      <c r="F821" s="269"/>
      <c r="G821" s="48"/>
      <c r="H821" s="269"/>
      <c r="I821" s="72"/>
      <c r="J821" s="330"/>
      <c r="K821" s="75"/>
      <c r="L821" s="157"/>
      <c r="M821" s="341"/>
      <c r="N821" s="334"/>
      <c r="T821" s="110"/>
      <c r="V821" s="232"/>
      <c r="W821" s="269"/>
      <c r="X821" s="201"/>
      <c r="Y821" s="269"/>
      <c r="Z821" s="269"/>
      <c r="AA821" s="134"/>
      <c r="AB821" s="269"/>
      <c r="AC821" s="284"/>
      <c r="AD821" s="284"/>
      <c r="AE821" s="269"/>
    </row>
    <row r="822" spans="2:31">
      <c r="B822" s="83"/>
      <c r="C822" s="81"/>
      <c r="D822" s="83"/>
      <c r="E822" s="81"/>
      <c r="F822" s="269"/>
      <c r="G822" s="48"/>
      <c r="H822" s="269"/>
      <c r="I822" s="72"/>
      <c r="J822" s="330"/>
      <c r="K822" s="75"/>
      <c r="L822" s="157"/>
      <c r="M822" s="341"/>
      <c r="N822" s="334"/>
      <c r="T822" s="110"/>
      <c r="V822" s="232"/>
      <c r="W822" s="269"/>
      <c r="X822" s="201"/>
      <c r="Y822" s="269"/>
      <c r="Z822" s="269"/>
      <c r="AA822" s="134"/>
      <c r="AB822" s="269"/>
      <c r="AC822" s="284"/>
      <c r="AD822" s="284"/>
      <c r="AE822" s="269"/>
    </row>
    <row r="823" spans="2:31">
      <c r="B823" s="83"/>
      <c r="C823" s="81"/>
      <c r="D823" s="83"/>
      <c r="E823" s="81"/>
      <c r="F823" s="269"/>
      <c r="G823" s="48"/>
      <c r="H823" s="269"/>
      <c r="I823" s="72"/>
      <c r="J823" s="330"/>
      <c r="K823" s="75"/>
      <c r="L823" s="157"/>
      <c r="M823" s="341"/>
      <c r="N823" s="334"/>
      <c r="T823" s="110"/>
      <c r="V823" s="232"/>
      <c r="W823" s="269"/>
      <c r="X823" s="201"/>
      <c r="Y823" s="269"/>
      <c r="Z823" s="269"/>
      <c r="AA823" s="134"/>
      <c r="AB823" s="269"/>
      <c r="AC823" s="284"/>
      <c r="AD823" s="284"/>
      <c r="AE823" s="269"/>
    </row>
    <row r="824" spans="2:31">
      <c r="B824" s="83"/>
      <c r="C824" s="81"/>
      <c r="D824" s="83"/>
      <c r="E824" s="81"/>
      <c r="F824" s="269"/>
      <c r="G824" s="48"/>
      <c r="H824" s="269"/>
      <c r="I824" s="72"/>
      <c r="J824" s="330"/>
      <c r="K824" s="75"/>
      <c r="L824" s="157"/>
      <c r="M824" s="341"/>
      <c r="N824" s="334"/>
      <c r="T824" s="110"/>
      <c r="V824" s="232"/>
      <c r="W824" s="269"/>
      <c r="X824" s="201"/>
      <c r="Y824" s="269"/>
      <c r="Z824" s="269"/>
      <c r="AA824" s="134"/>
      <c r="AB824" s="269"/>
      <c r="AC824" s="284"/>
      <c r="AD824" s="284"/>
      <c r="AE824" s="269"/>
    </row>
    <row r="825" spans="2:31">
      <c r="B825" s="83"/>
      <c r="C825" s="81"/>
      <c r="D825" s="83"/>
      <c r="E825" s="81"/>
      <c r="F825" s="269"/>
      <c r="G825" s="48"/>
      <c r="H825" s="269"/>
      <c r="I825" s="72"/>
      <c r="J825" s="330"/>
      <c r="K825" s="75"/>
      <c r="L825" s="157"/>
      <c r="M825" s="341"/>
      <c r="N825" s="334"/>
      <c r="T825" s="110"/>
      <c r="V825" s="232"/>
      <c r="W825" s="269"/>
      <c r="X825" s="201"/>
      <c r="Y825" s="269"/>
      <c r="Z825" s="269"/>
      <c r="AA825" s="134"/>
      <c r="AB825" s="269"/>
      <c r="AC825" s="284"/>
      <c r="AD825" s="284"/>
      <c r="AE825" s="269"/>
    </row>
    <row r="826" spans="2:31">
      <c r="B826" s="83"/>
      <c r="C826" s="81"/>
      <c r="D826" s="83"/>
      <c r="E826" s="81"/>
      <c r="F826" s="269"/>
      <c r="G826" s="48"/>
      <c r="H826" s="269"/>
      <c r="I826" s="72"/>
      <c r="J826" s="330"/>
      <c r="K826" s="75"/>
      <c r="L826" s="157"/>
      <c r="M826" s="341"/>
      <c r="N826" s="334"/>
      <c r="T826" s="110"/>
      <c r="V826" s="232"/>
      <c r="W826" s="269"/>
      <c r="X826" s="201"/>
      <c r="Y826" s="269"/>
      <c r="Z826" s="269"/>
      <c r="AA826" s="134"/>
      <c r="AB826" s="269"/>
      <c r="AC826" s="284"/>
      <c r="AD826" s="284"/>
      <c r="AE826" s="269"/>
    </row>
    <row r="827" spans="2:31">
      <c r="B827" s="83"/>
      <c r="C827" s="81"/>
      <c r="D827" s="83"/>
      <c r="E827" s="81"/>
      <c r="F827" s="269"/>
      <c r="G827" s="48"/>
      <c r="H827" s="269"/>
      <c r="I827" s="72"/>
      <c r="J827" s="330"/>
      <c r="K827" s="75"/>
      <c r="L827" s="157"/>
      <c r="M827" s="341"/>
      <c r="N827" s="334"/>
      <c r="T827" s="110"/>
      <c r="V827" s="232"/>
      <c r="W827" s="269"/>
      <c r="X827" s="201"/>
      <c r="Y827" s="269"/>
      <c r="Z827" s="269"/>
      <c r="AA827" s="134"/>
      <c r="AB827" s="269"/>
      <c r="AC827" s="284"/>
      <c r="AD827" s="284"/>
      <c r="AE827" s="269"/>
    </row>
    <row r="828" spans="2:31">
      <c r="B828" s="83"/>
      <c r="C828" s="81"/>
      <c r="D828" s="83"/>
      <c r="E828" s="81"/>
      <c r="F828" s="269"/>
      <c r="G828" s="48"/>
      <c r="H828" s="269"/>
      <c r="I828" s="72"/>
      <c r="J828" s="330"/>
      <c r="K828" s="75"/>
      <c r="L828" s="157"/>
      <c r="M828" s="341"/>
      <c r="N828" s="334"/>
      <c r="T828" s="110"/>
      <c r="V828" s="232"/>
      <c r="W828" s="269"/>
      <c r="X828" s="201"/>
      <c r="Y828" s="269"/>
      <c r="Z828" s="269"/>
      <c r="AA828" s="134"/>
      <c r="AB828" s="269"/>
      <c r="AC828" s="284"/>
      <c r="AD828" s="284"/>
      <c r="AE828" s="269"/>
    </row>
    <row r="829" spans="2:31">
      <c r="B829" s="83"/>
      <c r="C829" s="81"/>
      <c r="D829" s="83"/>
      <c r="E829" s="81"/>
      <c r="F829" s="269"/>
      <c r="G829" s="48"/>
      <c r="H829" s="269"/>
      <c r="I829" s="72"/>
      <c r="J829" s="330"/>
      <c r="K829" s="75"/>
      <c r="L829" s="157"/>
      <c r="M829" s="341"/>
      <c r="N829" s="334"/>
      <c r="T829" s="110"/>
      <c r="V829" s="232"/>
      <c r="W829" s="269"/>
      <c r="X829" s="201"/>
      <c r="Y829" s="269"/>
      <c r="Z829" s="269"/>
      <c r="AA829" s="134"/>
      <c r="AB829" s="269"/>
      <c r="AC829" s="284"/>
      <c r="AD829" s="284"/>
      <c r="AE829" s="269"/>
    </row>
    <row r="830" spans="2:31">
      <c r="B830" s="83"/>
      <c r="C830" s="81"/>
      <c r="D830" s="83"/>
      <c r="E830" s="81"/>
      <c r="F830" s="269"/>
      <c r="G830" s="48"/>
      <c r="H830" s="269"/>
      <c r="I830" s="72"/>
      <c r="J830" s="330"/>
      <c r="K830" s="75"/>
      <c r="L830" s="157"/>
      <c r="M830" s="341"/>
      <c r="N830" s="334"/>
      <c r="T830" s="110"/>
      <c r="V830" s="232"/>
      <c r="W830" s="269"/>
      <c r="X830" s="201"/>
      <c r="Y830" s="269"/>
      <c r="Z830" s="269"/>
      <c r="AA830" s="134"/>
      <c r="AB830" s="269"/>
      <c r="AC830" s="284"/>
      <c r="AD830" s="284"/>
      <c r="AE830" s="269"/>
    </row>
    <row r="831" spans="2:31">
      <c r="B831" s="83"/>
      <c r="C831" s="81"/>
      <c r="D831" s="83"/>
      <c r="E831" s="81"/>
      <c r="F831" s="269"/>
      <c r="G831" s="48"/>
      <c r="H831" s="269"/>
      <c r="I831" s="72"/>
      <c r="J831" s="330"/>
      <c r="K831" s="75"/>
      <c r="L831" s="157"/>
      <c r="M831" s="341"/>
      <c r="N831" s="334"/>
      <c r="T831" s="110"/>
      <c r="V831" s="232"/>
      <c r="W831" s="269"/>
      <c r="X831" s="201"/>
      <c r="Y831" s="269"/>
      <c r="Z831" s="269"/>
      <c r="AA831" s="134"/>
      <c r="AB831" s="269"/>
      <c r="AC831" s="284"/>
      <c r="AD831" s="284"/>
      <c r="AE831" s="269"/>
    </row>
    <row r="832" spans="2:31">
      <c r="B832" s="83"/>
      <c r="C832" s="81"/>
      <c r="D832" s="83"/>
      <c r="E832" s="81"/>
      <c r="F832" s="269"/>
      <c r="G832" s="48"/>
      <c r="H832" s="269"/>
      <c r="I832" s="72"/>
      <c r="J832" s="330"/>
      <c r="K832" s="75"/>
      <c r="L832" s="157"/>
      <c r="M832" s="341"/>
      <c r="N832" s="334"/>
      <c r="T832" s="110"/>
      <c r="V832" s="232"/>
      <c r="W832" s="269"/>
      <c r="X832" s="201"/>
      <c r="Y832" s="269"/>
      <c r="Z832" s="269"/>
      <c r="AA832" s="134"/>
      <c r="AB832" s="269"/>
      <c r="AC832" s="284"/>
      <c r="AD832" s="284"/>
      <c r="AE832" s="269"/>
    </row>
    <row r="833" spans="2:31">
      <c r="B833" s="83"/>
      <c r="C833" s="81"/>
      <c r="D833" s="83"/>
      <c r="E833" s="81"/>
      <c r="F833" s="269"/>
      <c r="G833" s="48"/>
      <c r="H833" s="269"/>
      <c r="I833" s="72"/>
      <c r="J833" s="330"/>
      <c r="K833" s="75"/>
      <c r="L833" s="157"/>
      <c r="M833" s="341"/>
      <c r="N833" s="334"/>
      <c r="T833" s="110"/>
      <c r="V833" s="232"/>
      <c r="W833" s="269"/>
      <c r="X833" s="201"/>
      <c r="Y833" s="269"/>
      <c r="Z833" s="269"/>
      <c r="AA833" s="134"/>
      <c r="AB833" s="269"/>
      <c r="AC833" s="284"/>
      <c r="AD833" s="284"/>
      <c r="AE833" s="269"/>
    </row>
    <row r="834" spans="2:31">
      <c r="B834" s="83"/>
      <c r="C834" s="81"/>
      <c r="D834" s="83"/>
      <c r="E834" s="81"/>
      <c r="F834" s="269"/>
      <c r="G834" s="48"/>
      <c r="H834" s="269"/>
      <c r="I834" s="72"/>
      <c r="J834" s="330"/>
      <c r="K834" s="75"/>
      <c r="L834" s="157"/>
      <c r="M834" s="341"/>
      <c r="N834" s="334"/>
      <c r="T834" s="110"/>
      <c r="V834" s="232"/>
      <c r="W834" s="269"/>
      <c r="X834" s="201"/>
      <c r="Y834" s="269"/>
      <c r="Z834" s="269"/>
      <c r="AA834" s="134"/>
      <c r="AB834" s="269"/>
      <c r="AC834" s="284"/>
      <c r="AD834" s="284"/>
      <c r="AE834" s="269"/>
    </row>
    <row r="835" spans="2:31">
      <c r="B835" s="83"/>
      <c r="C835" s="81"/>
      <c r="D835" s="83"/>
      <c r="E835" s="81"/>
      <c r="F835" s="269"/>
      <c r="G835" s="48"/>
      <c r="H835" s="269"/>
      <c r="I835" s="72"/>
      <c r="J835" s="330"/>
      <c r="K835" s="75"/>
      <c r="L835" s="157"/>
      <c r="M835" s="341"/>
      <c r="N835" s="334"/>
      <c r="T835" s="110"/>
      <c r="V835" s="232"/>
      <c r="W835" s="269"/>
      <c r="X835" s="201"/>
      <c r="Y835" s="269"/>
      <c r="Z835" s="269"/>
      <c r="AA835" s="134"/>
      <c r="AB835" s="269"/>
      <c r="AC835" s="284"/>
      <c r="AD835" s="284"/>
      <c r="AE835" s="269"/>
    </row>
    <row r="836" spans="2:31">
      <c r="B836" s="83"/>
      <c r="C836" s="81"/>
      <c r="D836" s="83"/>
      <c r="E836" s="81"/>
      <c r="F836" s="269"/>
      <c r="G836" s="48"/>
      <c r="H836" s="269"/>
      <c r="I836" s="72"/>
      <c r="J836" s="330"/>
      <c r="K836" s="75"/>
      <c r="L836" s="157"/>
      <c r="M836" s="341"/>
      <c r="N836" s="334"/>
      <c r="T836" s="110"/>
      <c r="V836" s="232"/>
      <c r="W836" s="269"/>
      <c r="X836" s="201"/>
      <c r="Y836" s="269"/>
      <c r="Z836" s="269"/>
      <c r="AA836" s="134"/>
      <c r="AB836" s="269"/>
      <c r="AC836" s="284"/>
      <c r="AD836" s="284"/>
      <c r="AE836" s="269"/>
    </row>
    <row r="837" spans="2:31">
      <c r="B837" s="83"/>
      <c r="C837" s="81"/>
      <c r="D837" s="83"/>
      <c r="E837" s="81"/>
      <c r="F837" s="269"/>
      <c r="G837" s="48"/>
      <c r="H837" s="269"/>
      <c r="I837" s="72"/>
      <c r="J837" s="330"/>
      <c r="K837" s="75"/>
      <c r="L837" s="157"/>
      <c r="M837" s="341"/>
      <c r="N837" s="334"/>
      <c r="T837" s="110"/>
      <c r="V837" s="232"/>
      <c r="W837" s="269"/>
      <c r="X837" s="201"/>
      <c r="Y837" s="269"/>
      <c r="Z837" s="269"/>
      <c r="AA837" s="134"/>
      <c r="AB837" s="269"/>
      <c r="AC837" s="284"/>
      <c r="AD837" s="284"/>
      <c r="AE837" s="269"/>
    </row>
    <row r="838" spans="2:31">
      <c r="B838" s="83"/>
      <c r="C838" s="81"/>
      <c r="D838" s="83"/>
      <c r="E838" s="81"/>
      <c r="F838" s="269"/>
      <c r="G838" s="48"/>
      <c r="H838" s="269"/>
      <c r="I838" s="72"/>
      <c r="J838" s="330"/>
      <c r="K838" s="75"/>
      <c r="L838" s="157"/>
      <c r="M838" s="341"/>
      <c r="N838" s="334"/>
      <c r="T838" s="110"/>
      <c r="V838" s="232"/>
      <c r="W838" s="269"/>
      <c r="X838" s="201"/>
      <c r="Y838" s="269"/>
      <c r="Z838" s="269"/>
      <c r="AA838" s="134"/>
      <c r="AB838" s="269"/>
      <c r="AC838" s="284"/>
      <c r="AD838" s="284"/>
      <c r="AE838" s="269"/>
    </row>
    <row r="839" spans="2:31">
      <c r="B839" s="83"/>
      <c r="C839" s="81"/>
      <c r="D839" s="83"/>
      <c r="E839" s="81"/>
      <c r="F839" s="269"/>
      <c r="G839" s="48"/>
      <c r="H839" s="269"/>
      <c r="I839" s="72"/>
      <c r="J839" s="330"/>
      <c r="K839" s="75"/>
      <c r="L839" s="157"/>
      <c r="M839" s="341"/>
      <c r="N839" s="334"/>
      <c r="T839" s="110"/>
      <c r="V839" s="232"/>
      <c r="W839" s="269"/>
      <c r="X839" s="201"/>
      <c r="Y839" s="269"/>
      <c r="Z839" s="269"/>
      <c r="AA839" s="134"/>
      <c r="AB839" s="269"/>
      <c r="AC839" s="284"/>
      <c r="AD839" s="284"/>
      <c r="AE839" s="269"/>
    </row>
    <row r="840" spans="2:31">
      <c r="B840" s="83"/>
      <c r="C840" s="81"/>
      <c r="D840" s="83"/>
      <c r="E840" s="81"/>
      <c r="F840" s="269"/>
      <c r="G840" s="48"/>
      <c r="H840" s="269"/>
      <c r="I840" s="72"/>
      <c r="J840" s="330"/>
      <c r="K840" s="75"/>
      <c r="L840" s="157"/>
      <c r="M840" s="341"/>
      <c r="N840" s="334"/>
      <c r="T840" s="110"/>
      <c r="V840" s="232"/>
      <c r="W840" s="269"/>
      <c r="X840" s="201"/>
      <c r="Y840" s="269"/>
      <c r="Z840" s="269"/>
      <c r="AA840" s="134"/>
      <c r="AB840" s="269"/>
      <c r="AC840" s="284"/>
      <c r="AD840" s="284"/>
      <c r="AE840" s="269"/>
    </row>
    <row r="841" spans="2:31">
      <c r="B841" s="83"/>
      <c r="C841" s="81"/>
      <c r="D841" s="83"/>
      <c r="E841" s="81"/>
      <c r="F841" s="269"/>
      <c r="G841" s="48"/>
      <c r="H841" s="269"/>
      <c r="I841" s="72"/>
      <c r="J841" s="330"/>
      <c r="K841" s="75"/>
      <c r="L841" s="157"/>
      <c r="M841" s="341"/>
      <c r="N841" s="334"/>
      <c r="T841" s="110"/>
      <c r="V841" s="232"/>
      <c r="W841" s="269"/>
      <c r="X841" s="201"/>
      <c r="Y841" s="269"/>
      <c r="Z841" s="269"/>
      <c r="AA841" s="134"/>
      <c r="AB841" s="269"/>
      <c r="AC841" s="284"/>
      <c r="AD841" s="284"/>
      <c r="AE841" s="269"/>
    </row>
    <row r="842" spans="2:31">
      <c r="B842" s="83"/>
      <c r="C842" s="81"/>
      <c r="D842" s="83"/>
      <c r="E842" s="81"/>
      <c r="F842" s="269"/>
      <c r="G842" s="48"/>
      <c r="H842" s="269"/>
      <c r="I842" s="72"/>
      <c r="J842" s="330"/>
      <c r="K842" s="75"/>
      <c r="L842" s="157"/>
      <c r="M842" s="341"/>
      <c r="N842" s="334"/>
      <c r="T842" s="110"/>
      <c r="V842" s="232"/>
      <c r="W842" s="269"/>
      <c r="X842" s="201"/>
      <c r="Y842" s="269"/>
      <c r="Z842" s="269"/>
      <c r="AA842" s="134"/>
      <c r="AB842" s="269"/>
      <c r="AC842" s="284"/>
      <c r="AD842" s="284"/>
      <c r="AE842" s="269"/>
    </row>
    <row r="843" spans="2:31">
      <c r="B843" s="83"/>
      <c r="C843" s="81"/>
      <c r="D843" s="83"/>
      <c r="E843" s="81"/>
      <c r="F843" s="269"/>
      <c r="G843" s="48"/>
      <c r="H843" s="269"/>
      <c r="I843" s="72"/>
      <c r="J843" s="330"/>
      <c r="K843" s="75"/>
      <c r="L843" s="157"/>
      <c r="M843" s="341"/>
      <c r="N843" s="334"/>
      <c r="T843" s="110"/>
      <c r="V843" s="232"/>
      <c r="W843" s="269"/>
      <c r="X843" s="201"/>
      <c r="Y843" s="269"/>
      <c r="Z843" s="269"/>
      <c r="AA843" s="134"/>
      <c r="AB843" s="269"/>
      <c r="AC843" s="284"/>
      <c r="AD843" s="284"/>
      <c r="AE843" s="269"/>
    </row>
    <row r="844" spans="2:31">
      <c r="B844" s="83"/>
      <c r="C844" s="81"/>
      <c r="D844" s="83"/>
      <c r="E844" s="81"/>
      <c r="F844" s="269"/>
      <c r="G844" s="48"/>
      <c r="H844" s="269"/>
      <c r="I844" s="72"/>
      <c r="J844" s="330"/>
      <c r="K844" s="75"/>
      <c r="L844" s="157"/>
      <c r="M844" s="341"/>
      <c r="N844" s="334"/>
      <c r="T844" s="110"/>
      <c r="V844" s="232"/>
      <c r="W844" s="269"/>
      <c r="X844" s="201"/>
      <c r="Y844" s="269"/>
      <c r="Z844" s="269"/>
      <c r="AA844" s="134"/>
      <c r="AB844" s="269"/>
      <c r="AC844" s="284"/>
      <c r="AD844" s="284"/>
      <c r="AE844" s="269"/>
    </row>
    <row r="845" spans="2:31">
      <c r="B845" s="83"/>
      <c r="C845" s="81"/>
      <c r="D845" s="83"/>
      <c r="E845" s="81"/>
      <c r="F845" s="269"/>
      <c r="G845" s="48"/>
      <c r="H845" s="269"/>
      <c r="I845" s="72"/>
      <c r="J845" s="330"/>
      <c r="K845" s="75"/>
      <c r="L845" s="157"/>
      <c r="M845" s="341"/>
      <c r="N845" s="334"/>
      <c r="T845" s="110"/>
      <c r="V845" s="232"/>
      <c r="W845" s="269"/>
      <c r="X845" s="201"/>
      <c r="Y845" s="269"/>
      <c r="Z845" s="269"/>
      <c r="AA845" s="134"/>
      <c r="AB845" s="269"/>
      <c r="AC845" s="284"/>
      <c r="AD845" s="284"/>
      <c r="AE845" s="269"/>
    </row>
    <row r="846" spans="2:31">
      <c r="B846" s="83"/>
      <c r="C846" s="81"/>
      <c r="D846" s="83"/>
      <c r="E846" s="81"/>
      <c r="F846" s="269"/>
      <c r="G846" s="48"/>
      <c r="H846" s="269"/>
      <c r="I846" s="72"/>
      <c r="J846" s="330"/>
      <c r="K846" s="75"/>
      <c r="L846" s="157"/>
      <c r="M846" s="341"/>
      <c r="N846" s="334"/>
      <c r="T846" s="110"/>
      <c r="V846" s="232"/>
      <c r="W846" s="269"/>
      <c r="X846" s="201"/>
      <c r="Y846" s="269"/>
      <c r="Z846" s="269"/>
      <c r="AA846" s="134"/>
      <c r="AB846" s="269"/>
      <c r="AC846" s="284"/>
      <c r="AD846" s="284"/>
      <c r="AE846" s="269"/>
    </row>
    <row r="847" spans="2:31">
      <c r="B847" s="83"/>
      <c r="C847" s="81"/>
      <c r="D847" s="83"/>
      <c r="E847" s="81"/>
      <c r="F847" s="269"/>
      <c r="G847" s="48"/>
      <c r="H847" s="269"/>
      <c r="I847" s="72"/>
      <c r="J847" s="330"/>
      <c r="K847" s="75"/>
      <c r="L847" s="157"/>
      <c r="M847" s="341"/>
      <c r="N847" s="334"/>
      <c r="T847" s="110"/>
      <c r="V847" s="232"/>
      <c r="W847" s="269"/>
      <c r="X847" s="201"/>
      <c r="Y847" s="269"/>
      <c r="Z847" s="269"/>
      <c r="AA847" s="134"/>
      <c r="AB847" s="269"/>
      <c r="AC847" s="284"/>
      <c r="AD847" s="284"/>
      <c r="AE847" s="269"/>
    </row>
    <row r="848" spans="2:31">
      <c r="B848" s="83"/>
      <c r="C848" s="81"/>
      <c r="D848" s="83"/>
      <c r="E848" s="81"/>
      <c r="F848" s="269"/>
      <c r="G848" s="48"/>
      <c r="H848" s="269"/>
      <c r="I848" s="72"/>
      <c r="J848" s="330"/>
      <c r="K848" s="75"/>
      <c r="L848" s="157"/>
      <c r="M848" s="341"/>
      <c r="N848" s="334"/>
      <c r="T848" s="110"/>
      <c r="V848" s="232"/>
      <c r="W848" s="269"/>
      <c r="X848" s="201"/>
      <c r="Y848" s="269"/>
      <c r="Z848" s="269"/>
      <c r="AA848" s="134"/>
      <c r="AB848" s="269"/>
      <c r="AC848" s="284"/>
      <c r="AD848" s="284"/>
      <c r="AE848" s="269"/>
    </row>
    <row r="849" spans="2:31">
      <c r="B849" s="83"/>
      <c r="C849" s="81"/>
      <c r="D849" s="83"/>
      <c r="E849" s="81"/>
      <c r="F849" s="269"/>
      <c r="G849" s="48"/>
      <c r="H849" s="269"/>
      <c r="I849" s="72"/>
      <c r="J849" s="330"/>
      <c r="K849" s="75"/>
      <c r="L849" s="157"/>
      <c r="M849" s="341"/>
      <c r="N849" s="334"/>
      <c r="T849" s="110"/>
      <c r="V849" s="232"/>
      <c r="W849" s="269"/>
      <c r="X849" s="201"/>
      <c r="Y849" s="269"/>
      <c r="Z849" s="269"/>
      <c r="AA849" s="134"/>
      <c r="AB849" s="269"/>
      <c r="AC849" s="284"/>
      <c r="AD849" s="284"/>
      <c r="AE849" s="269"/>
    </row>
    <row r="850" spans="2:31">
      <c r="B850" s="83"/>
      <c r="C850" s="81"/>
      <c r="D850" s="83"/>
      <c r="E850" s="81"/>
      <c r="F850" s="269"/>
      <c r="G850" s="48"/>
      <c r="H850" s="269"/>
      <c r="I850" s="72"/>
      <c r="J850" s="330"/>
      <c r="K850" s="75"/>
      <c r="L850" s="157"/>
      <c r="M850" s="341"/>
      <c r="N850" s="334"/>
      <c r="T850" s="110"/>
      <c r="V850" s="232"/>
      <c r="W850" s="269"/>
      <c r="X850" s="201"/>
      <c r="Y850" s="269"/>
      <c r="Z850" s="269"/>
      <c r="AA850" s="134"/>
      <c r="AB850" s="269"/>
      <c r="AC850" s="284"/>
      <c r="AD850" s="284"/>
      <c r="AE850" s="269"/>
    </row>
    <row r="851" spans="2:31">
      <c r="B851" s="83"/>
      <c r="C851" s="81"/>
      <c r="D851" s="83"/>
      <c r="E851" s="81"/>
      <c r="F851" s="269"/>
      <c r="G851" s="48"/>
      <c r="H851" s="269"/>
      <c r="I851" s="72"/>
      <c r="J851" s="330"/>
      <c r="K851" s="75"/>
      <c r="L851" s="157"/>
      <c r="M851" s="341"/>
      <c r="N851" s="334"/>
      <c r="T851" s="110"/>
      <c r="V851" s="232"/>
      <c r="W851" s="269"/>
      <c r="X851" s="201"/>
      <c r="Y851" s="269"/>
      <c r="Z851" s="269"/>
      <c r="AA851" s="134"/>
      <c r="AB851" s="269"/>
      <c r="AC851" s="284"/>
      <c r="AD851" s="284"/>
      <c r="AE851" s="269"/>
    </row>
    <row r="852" spans="2:31">
      <c r="B852" s="83"/>
      <c r="C852" s="81"/>
      <c r="D852" s="83"/>
      <c r="E852" s="81"/>
      <c r="F852" s="269"/>
      <c r="G852" s="48"/>
      <c r="H852" s="269"/>
      <c r="I852" s="72"/>
      <c r="J852" s="330"/>
      <c r="K852" s="75"/>
      <c r="L852" s="157"/>
      <c r="M852" s="341"/>
      <c r="N852" s="334"/>
      <c r="T852" s="110"/>
      <c r="V852" s="232"/>
      <c r="W852" s="269"/>
      <c r="X852" s="201"/>
      <c r="Y852" s="269"/>
      <c r="Z852" s="269"/>
      <c r="AA852" s="134"/>
      <c r="AB852" s="269"/>
      <c r="AC852" s="284"/>
      <c r="AD852" s="284"/>
      <c r="AE852" s="269"/>
    </row>
    <row r="853" spans="2:31">
      <c r="B853" s="83"/>
      <c r="C853" s="81"/>
      <c r="D853" s="83"/>
      <c r="E853" s="81"/>
      <c r="F853" s="269"/>
      <c r="G853" s="48"/>
      <c r="H853" s="269"/>
      <c r="I853" s="72"/>
      <c r="J853" s="330"/>
      <c r="K853" s="75"/>
      <c r="L853" s="157"/>
      <c r="M853" s="341"/>
      <c r="N853" s="334"/>
      <c r="T853" s="110"/>
      <c r="V853" s="232"/>
      <c r="W853" s="269"/>
      <c r="X853" s="201"/>
      <c r="Y853" s="269"/>
      <c r="Z853" s="269"/>
      <c r="AA853" s="134"/>
      <c r="AB853" s="269"/>
      <c r="AC853" s="284"/>
      <c r="AD853" s="284"/>
      <c r="AE853" s="269"/>
    </row>
    <row r="854" spans="2:31">
      <c r="B854" s="83"/>
      <c r="C854" s="81"/>
      <c r="D854" s="83"/>
      <c r="E854" s="81"/>
      <c r="F854" s="269"/>
      <c r="G854" s="48"/>
      <c r="H854" s="269"/>
      <c r="I854" s="72"/>
      <c r="J854" s="330"/>
      <c r="K854" s="75"/>
      <c r="L854" s="157"/>
      <c r="M854" s="341"/>
      <c r="N854" s="334"/>
      <c r="T854" s="110"/>
      <c r="V854" s="232"/>
      <c r="W854" s="269"/>
      <c r="X854" s="201"/>
      <c r="Y854" s="269"/>
      <c r="Z854" s="269"/>
      <c r="AA854" s="134"/>
      <c r="AB854" s="269"/>
      <c r="AC854" s="284"/>
      <c r="AD854" s="284"/>
      <c r="AE854" s="269"/>
    </row>
    <row r="855" spans="2:31">
      <c r="B855" s="83"/>
      <c r="C855" s="81"/>
      <c r="D855" s="83"/>
      <c r="E855" s="81"/>
      <c r="F855" s="269"/>
      <c r="G855" s="48"/>
      <c r="H855" s="269"/>
      <c r="I855" s="72"/>
      <c r="J855" s="330"/>
      <c r="K855" s="75"/>
      <c r="L855" s="157"/>
      <c r="M855" s="341"/>
      <c r="N855" s="334"/>
      <c r="T855" s="110"/>
      <c r="V855" s="232"/>
      <c r="W855" s="269"/>
      <c r="X855" s="201"/>
      <c r="Y855" s="269"/>
      <c r="Z855" s="269"/>
      <c r="AA855" s="134"/>
      <c r="AB855" s="269"/>
      <c r="AC855" s="284"/>
      <c r="AD855" s="284"/>
      <c r="AE855" s="269"/>
    </row>
    <row r="856" spans="2:31">
      <c r="B856" s="83"/>
      <c r="C856" s="81"/>
      <c r="D856" s="83"/>
      <c r="E856" s="81"/>
      <c r="F856" s="269"/>
      <c r="G856" s="48"/>
      <c r="H856" s="269"/>
      <c r="I856" s="72"/>
      <c r="J856" s="330"/>
      <c r="K856" s="75"/>
      <c r="L856" s="157"/>
      <c r="M856" s="341"/>
      <c r="N856" s="334"/>
      <c r="T856" s="110"/>
      <c r="V856" s="232"/>
      <c r="W856" s="269"/>
      <c r="X856" s="201"/>
      <c r="Y856" s="269"/>
      <c r="Z856" s="269"/>
      <c r="AA856" s="134"/>
      <c r="AB856" s="269"/>
      <c r="AC856" s="284"/>
      <c r="AD856" s="284"/>
      <c r="AE856" s="269"/>
    </row>
    <row r="857" spans="2:31">
      <c r="B857" s="83"/>
      <c r="C857" s="81"/>
      <c r="D857" s="83"/>
      <c r="E857" s="81"/>
      <c r="F857" s="269"/>
      <c r="G857" s="48"/>
      <c r="H857" s="269"/>
      <c r="I857" s="72"/>
      <c r="J857" s="330"/>
      <c r="K857" s="75"/>
      <c r="L857" s="157"/>
      <c r="M857" s="341"/>
      <c r="N857" s="334"/>
      <c r="T857" s="110"/>
      <c r="V857" s="232"/>
      <c r="W857" s="269"/>
      <c r="X857" s="201"/>
      <c r="Y857" s="269"/>
      <c r="Z857" s="269"/>
      <c r="AA857" s="134"/>
      <c r="AB857" s="269"/>
      <c r="AC857" s="284"/>
      <c r="AD857" s="284"/>
      <c r="AE857" s="269"/>
    </row>
    <row r="858" spans="2:31">
      <c r="B858" s="83"/>
      <c r="C858" s="81"/>
      <c r="D858" s="83"/>
      <c r="E858" s="81"/>
      <c r="F858" s="269"/>
      <c r="G858" s="48"/>
      <c r="H858" s="269"/>
      <c r="I858" s="72"/>
      <c r="J858" s="330"/>
      <c r="K858" s="75"/>
      <c r="L858" s="157"/>
      <c r="M858" s="341"/>
      <c r="N858" s="334"/>
      <c r="T858" s="110"/>
      <c r="V858" s="232"/>
      <c r="W858" s="269"/>
      <c r="X858" s="201"/>
      <c r="Y858" s="269"/>
      <c r="Z858" s="269"/>
      <c r="AA858" s="134"/>
      <c r="AB858" s="269"/>
      <c r="AC858" s="284"/>
      <c r="AD858" s="284"/>
      <c r="AE858" s="269"/>
    </row>
    <row r="859" spans="2:31">
      <c r="B859" s="83"/>
      <c r="C859" s="81"/>
      <c r="D859" s="83"/>
      <c r="E859" s="81"/>
      <c r="F859" s="269"/>
      <c r="G859" s="48"/>
      <c r="H859" s="269"/>
      <c r="I859" s="72"/>
      <c r="J859" s="330"/>
      <c r="K859" s="75"/>
      <c r="L859" s="157"/>
      <c r="M859" s="341"/>
      <c r="N859" s="334"/>
      <c r="T859" s="110"/>
      <c r="V859" s="232"/>
      <c r="W859" s="269"/>
      <c r="X859" s="201"/>
      <c r="Y859" s="269"/>
      <c r="Z859" s="269"/>
      <c r="AA859" s="134"/>
      <c r="AB859" s="269"/>
      <c r="AC859" s="284"/>
      <c r="AD859" s="284"/>
      <c r="AE859" s="269"/>
    </row>
    <row r="860" spans="2:31">
      <c r="B860" s="83"/>
      <c r="C860" s="81"/>
      <c r="D860" s="83"/>
      <c r="E860" s="81"/>
      <c r="F860" s="269"/>
      <c r="G860" s="48"/>
      <c r="H860" s="269"/>
      <c r="I860" s="72"/>
      <c r="J860" s="330"/>
      <c r="K860" s="75"/>
      <c r="L860" s="157"/>
      <c r="M860" s="341"/>
      <c r="N860" s="334"/>
      <c r="T860" s="110"/>
      <c r="V860" s="232"/>
      <c r="W860" s="269"/>
      <c r="X860" s="201"/>
      <c r="Y860" s="269"/>
      <c r="Z860" s="269"/>
      <c r="AA860" s="134"/>
      <c r="AB860" s="269"/>
      <c r="AC860" s="284"/>
      <c r="AD860" s="284"/>
      <c r="AE860" s="269"/>
    </row>
    <row r="861" spans="2:31">
      <c r="B861" s="83"/>
      <c r="C861" s="81"/>
      <c r="D861" s="83"/>
      <c r="E861" s="81"/>
      <c r="F861" s="269"/>
      <c r="G861" s="48"/>
      <c r="H861" s="269"/>
      <c r="I861" s="72"/>
      <c r="J861" s="330"/>
      <c r="K861" s="75"/>
      <c r="L861" s="157"/>
      <c r="M861" s="341"/>
      <c r="N861" s="334"/>
      <c r="T861" s="110"/>
      <c r="V861" s="232"/>
      <c r="W861" s="269"/>
      <c r="X861" s="201"/>
      <c r="Y861" s="269"/>
      <c r="Z861" s="269"/>
      <c r="AA861" s="134"/>
      <c r="AB861" s="269"/>
      <c r="AC861" s="284"/>
      <c r="AD861" s="284"/>
      <c r="AE861" s="269"/>
    </row>
    <row r="862" spans="2:31">
      <c r="B862" s="83"/>
      <c r="C862" s="81"/>
      <c r="D862" s="83"/>
      <c r="E862" s="81"/>
      <c r="F862" s="269"/>
      <c r="G862" s="48"/>
      <c r="H862" s="269"/>
      <c r="I862" s="72"/>
      <c r="J862" s="330"/>
      <c r="K862" s="75"/>
      <c r="L862" s="157"/>
      <c r="M862" s="341"/>
      <c r="N862" s="334"/>
      <c r="T862" s="110"/>
      <c r="V862" s="232"/>
      <c r="W862" s="269"/>
      <c r="X862" s="201"/>
      <c r="Y862" s="269"/>
      <c r="Z862" s="269"/>
      <c r="AA862" s="134"/>
      <c r="AB862" s="269"/>
      <c r="AC862" s="284"/>
      <c r="AD862" s="284"/>
      <c r="AE862" s="269"/>
    </row>
    <row r="863" spans="2:31">
      <c r="B863" s="83"/>
      <c r="C863" s="81"/>
      <c r="D863" s="83"/>
      <c r="E863" s="81"/>
      <c r="F863" s="269"/>
      <c r="G863" s="48"/>
      <c r="H863" s="269"/>
      <c r="I863" s="72"/>
      <c r="J863" s="330"/>
      <c r="K863" s="75"/>
      <c r="L863" s="157"/>
      <c r="M863" s="341"/>
      <c r="N863" s="334"/>
      <c r="T863" s="110"/>
      <c r="V863" s="232"/>
      <c r="W863" s="269"/>
      <c r="X863" s="201"/>
      <c r="Y863" s="269"/>
      <c r="Z863" s="269"/>
      <c r="AA863" s="134"/>
      <c r="AB863" s="269"/>
      <c r="AC863" s="284"/>
      <c r="AD863" s="284"/>
      <c r="AE863" s="269"/>
    </row>
    <row r="864" spans="2:31">
      <c r="B864" s="83"/>
      <c r="C864" s="81"/>
      <c r="D864" s="83"/>
      <c r="E864" s="81"/>
      <c r="F864" s="269"/>
      <c r="G864" s="48"/>
      <c r="H864" s="269"/>
      <c r="I864" s="72"/>
      <c r="J864" s="330"/>
      <c r="K864" s="75"/>
      <c r="L864" s="157"/>
      <c r="M864" s="341"/>
      <c r="N864" s="334"/>
      <c r="T864" s="110"/>
      <c r="V864" s="232"/>
      <c r="W864" s="269"/>
      <c r="X864" s="201"/>
      <c r="Y864" s="269"/>
      <c r="Z864" s="269"/>
      <c r="AA864" s="134"/>
      <c r="AB864" s="269"/>
      <c r="AC864" s="284"/>
      <c r="AD864" s="284"/>
      <c r="AE864" s="269"/>
    </row>
    <row r="865" spans="2:31">
      <c r="B865" s="83"/>
      <c r="C865" s="81"/>
      <c r="D865" s="83"/>
      <c r="E865" s="81"/>
      <c r="F865" s="269"/>
      <c r="G865" s="48"/>
      <c r="H865" s="269"/>
      <c r="I865" s="72"/>
      <c r="J865" s="330"/>
      <c r="K865" s="75"/>
      <c r="L865" s="157"/>
      <c r="M865" s="341"/>
      <c r="N865" s="334"/>
      <c r="T865" s="110"/>
      <c r="V865" s="232"/>
      <c r="W865" s="269"/>
      <c r="X865" s="201"/>
      <c r="Y865" s="269"/>
      <c r="Z865" s="269"/>
      <c r="AA865" s="134"/>
      <c r="AB865" s="269"/>
      <c r="AC865" s="284"/>
      <c r="AD865" s="284"/>
      <c r="AE865" s="269"/>
    </row>
    <row r="866" spans="2:31">
      <c r="B866" s="83"/>
      <c r="C866" s="81"/>
      <c r="D866" s="83"/>
      <c r="E866" s="81"/>
      <c r="F866" s="269"/>
      <c r="G866" s="48"/>
      <c r="H866" s="269"/>
      <c r="I866" s="72"/>
      <c r="J866" s="330"/>
      <c r="K866" s="75"/>
      <c r="L866" s="157"/>
      <c r="M866" s="341"/>
      <c r="N866" s="334"/>
      <c r="T866" s="110"/>
      <c r="V866" s="232"/>
      <c r="W866" s="269"/>
      <c r="X866" s="201"/>
      <c r="Y866" s="269"/>
      <c r="Z866" s="269"/>
      <c r="AA866" s="134"/>
      <c r="AB866" s="269"/>
      <c r="AC866" s="284"/>
      <c r="AD866" s="284"/>
      <c r="AE866" s="269"/>
    </row>
    <row r="867" spans="2:31">
      <c r="B867" s="83"/>
      <c r="C867" s="81"/>
      <c r="D867" s="83"/>
      <c r="E867" s="81"/>
      <c r="F867" s="269"/>
      <c r="G867" s="48"/>
      <c r="H867" s="269"/>
      <c r="I867" s="72"/>
      <c r="J867" s="330"/>
      <c r="K867" s="75"/>
      <c r="L867" s="157"/>
      <c r="M867" s="341"/>
      <c r="N867" s="334"/>
      <c r="T867" s="110"/>
      <c r="V867" s="232"/>
      <c r="W867" s="269"/>
      <c r="X867" s="201"/>
      <c r="Y867" s="269"/>
      <c r="Z867" s="269"/>
      <c r="AA867" s="134"/>
      <c r="AB867" s="269"/>
      <c r="AC867" s="284"/>
      <c r="AD867" s="284"/>
      <c r="AE867" s="269"/>
    </row>
    <row r="868" spans="2:31">
      <c r="B868" s="83"/>
      <c r="C868" s="81"/>
      <c r="D868" s="83"/>
      <c r="E868" s="81"/>
      <c r="F868" s="269"/>
      <c r="G868" s="48"/>
      <c r="H868" s="269"/>
      <c r="I868" s="72"/>
      <c r="J868" s="330"/>
      <c r="K868" s="75"/>
      <c r="L868" s="157"/>
      <c r="M868" s="341"/>
      <c r="N868" s="334"/>
      <c r="T868" s="110"/>
      <c r="V868" s="232"/>
      <c r="W868" s="269"/>
      <c r="X868" s="201"/>
      <c r="Y868" s="269"/>
      <c r="Z868" s="269"/>
      <c r="AA868" s="134"/>
      <c r="AB868" s="269"/>
      <c r="AC868" s="284"/>
      <c r="AD868" s="284"/>
      <c r="AE868" s="269"/>
    </row>
    <row r="869" spans="2:31">
      <c r="B869" s="83"/>
      <c r="C869" s="81"/>
      <c r="D869" s="83"/>
      <c r="E869" s="81"/>
      <c r="F869" s="269"/>
      <c r="G869" s="48"/>
      <c r="H869" s="269"/>
      <c r="I869" s="72"/>
      <c r="J869" s="330"/>
      <c r="K869" s="75"/>
      <c r="L869" s="157"/>
      <c r="M869" s="341"/>
      <c r="N869" s="334"/>
      <c r="T869" s="110"/>
      <c r="V869" s="232"/>
      <c r="W869" s="269"/>
      <c r="X869" s="201"/>
      <c r="Y869" s="269"/>
      <c r="Z869" s="269"/>
      <c r="AA869" s="134"/>
      <c r="AB869" s="269"/>
      <c r="AC869" s="284"/>
      <c r="AD869" s="284"/>
      <c r="AE869" s="269"/>
    </row>
    <row r="870" spans="2:31">
      <c r="B870" s="83"/>
      <c r="C870" s="81"/>
      <c r="D870" s="83"/>
      <c r="E870" s="81"/>
      <c r="F870" s="269"/>
      <c r="G870" s="48"/>
      <c r="H870" s="269"/>
      <c r="I870" s="72"/>
      <c r="J870" s="330"/>
      <c r="K870" s="75"/>
      <c r="L870" s="157"/>
      <c r="M870" s="341"/>
      <c r="N870" s="334"/>
      <c r="T870" s="110"/>
      <c r="V870" s="232"/>
      <c r="W870" s="269"/>
      <c r="X870" s="201"/>
      <c r="Y870" s="269"/>
      <c r="Z870" s="269"/>
      <c r="AA870" s="134"/>
      <c r="AB870" s="269"/>
      <c r="AC870" s="284"/>
      <c r="AD870" s="284"/>
      <c r="AE870" s="269"/>
    </row>
    <row r="871" spans="2:31">
      <c r="B871" s="83"/>
      <c r="C871" s="81"/>
      <c r="D871" s="83"/>
      <c r="E871" s="81"/>
      <c r="F871" s="269"/>
      <c r="G871" s="48"/>
      <c r="H871" s="269"/>
      <c r="I871" s="72"/>
      <c r="J871" s="330"/>
      <c r="K871" s="75"/>
      <c r="L871" s="157"/>
      <c r="M871" s="341"/>
      <c r="N871" s="334"/>
      <c r="T871" s="110"/>
      <c r="V871" s="232"/>
      <c r="W871" s="269"/>
      <c r="X871" s="201"/>
      <c r="Y871" s="269"/>
      <c r="Z871" s="269"/>
      <c r="AA871" s="134"/>
      <c r="AB871" s="269"/>
      <c r="AC871" s="284"/>
      <c r="AD871" s="284"/>
      <c r="AE871" s="269"/>
    </row>
    <row r="872" spans="2:31">
      <c r="B872" s="83"/>
      <c r="C872" s="81"/>
      <c r="D872" s="83"/>
      <c r="E872" s="81"/>
      <c r="F872" s="269"/>
      <c r="G872" s="48"/>
      <c r="H872" s="269"/>
      <c r="I872" s="72"/>
      <c r="J872" s="330"/>
      <c r="K872" s="75"/>
      <c r="L872" s="157"/>
      <c r="M872" s="341"/>
      <c r="N872" s="334"/>
      <c r="T872" s="110"/>
      <c r="V872" s="232"/>
      <c r="W872" s="269"/>
      <c r="X872" s="201"/>
      <c r="Y872" s="269"/>
      <c r="Z872" s="269"/>
      <c r="AA872" s="134"/>
      <c r="AB872" s="269"/>
      <c r="AC872" s="284"/>
      <c r="AD872" s="284"/>
      <c r="AE872" s="269"/>
    </row>
    <row r="873" spans="2:31">
      <c r="B873" s="83"/>
      <c r="C873" s="81"/>
      <c r="D873" s="83"/>
      <c r="E873" s="81"/>
      <c r="F873" s="269"/>
      <c r="G873" s="48"/>
      <c r="H873" s="269"/>
      <c r="I873" s="72"/>
      <c r="J873" s="330"/>
      <c r="K873" s="75"/>
      <c r="L873" s="157"/>
      <c r="M873" s="341"/>
      <c r="N873" s="334"/>
      <c r="T873" s="110"/>
      <c r="V873" s="232"/>
      <c r="W873" s="269"/>
      <c r="X873" s="201"/>
      <c r="Y873" s="269"/>
      <c r="Z873" s="269"/>
      <c r="AA873" s="134"/>
      <c r="AB873" s="269"/>
      <c r="AC873" s="284"/>
      <c r="AD873" s="284"/>
      <c r="AE873" s="269"/>
    </row>
    <row r="874" spans="2:31">
      <c r="B874" s="83"/>
      <c r="C874" s="81"/>
      <c r="D874" s="83"/>
      <c r="E874" s="81"/>
      <c r="F874" s="269"/>
      <c r="G874" s="48"/>
      <c r="H874" s="269"/>
      <c r="I874" s="72"/>
      <c r="J874" s="330"/>
      <c r="K874" s="75"/>
      <c r="L874" s="157"/>
      <c r="M874" s="341"/>
      <c r="N874" s="334"/>
      <c r="T874" s="110"/>
      <c r="V874" s="232"/>
      <c r="W874" s="269"/>
      <c r="X874" s="201"/>
      <c r="Y874" s="269"/>
      <c r="Z874" s="269"/>
      <c r="AA874" s="134"/>
      <c r="AB874" s="269"/>
      <c r="AC874" s="284"/>
      <c r="AD874" s="284"/>
      <c r="AE874" s="269"/>
    </row>
    <row r="875" spans="2:31">
      <c r="B875" s="83"/>
      <c r="C875" s="81"/>
      <c r="D875" s="83"/>
      <c r="E875" s="81"/>
      <c r="F875" s="269"/>
      <c r="G875" s="48"/>
      <c r="H875" s="269"/>
      <c r="I875" s="72"/>
      <c r="J875" s="330"/>
      <c r="K875" s="75"/>
      <c r="L875" s="157"/>
      <c r="M875" s="341"/>
      <c r="N875" s="334"/>
      <c r="T875" s="110"/>
      <c r="V875" s="232"/>
      <c r="W875" s="269"/>
      <c r="X875" s="201"/>
      <c r="Y875" s="269"/>
      <c r="Z875" s="269"/>
      <c r="AA875" s="134"/>
      <c r="AB875" s="269"/>
      <c r="AC875" s="284"/>
      <c r="AD875" s="284"/>
      <c r="AE875" s="269"/>
    </row>
    <row r="876" spans="2:31">
      <c r="B876" s="83"/>
      <c r="C876" s="81"/>
      <c r="D876" s="83"/>
      <c r="E876" s="81"/>
      <c r="F876" s="269"/>
      <c r="G876" s="48"/>
      <c r="H876" s="269"/>
      <c r="I876" s="72"/>
      <c r="J876" s="330"/>
      <c r="K876" s="75"/>
      <c r="L876" s="157"/>
      <c r="M876" s="341"/>
      <c r="N876" s="334"/>
      <c r="T876" s="110"/>
      <c r="V876" s="232"/>
      <c r="W876" s="269"/>
      <c r="X876" s="201"/>
      <c r="Y876" s="269"/>
      <c r="Z876" s="269"/>
      <c r="AA876" s="134"/>
      <c r="AB876" s="269"/>
      <c r="AC876" s="284"/>
      <c r="AD876" s="284"/>
      <c r="AE876" s="269"/>
    </row>
    <row r="877" spans="2:31">
      <c r="B877" s="83"/>
      <c r="C877" s="81"/>
      <c r="D877" s="83"/>
      <c r="E877" s="81"/>
      <c r="F877" s="269"/>
      <c r="G877" s="48"/>
      <c r="H877" s="269"/>
      <c r="I877" s="72"/>
      <c r="J877" s="330"/>
      <c r="K877" s="75"/>
      <c r="L877" s="157"/>
      <c r="M877" s="341"/>
      <c r="N877" s="334"/>
      <c r="T877" s="110"/>
      <c r="V877" s="232"/>
      <c r="W877" s="269"/>
      <c r="X877" s="201"/>
      <c r="Y877" s="269"/>
      <c r="Z877" s="269"/>
      <c r="AA877" s="134"/>
      <c r="AB877" s="269"/>
      <c r="AC877" s="284"/>
      <c r="AD877" s="284"/>
      <c r="AE877" s="269"/>
    </row>
    <row r="878" spans="2:31">
      <c r="B878" s="83"/>
      <c r="C878" s="81"/>
      <c r="D878" s="83"/>
      <c r="E878" s="81"/>
      <c r="F878" s="269"/>
      <c r="G878" s="48"/>
      <c r="H878" s="269"/>
      <c r="I878" s="72"/>
      <c r="J878" s="330"/>
      <c r="K878" s="75"/>
      <c r="L878" s="157"/>
      <c r="M878" s="341"/>
      <c r="N878" s="334"/>
      <c r="T878" s="110"/>
      <c r="V878" s="232"/>
      <c r="W878" s="269"/>
      <c r="X878" s="201"/>
      <c r="Y878" s="269"/>
      <c r="Z878" s="269"/>
      <c r="AA878" s="134"/>
      <c r="AB878" s="269"/>
      <c r="AC878" s="284"/>
      <c r="AD878" s="284"/>
      <c r="AE878" s="269"/>
    </row>
    <row r="879" spans="2:31">
      <c r="B879" s="83"/>
      <c r="C879" s="81"/>
      <c r="D879" s="83"/>
      <c r="E879" s="81"/>
      <c r="F879" s="269"/>
      <c r="G879" s="48"/>
      <c r="H879" s="269"/>
      <c r="I879" s="72"/>
      <c r="J879" s="330"/>
      <c r="K879" s="75"/>
      <c r="L879" s="157"/>
      <c r="M879" s="341"/>
      <c r="N879" s="334"/>
      <c r="T879" s="110"/>
      <c r="V879" s="232"/>
      <c r="W879" s="269"/>
      <c r="X879" s="201"/>
      <c r="Y879" s="269"/>
      <c r="Z879" s="269"/>
      <c r="AA879" s="134"/>
      <c r="AB879" s="269"/>
      <c r="AC879" s="284"/>
      <c r="AD879" s="284"/>
      <c r="AE879" s="269"/>
    </row>
    <row r="880" spans="2:31">
      <c r="B880" s="83"/>
      <c r="C880" s="81"/>
      <c r="D880" s="83"/>
      <c r="E880" s="81"/>
      <c r="F880" s="269"/>
      <c r="G880" s="48"/>
      <c r="H880" s="269"/>
      <c r="I880" s="72"/>
      <c r="J880" s="330"/>
      <c r="K880" s="75"/>
      <c r="L880" s="157"/>
      <c r="M880" s="341"/>
      <c r="N880" s="334"/>
      <c r="T880" s="110"/>
      <c r="V880" s="232"/>
      <c r="W880" s="269"/>
      <c r="X880" s="201"/>
      <c r="Y880" s="269"/>
      <c r="Z880" s="269"/>
      <c r="AA880" s="134"/>
      <c r="AB880" s="269"/>
      <c r="AC880" s="284"/>
      <c r="AD880" s="284"/>
      <c r="AE880" s="269"/>
    </row>
    <row r="881" spans="2:31">
      <c r="B881" s="83"/>
      <c r="C881" s="81"/>
      <c r="D881" s="83"/>
      <c r="E881" s="81"/>
      <c r="F881" s="269"/>
      <c r="G881" s="48"/>
      <c r="H881" s="269"/>
      <c r="I881" s="72"/>
      <c r="J881" s="330"/>
      <c r="K881" s="75"/>
      <c r="L881" s="157"/>
      <c r="M881" s="341"/>
      <c r="N881" s="334"/>
      <c r="T881" s="110"/>
      <c r="V881" s="232"/>
      <c r="W881" s="269"/>
      <c r="X881" s="201"/>
      <c r="Y881" s="269"/>
      <c r="Z881" s="269"/>
      <c r="AA881" s="134"/>
      <c r="AB881" s="269"/>
      <c r="AC881" s="284"/>
      <c r="AD881" s="284"/>
      <c r="AE881" s="269"/>
    </row>
    <row r="882" spans="2:31">
      <c r="B882" s="83"/>
      <c r="C882" s="81"/>
      <c r="D882" s="83"/>
      <c r="E882" s="81"/>
      <c r="F882" s="269"/>
      <c r="G882" s="48"/>
      <c r="H882" s="269"/>
      <c r="I882" s="72"/>
      <c r="J882" s="330"/>
      <c r="K882" s="75"/>
      <c r="L882" s="157"/>
      <c r="M882" s="341"/>
      <c r="N882" s="334"/>
      <c r="T882" s="110"/>
      <c r="V882" s="232"/>
      <c r="W882" s="269"/>
      <c r="X882" s="201"/>
      <c r="Y882" s="269"/>
      <c r="Z882" s="269"/>
      <c r="AA882" s="134"/>
      <c r="AB882" s="269"/>
      <c r="AC882" s="284"/>
      <c r="AD882" s="284"/>
      <c r="AE882" s="269"/>
    </row>
    <row r="883" spans="2:31">
      <c r="B883" s="83"/>
      <c r="C883" s="81"/>
      <c r="D883" s="83"/>
      <c r="E883" s="81"/>
      <c r="F883" s="269"/>
      <c r="G883" s="48"/>
      <c r="H883" s="269"/>
      <c r="I883" s="72"/>
      <c r="J883" s="330"/>
      <c r="K883" s="75"/>
      <c r="L883" s="157"/>
      <c r="M883" s="341"/>
      <c r="N883" s="334"/>
      <c r="T883" s="110"/>
      <c r="V883" s="232"/>
      <c r="W883" s="269"/>
      <c r="X883" s="201"/>
      <c r="Y883" s="269"/>
      <c r="Z883" s="269"/>
      <c r="AA883" s="134"/>
      <c r="AB883" s="269"/>
      <c r="AC883" s="284"/>
      <c r="AD883" s="284"/>
      <c r="AE883" s="269"/>
    </row>
    <row r="884" spans="2:31">
      <c r="B884" s="83"/>
      <c r="C884" s="81"/>
      <c r="D884" s="83"/>
      <c r="E884" s="81"/>
      <c r="F884" s="269"/>
      <c r="G884" s="48"/>
      <c r="H884" s="269"/>
      <c r="I884" s="72"/>
      <c r="J884" s="330"/>
      <c r="K884" s="75"/>
      <c r="L884" s="157"/>
      <c r="M884" s="341"/>
      <c r="N884" s="334"/>
      <c r="T884" s="110"/>
      <c r="V884" s="232"/>
      <c r="W884" s="269"/>
      <c r="X884" s="201"/>
      <c r="Y884" s="269"/>
      <c r="Z884" s="269"/>
      <c r="AA884" s="134"/>
      <c r="AB884" s="269"/>
      <c r="AC884" s="284"/>
      <c r="AD884" s="284"/>
      <c r="AE884" s="269"/>
    </row>
    <row r="885" spans="2:31">
      <c r="B885" s="83"/>
      <c r="C885" s="81"/>
      <c r="D885" s="83"/>
      <c r="E885" s="81"/>
      <c r="F885" s="269"/>
      <c r="G885" s="48"/>
      <c r="H885" s="269"/>
      <c r="I885" s="72"/>
      <c r="J885" s="330"/>
      <c r="K885" s="75"/>
      <c r="L885" s="157"/>
      <c r="M885" s="341"/>
      <c r="N885" s="334"/>
      <c r="T885" s="110"/>
      <c r="V885" s="232"/>
      <c r="W885" s="269"/>
      <c r="X885" s="201"/>
      <c r="Y885" s="269"/>
      <c r="Z885" s="269"/>
      <c r="AA885" s="134"/>
      <c r="AB885" s="269"/>
      <c r="AC885" s="284"/>
      <c r="AD885" s="284"/>
      <c r="AE885" s="269"/>
    </row>
    <row r="886" spans="2:31">
      <c r="B886" s="83"/>
      <c r="C886" s="81"/>
      <c r="D886" s="83"/>
      <c r="E886" s="81"/>
      <c r="F886" s="269"/>
      <c r="G886" s="48"/>
      <c r="H886" s="269"/>
      <c r="I886" s="72"/>
      <c r="J886" s="330"/>
      <c r="K886" s="75"/>
      <c r="L886" s="157"/>
      <c r="M886" s="341"/>
      <c r="N886" s="334"/>
      <c r="T886" s="110"/>
      <c r="V886" s="232"/>
      <c r="W886" s="269"/>
      <c r="X886" s="201"/>
      <c r="Y886" s="269"/>
      <c r="Z886" s="269"/>
      <c r="AA886" s="134"/>
      <c r="AB886" s="269"/>
      <c r="AC886" s="284"/>
      <c r="AD886" s="284"/>
      <c r="AE886" s="269"/>
    </row>
    <row r="887" spans="2:31">
      <c r="B887" s="83"/>
      <c r="C887" s="81"/>
      <c r="D887" s="83"/>
      <c r="E887" s="81"/>
      <c r="F887" s="269"/>
      <c r="G887" s="48"/>
      <c r="H887" s="269"/>
      <c r="I887" s="72"/>
      <c r="J887" s="330"/>
      <c r="K887" s="75"/>
      <c r="L887" s="157"/>
      <c r="M887" s="341"/>
      <c r="N887" s="334"/>
      <c r="T887" s="110"/>
      <c r="V887" s="232"/>
      <c r="W887" s="269"/>
      <c r="X887" s="201"/>
      <c r="Y887" s="269"/>
      <c r="Z887" s="269"/>
      <c r="AA887" s="134"/>
      <c r="AB887" s="269"/>
      <c r="AC887" s="284"/>
      <c r="AD887" s="284"/>
      <c r="AE887" s="269"/>
    </row>
    <row r="888" spans="2:31">
      <c r="B888" s="83"/>
      <c r="C888" s="81"/>
      <c r="D888" s="83"/>
      <c r="E888" s="81"/>
      <c r="F888" s="269"/>
      <c r="G888" s="48"/>
      <c r="H888" s="269"/>
      <c r="I888" s="72"/>
      <c r="J888" s="330"/>
      <c r="K888" s="75"/>
      <c r="L888" s="157"/>
      <c r="M888" s="341"/>
      <c r="N888" s="334"/>
      <c r="T888" s="110"/>
      <c r="V888" s="232"/>
      <c r="W888" s="269"/>
      <c r="X888" s="201"/>
      <c r="Y888" s="269"/>
      <c r="Z888" s="269"/>
      <c r="AA888" s="134"/>
      <c r="AB888" s="269"/>
      <c r="AC888" s="284"/>
      <c r="AD888" s="284"/>
      <c r="AE888" s="269"/>
    </row>
    <row r="889" spans="2:31">
      <c r="B889" s="83"/>
      <c r="C889" s="81"/>
      <c r="D889" s="83"/>
      <c r="E889" s="81"/>
      <c r="F889" s="269"/>
      <c r="G889" s="48"/>
      <c r="H889" s="269"/>
      <c r="I889" s="72"/>
      <c r="J889" s="330"/>
      <c r="K889" s="75"/>
      <c r="L889" s="157"/>
      <c r="M889" s="341"/>
      <c r="N889" s="334"/>
      <c r="T889" s="110"/>
      <c r="V889" s="232"/>
      <c r="W889" s="269"/>
      <c r="X889" s="201"/>
      <c r="Y889" s="269"/>
      <c r="Z889" s="269"/>
      <c r="AA889" s="134"/>
      <c r="AB889" s="269"/>
      <c r="AC889" s="284"/>
      <c r="AD889" s="284"/>
      <c r="AE889" s="269"/>
    </row>
    <row r="890" spans="2:31">
      <c r="B890" s="83"/>
      <c r="C890" s="81"/>
      <c r="D890" s="83"/>
      <c r="E890" s="81"/>
      <c r="F890" s="269"/>
      <c r="G890" s="48"/>
      <c r="H890" s="269"/>
      <c r="I890" s="72"/>
      <c r="J890" s="330"/>
      <c r="K890" s="75"/>
      <c r="L890" s="157"/>
      <c r="M890" s="341"/>
      <c r="N890" s="334"/>
      <c r="T890" s="110"/>
      <c r="V890" s="232"/>
      <c r="W890" s="269"/>
      <c r="X890" s="201"/>
      <c r="Y890" s="269"/>
      <c r="Z890" s="269"/>
      <c r="AA890" s="134"/>
      <c r="AB890" s="269"/>
      <c r="AC890" s="284"/>
      <c r="AD890" s="284"/>
      <c r="AE890" s="269"/>
    </row>
    <row r="891" spans="2:31">
      <c r="B891" s="83"/>
      <c r="C891" s="81"/>
      <c r="D891" s="83"/>
      <c r="E891" s="81"/>
      <c r="F891" s="269"/>
      <c r="G891" s="48"/>
      <c r="H891" s="269"/>
      <c r="I891" s="72"/>
      <c r="J891" s="330"/>
      <c r="K891" s="75"/>
      <c r="L891" s="157"/>
      <c r="M891" s="341"/>
      <c r="N891" s="334"/>
      <c r="T891" s="110"/>
      <c r="V891" s="232"/>
      <c r="W891" s="269"/>
      <c r="X891" s="201"/>
      <c r="Y891" s="269"/>
      <c r="Z891" s="269"/>
      <c r="AA891" s="134"/>
      <c r="AB891" s="269"/>
      <c r="AC891" s="284"/>
      <c r="AD891" s="284"/>
      <c r="AE891" s="269"/>
    </row>
    <row r="892" spans="2:31">
      <c r="B892" s="83"/>
      <c r="C892" s="81"/>
      <c r="D892" s="83"/>
      <c r="E892" s="81"/>
      <c r="F892" s="269"/>
      <c r="G892" s="48"/>
      <c r="H892" s="269"/>
      <c r="I892" s="72"/>
      <c r="J892" s="330"/>
      <c r="K892" s="75"/>
      <c r="L892" s="157"/>
      <c r="M892" s="341"/>
      <c r="N892" s="334"/>
      <c r="T892" s="110"/>
      <c r="V892" s="232"/>
      <c r="W892" s="269"/>
      <c r="X892" s="201"/>
      <c r="Y892" s="269"/>
      <c r="Z892" s="269"/>
      <c r="AA892" s="134"/>
      <c r="AB892" s="269"/>
      <c r="AC892" s="284"/>
      <c r="AD892" s="284"/>
      <c r="AE892" s="269"/>
    </row>
    <row r="893" spans="2:31">
      <c r="B893" s="83"/>
      <c r="C893" s="81"/>
      <c r="D893" s="83"/>
      <c r="E893" s="81"/>
      <c r="F893" s="269"/>
      <c r="G893" s="48"/>
      <c r="H893" s="269"/>
      <c r="I893" s="72"/>
      <c r="J893" s="330"/>
      <c r="K893" s="75"/>
      <c r="L893" s="157"/>
      <c r="M893" s="341"/>
      <c r="N893" s="334"/>
      <c r="T893" s="110"/>
      <c r="V893" s="232"/>
      <c r="W893" s="269"/>
      <c r="X893" s="201"/>
      <c r="Y893" s="269"/>
      <c r="Z893" s="269"/>
      <c r="AA893" s="134"/>
      <c r="AB893" s="269"/>
      <c r="AC893" s="284"/>
      <c r="AD893" s="284"/>
      <c r="AE893" s="269"/>
    </row>
    <row r="894" spans="2:31">
      <c r="B894" s="83"/>
      <c r="C894" s="81"/>
      <c r="D894" s="83"/>
      <c r="E894" s="81"/>
      <c r="F894" s="269"/>
      <c r="G894" s="48"/>
      <c r="H894" s="269"/>
      <c r="I894" s="72"/>
      <c r="J894" s="330"/>
      <c r="K894" s="75"/>
      <c r="L894" s="157"/>
      <c r="M894" s="341"/>
      <c r="N894" s="334"/>
      <c r="T894" s="110"/>
      <c r="V894" s="232"/>
      <c r="W894" s="269"/>
      <c r="X894" s="201"/>
      <c r="Y894" s="269"/>
      <c r="Z894" s="269"/>
      <c r="AA894" s="134"/>
      <c r="AB894" s="269"/>
      <c r="AC894" s="284"/>
      <c r="AD894" s="284"/>
      <c r="AE894" s="269"/>
    </row>
    <row r="895" spans="2:31">
      <c r="B895" s="83"/>
      <c r="C895" s="81"/>
      <c r="D895" s="83"/>
      <c r="E895" s="81"/>
      <c r="F895" s="269"/>
      <c r="G895" s="48"/>
      <c r="H895" s="269"/>
      <c r="I895" s="72"/>
      <c r="J895" s="330"/>
      <c r="K895" s="75"/>
      <c r="L895" s="157"/>
      <c r="M895" s="341"/>
      <c r="N895" s="334"/>
      <c r="T895" s="110"/>
      <c r="V895" s="232"/>
      <c r="W895" s="269"/>
      <c r="X895" s="201"/>
      <c r="Y895" s="269"/>
      <c r="Z895" s="269"/>
      <c r="AA895" s="134"/>
      <c r="AB895" s="269"/>
      <c r="AC895" s="284"/>
      <c r="AD895" s="284"/>
      <c r="AE895" s="269"/>
    </row>
    <row r="896" spans="2:31">
      <c r="B896" s="83"/>
      <c r="C896" s="81"/>
      <c r="D896" s="83"/>
      <c r="E896" s="81"/>
      <c r="F896" s="269"/>
      <c r="G896" s="48"/>
      <c r="H896" s="269"/>
      <c r="I896" s="72"/>
      <c r="J896" s="330"/>
      <c r="K896" s="75"/>
      <c r="L896" s="157"/>
      <c r="M896" s="341"/>
      <c r="N896" s="334"/>
      <c r="T896" s="110"/>
      <c r="V896" s="232"/>
      <c r="W896" s="269"/>
      <c r="X896" s="201"/>
      <c r="Y896" s="269"/>
      <c r="Z896" s="269"/>
      <c r="AA896" s="134"/>
      <c r="AB896" s="269"/>
      <c r="AC896" s="284"/>
      <c r="AD896" s="284"/>
      <c r="AE896" s="269"/>
    </row>
    <row r="897" spans="2:31">
      <c r="B897" s="83"/>
      <c r="C897" s="81"/>
      <c r="D897" s="83"/>
      <c r="E897" s="81"/>
      <c r="F897" s="269"/>
      <c r="G897" s="48"/>
      <c r="H897" s="269"/>
      <c r="I897" s="72"/>
      <c r="J897" s="330"/>
      <c r="K897" s="75"/>
      <c r="L897" s="157"/>
      <c r="M897" s="341"/>
      <c r="N897" s="334"/>
      <c r="T897" s="110"/>
      <c r="V897" s="232"/>
      <c r="W897" s="269"/>
      <c r="X897" s="201"/>
      <c r="Y897" s="269"/>
      <c r="Z897" s="269"/>
      <c r="AA897" s="134"/>
      <c r="AB897" s="269"/>
      <c r="AC897" s="284"/>
      <c r="AD897" s="284"/>
      <c r="AE897" s="269"/>
    </row>
    <row r="898" spans="2:31">
      <c r="B898" s="83"/>
      <c r="C898" s="81"/>
      <c r="D898" s="83"/>
      <c r="E898" s="81"/>
      <c r="F898" s="269"/>
      <c r="G898" s="48"/>
      <c r="H898" s="269"/>
      <c r="I898" s="72"/>
      <c r="J898" s="330"/>
      <c r="K898" s="75"/>
      <c r="L898" s="157"/>
      <c r="M898" s="341"/>
      <c r="N898" s="334"/>
      <c r="T898" s="110"/>
      <c r="V898" s="232"/>
      <c r="W898" s="269"/>
      <c r="X898" s="201"/>
      <c r="Y898" s="269"/>
      <c r="Z898" s="269"/>
      <c r="AA898" s="134"/>
      <c r="AB898" s="269"/>
      <c r="AC898" s="284"/>
      <c r="AD898" s="284"/>
      <c r="AE898" s="269"/>
    </row>
    <row r="899" spans="2:31">
      <c r="B899" s="83"/>
      <c r="C899" s="81"/>
      <c r="D899" s="83"/>
      <c r="E899" s="81"/>
      <c r="F899" s="269"/>
      <c r="G899" s="48"/>
      <c r="H899" s="269"/>
      <c r="I899" s="72"/>
      <c r="J899" s="330"/>
      <c r="K899" s="75"/>
      <c r="L899" s="157"/>
      <c r="M899" s="341"/>
      <c r="N899" s="334"/>
      <c r="T899" s="110"/>
      <c r="V899" s="232"/>
      <c r="W899" s="269"/>
      <c r="X899" s="201"/>
      <c r="Y899" s="269"/>
      <c r="Z899" s="269"/>
      <c r="AA899" s="134"/>
      <c r="AB899" s="269"/>
      <c r="AC899" s="284"/>
      <c r="AD899" s="284"/>
      <c r="AE899" s="269"/>
    </row>
    <row r="900" spans="2:31">
      <c r="B900" s="83"/>
      <c r="C900" s="81"/>
      <c r="D900" s="83"/>
      <c r="E900" s="81"/>
      <c r="F900" s="269"/>
      <c r="G900" s="48"/>
      <c r="H900" s="269"/>
      <c r="I900" s="72"/>
      <c r="J900" s="330"/>
      <c r="K900" s="75"/>
      <c r="L900" s="157"/>
      <c r="M900" s="341"/>
      <c r="N900" s="334"/>
      <c r="T900" s="110"/>
      <c r="V900" s="232"/>
      <c r="W900" s="269"/>
      <c r="X900" s="201"/>
      <c r="Y900" s="269"/>
      <c r="Z900" s="269"/>
      <c r="AA900" s="134"/>
      <c r="AB900" s="269"/>
      <c r="AC900" s="284"/>
      <c r="AD900" s="284"/>
      <c r="AE900" s="269"/>
    </row>
    <row r="901" spans="2:31">
      <c r="B901" s="83"/>
      <c r="C901" s="81"/>
      <c r="D901" s="83"/>
      <c r="E901" s="81"/>
      <c r="F901" s="269"/>
      <c r="G901" s="48"/>
      <c r="H901" s="269"/>
      <c r="I901" s="72"/>
      <c r="J901" s="330"/>
      <c r="K901" s="75"/>
      <c r="L901" s="157"/>
      <c r="M901" s="341"/>
      <c r="N901" s="334"/>
      <c r="T901" s="110"/>
      <c r="V901" s="232"/>
      <c r="W901" s="269"/>
      <c r="X901" s="201"/>
      <c r="Y901" s="269"/>
      <c r="Z901" s="269"/>
      <c r="AA901" s="134"/>
      <c r="AB901" s="269"/>
      <c r="AC901" s="284"/>
      <c r="AD901" s="284"/>
      <c r="AE901" s="269"/>
    </row>
    <row r="902" spans="2:31">
      <c r="B902" s="83"/>
      <c r="C902" s="81"/>
      <c r="D902" s="83"/>
      <c r="E902" s="81"/>
      <c r="F902" s="269"/>
      <c r="G902" s="48"/>
      <c r="H902" s="269"/>
      <c r="I902" s="72"/>
      <c r="J902" s="330"/>
      <c r="K902" s="75"/>
      <c r="L902" s="157"/>
      <c r="M902" s="341"/>
      <c r="N902" s="334"/>
      <c r="T902" s="110"/>
      <c r="V902" s="232"/>
      <c r="W902" s="269"/>
      <c r="X902" s="201"/>
      <c r="Y902" s="269"/>
      <c r="Z902" s="269"/>
      <c r="AA902" s="134"/>
      <c r="AB902" s="269"/>
      <c r="AC902" s="284"/>
      <c r="AD902" s="284"/>
      <c r="AE902" s="269"/>
    </row>
    <row r="903" spans="2:31">
      <c r="B903" s="83"/>
      <c r="C903" s="81"/>
      <c r="D903" s="83"/>
      <c r="E903" s="81"/>
      <c r="F903" s="269"/>
      <c r="G903" s="48"/>
      <c r="H903" s="269"/>
      <c r="I903" s="72"/>
      <c r="J903" s="330"/>
      <c r="K903" s="75"/>
      <c r="L903" s="157"/>
      <c r="M903" s="341"/>
      <c r="N903" s="334"/>
      <c r="T903" s="110"/>
      <c r="V903" s="232"/>
      <c r="W903" s="269"/>
      <c r="X903" s="201"/>
      <c r="Y903" s="269"/>
      <c r="Z903" s="269"/>
      <c r="AA903" s="134"/>
      <c r="AB903" s="269"/>
      <c r="AC903" s="284"/>
      <c r="AD903" s="284"/>
      <c r="AE903" s="269"/>
    </row>
    <row r="904" spans="2:31">
      <c r="B904" s="83"/>
      <c r="C904" s="81"/>
      <c r="D904" s="83"/>
      <c r="E904" s="81"/>
      <c r="F904" s="269"/>
      <c r="G904" s="48"/>
      <c r="H904" s="269"/>
      <c r="I904" s="72"/>
      <c r="J904" s="330"/>
      <c r="K904" s="75"/>
      <c r="L904" s="157"/>
      <c r="M904" s="341"/>
      <c r="N904" s="334"/>
      <c r="T904" s="110"/>
      <c r="V904" s="232"/>
      <c r="W904" s="269"/>
      <c r="X904" s="201"/>
      <c r="Y904" s="269"/>
      <c r="Z904" s="269"/>
      <c r="AA904" s="134"/>
      <c r="AB904" s="269"/>
      <c r="AC904" s="284"/>
      <c r="AD904" s="284"/>
      <c r="AE904" s="269"/>
    </row>
    <row r="905" spans="2:31">
      <c r="B905" s="83"/>
      <c r="C905" s="81"/>
      <c r="D905" s="83"/>
      <c r="E905" s="81"/>
      <c r="F905" s="269"/>
      <c r="G905" s="48"/>
      <c r="H905" s="269"/>
      <c r="I905" s="72"/>
      <c r="J905" s="330"/>
      <c r="K905" s="75"/>
      <c r="L905" s="157"/>
      <c r="M905" s="341"/>
      <c r="N905" s="334"/>
      <c r="T905" s="110"/>
      <c r="V905" s="232"/>
      <c r="W905" s="269"/>
      <c r="X905" s="201"/>
      <c r="Y905" s="269"/>
      <c r="Z905" s="269"/>
      <c r="AA905" s="134"/>
      <c r="AB905" s="269"/>
      <c r="AC905" s="284"/>
      <c r="AD905" s="284"/>
      <c r="AE905" s="269"/>
    </row>
    <row r="906" spans="2:31">
      <c r="B906" s="83"/>
      <c r="C906" s="81"/>
      <c r="D906" s="83"/>
      <c r="E906" s="81"/>
      <c r="F906" s="269"/>
      <c r="G906" s="48"/>
      <c r="H906" s="269"/>
      <c r="I906" s="72"/>
      <c r="J906" s="330"/>
      <c r="K906" s="75"/>
      <c r="L906" s="157"/>
      <c r="M906" s="341"/>
      <c r="N906" s="334"/>
      <c r="T906" s="110"/>
      <c r="V906" s="232"/>
      <c r="W906" s="269"/>
      <c r="X906" s="201"/>
      <c r="Y906" s="269"/>
      <c r="Z906" s="269"/>
      <c r="AA906" s="134"/>
      <c r="AB906" s="269"/>
      <c r="AC906" s="284"/>
      <c r="AD906" s="284"/>
      <c r="AE906" s="269"/>
    </row>
    <row r="907" spans="2:31">
      <c r="B907" s="83"/>
      <c r="C907" s="81"/>
      <c r="D907" s="83"/>
      <c r="E907" s="81"/>
      <c r="F907" s="269"/>
      <c r="G907" s="48"/>
      <c r="H907" s="269"/>
      <c r="I907" s="72"/>
      <c r="J907" s="330"/>
      <c r="K907" s="75"/>
      <c r="L907" s="157"/>
      <c r="M907" s="341"/>
      <c r="N907" s="334"/>
      <c r="T907" s="110"/>
      <c r="V907" s="232"/>
      <c r="W907" s="269"/>
      <c r="X907" s="201"/>
      <c r="Y907" s="269"/>
      <c r="Z907" s="269"/>
      <c r="AA907" s="134"/>
      <c r="AB907" s="269"/>
      <c r="AC907" s="284"/>
      <c r="AD907" s="284"/>
      <c r="AE907" s="269"/>
    </row>
    <row r="908" spans="2:31">
      <c r="B908" s="83"/>
      <c r="C908" s="81"/>
      <c r="D908" s="83"/>
      <c r="E908" s="81"/>
      <c r="F908" s="269"/>
      <c r="G908" s="48"/>
      <c r="H908" s="269"/>
      <c r="I908" s="72"/>
      <c r="J908" s="330"/>
      <c r="K908" s="75"/>
      <c r="L908" s="157"/>
      <c r="M908" s="341"/>
      <c r="N908" s="334"/>
      <c r="T908" s="110"/>
      <c r="V908" s="232"/>
      <c r="W908" s="269"/>
      <c r="X908" s="201"/>
      <c r="Y908" s="269"/>
      <c r="Z908" s="269"/>
      <c r="AA908" s="134"/>
      <c r="AB908" s="269"/>
      <c r="AC908" s="284"/>
      <c r="AD908" s="284"/>
      <c r="AE908" s="269"/>
    </row>
    <row r="909" spans="2:31">
      <c r="B909" s="83"/>
      <c r="C909" s="81"/>
      <c r="D909" s="83"/>
      <c r="E909" s="81"/>
      <c r="F909" s="269"/>
      <c r="G909" s="48"/>
      <c r="H909" s="269"/>
      <c r="I909" s="72"/>
      <c r="J909" s="330"/>
      <c r="K909" s="75"/>
      <c r="L909" s="157"/>
      <c r="M909" s="341"/>
      <c r="N909" s="334"/>
      <c r="T909" s="110"/>
      <c r="V909" s="232"/>
      <c r="W909" s="269"/>
      <c r="X909" s="201"/>
      <c r="Y909" s="269"/>
      <c r="Z909" s="269"/>
      <c r="AA909" s="134"/>
      <c r="AB909" s="269"/>
      <c r="AC909" s="284"/>
      <c r="AD909" s="284"/>
      <c r="AE909" s="269"/>
    </row>
    <row r="910" spans="2:31">
      <c r="B910" s="83"/>
      <c r="C910" s="81"/>
      <c r="D910" s="83"/>
      <c r="E910" s="81"/>
      <c r="F910" s="269"/>
      <c r="G910" s="48"/>
      <c r="H910" s="269"/>
      <c r="I910" s="72"/>
      <c r="J910" s="330"/>
      <c r="K910" s="75"/>
      <c r="L910" s="157"/>
      <c r="M910" s="341"/>
      <c r="N910" s="334"/>
      <c r="T910" s="110"/>
      <c r="V910" s="232"/>
      <c r="W910" s="269"/>
      <c r="X910" s="201"/>
      <c r="Y910" s="269"/>
      <c r="Z910" s="269"/>
      <c r="AA910" s="134"/>
      <c r="AB910" s="269"/>
      <c r="AC910" s="284"/>
      <c r="AD910" s="284"/>
      <c r="AE910" s="269"/>
    </row>
    <row r="911" spans="2:31">
      <c r="B911" s="83"/>
      <c r="C911" s="81"/>
      <c r="D911" s="83"/>
      <c r="E911" s="81"/>
      <c r="F911" s="269"/>
      <c r="G911" s="48"/>
      <c r="H911" s="269"/>
      <c r="I911" s="72"/>
      <c r="J911" s="330"/>
      <c r="K911" s="75"/>
      <c r="L911" s="157"/>
      <c r="M911" s="341"/>
      <c r="N911" s="334"/>
      <c r="T911" s="110"/>
      <c r="V911" s="232"/>
      <c r="W911" s="269"/>
      <c r="X911" s="201"/>
      <c r="Y911" s="269"/>
      <c r="Z911" s="269"/>
      <c r="AA911" s="134"/>
      <c r="AB911" s="269"/>
      <c r="AC911" s="284"/>
      <c r="AD911" s="284"/>
      <c r="AE911" s="269"/>
    </row>
    <row r="912" spans="2:31">
      <c r="B912" s="83"/>
      <c r="C912" s="81"/>
      <c r="D912" s="83"/>
      <c r="E912" s="81"/>
      <c r="F912" s="269"/>
      <c r="G912" s="48"/>
      <c r="H912" s="269"/>
      <c r="I912" s="72"/>
      <c r="J912" s="330"/>
      <c r="K912" s="75"/>
      <c r="L912" s="157"/>
      <c r="M912" s="341"/>
      <c r="N912" s="334"/>
      <c r="T912" s="110"/>
      <c r="V912" s="232"/>
      <c r="W912" s="269"/>
      <c r="X912" s="201"/>
      <c r="Y912" s="269"/>
      <c r="Z912" s="269"/>
      <c r="AA912" s="134"/>
      <c r="AB912" s="269"/>
      <c r="AC912" s="284"/>
      <c r="AD912" s="284"/>
      <c r="AE912" s="269"/>
    </row>
    <row r="913" spans="2:31">
      <c r="B913" s="83"/>
      <c r="C913" s="81"/>
      <c r="D913" s="83"/>
      <c r="E913" s="81"/>
      <c r="F913" s="269"/>
      <c r="G913" s="48"/>
      <c r="H913" s="269"/>
      <c r="I913" s="72"/>
      <c r="J913" s="330"/>
      <c r="K913" s="75"/>
      <c r="L913" s="157"/>
      <c r="M913" s="341"/>
      <c r="N913" s="334"/>
      <c r="T913" s="110"/>
      <c r="V913" s="232"/>
      <c r="W913" s="269"/>
      <c r="X913" s="201"/>
      <c r="Y913" s="269"/>
      <c r="Z913" s="269"/>
      <c r="AA913" s="134"/>
      <c r="AB913" s="269"/>
      <c r="AC913" s="284"/>
      <c r="AD913" s="284"/>
      <c r="AE913" s="269"/>
    </row>
    <row r="914" spans="2:31">
      <c r="B914" s="83"/>
      <c r="C914" s="81"/>
      <c r="D914" s="83"/>
      <c r="E914" s="81"/>
      <c r="F914" s="269"/>
      <c r="G914" s="48"/>
      <c r="H914" s="269"/>
      <c r="I914" s="72"/>
      <c r="J914" s="330"/>
      <c r="K914" s="75"/>
      <c r="L914" s="157"/>
      <c r="M914" s="341"/>
      <c r="N914" s="334"/>
      <c r="T914" s="110"/>
      <c r="V914" s="232"/>
      <c r="W914" s="269"/>
      <c r="X914" s="201"/>
      <c r="Y914" s="269"/>
      <c r="Z914" s="269"/>
      <c r="AA914" s="134"/>
      <c r="AB914" s="269"/>
      <c r="AC914" s="284"/>
      <c r="AD914" s="284"/>
      <c r="AE914" s="269"/>
    </row>
    <row r="915" spans="2:31">
      <c r="B915" s="83"/>
      <c r="C915" s="81"/>
      <c r="D915" s="83"/>
      <c r="E915" s="81"/>
      <c r="F915" s="269"/>
      <c r="G915" s="48"/>
      <c r="H915" s="269"/>
      <c r="I915" s="72"/>
      <c r="J915" s="330"/>
      <c r="K915" s="75"/>
      <c r="L915" s="157"/>
      <c r="M915" s="341"/>
      <c r="N915" s="334"/>
      <c r="T915" s="110"/>
      <c r="V915" s="232"/>
      <c r="W915" s="269"/>
      <c r="X915" s="201"/>
      <c r="Y915" s="269"/>
      <c r="Z915" s="269"/>
      <c r="AA915" s="134"/>
      <c r="AB915" s="269"/>
      <c r="AC915" s="284"/>
      <c r="AD915" s="284"/>
      <c r="AE915" s="269"/>
    </row>
    <row r="916" spans="2:31">
      <c r="B916" s="83"/>
      <c r="C916" s="81"/>
      <c r="D916" s="83"/>
      <c r="E916" s="81"/>
      <c r="F916" s="269"/>
      <c r="G916" s="48"/>
      <c r="H916" s="269"/>
      <c r="I916" s="72"/>
      <c r="J916" s="330"/>
      <c r="K916" s="75"/>
      <c r="L916" s="157"/>
      <c r="M916" s="341"/>
      <c r="N916" s="334"/>
      <c r="T916" s="110"/>
      <c r="V916" s="232"/>
      <c r="W916" s="269"/>
      <c r="X916" s="201"/>
      <c r="Y916" s="269"/>
      <c r="Z916" s="269"/>
      <c r="AA916" s="134"/>
      <c r="AB916" s="269"/>
      <c r="AC916" s="284"/>
      <c r="AD916" s="284"/>
      <c r="AE916" s="269"/>
    </row>
    <row r="917" spans="2:31">
      <c r="B917" s="83"/>
      <c r="C917" s="81"/>
      <c r="D917" s="83"/>
      <c r="E917" s="81"/>
      <c r="F917" s="269"/>
      <c r="G917" s="48"/>
      <c r="H917" s="269"/>
      <c r="I917" s="72"/>
      <c r="J917" s="330"/>
      <c r="K917" s="75"/>
      <c r="L917" s="157"/>
      <c r="M917" s="341"/>
      <c r="N917" s="334"/>
      <c r="T917" s="110"/>
      <c r="V917" s="232"/>
      <c r="W917" s="269"/>
      <c r="X917" s="201"/>
      <c r="Y917" s="269"/>
      <c r="Z917" s="269"/>
      <c r="AA917" s="134"/>
      <c r="AB917" s="269"/>
      <c r="AC917" s="284"/>
      <c r="AD917" s="284"/>
      <c r="AE917" s="269"/>
    </row>
    <row r="918" spans="2:31">
      <c r="B918" s="83"/>
      <c r="C918" s="81"/>
      <c r="D918" s="83"/>
      <c r="E918" s="81"/>
      <c r="F918" s="269"/>
      <c r="G918" s="48"/>
      <c r="H918" s="269"/>
      <c r="I918" s="72"/>
      <c r="J918" s="330"/>
      <c r="K918" s="75"/>
      <c r="L918" s="157"/>
      <c r="M918" s="341"/>
      <c r="N918" s="334"/>
      <c r="T918" s="110"/>
      <c r="V918" s="232"/>
      <c r="W918" s="269"/>
      <c r="X918" s="201"/>
      <c r="Y918" s="269"/>
      <c r="Z918" s="269"/>
      <c r="AA918" s="134"/>
      <c r="AB918" s="269"/>
      <c r="AC918" s="284"/>
      <c r="AD918" s="284"/>
      <c r="AE918" s="269"/>
    </row>
    <row r="919" spans="2:31">
      <c r="B919" s="83"/>
      <c r="C919" s="81"/>
      <c r="D919" s="83"/>
      <c r="E919" s="81"/>
      <c r="F919" s="269"/>
      <c r="G919" s="48"/>
      <c r="H919" s="269"/>
      <c r="I919" s="72"/>
      <c r="J919" s="330"/>
      <c r="K919" s="75"/>
      <c r="L919" s="157"/>
      <c r="M919" s="341"/>
      <c r="N919" s="334"/>
      <c r="T919" s="110"/>
      <c r="V919" s="232"/>
      <c r="W919" s="269"/>
      <c r="X919" s="201"/>
      <c r="Y919" s="269"/>
      <c r="Z919" s="269"/>
      <c r="AA919" s="134"/>
      <c r="AB919" s="269"/>
      <c r="AC919" s="284"/>
      <c r="AD919" s="284"/>
      <c r="AE919" s="269"/>
    </row>
    <row r="920" spans="2:31">
      <c r="B920" s="83"/>
      <c r="C920" s="81"/>
      <c r="D920" s="83"/>
      <c r="E920" s="81"/>
      <c r="F920" s="269"/>
      <c r="G920" s="48"/>
      <c r="H920" s="269"/>
      <c r="I920" s="72"/>
      <c r="J920" s="330"/>
      <c r="K920" s="75"/>
      <c r="L920" s="157"/>
      <c r="M920" s="341"/>
      <c r="N920" s="334"/>
      <c r="T920" s="110"/>
      <c r="V920" s="232"/>
      <c r="W920" s="269"/>
      <c r="X920" s="201"/>
      <c r="Y920" s="269"/>
      <c r="Z920" s="269"/>
      <c r="AA920" s="134"/>
      <c r="AB920" s="269"/>
      <c r="AC920" s="284"/>
      <c r="AD920" s="284"/>
      <c r="AE920" s="269"/>
    </row>
    <row r="921" spans="2:31">
      <c r="B921" s="83"/>
      <c r="C921" s="81"/>
      <c r="D921" s="83"/>
      <c r="E921" s="81"/>
      <c r="F921" s="269"/>
      <c r="G921" s="48"/>
      <c r="H921" s="269"/>
      <c r="I921" s="72"/>
      <c r="J921" s="330"/>
      <c r="K921" s="75"/>
      <c r="L921" s="157"/>
      <c r="M921" s="341"/>
      <c r="N921" s="334"/>
      <c r="T921" s="110"/>
      <c r="V921" s="232"/>
      <c r="W921" s="269"/>
      <c r="X921" s="201"/>
      <c r="Y921" s="269"/>
      <c r="Z921" s="269"/>
      <c r="AA921" s="134"/>
      <c r="AB921" s="269"/>
      <c r="AC921" s="284"/>
      <c r="AD921" s="284"/>
      <c r="AE921" s="269"/>
    </row>
    <row r="922" spans="2:31">
      <c r="B922" s="83"/>
      <c r="C922" s="81"/>
      <c r="D922" s="83"/>
      <c r="E922" s="81"/>
      <c r="F922" s="269"/>
      <c r="G922" s="48"/>
      <c r="H922" s="269"/>
      <c r="I922" s="72"/>
      <c r="J922" s="330"/>
      <c r="K922" s="75"/>
      <c r="L922" s="157"/>
      <c r="M922" s="341"/>
      <c r="N922" s="334"/>
      <c r="T922" s="110"/>
      <c r="V922" s="232"/>
      <c r="W922" s="269"/>
      <c r="X922" s="201"/>
      <c r="Y922" s="269"/>
      <c r="Z922" s="269"/>
      <c r="AA922" s="134"/>
      <c r="AB922" s="269"/>
      <c r="AC922" s="284"/>
      <c r="AD922" s="284"/>
      <c r="AE922" s="269"/>
    </row>
    <row r="923" spans="2:31">
      <c r="B923" s="83"/>
      <c r="C923" s="81"/>
      <c r="D923" s="83"/>
      <c r="E923" s="81"/>
      <c r="F923" s="269"/>
      <c r="G923" s="48"/>
      <c r="H923" s="269"/>
      <c r="I923" s="72"/>
      <c r="J923" s="330"/>
      <c r="K923" s="75"/>
      <c r="L923" s="157"/>
      <c r="M923" s="341"/>
      <c r="N923" s="334"/>
      <c r="T923" s="110"/>
      <c r="V923" s="232"/>
      <c r="W923" s="269"/>
      <c r="X923" s="201"/>
      <c r="Y923" s="269"/>
      <c r="Z923" s="269"/>
      <c r="AA923" s="134"/>
      <c r="AB923" s="269"/>
      <c r="AC923" s="284"/>
      <c r="AD923" s="284"/>
      <c r="AE923" s="269"/>
    </row>
    <row r="924" spans="2:31">
      <c r="B924" s="83"/>
      <c r="C924" s="81"/>
      <c r="D924" s="83"/>
      <c r="E924" s="81"/>
      <c r="F924" s="269"/>
      <c r="G924" s="48"/>
      <c r="H924" s="269"/>
      <c r="I924" s="72"/>
      <c r="J924" s="330"/>
      <c r="K924" s="75"/>
      <c r="L924" s="157"/>
      <c r="M924" s="341"/>
      <c r="N924" s="334"/>
      <c r="T924" s="110"/>
      <c r="V924" s="232"/>
      <c r="W924" s="269"/>
      <c r="X924" s="201"/>
      <c r="Y924" s="269"/>
      <c r="Z924" s="269"/>
      <c r="AA924" s="134"/>
      <c r="AB924" s="269"/>
      <c r="AC924" s="284"/>
      <c r="AD924" s="284"/>
      <c r="AE924" s="269"/>
    </row>
    <row r="925" spans="2:31">
      <c r="B925" s="83"/>
      <c r="C925" s="81"/>
      <c r="D925" s="83"/>
      <c r="E925" s="81"/>
      <c r="F925" s="269"/>
      <c r="G925" s="48"/>
      <c r="H925" s="269"/>
      <c r="I925" s="72"/>
      <c r="J925" s="330"/>
      <c r="K925" s="75"/>
      <c r="L925" s="157"/>
      <c r="M925" s="341"/>
      <c r="N925" s="334"/>
      <c r="T925" s="110"/>
      <c r="V925" s="232"/>
      <c r="W925" s="269"/>
      <c r="X925" s="201"/>
      <c r="Y925" s="269"/>
      <c r="Z925" s="269"/>
      <c r="AA925" s="134"/>
      <c r="AB925" s="269"/>
      <c r="AC925" s="284"/>
      <c r="AD925" s="284"/>
      <c r="AE925" s="269"/>
    </row>
    <row r="926" spans="2:31">
      <c r="B926" s="83"/>
      <c r="C926" s="81"/>
      <c r="D926" s="83"/>
      <c r="E926" s="81"/>
      <c r="F926" s="269"/>
      <c r="G926" s="48"/>
      <c r="H926" s="269"/>
      <c r="I926" s="72"/>
      <c r="J926" s="330"/>
      <c r="K926" s="75"/>
      <c r="L926" s="157"/>
      <c r="M926" s="341"/>
      <c r="N926" s="334"/>
      <c r="T926" s="110"/>
      <c r="V926" s="232"/>
      <c r="W926" s="269"/>
      <c r="X926" s="201"/>
      <c r="Y926" s="269"/>
      <c r="Z926" s="269"/>
      <c r="AA926" s="134"/>
      <c r="AB926" s="269"/>
      <c r="AC926" s="284"/>
      <c r="AD926" s="284"/>
      <c r="AE926" s="269"/>
    </row>
    <row r="927" spans="2:31">
      <c r="B927" s="83"/>
      <c r="C927" s="81"/>
      <c r="D927" s="83"/>
      <c r="E927" s="81"/>
      <c r="F927" s="269"/>
      <c r="G927" s="48"/>
      <c r="H927" s="269"/>
      <c r="I927" s="72"/>
      <c r="J927" s="330"/>
      <c r="K927" s="75"/>
      <c r="L927" s="157"/>
      <c r="M927" s="341"/>
      <c r="N927" s="334"/>
      <c r="T927" s="110"/>
      <c r="V927" s="232"/>
      <c r="W927" s="269"/>
      <c r="X927" s="201"/>
      <c r="Y927" s="269"/>
      <c r="Z927" s="269"/>
      <c r="AA927" s="134"/>
      <c r="AB927" s="269"/>
      <c r="AC927" s="284"/>
      <c r="AD927" s="284"/>
      <c r="AE927" s="269"/>
    </row>
    <row r="928" spans="2:31">
      <c r="B928" s="83"/>
      <c r="C928" s="81"/>
      <c r="D928" s="83"/>
      <c r="E928" s="81"/>
      <c r="F928" s="269"/>
      <c r="G928" s="48"/>
      <c r="H928" s="269"/>
      <c r="I928" s="72"/>
      <c r="J928" s="330"/>
      <c r="K928" s="75"/>
      <c r="L928" s="157"/>
      <c r="M928" s="341"/>
      <c r="N928" s="334"/>
      <c r="T928" s="110"/>
      <c r="V928" s="232"/>
      <c r="W928" s="269"/>
      <c r="X928" s="201"/>
      <c r="Y928" s="269"/>
      <c r="Z928" s="269"/>
      <c r="AA928" s="134"/>
      <c r="AB928" s="269"/>
      <c r="AC928" s="284"/>
      <c r="AD928" s="284"/>
      <c r="AE928" s="269"/>
    </row>
    <row r="929" spans="2:31">
      <c r="B929" s="83"/>
      <c r="C929" s="81"/>
      <c r="D929" s="83"/>
      <c r="E929" s="81"/>
      <c r="F929" s="269"/>
      <c r="G929" s="48"/>
      <c r="H929" s="269"/>
      <c r="I929" s="72"/>
      <c r="J929" s="330"/>
      <c r="K929" s="75"/>
      <c r="L929" s="157"/>
      <c r="M929" s="341"/>
      <c r="N929" s="334"/>
      <c r="T929" s="110"/>
      <c r="V929" s="232"/>
      <c r="W929" s="269"/>
      <c r="X929" s="201"/>
      <c r="Y929" s="269"/>
      <c r="Z929" s="269"/>
      <c r="AA929" s="134"/>
      <c r="AB929" s="269"/>
      <c r="AC929" s="284"/>
      <c r="AD929" s="284"/>
      <c r="AE929" s="269"/>
    </row>
    <row r="930" spans="2:31">
      <c r="B930" s="83"/>
      <c r="C930" s="81"/>
      <c r="D930" s="83"/>
      <c r="E930" s="81"/>
      <c r="F930" s="269"/>
      <c r="G930" s="48"/>
      <c r="H930" s="269"/>
      <c r="I930" s="72"/>
      <c r="J930" s="330"/>
      <c r="K930" s="75"/>
      <c r="L930" s="157"/>
      <c r="M930" s="341"/>
      <c r="N930" s="334"/>
      <c r="T930" s="110"/>
      <c r="V930" s="232"/>
      <c r="W930" s="269"/>
      <c r="X930" s="201"/>
      <c r="Y930" s="269"/>
      <c r="Z930" s="269"/>
      <c r="AA930" s="134"/>
      <c r="AB930" s="269"/>
      <c r="AC930" s="284"/>
      <c r="AD930" s="284"/>
      <c r="AE930" s="269"/>
    </row>
    <row r="931" spans="2:31">
      <c r="B931" s="83"/>
      <c r="C931" s="81"/>
      <c r="D931" s="83"/>
      <c r="E931" s="81"/>
      <c r="F931" s="269"/>
      <c r="G931" s="48"/>
      <c r="H931" s="269"/>
      <c r="I931" s="72"/>
      <c r="J931" s="330"/>
      <c r="K931" s="75"/>
      <c r="L931" s="157"/>
      <c r="M931" s="341"/>
      <c r="N931" s="334"/>
      <c r="T931" s="110"/>
      <c r="V931" s="232"/>
      <c r="W931" s="269"/>
      <c r="X931" s="201"/>
      <c r="Y931" s="269"/>
      <c r="Z931" s="269"/>
      <c r="AA931" s="134"/>
      <c r="AB931" s="269"/>
      <c r="AC931" s="284"/>
      <c r="AD931" s="284"/>
      <c r="AE931" s="269"/>
    </row>
    <row r="932" spans="2:31">
      <c r="B932" s="83"/>
      <c r="C932" s="81"/>
      <c r="D932" s="83"/>
      <c r="E932" s="81"/>
      <c r="F932" s="269"/>
      <c r="G932" s="48"/>
      <c r="H932" s="269"/>
      <c r="I932" s="72"/>
      <c r="J932" s="330"/>
      <c r="K932" s="75"/>
      <c r="L932" s="157"/>
      <c r="M932" s="341"/>
      <c r="N932" s="334"/>
      <c r="T932" s="110"/>
      <c r="V932" s="232"/>
      <c r="W932" s="269"/>
      <c r="X932" s="201"/>
      <c r="Y932" s="269"/>
      <c r="Z932" s="269"/>
      <c r="AA932" s="134"/>
      <c r="AB932" s="269"/>
      <c r="AC932" s="284"/>
      <c r="AD932" s="284"/>
      <c r="AE932" s="269"/>
    </row>
    <row r="933" spans="2:31">
      <c r="B933" s="83"/>
      <c r="C933" s="81"/>
      <c r="D933" s="83"/>
      <c r="E933" s="81"/>
      <c r="F933" s="269"/>
      <c r="G933" s="48"/>
      <c r="H933" s="269"/>
      <c r="I933" s="72"/>
      <c r="J933" s="330"/>
      <c r="K933" s="75"/>
      <c r="L933" s="157"/>
      <c r="M933" s="341"/>
      <c r="N933" s="334"/>
      <c r="T933" s="110"/>
      <c r="V933" s="232"/>
      <c r="W933" s="269"/>
      <c r="X933" s="201"/>
      <c r="Y933" s="269"/>
      <c r="Z933" s="269"/>
      <c r="AA933" s="134"/>
      <c r="AB933" s="269"/>
      <c r="AC933" s="284"/>
      <c r="AD933" s="284"/>
      <c r="AE933" s="269"/>
    </row>
    <row r="934" spans="2:31">
      <c r="B934" s="83"/>
      <c r="C934" s="81"/>
      <c r="D934" s="83"/>
      <c r="E934" s="81"/>
      <c r="F934" s="269"/>
      <c r="G934" s="48"/>
      <c r="H934" s="269"/>
      <c r="I934" s="72"/>
      <c r="J934" s="330"/>
      <c r="K934" s="75"/>
      <c r="L934" s="157"/>
      <c r="M934" s="341"/>
      <c r="N934" s="334"/>
      <c r="T934" s="110"/>
      <c r="V934" s="232"/>
      <c r="W934" s="269"/>
      <c r="X934" s="201"/>
      <c r="Y934" s="269"/>
      <c r="Z934" s="269"/>
      <c r="AA934" s="134"/>
      <c r="AB934" s="269"/>
      <c r="AC934" s="284"/>
      <c r="AD934" s="284"/>
      <c r="AE934" s="269"/>
    </row>
    <row r="935" spans="2:31">
      <c r="B935" s="83"/>
      <c r="C935" s="81"/>
      <c r="D935" s="83"/>
      <c r="E935" s="81"/>
      <c r="F935" s="269"/>
      <c r="G935" s="48"/>
      <c r="H935" s="269"/>
      <c r="I935" s="72"/>
      <c r="J935" s="330"/>
      <c r="K935" s="75"/>
      <c r="L935" s="157"/>
      <c r="M935" s="341"/>
      <c r="N935" s="334"/>
      <c r="T935" s="110"/>
      <c r="V935" s="232"/>
      <c r="W935" s="269"/>
      <c r="X935" s="201"/>
      <c r="Y935" s="269"/>
      <c r="Z935" s="269"/>
      <c r="AA935" s="134"/>
      <c r="AB935" s="269"/>
      <c r="AC935" s="284"/>
      <c r="AD935" s="284"/>
      <c r="AE935" s="269"/>
    </row>
    <row r="936" spans="2:31">
      <c r="B936" s="83"/>
      <c r="C936" s="81"/>
      <c r="D936" s="83"/>
      <c r="E936" s="81"/>
      <c r="F936" s="269"/>
      <c r="G936" s="48"/>
      <c r="H936" s="269"/>
      <c r="I936" s="72"/>
      <c r="J936" s="330"/>
      <c r="K936" s="75"/>
      <c r="L936" s="157"/>
      <c r="M936" s="341"/>
      <c r="N936" s="334"/>
      <c r="T936" s="110"/>
      <c r="V936" s="232"/>
      <c r="W936" s="269"/>
      <c r="X936" s="201"/>
      <c r="Y936" s="269"/>
      <c r="Z936" s="269"/>
      <c r="AA936" s="134"/>
      <c r="AB936" s="269"/>
      <c r="AC936" s="284"/>
      <c r="AD936" s="284"/>
      <c r="AE936" s="269"/>
    </row>
    <row r="937" spans="2:31">
      <c r="B937" s="83"/>
      <c r="C937" s="81"/>
      <c r="D937" s="83"/>
      <c r="E937" s="81"/>
      <c r="F937" s="269"/>
      <c r="G937" s="48"/>
      <c r="H937" s="269"/>
      <c r="I937" s="72"/>
      <c r="J937" s="330"/>
      <c r="K937" s="75"/>
      <c r="L937" s="157"/>
      <c r="M937" s="341"/>
      <c r="N937" s="334"/>
      <c r="T937" s="110"/>
      <c r="V937" s="232"/>
      <c r="W937" s="269"/>
      <c r="X937" s="201"/>
      <c r="Y937" s="269"/>
      <c r="Z937" s="269"/>
      <c r="AA937" s="134"/>
      <c r="AB937" s="269"/>
      <c r="AC937" s="284"/>
      <c r="AD937" s="284"/>
      <c r="AE937" s="269"/>
    </row>
    <row r="938" spans="2:31">
      <c r="B938" s="83"/>
      <c r="C938" s="81"/>
      <c r="D938" s="83"/>
      <c r="E938" s="81"/>
      <c r="F938" s="269"/>
      <c r="G938" s="48"/>
      <c r="H938" s="269"/>
      <c r="I938" s="72"/>
      <c r="J938" s="330"/>
      <c r="K938" s="75"/>
      <c r="L938" s="157"/>
      <c r="M938" s="341"/>
      <c r="N938" s="334"/>
      <c r="T938" s="110"/>
      <c r="V938" s="232"/>
      <c r="W938" s="269"/>
      <c r="X938" s="201"/>
      <c r="Y938" s="269"/>
      <c r="Z938" s="269"/>
      <c r="AA938" s="134"/>
      <c r="AB938" s="269"/>
      <c r="AC938" s="284"/>
      <c r="AD938" s="284"/>
      <c r="AE938" s="269"/>
    </row>
    <row r="939" spans="2:31">
      <c r="B939" s="83"/>
      <c r="C939" s="81"/>
      <c r="D939" s="83"/>
      <c r="E939" s="81"/>
      <c r="F939" s="269"/>
      <c r="G939" s="48"/>
      <c r="H939" s="269"/>
      <c r="I939" s="72"/>
      <c r="J939" s="330"/>
      <c r="K939" s="75"/>
      <c r="L939" s="157"/>
      <c r="M939" s="341"/>
      <c r="N939" s="334"/>
      <c r="T939" s="110"/>
      <c r="V939" s="232"/>
      <c r="W939" s="269"/>
      <c r="X939" s="201"/>
      <c r="Y939" s="269"/>
      <c r="Z939" s="269"/>
      <c r="AA939" s="134"/>
      <c r="AB939" s="269"/>
      <c r="AC939" s="284"/>
      <c r="AD939" s="284"/>
      <c r="AE939" s="269"/>
    </row>
    <row r="940" spans="2:31">
      <c r="B940" s="83"/>
      <c r="C940" s="81"/>
      <c r="D940" s="83"/>
      <c r="E940" s="81"/>
      <c r="F940" s="269"/>
      <c r="G940" s="48"/>
      <c r="H940" s="269"/>
      <c r="I940" s="72"/>
      <c r="J940" s="330"/>
      <c r="K940" s="75"/>
      <c r="L940" s="157"/>
      <c r="M940" s="341"/>
      <c r="N940" s="334"/>
      <c r="T940" s="110"/>
      <c r="V940" s="232"/>
      <c r="W940" s="269"/>
      <c r="X940" s="201"/>
      <c r="Y940" s="269"/>
      <c r="Z940" s="269"/>
      <c r="AA940" s="134"/>
      <c r="AB940" s="269"/>
      <c r="AC940" s="284"/>
      <c r="AD940" s="284"/>
      <c r="AE940" s="269"/>
    </row>
    <row r="941" spans="2:31">
      <c r="B941" s="83"/>
      <c r="C941" s="81"/>
      <c r="D941" s="83"/>
      <c r="E941" s="81"/>
      <c r="F941" s="269"/>
      <c r="G941" s="48"/>
      <c r="H941" s="269"/>
      <c r="I941" s="72"/>
      <c r="J941" s="330"/>
      <c r="K941" s="75"/>
      <c r="L941" s="157"/>
      <c r="M941" s="341"/>
      <c r="N941" s="334"/>
      <c r="T941" s="110"/>
      <c r="V941" s="232"/>
      <c r="W941" s="269"/>
      <c r="X941" s="201"/>
      <c r="Y941" s="269"/>
      <c r="Z941" s="269"/>
      <c r="AA941" s="134"/>
      <c r="AB941" s="269"/>
      <c r="AC941" s="284"/>
      <c r="AD941" s="284"/>
      <c r="AE941" s="269"/>
    </row>
    <row r="942" spans="2:31">
      <c r="B942" s="83"/>
      <c r="C942" s="81"/>
      <c r="D942" s="83"/>
      <c r="E942" s="81"/>
      <c r="F942" s="269"/>
      <c r="G942" s="48"/>
      <c r="H942" s="269"/>
      <c r="I942" s="72"/>
      <c r="J942" s="330"/>
      <c r="K942" s="75"/>
      <c r="L942" s="157"/>
      <c r="M942" s="341"/>
      <c r="N942" s="334"/>
      <c r="T942" s="110"/>
      <c r="V942" s="232"/>
      <c r="W942" s="269"/>
      <c r="X942" s="201"/>
      <c r="Y942" s="269"/>
      <c r="Z942" s="269"/>
      <c r="AA942" s="134"/>
      <c r="AB942" s="269"/>
      <c r="AC942" s="284"/>
      <c r="AD942" s="284"/>
      <c r="AE942" s="269"/>
    </row>
    <row r="943" spans="2:31">
      <c r="B943" s="83"/>
      <c r="C943" s="81"/>
      <c r="D943" s="83"/>
      <c r="E943" s="81"/>
      <c r="F943" s="269"/>
      <c r="G943" s="48"/>
      <c r="H943" s="269"/>
      <c r="I943" s="72"/>
      <c r="J943" s="330"/>
      <c r="K943" s="75"/>
      <c r="L943" s="157"/>
      <c r="M943" s="341"/>
      <c r="N943" s="334"/>
      <c r="T943" s="110"/>
      <c r="V943" s="232"/>
      <c r="W943" s="269"/>
      <c r="X943" s="201"/>
      <c r="Y943" s="269"/>
      <c r="Z943" s="269"/>
      <c r="AA943" s="134"/>
      <c r="AB943" s="269"/>
      <c r="AC943" s="284"/>
      <c r="AD943" s="284"/>
      <c r="AE943" s="269"/>
    </row>
    <row r="944" spans="2:31">
      <c r="B944" s="83"/>
      <c r="C944" s="81"/>
      <c r="D944" s="83"/>
      <c r="E944" s="81"/>
      <c r="F944" s="269"/>
      <c r="G944" s="48"/>
      <c r="H944" s="269"/>
      <c r="I944" s="72"/>
      <c r="J944" s="330"/>
      <c r="K944" s="75"/>
      <c r="L944" s="157"/>
      <c r="M944" s="341"/>
      <c r="N944" s="334"/>
      <c r="T944" s="110"/>
      <c r="V944" s="232"/>
      <c r="W944" s="269"/>
      <c r="X944" s="201"/>
      <c r="Y944" s="269"/>
      <c r="Z944" s="269"/>
      <c r="AA944" s="134"/>
      <c r="AB944" s="269"/>
      <c r="AC944" s="284"/>
      <c r="AD944" s="284"/>
      <c r="AE944" s="269"/>
    </row>
    <row r="945" spans="2:31">
      <c r="B945" s="83"/>
      <c r="C945" s="81"/>
      <c r="D945" s="83"/>
      <c r="E945" s="81"/>
      <c r="F945" s="269"/>
      <c r="G945" s="48"/>
      <c r="H945" s="269"/>
      <c r="I945" s="72"/>
      <c r="J945" s="330"/>
      <c r="K945" s="75"/>
      <c r="L945" s="157"/>
      <c r="M945" s="341"/>
      <c r="N945" s="334"/>
      <c r="T945" s="110"/>
      <c r="V945" s="232"/>
      <c r="W945" s="269"/>
      <c r="X945" s="201"/>
      <c r="Y945" s="269"/>
      <c r="Z945" s="269"/>
      <c r="AA945" s="134"/>
      <c r="AB945" s="269"/>
      <c r="AC945" s="284"/>
      <c r="AD945" s="284"/>
      <c r="AE945" s="269"/>
    </row>
    <row r="946" spans="2:31">
      <c r="B946" s="83"/>
      <c r="C946" s="81"/>
      <c r="D946" s="83"/>
      <c r="E946" s="81"/>
      <c r="F946" s="269"/>
      <c r="G946" s="48"/>
      <c r="H946" s="269"/>
      <c r="I946" s="72"/>
      <c r="J946" s="330"/>
      <c r="K946" s="75"/>
      <c r="L946" s="157"/>
      <c r="M946" s="341"/>
      <c r="N946" s="334"/>
      <c r="T946" s="110"/>
      <c r="V946" s="232"/>
      <c r="W946" s="269"/>
      <c r="X946" s="201"/>
      <c r="Y946" s="269"/>
      <c r="Z946" s="269"/>
      <c r="AA946" s="134"/>
      <c r="AB946" s="269"/>
      <c r="AC946" s="284"/>
      <c r="AD946" s="284"/>
      <c r="AE946" s="269"/>
    </row>
    <row r="947" spans="2:31">
      <c r="B947" s="83"/>
      <c r="C947" s="81"/>
      <c r="D947" s="83"/>
      <c r="E947" s="81"/>
      <c r="F947" s="269"/>
      <c r="G947" s="48"/>
      <c r="H947" s="269"/>
      <c r="I947" s="72"/>
      <c r="J947" s="330"/>
      <c r="K947" s="75"/>
      <c r="L947" s="157"/>
      <c r="M947" s="341"/>
      <c r="N947" s="334"/>
      <c r="T947" s="110"/>
      <c r="V947" s="232"/>
      <c r="W947" s="269"/>
      <c r="X947" s="201"/>
      <c r="Y947" s="269"/>
      <c r="Z947" s="269"/>
      <c r="AA947" s="134"/>
      <c r="AB947" s="269"/>
      <c r="AC947" s="284"/>
      <c r="AD947" s="284"/>
      <c r="AE947" s="269"/>
    </row>
    <row r="948" spans="2:31">
      <c r="B948" s="83"/>
      <c r="C948" s="81"/>
      <c r="D948" s="83"/>
      <c r="E948" s="81"/>
      <c r="F948" s="269"/>
      <c r="G948" s="48"/>
      <c r="H948" s="269"/>
      <c r="I948" s="72"/>
      <c r="J948" s="330"/>
      <c r="K948" s="75"/>
      <c r="L948" s="157"/>
      <c r="M948" s="341"/>
      <c r="N948" s="334"/>
      <c r="T948" s="110"/>
      <c r="V948" s="232"/>
      <c r="W948" s="269"/>
      <c r="X948" s="201"/>
      <c r="Y948" s="269"/>
      <c r="Z948" s="269"/>
      <c r="AA948" s="134"/>
      <c r="AB948" s="269"/>
      <c r="AC948" s="284"/>
      <c r="AD948" s="284"/>
      <c r="AE948" s="269"/>
    </row>
    <row r="949" spans="2:31">
      <c r="B949" s="83"/>
      <c r="C949" s="81"/>
      <c r="D949" s="83"/>
      <c r="E949" s="81"/>
      <c r="F949" s="269"/>
      <c r="G949" s="48"/>
      <c r="H949" s="269"/>
      <c r="I949" s="72"/>
      <c r="J949" s="330"/>
      <c r="K949" s="75"/>
      <c r="L949" s="157"/>
      <c r="M949" s="341"/>
      <c r="N949" s="334"/>
      <c r="T949" s="110"/>
      <c r="V949" s="232"/>
      <c r="W949" s="269"/>
      <c r="X949" s="201"/>
      <c r="Y949" s="269"/>
      <c r="Z949" s="269"/>
      <c r="AA949" s="134"/>
      <c r="AB949" s="269"/>
      <c r="AC949" s="284"/>
      <c r="AD949" s="284"/>
      <c r="AE949" s="269"/>
    </row>
    <row r="950" spans="2:31">
      <c r="B950" s="83"/>
      <c r="C950" s="81"/>
      <c r="D950" s="83"/>
      <c r="E950" s="81"/>
      <c r="F950" s="269"/>
      <c r="G950" s="48"/>
      <c r="H950" s="269"/>
      <c r="I950" s="72"/>
      <c r="J950" s="330"/>
      <c r="K950" s="75"/>
      <c r="L950" s="157"/>
      <c r="M950" s="341"/>
      <c r="N950" s="334"/>
      <c r="T950" s="110"/>
      <c r="V950" s="232"/>
      <c r="W950" s="269"/>
      <c r="X950" s="201"/>
      <c r="Y950" s="269"/>
      <c r="Z950" s="269"/>
      <c r="AA950" s="134"/>
      <c r="AB950" s="269"/>
      <c r="AC950" s="284"/>
      <c r="AD950" s="284"/>
      <c r="AE950" s="269"/>
    </row>
    <row r="951" spans="2:31">
      <c r="B951" s="83"/>
      <c r="C951" s="81"/>
      <c r="D951" s="83"/>
      <c r="E951" s="81"/>
      <c r="F951" s="269"/>
      <c r="G951" s="48"/>
      <c r="H951" s="269"/>
      <c r="I951" s="72"/>
      <c r="J951" s="330"/>
      <c r="K951" s="75"/>
      <c r="L951" s="157"/>
      <c r="M951" s="341"/>
      <c r="N951" s="334"/>
      <c r="T951" s="110"/>
      <c r="V951" s="232"/>
      <c r="W951" s="269"/>
      <c r="X951" s="201"/>
      <c r="Y951" s="269"/>
      <c r="Z951" s="269"/>
      <c r="AA951" s="134"/>
      <c r="AB951" s="269"/>
      <c r="AC951" s="284"/>
      <c r="AD951" s="284"/>
      <c r="AE951" s="269"/>
    </row>
    <row r="952" spans="2:31">
      <c r="B952" s="83"/>
      <c r="C952" s="81"/>
      <c r="D952" s="83"/>
      <c r="E952" s="81"/>
      <c r="F952" s="269"/>
      <c r="G952" s="48"/>
      <c r="H952" s="269"/>
      <c r="I952" s="72"/>
      <c r="J952" s="330"/>
      <c r="K952" s="75"/>
      <c r="L952" s="157"/>
      <c r="M952" s="341"/>
      <c r="N952" s="334"/>
      <c r="T952" s="110"/>
      <c r="V952" s="232"/>
      <c r="W952" s="269"/>
      <c r="X952" s="201"/>
      <c r="Y952" s="269"/>
      <c r="Z952" s="269"/>
      <c r="AA952" s="134"/>
      <c r="AB952" s="269"/>
      <c r="AC952" s="284"/>
      <c r="AD952" s="284"/>
      <c r="AE952" s="269"/>
    </row>
    <row r="953" spans="2:31">
      <c r="B953" s="83"/>
      <c r="C953" s="81"/>
      <c r="D953" s="83"/>
      <c r="E953" s="81"/>
      <c r="F953" s="269"/>
      <c r="G953" s="48"/>
      <c r="H953" s="269"/>
      <c r="I953" s="72"/>
      <c r="J953" s="330"/>
      <c r="K953" s="75"/>
      <c r="L953" s="157"/>
      <c r="M953" s="341"/>
      <c r="N953" s="334"/>
      <c r="T953" s="110"/>
      <c r="V953" s="232"/>
      <c r="W953" s="269"/>
      <c r="X953" s="201"/>
      <c r="Y953" s="269"/>
      <c r="Z953" s="269"/>
      <c r="AA953" s="134"/>
      <c r="AB953" s="269"/>
      <c r="AC953" s="284"/>
      <c r="AD953" s="284"/>
      <c r="AE953" s="269"/>
    </row>
    <row r="954" spans="2:31">
      <c r="B954" s="83"/>
      <c r="C954" s="81"/>
      <c r="D954" s="83"/>
      <c r="E954" s="81"/>
      <c r="F954" s="269"/>
      <c r="G954" s="48"/>
      <c r="H954" s="269"/>
      <c r="I954" s="72"/>
      <c r="J954" s="330"/>
      <c r="K954" s="75"/>
      <c r="L954" s="157"/>
      <c r="M954" s="341"/>
      <c r="N954" s="334"/>
      <c r="T954" s="110"/>
      <c r="V954" s="232"/>
      <c r="W954" s="269"/>
      <c r="X954" s="201"/>
      <c r="Y954" s="269"/>
      <c r="Z954" s="269"/>
      <c r="AA954" s="134"/>
      <c r="AB954" s="269"/>
      <c r="AC954" s="284"/>
      <c r="AD954" s="284"/>
      <c r="AE954" s="269"/>
    </row>
    <row r="955" spans="2:31">
      <c r="B955" s="83"/>
      <c r="C955" s="81"/>
      <c r="D955" s="83"/>
      <c r="E955" s="81"/>
      <c r="F955" s="269"/>
      <c r="G955" s="48"/>
      <c r="H955" s="269"/>
      <c r="I955" s="72"/>
      <c r="J955" s="330"/>
      <c r="K955" s="75"/>
      <c r="L955" s="157"/>
      <c r="M955" s="341"/>
      <c r="N955" s="334"/>
      <c r="T955" s="110"/>
      <c r="V955" s="232"/>
      <c r="W955" s="269"/>
      <c r="X955" s="201"/>
      <c r="Y955" s="269"/>
      <c r="Z955" s="269"/>
      <c r="AA955" s="134"/>
      <c r="AB955" s="269"/>
      <c r="AC955" s="284"/>
      <c r="AD955" s="284"/>
      <c r="AE955" s="269"/>
    </row>
    <row r="956" spans="2:31">
      <c r="B956" s="83"/>
      <c r="C956" s="81"/>
      <c r="D956" s="83"/>
      <c r="E956" s="81"/>
      <c r="F956" s="269"/>
      <c r="G956" s="48"/>
      <c r="H956" s="269"/>
      <c r="I956" s="72"/>
      <c r="J956" s="330"/>
      <c r="K956" s="75"/>
      <c r="L956" s="157"/>
      <c r="M956" s="341"/>
      <c r="N956" s="334"/>
      <c r="T956" s="110"/>
      <c r="V956" s="232"/>
      <c r="W956" s="269"/>
      <c r="X956" s="201"/>
      <c r="Y956" s="269"/>
      <c r="Z956" s="269"/>
      <c r="AA956" s="134"/>
      <c r="AB956" s="269"/>
      <c r="AC956" s="284"/>
      <c r="AD956" s="284"/>
      <c r="AE956" s="269"/>
    </row>
    <row r="957" spans="2:31">
      <c r="B957" s="83"/>
      <c r="C957" s="81"/>
      <c r="D957" s="83"/>
      <c r="E957" s="81"/>
      <c r="F957" s="269"/>
      <c r="G957" s="48"/>
      <c r="H957" s="269"/>
      <c r="I957" s="72"/>
      <c r="J957" s="330"/>
      <c r="K957" s="75"/>
      <c r="L957" s="157"/>
      <c r="M957" s="341"/>
      <c r="N957" s="334"/>
      <c r="T957" s="110"/>
      <c r="V957" s="232"/>
      <c r="W957" s="269"/>
      <c r="X957" s="201"/>
      <c r="Y957" s="269"/>
      <c r="Z957" s="269"/>
      <c r="AA957" s="134"/>
      <c r="AB957" s="269"/>
      <c r="AC957" s="284"/>
      <c r="AD957" s="284"/>
      <c r="AE957" s="269"/>
    </row>
    <row r="958" spans="2:31">
      <c r="B958" s="83"/>
      <c r="C958" s="81"/>
      <c r="D958" s="83"/>
      <c r="E958" s="81"/>
      <c r="F958" s="269"/>
      <c r="G958" s="48"/>
      <c r="H958" s="269"/>
      <c r="I958" s="72"/>
      <c r="J958" s="330"/>
      <c r="K958" s="75"/>
      <c r="L958" s="157"/>
      <c r="M958" s="341"/>
      <c r="N958" s="334"/>
      <c r="T958" s="110"/>
      <c r="V958" s="232"/>
      <c r="W958" s="269"/>
      <c r="X958" s="201"/>
      <c r="Y958" s="269"/>
      <c r="Z958" s="269"/>
      <c r="AA958" s="134"/>
      <c r="AB958" s="269"/>
      <c r="AC958" s="284"/>
      <c r="AD958" s="284"/>
      <c r="AE958" s="269"/>
    </row>
    <row r="959" spans="2:31">
      <c r="B959" s="83"/>
      <c r="C959" s="81"/>
      <c r="D959" s="83"/>
      <c r="E959" s="81"/>
      <c r="F959" s="269"/>
      <c r="G959" s="48"/>
      <c r="H959" s="269"/>
      <c r="I959" s="72"/>
      <c r="J959" s="330"/>
      <c r="K959" s="75"/>
      <c r="L959" s="157"/>
      <c r="M959" s="341"/>
      <c r="N959" s="334"/>
      <c r="T959" s="110"/>
      <c r="V959" s="232"/>
      <c r="W959" s="269"/>
      <c r="X959" s="201"/>
      <c r="Y959" s="269"/>
      <c r="Z959" s="269"/>
      <c r="AA959" s="134"/>
      <c r="AB959" s="269"/>
      <c r="AC959" s="284"/>
      <c r="AD959" s="284"/>
      <c r="AE959" s="269"/>
    </row>
    <row r="960" spans="2:31">
      <c r="B960" s="83"/>
      <c r="C960" s="81"/>
      <c r="D960" s="83"/>
      <c r="E960" s="81"/>
      <c r="F960" s="269"/>
      <c r="G960" s="48"/>
      <c r="H960" s="269"/>
      <c r="I960" s="72"/>
      <c r="J960" s="330"/>
      <c r="K960" s="75"/>
      <c r="L960" s="157"/>
      <c r="M960" s="341"/>
      <c r="N960" s="334"/>
      <c r="T960" s="110"/>
      <c r="V960" s="232"/>
      <c r="W960" s="269"/>
      <c r="X960" s="201"/>
      <c r="Y960" s="269"/>
      <c r="Z960" s="269"/>
      <c r="AA960" s="134"/>
      <c r="AB960" s="269"/>
      <c r="AC960" s="284"/>
      <c r="AD960" s="284"/>
      <c r="AE960" s="269"/>
    </row>
    <row r="961" spans="2:31">
      <c r="B961" s="83"/>
      <c r="C961" s="81"/>
      <c r="D961" s="83"/>
      <c r="E961" s="81"/>
      <c r="F961" s="269"/>
      <c r="G961" s="48"/>
      <c r="H961" s="269"/>
      <c r="I961" s="72"/>
      <c r="J961" s="330"/>
      <c r="K961" s="75"/>
      <c r="L961" s="157"/>
      <c r="M961" s="341"/>
      <c r="N961" s="334"/>
      <c r="T961" s="110"/>
      <c r="V961" s="232"/>
      <c r="W961" s="269"/>
      <c r="X961" s="201"/>
      <c r="Y961" s="269"/>
      <c r="Z961" s="269"/>
      <c r="AA961" s="134"/>
      <c r="AB961" s="269"/>
      <c r="AC961" s="284"/>
      <c r="AD961" s="284"/>
      <c r="AE961" s="269"/>
    </row>
    <row r="962" spans="2:31">
      <c r="B962" s="83"/>
      <c r="C962" s="81"/>
      <c r="D962" s="83"/>
      <c r="E962" s="81"/>
      <c r="F962" s="269"/>
      <c r="G962" s="48"/>
      <c r="H962" s="269"/>
      <c r="I962" s="72"/>
      <c r="J962" s="330"/>
      <c r="K962" s="75"/>
      <c r="L962" s="157"/>
      <c r="M962" s="341"/>
      <c r="N962" s="334"/>
      <c r="T962" s="110"/>
      <c r="V962" s="232"/>
      <c r="W962" s="269"/>
      <c r="X962" s="201"/>
      <c r="Y962" s="269"/>
      <c r="Z962" s="269"/>
      <c r="AA962" s="134"/>
      <c r="AB962" s="269"/>
      <c r="AC962" s="284"/>
      <c r="AD962" s="284"/>
      <c r="AE962" s="269"/>
    </row>
    <row r="963" spans="2:31">
      <c r="B963" s="83"/>
      <c r="C963" s="81"/>
      <c r="D963" s="83"/>
      <c r="E963" s="81"/>
      <c r="F963" s="269"/>
      <c r="G963" s="48"/>
      <c r="H963" s="269"/>
      <c r="I963" s="72"/>
      <c r="J963" s="330"/>
      <c r="K963" s="75"/>
      <c r="L963" s="157"/>
      <c r="M963" s="341"/>
      <c r="N963" s="334"/>
      <c r="T963" s="110"/>
      <c r="V963" s="232"/>
      <c r="W963" s="269"/>
      <c r="X963" s="201"/>
      <c r="Y963" s="269"/>
      <c r="Z963" s="269"/>
      <c r="AA963" s="134"/>
      <c r="AB963" s="269"/>
      <c r="AC963" s="284"/>
      <c r="AD963" s="284"/>
      <c r="AE963" s="269"/>
    </row>
    <row r="964" spans="2:31">
      <c r="B964" s="83"/>
      <c r="C964" s="81"/>
      <c r="D964" s="83"/>
      <c r="E964" s="81"/>
      <c r="F964" s="269"/>
      <c r="G964" s="48"/>
      <c r="H964" s="269"/>
      <c r="I964" s="72"/>
      <c r="J964" s="330"/>
      <c r="K964" s="75"/>
      <c r="L964" s="157"/>
      <c r="M964" s="341"/>
      <c r="N964" s="334"/>
      <c r="T964" s="110"/>
      <c r="V964" s="232"/>
      <c r="W964" s="269"/>
      <c r="X964" s="201"/>
      <c r="Y964" s="269"/>
      <c r="Z964" s="269"/>
      <c r="AA964" s="134"/>
      <c r="AB964" s="269"/>
      <c r="AC964" s="284"/>
      <c r="AD964" s="284"/>
      <c r="AE964" s="269"/>
    </row>
    <row r="965" spans="2:31">
      <c r="B965" s="83"/>
      <c r="C965" s="81"/>
      <c r="D965" s="83"/>
      <c r="E965" s="81"/>
      <c r="F965" s="269"/>
      <c r="G965" s="48"/>
      <c r="H965" s="269"/>
      <c r="I965" s="72"/>
      <c r="J965" s="330"/>
      <c r="K965" s="75"/>
      <c r="L965" s="157"/>
      <c r="M965" s="341"/>
      <c r="N965" s="334"/>
      <c r="T965" s="110"/>
      <c r="V965" s="232"/>
      <c r="W965" s="269"/>
      <c r="X965" s="201"/>
      <c r="Y965" s="269"/>
      <c r="Z965" s="269"/>
      <c r="AA965" s="134"/>
      <c r="AB965" s="269"/>
      <c r="AC965" s="284"/>
      <c r="AD965" s="284"/>
      <c r="AE965" s="269"/>
    </row>
    <row r="966" spans="2:31">
      <c r="B966" s="83"/>
      <c r="C966" s="81"/>
      <c r="D966" s="83"/>
      <c r="E966" s="81"/>
      <c r="F966" s="269"/>
      <c r="G966" s="48"/>
      <c r="H966" s="269"/>
      <c r="I966" s="72"/>
      <c r="J966" s="330"/>
      <c r="K966" s="75"/>
      <c r="L966" s="157"/>
      <c r="M966" s="341"/>
      <c r="N966" s="334"/>
      <c r="T966" s="110"/>
      <c r="V966" s="232"/>
      <c r="W966" s="269"/>
      <c r="X966" s="201"/>
      <c r="Y966" s="269"/>
      <c r="Z966" s="269"/>
      <c r="AA966" s="134"/>
      <c r="AB966" s="269"/>
      <c r="AC966" s="284"/>
      <c r="AD966" s="284"/>
      <c r="AE966" s="269"/>
    </row>
    <row r="967" spans="2:31">
      <c r="B967" s="83"/>
      <c r="C967" s="81"/>
      <c r="D967" s="83"/>
      <c r="E967" s="81"/>
      <c r="F967" s="269"/>
      <c r="G967" s="48"/>
      <c r="H967" s="269"/>
      <c r="I967" s="72"/>
      <c r="J967" s="330"/>
      <c r="K967" s="75"/>
      <c r="L967" s="157"/>
      <c r="M967" s="341"/>
      <c r="N967" s="334"/>
      <c r="T967" s="110"/>
      <c r="V967" s="232"/>
      <c r="W967" s="269"/>
      <c r="X967" s="201"/>
      <c r="Y967" s="269"/>
      <c r="Z967" s="269"/>
      <c r="AA967" s="134"/>
      <c r="AB967" s="269"/>
      <c r="AC967" s="284"/>
      <c r="AD967" s="284"/>
      <c r="AE967" s="269"/>
    </row>
    <row r="968" spans="2:31">
      <c r="B968" s="83"/>
      <c r="C968" s="81"/>
      <c r="D968" s="83"/>
      <c r="E968" s="81"/>
      <c r="F968" s="269"/>
      <c r="G968" s="48"/>
      <c r="H968" s="269"/>
      <c r="I968" s="72"/>
      <c r="J968" s="330"/>
      <c r="K968" s="75"/>
      <c r="L968" s="157"/>
      <c r="M968" s="341"/>
      <c r="N968" s="334"/>
      <c r="T968" s="110"/>
      <c r="V968" s="232"/>
      <c r="W968" s="269"/>
      <c r="X968" s="201"/>
      <c r="Y968" s="269"/>
      <c r="Z968" s="269"/>
      <c r="AA968" s="134"/>
      <c r="AB968" s="269"/>
      <c r="AC968" s="284"/>
      <c r="AD968" s="284"/>
      <c r="AE968" s="269"/>
    </row>
    <row r="969" spans="2:31">
      <c r="B969" s="83"/>
      <c r="C969" s="81"/>
      <c r="D969" s="83"/>
      <c r="E969" s="81"/>
      <c r="F969" s="269"/>
      <c r="G969" s="48"/>
      <c r="H969" s="269"/>
      <c r="I969" s="72"/>
      <c r="J969" s="330"/>
      <c r="K969" s="75"/>
      <c r="L969" s="157"/>
      <c r="M969" s="341"/>
      <c r="N969" s="334"/>
      <c r="T969" s="110"/>
      <c r="V969" s="232"/>
      <c r="W969" s="269"/>
      <c r="X969" s="201"/>
      <c r="Y969" s="269"/>
      <c r="Z969" s="269"/>
      <c r="AA969" s="134"/>
      <c r="AB969" s="269"/>
      <c r="AC969" s="284"/>
      <c r="AD969" s="284"/>
      <c r="AE969" s="269"/>
    </row>
    <row r="970" spans="2:31">
      <c r="B970" s="83"/>
      <c r="C970" s="81"/>
      <c r="D970" s="83"/>
      <c r="E970" s="81"/>
      <c r="F970" s="269"/>
      <c r="G970" s="48"/>
      <c r="H970" s="269"/>
      <c r="I970" s="72"/>
      <c r="J970" s="330"/>
      <c r="K970" s="75"/>
      <c r="L970" s="157"/>
      <c r="M970" s="341"/>
      <c r="N970" s="334"/>
      <c r="T970" s="110"/>
      <c r="V970" s="232"/>
      <c r="W970" s="269"/>
      <c r="X970" s="201"/>
      <c r="Y970" s="269"/>
      <c r="Z970" s="269"/>
      <c r="AA970" s="134"/>
      <c r="AB970" s="269"/>
      <c r="AC970" s="284"/>
      <c r="AD970" s="284"/>
      <c r="AE970" s="269"/>
    </row>
    <row r="971" spans="2:31">
      <c r="B971" s="83"/>
      <c r="C971" s="81"/>
      <c r="D971" s="83"/>
      <c r="E971" s="81"/>
      <c r="F971" s="269"/>
      <c r="G971" s="48"/>
      <c r="H971" s="269"/>
      <c r="I971" s="72"/>
      <c r="J971" s="330"/>
      <c r="K971" s="75"/>
      <c r="L971" s="157"/>
      <c r="M971" s="341"/>
      <c r="N971" s="334"/>
      <c r="T971" s="110"/>
      <c r="V971" s="232"/>
      <c r="W971" s="269"/>
      <c r="X971" s="201"/>
      <c r="Y971" s="269"/>
      <c r="Z971" s="269"/>
      <c r="AA971" s="134"/>
      <c r="AB971" s="269"/>
      <c r="AC971" s="284"/>
      <c r="AD971" s="284"/>
      <c r="AE971" s="269"/>
    </row>
    <row r="972" spans="2:31">
      <c r="B972" s="83"/>
      <c r="C972" s="81"/>
      <c r="D972" s="83"/>
      <c r="E972" s="81"/>
      <c r="F972" s="269"/>
      <c r="G972" s="48"/>
      <c r="H972" s="269"/>
      <c r="I972" s="72"/>
      <c r="J972" s="330"/>
      <c r="K972" s="75"/>
      <c r="L972" s="157"/>
      <c r="M972" s="341"/>
      <c r="N972" s="334"/>
      <c r="T972" s="110"/>
      <c r="V972" s="232"/>
      <c r="W972" s="269"/>
      <c r="X972" s="201"/>
      <c r="Y972" s="269"/>
      <c r="Z972" s="269"/>
      <c r="AA972" s="134"/>
      <c r="AB972" s="269"/>
      <c r="AC972" s="284"/>
      <c r="AD972" s="284"/>
      <c r="AE972" s="269"/>
    </row>
    <row r="973" spans="2:31">
      <c r="B973" s="83"/>
      <c r="C973" s="81"/>
      <c r="D973" s="83"/>
      <c r="E973" s="81"/>
      <c r="F973" s="269"/>
      <c r="G973" s="48"/>
      <c r="H973" s="269"/>
      <c r="I973" s="72"/>
      <c r="J973" s="330"/>
      <c r="K973" s="75"/>
      <c r="L973" s="157"/>
      <c r="M973" s="341"/>
      <c r="N973" s="334"/>
      <c r="T973" s="110"/>
      <c r="V973" s="232"/>
      <c r="W973" s="269"/>
      <c r="X973" s="201"/>
      <c r="Y973" s="269"/>
      <c r="Z973" s="269"/>
      <c r="AA973" s="134"/>
      <c r="AB973" s="269"/>
      <c r="AC973" s="284"/>
      <c r="AD973" s="284"/>
      <c r="AE973" s="269"/>
    </row>
    <row r="974" spans="2:31">
      <c r="B974" s="83"/>
      <c r="C974" s="81"/>
      <c r="D974" s="83"/>
      <c r="E974" s="81"/>
      <c r="F974" s="269"/>
      <c r="G974" s="48"/>
      <c r="H974" s="269"/>
      <c r="I974" s="72"/>
      <c r="J974" s="330"/>
      <c r="K974" s="75"/>
      <c r="L974" s="157"/>
      <c r="M974" s="341"/>
      <c r="N974" s="334"/>
      <c r="T974" s="110"/>
      <c r="V974" s="232"/>
      <c r="W974" s="269"/>
      <c r="X974" s="201"/>
      <c r="Y974" s="269"/>
      <c r="Z974" s="269"/>
      <c r="AA974" s="134"/>
      <c r="AB974" s="269"/>
      <c r="AC974" s="284"/>
      <c r="AD974" s="284"/>
      <c r="AE974" s="269"/>
    </row>
    <row r="975" spans="2:31">
      <c r="B975" s="83"/>
      <c r="C975" s="81"/>
      <c r="D975" s="83"/>
      <c r="E975" s="81"/>
      <c r="F975" s="269"/>
      <c r="G975" s="48"/>
      <c r="H975" s="269"/>
      <c r="I975" s="72"/>
      <c r="J975" s="330"/>
      <c r="K975" s="75"/>
      <c r="L975" s="157"/>
      <c r="M975" s="341"/>
      <c r="N975" s="334"/>
      <c r="T975" s="110"/>
      <c r="V975" s="232"/>
      <c r="W975" s="269"/>
      <c r="X975" s="201"/>
      <c r="Y975" s="269"/>
      <c r="Z975" s="269"/>
      <c r="AA975" s="134"/>
      <c r="AB975" s="269"/>
      <c r="AC975" s="284"/>
      <c r="AD975" s="284"/>
      <c r="AE975" s="269"/>
    </row>
    <row r="976" spans="2:31">
      <c r="B976" s="83"/>
      <c r="C976" s="81"/>
      <c r="D976" s="83"/>
      <c r="E976" s="81"/>
      <c r="F976" s="269"/>
      <c r="G976" s="48"/>
      <c r="H976" s="269"/>
      <c r="I976" s="72"/>
      <c r="J976" s="330"/>
      <c r="K976" s="75"/>
      <c r="L976" s="157"/>
      <c r="M976" s="341"/>
      <c r="N976" s="334"/>
      <c r="T976" s="110"/>
      <c r="V976" s="232"/>
      <c r="W976" s="269"/>
      <c r="X976" s="201"/>
      <c r="Y976" s="269"/>
      <c r="Z976" s="269"/>
      <c r="AA976" s="134"/>
      <c r="AB976" s="269"/>
      <c r="AC976" s="284"/>
      <c r="AD976" s="284"/>
      <c r="AE976" s="269"/>
    </row>
    <row r="977" spans="2:31">
      <c r="B977" s="83"/>
      <c r="C977" s="81"/>
      <c r="D977" s="83"/>
      <c r="E977" s="81"/>
      <c r="F977" s="269"/>
      <c r="G977" s="48"/>
      <c r="H977" s="269"/>
      <c r="I977" s="72"/>
      <c r="J977" s="330"/>
      <c r="K977" s="75"/>
      <c r="L977" s="157"/>
      <c r="M977" s="341"/>
      <c r="N977" s="334"/>
      <c r="T977" s="110"/>
      <c r="V977" s="232"/>
      <c r="W977" s="269"/>
      <c r="X977" s="201"/>
      <c r="Y977" s="269"/>
      <c r="Z977" s="269"/>
      <c r="AA977" s="134"/>
      <c r="AB977" s="269"/>
      <c r="AC977" s="284"/>
      <c r="AD977" s="284"/>
      <c r="AE977" s="269"/>
    </row>
    <row r="978" spans="2:31">
      <c r="B978" s="83"/>
      <c r="C978" s="81"/>
      <c r="D978" s="83"/>
      <c r="E978" s="81"/>
      <c r="F978" s="269"/>
      <c r="G978" s="48"/>
      <c r="H978" s="269"/>
      <c r="I978" s="72"/>
      <c r="J978" s="330"/>
      <c r="K978" s="75"/>
      <c r="L978" s="157"/>
      <c r="M978" s="341"/>
      <c r="N978" s="334"/>
      <c r="T978" s="110"/>
      <c r="V978" s="232"/>
      <c r="W978" s="269"/>
      <c r="X978" s="201"/>
      <c r="Y978" s="269"/>
      <c r="Z978" s="269"/>
      <c r="AA978" s="134"/>
      <c r="AB978" s="269"/>
      <c r="AC978" s="284"/>
      <c r="AD978" s="284"/>
      <c r="AE978" s="269"/>
    </row>
    <row r="979" spans="2:31">
      <c r="B979" s="83"/>
      <c r="C979" s="81"/>
      <c r="D979" s="83"/>
      <c r="E979" s="81"/>
      <c r="F979" s="269"/>
      <c r="G979" s="48"/>
      <c r="H979" s="269"/>
      <c r="I979" s="72"/>
      <c r="J979" s="330"/>
      <c r="K979" s="75"/>
      <c r="L979" s="157"/>
      <c r="M979" s="341"/>
      <c r="N979" s="334"/>
      <c r="T979" s="110"/>
      <c r="V979" s="232"/>
      <c r="W979" s="269"/>
      <c r="X979" s="201"/>
      <c r="Y979" s="269"/>
      <c r="Z979" s="269"/>
      <c r="AA979" s="134"/>
      <c r="AB979" s="269"/>
      <c r="AC979" s="284"/>
      <c r="AD979" s="284"/>
      <c r="AE979" s="269"/>
    </row>
    <row r="980" spans="2:31">
      <c r="B980" s="83"/>
      <c r="C980" s="81"/>
      <c r="D980" s="83"/>
      <c r="E980" s="81"/>
      <c r="F980" s="269"/>
      <c r="G980" s="48"/>
      <c r="H980" s="269"/>
      <c r="I980" s="72"/>
      <c r="J980" s="330"/>
      <c r="K980" s="75"/>
      <c r="L980" s="157"/>
      <c r="M980" s="341"/>
      <c r="N980" s="334"/>
      <c r="T980" s="110"/>
      <c r="V980" s="232"/>
      <c r="W980" s="269"/>
      <c r="X980" s="201"/>
      <c r="Y980" s="269"/>
      <c r="Z980" s="269"/>
      <c r="AA980" s="134"/>
      <c r="AB980" s="269"/>
      <c r="AC980" s="284"/>
      <c r="AD980" s="284"/>
      <c r="AE980" s="269"/>
    </row>
    <row r="981" spans="2:31">
      <c r="B981" s="83"/>
      <c r="C981" s="81"/>
      <c r="D981" s="83"/>
      <c r="E981" s="81"/>
      <c r="F981" s="269"/>
      <c r="G981" s="48"/>
      <c r="H981" s="269"/>
      <c r="I981" s="72"/>
      <c r="J981" s="330"/>
      <c r="K981" s="75"/>
      <c r="L981" s="157"/>
      <c r="M981" s="341"/>
      <c r="N981" s="334"/>
      <c r="T981" s="110"/>
      <c r="V981" s="232"/>
      <c r="W981" s="269"/>
      <c r="X981" s="201"/>
      <c r="Y981" s="269"/>
      <c r="Z981" s="269"/>
      <c r="AA981" s="134"/>
      <c r="AB981" s="269"/>
      <c r="AC981" s="284"/>
      <c r="AD981" s="284"/>
      <c r="AE981" s="269"/>
    </row>
    <row r="982" spans="2:31">
      <c r="B982" s="83"/>
      <c r="C982" s="81"/>
      <c r="D982" s="83"/>
      <c r="E982" s="81"/>
      <c r="F982" s="269"/>
      <c r="G982" s="48"/>
      <c r="H982" s="269"/>
      <c r="I982" s="72"/>
      <c r="J982" s="330"/>
      <c r="K982" s="75"/>
      <c r="L982" s="157"/>
      <c r="M982" s="341"/>
      <c r="N982" s="334"/>
      <c r="T982" s="110"/>
      <c r="V982" s="232"/>
      <c r="W982" s="269"/>
      <c r="X982" s="201"/>
      <c r="Y982" s="269"/>
      <c r="Z982" s="269"/>
      <c r="AA982" s="134"/>
      <c r="AB982" s="269"/>
      <c r="AC982" s="284"/>
      <c r="AD982" s="284"/>
      <c r="AE982" s="269"/>
    </row>
    <row r="983" spans="2:31">
      <c r="B983" s="83"/>
      <c r="C983" s="81"/>
      <c r="D983" s="83"/>
      <c r="E983" s="81"/>
      <c r="F983" s="269"/>
      <c r="G983" s="48"/>
      <c r="H983" s="269"/>
      <c r="I983" s="72"/>
      <c r="J983" s="330"/>
      <c r="K983" s="75"/>
      <c r="L983" s="157"/>
      <c r="M983" s="341"/>
      <c r="N983" s="334"/>
      <c r="T983" s="110"/>
      <c r="V983" s="232"/>
      <c r="W983" s="269"/>
      <c r="X983" s="201"/>
      <c r="Y983" s="269"/>
      <c r="Z983" s="269"/>
      <c r="AA983" s="134"/>
      <c r="AB983" s="269"/>
      <c r="AC983" s="284"/>
      <c r="AD983" s="284"/>
      <c r="AE983" s="269"/>
    </row>
    <row r="984" spans="2:31">
      <c r="B984" s="83"/>
      <c r="C984" s="81"/>
      <c r="D984" s="83"/>
      <c r="E984" s="81"/>
      <c r="F984" s="269"/>
      <c r="G984" s="48"/>
      <c r="H984" s="269"/>
      <c r="I984" s="72"/>
      <c r="J984" s="330"/>
      <c r="K984" s="75"/>
      <c r="L984" s="157"/>
      <c r="M984" s="341"/>
      <c r="N984" s="334"/>
      <c r="T984" s="110"/>
      <c r="V984" s="232"/>
      <c r="W984" s="269"/>
      <c r="X984" s="201"/>
      <c r="Y984" s="269"/>
      <c r="Z984" s="269"/>
      <c r="AA984" s="134"/>
      <c r="AB984" s="269"/>
      <c r="AC984" s="284"/>
      <c r="AD984" s="284"/>
      <c r="AE984" s="269"/>
    </row>
    <row r="985" spans="2:31">
      <c r="B985" s="83"/>
      <c r="C985" s="81"/>
      <c r="D985" s="83"/>
      <c r="E985" s="81"/>
      <c r="F985" s="269"/>
      <c r="G985" s="48"/>
      <c r="H985" s="269"/>
      <c r="I985" s="72"/>
      <c r="J985" s="330"/>
      <c r="K985" s="75"/>
      <c r="L985" s="157"/>
      <c r="M985" s="341"/>
      <c r="N985" s="334"/>
      <c r="T985" s="110"/>
      <c r="V985" s="232"/>
      <c r="W985" s="269"/>
      <c r="X985" s="201"/>
      <c r="Y985" s="269"/>
      <c r="Z985" s="269"/>
      <c r="AA985" s="134"/>
      <c r="AB985" s="269"/>
      <c r="AC985" s="284"/>
      <c r="AD985" s="284"/>
      <c r="AE985" s="269"/>
    </row>
    <row r="986" spans="2:31">
      <c r="B986" s="83"/>
      <c r="C986" s="81"/>
      <c r="D986" s="83"/>
      <c r="E986" s="81"/>
      <c r="F986" s="269"/>
      <c r="G986" s="48"/>
      <c r="H986" s="269"/>
      <c r="I986" s="72"/>
      <c r="J986" s="330"/>
      <c r="K986" s="75"/>
      <c r="L986" s="157"/>
      <c r="M986" s="341"/>
      <c r="N986" s="334"/>
      <c r="T986" s="110"/>
      <c r="V986" s="232"/>
      <c r="W986" s="269"/>
      <c r="X986" s="201"/>
      <c r="Y986" s="269"/>
      <c r="Z986" s="269"/>
      <c r="AA986" s="134"/>
      <c r="AB986" s="269"/>
      <c r="AC986" s="284"/>
      <c r="AD986" s="284"/>
      <c r="AE986" s="269"/>
    </row>
    <row r="987" spans="2:31">
      <c r="B987" s="83"/>
      <c r="C987" s="81"/>
      <c r="D987" s="83"/>
      <c r="E987" s="81"/>
      <c r="F987" s="269"/>
      <c r="G987" s="48"/>
      <c r="H987" s="269"/>
      <c r="I987" s="72"/>
      <c r="J987" s="330"/>
      <c r="K987" s="75"/>
      <c r="L987" s="157"/>
      <c r="M987" s="341"/>
      <c r="N987" s="334"/>
      <c r="T987" s="110"/>
      <c r="V987" s="232"/>
      <c r="W987" s="269"/>
      <c r="X987" s="201"/>
      <c r="Y987" s="269"/>
      <c r="Z987" s="269"/>
      <c r="AA987" s="134"/>
      <c r="AB987" s="269"/>
      <c r="AC987" s="284"/>
      <c r="AD987" s="284"/>
      <c r="AE987" s="269"/>
    </row>
    <row r="988" spans="2:31">
      <c r="B988" s="83"/>
      <c r="C988" s="81"/>
      <c r="D988" s="83"/>
      <c r="E988" s="81"/>
      <c r="F988" s="269"/>
      <c r="G988" s="48"/>
      <c r="H988" s="269"/>
      <c r="I988" s="72"/>
      <c r="J988" s="330"/>
      <c r="K988" s="75"/>
      <c r="L988" s="157"/>
      <c r="M988" s="341"/>
      <c r="N988" s="334"/>
      <c r="T988" s="110"/>
      <c r="V988" s="232"/>
      <c r="W988" s="269"/>
      <c r="X988" s="201"/>
      <c r="Y988" s="269"/>
      <c r="Z988" s="269"/>
      <c r="AA988" s="134"/>
      <c r="AB988" s="269"/>
      <c r="AC988" s="284"/>
      <c r="AD988" s="284"/>
      <c r="AE988" s="269"/>
    </row>
    <row r="989" spans="2:31">
      <c r="B989" s="83"/>
      <c r="C989" s="81"/>
      <c r="D989" s="83"/>
      <c r="E989" s="81"/>
      <c r="F989" s="269"/>
      <c r="G989" s="48"/>
      <c r="H989" s="269"/>
      <c r="I989" s="72"/>
      <c r="J989" s="330"/>
      <c r="K989" s="75"/>
      <c r="L989" s="157"/>
      <c r="M989" s="341"/>
      <c r="N989" s="334"/>
      <c r="T989" s="110"/>
      <c r="V989" s="232"/>
      <c r="W989" s="269"/>
      <c r="X989" s="201"/>
      <c r="Y989" s="269"/>
      <c r="Z989" s="269"/>
      <c r="AA989" s="134"/>
      <c r="AB989" s="269"/>
      <c r="AC989" s="284"/>
      <c r="AD989" s="284"/>
      <c r="AE989" s="269"/>
    </row>
    <row r="990" spans="2:31">
      <c r="B990" s="83"/>
      <c r="C990" s="81"/>
      <c r="D990" s="83"/>
      <c r="E990" s="81"/>
      <c r="F990" s="269"/>
      <c r="G990" s="48"/>
      <c r="H990" s="269"/>
      <c r="I990" s="72"/>
      <c r="J990" s="330"/>
      <c r="K990" s="75"/>
      <c r="L990" s="157"/>
      <c r="M990" s="341"/>
      <c r="N990" s="334"/>
      <c r="T990" s="110"/>
      <c r="V990" s="232"/>
      <c r="W990" s="269"/>
      <c r="X990" s="201"/>
      <c r="Y990" s="269"/>
      <c r="Z990" s="269"/>
      <c r="AA990" s="134"/>
      <c r="AB990" s="269"/>
      <c r="AC990" s="284"/>
      <c r="AD990" s="284"/>
      <c r="AE990" s="269"/>
    </row>
    <row r="991" spans="2:31">
      <c r="B991" s="83"/>
      <c r="C991" s="81"/>
      <c r="D991" s="83"/>
      <c r="E991" s="81"/>
      <c r="F991" s="269"/>
      <c r="G991" s="48"/>
      <c r="H991" s="269"/>
      <c r="I991" s="72"/>
      <c r="J991" s="330"/>
      <c r="K991" s="75"/>
      <c r="L991" s="157"/>
      <c r="M991" s="341"/>
      <c r="N991" s="334"/>
      <c r="T991" s="110"/>
      <c r="V991" s="232"/>
      <c r="W991" s="269"/>
      <c r="X991" s="201"/>
      <c r="Y991" s="269"/>
      <c r="Z991" s="269"/>
      <c r="AA991" s="134"/>
      <c r="AB991" s="269"/>
      <c r="AC991" s="284"/>
      <c r="AD991" s="284"/>
      <c r="AE991" s="269"/>
    </row>
    <row r="992" spans="2:31">
      <c r="B992" s="83"/>
      <c r="C992" s="81"/>
      <c r="D992" s="83"/>
      <c r="E992" s="81"/>
      <c r="F992" s="269"/>
      <c r="G992" s="48"/>
      <c r="H992" s="269"/>
      <c r="I992" s="72"/>
      <c r="J992" s="330"/>
      <c r="K992" s="75"/>
      <c r="L992" s="157"/>
      <c r="M992" s="341"/>
      <c r="N992" s="334"/>
      <c r="T992" s="110"/>
      <c r="V992" s="232"/>
      <c r="W992" s="269"/>
      <c r="X992" s="201"/>
      <c r="Y992" s="269"/>
      <c r="Z992" s="269"/>
      <c r="AA992" s="134"/>
      <c r="AB992" s="269"/>
      <c r="AC992" s="284"/>
      <c r="AD992" s="284"/>
      <c r="AE992" s="269"/>
    </row>
    <row r="993" spans="2:31">
      <c r="B993" s="83"/>
      <c r="C993" s="81"/>
      <c r="D993" s="83"/>
      <c r="E993" s="81"/>
      <c r="F993" s="269"/>
      <c r="G993" s="48"/>
      <c r="H993" s="269"/>
      <c r="I993" s="72"/>
      <c r="J993" s="330"/>
      <c r="K993" s="75"/>
      <c r="L993" s="157"/>
      <c r="M993" s="341"/>
      <c r="N993" s="334"/>
      <c r="T993" s="110"/>
      <c r="V993" s="232"/>
      <c r="W993" s="269"/>
      <c r="X993" s="201"/>
      <c r="Y993" s="269"/>
      <c r="Z993" s="269"/>
      <c r="AA993" s="134"/>
      <c r="AB993" s="269"/>
      <c r="AC993" s="284"/>
      <c r="AD993" s="284"/>
      <c r="AE993" s="269"/>
    </row>
    <row r="994" spans="2:31">
      <c r="B994" s="83"/>
      <c r="C994" s="81"/>
      <c r="D994" s="83"/>
      <c r="E994" s="81"/>
      <c r="F994" s="269"/>
      <c r="G994" s="48"/>
      <c r="H994" s="269"/>
      <c r="I994" s="72"/>
      <c r="J994" s="330"/>
      <c r="K994" s="75"/>
      <c r="L994" s="157"/>
      <c r="M994" s="341"/>
      <c r="N994" s="334"/>
      <c r="T994" s="110"/>
      <c r="V994" s="232"/>
      <c r="W994" s="269"/>
      <c r="X994" s="201"/>
      <c r="Y994" s="269"/>
      <c r="Z994" s="269"/>
      <c r="AA994" s="134"/>
      <c r="AB994" s="269"/>
      <c r="AC994" s="284"/>
      <c r="AD994" s="284"/>
      <c r="AE994" s="269"/>
    </row>
    <row r="995" spans="2:31">
      <c r="B995" s="83"/>
      <c r="C995" s="81"/>
      <c r="D995" s="83"/>
      <c r="E995" s="81"/>
      <c r="F995" s="269"/>
      <c r="G995" s="48"/>
      <c r="H995" s="269"/>
      <c r="I995" s="72"/>
      <c r="J995" s="330"/>
      <c r="K995" s="75"/>
      <c r="L995" s="157"/>
      <c r="M995" s="341"/>
      <c r="N995" s="334"/>
      <c r="T995" s="110"/>
      <c r="V995" s="232"/>
      <c r="W995" s="269"/>
      <c r="X995" s="201"/>
      <c r="Y995" s="269"/>
      <c r="Z995" s="269"/>
      <c r="AA995" s="134"/>
      <c r="AB995" s="269"/>
      <c r="AC995" s="284"/>
      <c r="AD995" s="284"/>
      <c r="AE995" s="269"/>
    </row>
    <row r="996" spans="2:31">
      <c r="B996" s="83"/>
      <c r="C996" s="81"/>
      <c r="D996" s="83"/>
      <c r="E996" s="81"/>
      <c r="F996" s="269"/>
      <c r="G996" s="48"/>
      <c r="H996" s="269"/>
      <c r="I996" s="72"/>
      <c r="J996" s="330"/>
      <c r="K996" s="75"/>
      <c r="L996" s="157"/>
      <c r="M996" s="341"/>
      <c r="N996" s="334"/>
      <c r="T996" s="110"/>
      <c r="V996" s="232"/>
      <c r="W996" s="269"/>
      <c r="X996" s="201"/>
      <c r="Y996" s="269"/>
      <c r="Z996" s="269"/>
      <c r="AA996" s="134"/>
      <c r="AB996" s="269"/>
      <c r="AC996" s="284"/>
      <c r="AD996" s="284"/>
      <c r="AE996" s="269"/>
    </row>
    <row r="997" spans="2:31">
      <c r="B997" s="83"/>
      <c r="C997" s="81"/>
      <c r="D997" s="83"/>
      <c r="E997" s="81"/>
      <c r="F997" s="269"/>
      <c r="G997" s="48"/>
      <c r="H997" s="269"/>
      <c r="I997" s="72"/>
      <c r="J997" s="330"/>
      <c r="K997" s="75"/>
      <c r="L997" s="157"/>
      <c r="M997" s="341"/>
      <c r="N997" s="334"/>
      <c r="T997" s="110"/>
      <c r="V997" s="232"/>
      <c r="W997" s="269"/>
      <c r="X997" s="201"/>
      <c r="Y997" s="269"/>
      <c r="Z997" s="269"/>
      <c r="AA997" s="134"/>
      <c r="AB997" s="269"/>
      <c r="AC997" s="284"/>
      <c r="AD997" s="284"/>
      <c r="AE997" s="269"/>
    </row>
    <row r="998" spans="2:31">
      <c r="B998" s="83"/>
      <c r="C998" s="81"/>
      <c r="D998" s="83"/>
      <c r="E998" s="81"/>
      <c r="F998" s="269"/>
      <c r="G998" s="48"/>
      <c r="H998" s="269"/>
      <c r="I998" s="72"/>
      <c r="J998" s="330"/>
      <c r="K998" s="75"/>
      <c r="L998" s="157"/>
      <c r="M998" s="341"/>
      <c r="N998" s="334"/>
      <c r="T998" s="110"/>
      <c r="V998" s="232"/>
      <c r="W998" s="269"/>
      <c r="X998" s="201"/>
      <c r="Y998" s="269"/>
      <c r="Z998" s="269"/>
      <c r="AA998" s="134"/>
      <c r="AB998" s="269"/>
      <c r="AC998" s="284"/>
      <c r="AD998" s="284"/>
      <c r="AE998" s="269"/>
    </row>
    <row r="999" spans="2:31">
      <c r="B999" s="83"/>
      <c r="C999" s="81"/>
      <c r="D999" s="83"/>
      <c r="E999" s="81"/>
      <c r="F999" s="269"/>
      <c r="G999" s="48"/>
      <c r="H999" s="269"/>
      <c r="I999" s="72"/>
      <c r="J999" s="330"/>
      <c r="K999" s="75"/>
      <c r="L999" s="157"/>
      <c r="M999" s="341"/>
      <c r="N999" s="334"/>
      <c r="T999" s="110"/>
      <c r="V999" s="232"/>
      <c r="W999" s="269"/>
      <c r="X999" s="201"/>
      <c r="Y999" s="269"/>
      <c r="Z999" s="269"/>
      <c r="AA999" s="134"/>
      <c r="AB999" s="269"/>
      <c r="AC999" s="284"/>
      <c r="AD999" s="284"/>
      <c r="AE999" s="269"/>
    </row>
    <row r="1000" spans="2:31">
      <c r="B1000" s="83"/>
      <c r="C1000" s="81"/>
      <c r="D1000" s="83"/>
      <c r="E1000" s="81"/>
      <c r="F1000" s="269"/>
      <c r="G1000" s="48"/>
      <c r="H1000" s="269"/>
      <c r="I1000" s="72"/>
      <c r="J1000" s="330"/>
      <c r="K1000" s="75"/>
      <c r="L1000" s="157"/>
      <c r="M1000" s="341"/>
      <c r="N1000" s="334"/>
      <c r="T1000" s="110"/>
      <c r="V1000" s="232"/>
      <c r="W1000" s="269"/>
      <c r="X1000" s="201"/>
      <c r="Y1000" s="269"/>
      <c r="Z1000" s="269"/>
      <c r="AA1000" s="134"/>
      <c r="AB1000" s="269"/>
      <c r="AC1000" s="284"/>
      <c r="AD1000" s="284"/>
      <c r="AE1000" s="269"/>
    </row>
    <row r="1001" spans="2:31">
      <c r="B1001" s="83"/>
      <c r="C1001" s="81"/>
      <c r="D1001" s="83"/>
      <c r="E1001" s="81"/>
      <c r="F1001" s="269"/>
      <c r="G1001" s="48"/>
      <c r="H1001" s="269"/>
      <c r="I1001" s="72"/>
      <c r="J1001" s="330"/>
      <c r="K1001" s="75"/>
      <c r="L1001" s="157"/>
      <c r="M1001" s="341"/>
      <c r="N1001" s="334"/>
      <c r="T1001" s="110"/>
      <c r="V1001" s="232"/>
      <c r="W1001" s="269"/>
      <c r="X1001" s="201"/>
      <c r="Y1001" s="269"/>
      <c r="Z1001" s="269"/>
      <c r="AA1001" s="134"/>
      <c r="AB1001" s="269"/>
      <c r="AC1001" s="284"/>
      <c r="AD1001" s="284"/>
      <c r="AE1001" s="269"/>
    </row>
    <row r="1002" spans="2:31">
      <c r="B1002" s="83"/>
      <c r="C1002" s="81"/>
      <c r="D1002" s="83"/>
      <c r="E1002" s="81"/>
      <c r="F1002" s="269"/>
      <c r="G1002" s="48"/>
      <c r="H1002" s="269"/>
      <c r="I1002" s="72"/>
      <c r="J1002" s="330"/>
      <c r="K1002" s="75"/>
      <c r="L1002" s="157"/>
      <c r="M1002" s="341"/>
      <c r="N1002" s="334"/>
      <c r="T1002" s="110"/>
      <c r="V1002" s="232"/>
      <c r="W1002" s="269"/>
      <c r="X1002" s="201"/>
      <c r="Y1002" s="269"/>
      <c r="Z1002" s="269"/>
      <c r="AA1002" s="134"/>
      <c r="AB1002" s="269"/>
      <c r="AC1002" s="284"/>
      <c r="AD1002" s="284"/>
      <c r="AE1002" s="269"/>
    </row>
    <row r="1003" spans="2:31">
      <c r="B1003" s="83"/>
      <c r="C1003" s="81"/>
      <c r="D1003" s="83"/>
      <c r="E1003" s="81"/>
      <c r="F1003" s="269"/>
      <c r="G1003" s="48"/>
      <c r="H1003" s="269"/>
      <c r="I1003" s="72"/>
      <c r="J1003" s="330"/>
      <c r="K1003" s="75"/>
      <c r="L1003" s="157"/>
      <c r="M1003" s="341"/>
      <c r="N1003" s="334"/>
      <c r="T1003" s="110"/>
      <c r="V1003" s="232"/>
      <c r="W1003" s="269"/>
      <c r="X1003" s="201"/>
      <c r="Y1003" s="269"/>
      <c r="Z1003" s="269"/>
      <c r="AA1003" s="134"/>
      <c r="AB1003" s="269"/>
      <c r="AC1003" s="284"/>
      <c r="AD1003" s="284"/>
      <c r="AE1003" s="269"/>
    </row>
    <row r="1004" spans="2:31">
      <c r="B1004" s="83"/>
      <c r="C1004" s="81"/>
      <c r="D1004" s="83"/>
      <c r="E1004" s="81"/>
      <c r="F1004" s="269"/>
      <c r="G1004" s="48"/>
      <c r="H1004" s="269"/>
      <c r="I1004" s="72"/>
      <c r="J1004" s="330"/>
      <c r="K1004" s="75"/>
      <c r="L1004" s="157"/>
      <c r="M1004" s="341"/>
      <c r="N1004" s="334"/>
      <c r="T1004" s="110"/>
      <c r="V1004" s="232"/>
      <c r="W1004" s="269"/>
      <c r="X1004" s="201"/>
      <c r="Y1004" s="269"/>
      <c r="Z1004" s="269"/>
      <c r="AA1004" s="134"/>
      <c r="AB1004" s="269"/>
      <c r="AC1004" s="284"/>
      <c r="AD1004" s="284"/>
      <c r="AE1004" s="269"/>
    </row>
    <row r="1005" spans="2:31">
      <c r="B1005" s="83"/>
      <c r="C1005" s="81"/>
      <c r="D1005" s="83"/>
      <c r="E1005" s="81"/>
      <c r="F1005" s="269"/>
      <c r="G1005" s="48"/>
      <c r="H1005" s="269"/>
      <c r="I1005" s="72"/>
      <c r="J1005" s="330"/>
      <c r="K1005" s="75"/>
      <c r="L1005" s="157"/>
      <c r="M1005" s="341"/>
      <c r="N1005" s="334"/>
      <c r="T1005" s="110"/>
      <c r="V1005" s="232"/>
      <c r="W1005" s="269"/>
      <c r="X1005" s="201"/>
      <c r="Y1005" s="269"/>
      <c r="Z1005" s="269"/>
      <c r="AA1005" s="134"/>
      <c r="AB1005" s="269"/>
      <c r="AC1005" s="284"/>
      <c r="AD1005" s="284"/>
      <c r="AE1005" s="269"/>
    </row>
    <row r="1006" spans="2:31">
      <c r="B1006" s="83"/>
      <c r="C1006" s="81"/>
      <c r="D1006" s="83"/>
      <c r="E1006" s="81"/>
      <c r="F1006" s="269"/>
      <c r="G1006" s="48"/>
      <c r="H1006" s="269"/>
      <c r="I1006" s="72"/>
      <c r="J1006" s="330"/>
      <c r="K1006" s="75"/>
      <c r="L1006" s="157"/>
      <c r="M1006" s="341"/>
      <c r="N1006" s="334"/>
      <c r="T1006" s="110"/>
      <c r="V1006" s="232"/>
      <c r="W1006" s="269"/>
      <c r="X1006" s="201"/>
      <c r="Y1006" s="269"/>
      <c r="Z1006" s="269"/>
      <c r="AA1006" s="134"/>
      <c r="AB1006" s="269"/>
      <c r="AC1006" s="284"/>
      <c r="AD1006" s="284"/>
      <c r="AE1006" s="269"/>
    </row>
    <row r="1007" spans="2:31">
      <c r="B1007" s="83"/>
      <c r="C1007" s="81"/>
      <c r="D1007" s="83"/>
      <c r="E1007" s="81"/>
      <c r="F1007" s="269"/>
      <c r="G1007" s="48"/>
      <c r="H1007" s="269"/>
      <c r="I1007" s="72"/>
      <c r="J1007" s="330"/>
      <c r="K1007" s="75"/>
      <c r="L1007" s="157"/>
      <c r="M1007" s="341"/>
      <c r="N1007" s="334"/>
      <c r="T1007" s="110"/>
      <c r="V1007" s="232"/>
      <c r="W1007" s="269"/>
      <c r="X1007" s="201"/>
      <c r="Y1007" s="269"/>
      <c r="Z1007" s="269"/>
      <c r="AA1007" s="134"/>
      <c r="AB1007" s="269"/>
      <c r="AC1007" s="284"/>
      <c r="AD1007" s="284"/>
      <c r="AE1007" s="269"/>
    </row>
    <row r="1008" spans="2:31">
      <c r="B1008" s="83"/>
      <c r="C1008" s="81"/>
      <c r="D1008" s="83"/>
      <c r="E1008" s="81"/>
      <c r="F1008" s="269"/>
      <c r="G1008" s="48"/>
      <c r="H1008" s="269"/>
      <c r="I1008" s="72"/>
      <c r="J1008" s="330"/>
      <c r="K1008" s="75"/>
      <c r="L1008" s="157"/>
      <c r="M1008" s="341"/>
      <c r="N1008" s="334"/>
      <c r="T1008" s="110"/>
      <c r="V1008" s="232"/>
      <c r="W1008" s="269"/>
      <c r="X1008" s="201"/>
      <c r="Y1008" s="269"/>
      <c r="Z1008" s="269"/>
      <c r="AA1008" s="134"/>
      <c r="AB1008" s="269"/>
      <c r="AC1008" s="284"/>
      <c r="AD1008" s="284"/>
      <c r="AE1008" s="269"/>
    </row>
    <row r="1009" spans="2:31">
      <c r="B1009" s="83"/>
      <c r="C1009" s="81"/>
      <c r="D1009" s="83"/>
      <c r="E1009" s="81"/>
      <c r="F1009" s="269"/>
      <c r="G1009" s="48"/>
      <c r="H1009" s="269"/>
      <c r="I1009" s="72"/>
      <c r="J1009" s="330"/>
      <c r="K1009" s="75"/>
      <c r="L1009" s="157"/>
      <c r="M1009" s="341"/>
      <c r="N1009" s="334"/>
      <c r="T1009" s="110"/>
      <c r="V1009" s="232"/>
      <c r="W1009" s="269"/>
      <c r="X1009" s="201"/>
      <c r="Y1009" s="269"/>
      <c r="Z1009" s="269"/>
      <c r="AA1009" s="134"/>
      <c r="AB1009" s="269"/>
      <c r="AC1009" s="284"/>
      <c r="AD1009" s="284"/>
      <c r="AE1009" s="269"/>
    </row>
    <row r="1010" spans="2:31">
      <c r="B1010" s="83"/>
      <c r="C1010" s="81"/>
      <c r="D1010" s="83"/>
      <c r="E1010" s="81"/>
      <c r="F1010" s="269"/>
      <c r="G1010" s="48"/>
      <c r="H1010" s="269"/>
      <c r="I1010" s="72"/>
      <c r="J1010" s="330"/>
      <c r="K1010" s="75"/>
      <c r="L1010" s="157"/>
      <c r="M1010" s="341"/>
      <c r="N1010" s="334"/>
      <c r="T1010" s="110"/>
      <c r="V1010" s="232"/>
      <c r="W1010" s="269"/>
      <c r="X1010" s="201"/>
      <c r="Y1010" s="269"/>
      <c r="Z1010" s="269"/>
      <c r="AA1010" s="134"/>
      <c r="AB1010" s="269"/>
      <c r="AC1010" s="284"/>
      <c r="AD1010" s="284"/>
      <c r="AE1010" s="269"/>
    </row>
    <row r="1011" spans="2:31">
      <c r="B1011" s="83"/>
      <c r="C1011" s="81"/>
      <c r="D1011" s="83"/>
      <c r="E1011" s="81"/>
      <c r="F1011" s="269"/>
      <c r="G1011" s="48"/>
      <c r="H1011" s="269"/>
      <c r="I1011" s="72"/>
      <c r="J1011" s="330"/>
      <c r="K1011" s="75"/>
      <c r="L1011" s="157"/>
      <c r="M1011" s="341"/>
      <c r="N1011" s="334"/>
      <c r="T1011" s="110"/>
      <c r="V1011" s="232"/>
      <c r="W1011" s="269"/>
      <c r="X1011" s="201"/>
      <c r="Y1011" s="269"/>
      <c r="Z1011" s="269"/>
      <c r="AA1011" s="134"/>
      <c r="AB1011" s="269"/>
      <c r="AC1011" s="284"/>
      <c r="AD1011" s="284"/>
      <c r="AE1011" s="269"/>
    </row>
    <row r="1012" spans="2:31">
      <c r="B1012" s="83"/>
      <c r="C1012" s="81"/>
      <c r="D1012" s="83"/>
      <c r="E1012" s="81"/>
      <c r="F1012" s="269"/>
      <c r="G1012" s="48"/>
      <c r="H1012" s="269"/>
      <c r="I1012" s="72"/>
      <c r="J1012" s="330"/>
      <c r="K1012" s="75"/>
      <c r="L1012" s="157"/>
      <c r="M1012" s="341"/>
      <c r="N1012" s="334"/>
      <c r="T1012" s="110"/>
      <c r="V1012" s="232"/>
      <c r="W1012" s="269"/>
      <c r="X1012" s="201"/>
      <c r="Y1012" s="269"/>
      <c r="Z1012" s="269"/>
      <c r="AA1012" s="134"/>
      <c r="AB1012" s="269"/>
      <c r="AC1012" s="284"/>
      <c r="AD1012" s="284"/>
      <c r="AE1012" s="269"/>
    </row>
    <row r="1013" spans="2:31">
      <c r="B1013" s="83"/>
      <c r="C1013" s="81"/>
      <c r="D1013" s="83"/>
      <c r="E1013" s="81"/>
      <c r="F1013" s="269"/>
      <c r="G1013" s="48"/>
      <c r="H1013" s="269"/>
      <c r="I1013" s="72"/>
      <c r="J1013" s="330"/>
      <c r="K1013" s="75"/>
      <c r="L1013" s="157"/>
      <c r="M1013" s="341"/>
      <c r="N1013" s="334"/>
      <c r="T1013" s="110"/>
      <c r="V1013" s="232"/>
      <c r="W1013" s="269"/>
      <c r="X1013" s="201"/>
      <c r="Y1013" s="269"/>
      <c r="Z1013" s="269"/>
      <c r="AA1013" s="134"/>
      <c r="AB1013" s="269"/>
      <c r="AC1013" s="284"/>
      <c r="AD1013" s="284"/>
      <c r="AE1013" s="269"/>
    </row>
    <row r="1014" spans="2:31">
      <c r="B1014" s="83"/>
      <c r="C1014" s="81"/>
      <c r="D1014" s="83"/>
      <c r="E1014" s="81"/>
      <c r="F1014" s="269"/>
      <c r="G1014" s="48"/>
      <c r="H1014" s="269"/>
      <c r="I1014" s="72"/>
      <c r="J1014" s="330"/>
      <c r="K1014" s="75"/>
      <c r="L1014" s="157"/>
      <c r="M1014" s="341"/>
      <c r="N1014" s="334"/>
      <c r="T1014" s="110"/>
      <c r="V1014" s="232"/>
      <c r="W1014" s="269"/>
      <c r="X1014" s="201"/>
      <c r="Y1014" s="269"/>
      <c r="Z1014" s="269"/>
      <c r="AA1014" s="134"/>
      <c r="AB1014" s="269"/>
      <c r="AC1014" s="284"/>
      <c r="AD1014" s="284"/>
      <c r="AE1014" s="269"/>
    </row>
    <row r="1015" spans="2:31">
      <c r="B1015" s="83"/>
      <c r="C1015" s="81"/>
      <c r="D1015" s="83"/>
      <c r="E1015" s="81"/>
      <c r="F1015" s="269"/>
      <c r="G1015" s="48"/>
      <c r="H1015" s="269"/>
      <c r="I1015" s="72"/>
      <c r="J1015" s="330"/>
      <c r="K1015" s="75"/>
      <c r="L1015" s="157"/>
      <c r="M1015" s="341"/>
      <c r="N1015" s="334"/>
      <c r="T1015" s="110"/>
      <c r="V1015" s="232"/>
      <c r="W1015" s="269"/>
      <c r="X1015" s="201"/>
      <c r="Y1015" s="269"/>
      <c r="Z1015" s="269"/>
      <c r="AA1015" s="134"/>
      <c r="AB1015" s="269"/>
      <c r="AC1015" s="284"/>
      <c r="AD1015" s="284"/>
      <c r="AE1015" s="269"/>
    </row>
    <row r="1016" spans="2:31">
      <c r="B1016" s="83"/>
      <c r="C1016" s="81"/>
      <c r="D1016" s="83"/>
      <c r="E1016" s="81"/>
      <c r="F1016" s="269"/>
      <c r="G1016" s="48"/>
      <c r="H1016" s="269"/>
      <c r="I1016" s="72"/>
      <c r="J1016" s="330"/>
      <c r="K1016" s="75"/>
      <c r="L1016" s="157"/>
      <c r="M1016" s="341"/>
      <c r="N1016" s="334"/>
      <c r="T1016" s="110"/>
      <c r="V1016" s="232"/>
      <c r="W1016" s="269"/>
      <c r="X1016" s="201"/>
      <c r="Y1016" s="269"/>
      <c r="Z1016" s="269"/>
      <c r="AA1016" s="134"/>
      <c r="AB1016" s="269"/>
      <c r="AC1016" s="284"/>
      <c r="AD1016" s="284"/>
      <c r="AE1016" s="269"/>
    </row>
    <row r="1017" spans="2:31">
      <c r="B1017" s="83"/>
      <c r="C1017" s="81"/>
      <c r="D1017" s="83"/>
      <c r="E1017" s="81"/>
      <c r="F1017" s="269"/>
      <c r="G1017" s="48"/>
      <c r="H1017" s="269"/>
      <c r="I1017" s="72"/>
      <c r="J1017" s="330"/>
      <c r="K1017" s="75"/>
      <c r="L1017" s="157"/>
      <c r="M1017" s="341"/>
      <c r="N1017" s="334"/>
      <c r="T1017" s="110"/>
      <c r="V1017" s="232"/>
      <c r="W1017" s="269"/>
      <c r="X1017" s="201"/>
      <c r="Y1017" s="269"/>
      <c r="Z1017" s="269"/>
      <c r="AA1017" s="134"/>
      <c r="AB1017" s="269"/>
      <c r="AC1017" s="284"/>
      <c r="AD1017" s="284"/>
      <c r="AE1017" s="269"/>
    </row>
    <row r="1018" spans="2:31">
      <c r="B1018" s="83"/>
      <c r="C1018" s="81"/>
      <c r="D1018" s="83"/>
      <c r="E1018" s="81"/>
      <c r="F1018" s="269"/>
      <c r="G1018" s="48"/>
      <c r="H1018" s="269"/>
      <c r="I1018" s="72"/>
      <c r="J1018" s="330"/>
      <c r="K1018" s="75"/>
      <c r="L1018" s="157"/>
      <c r="M1018" s="341"/>
      <c r="N1018" s="334"/>
      <c r="T1018" s="110"/>
      <c r="V1018" s="232"/>
      <c r="W1018" s="269"/>
      <c r="X1018" s="201"/>
      <c r="Y1018" s="269"/>
      <c r="Z1018" s="269"/>
      <c r="AA1018" s="134"/>
      <c r="AB1018" s="269"/>
      <c r="AC1018" s="284"/>
      <c r="AD1018" s="284"/>
      <c r="AE1018" s="269"/>
    </row>
    <row r="1019" spans="2:31">
      <c r="B1019" s="83"/>
      <c r="C1019" s="81"/>
      <c r="D1019" s="83"/>
      <c r="E1019" s="81"/>
      <c r="F1019" s="269"/>
      <c r="G1019" s="48"/>
      <c r="H1019" s="269"/>
      <c r="I1019" s="72"/>
      <c r="J1019" s="330"/>
      <c r="K1019" s="75"/>
      <c r="L1019" s="157"/>
      <c r="M1019" s="341"/>
      <c r="N1019" s="334"/>
      <c r="T1019" s="110"/>
      <c r="V1019" s="232"/>
      <c r="W1019" s="269"/>
      <c r="X1019" s="201"/>
      <c r="Y1019" s="269"/>
      <c r="Z1019" s="269"/>
      <c r="AA1019" s="134"/>
      <c r="AB1019" s="269"/>
      <c r="AC1019" s="284"/>
      <c r="AD1019" s="284"/>
      <c r="AE1019" s="269"/>
    </row>
    <row r="1020" spans="2:31">
      <c r="B1020" s="83"/>
      <c r="C1020" s="81"/>
      <c r="D1020" s="83"/>
      <c r="E1020" s="81"/>
      <c r="F1020" s="269"/>
      <c r="G1020" s="48"/>
      <c r="H1020" s="269"/>
      <c r="I1020" s="72"/>
      <c r="J1020" s="330"/>
      <c r="K1020" s="75"/>
      <c r="L1020" s="157"/>
      <c r="M1020" s="341"/>
      <c r="N1020" s="334"/>
      <c r="T1020" s="110"/>
      <c r="V1020" s="232"/>
      <c r="W1020" s="269"/>
      <c r="X1020" s="201"/>
      <c r="Y1020" s="269"/>
      <c r="Z1020" s="269"/>
      <c r="AA1020" s="134"/>
      <c r="AB1020" s="269"/>
      <c r="AC1020" s="284"/>
      <c r="AD1020" s="284"/>
      <c r="AE1020" s="269"/>
    </row>
    <row r="1021" spans="2:31">
      <c r="B1021" s="83"/>
      <c r="C1021" s="81"/>
      <c r="D1021" s="83"/>
      <c r="E1021" s="81"/>
      <c r="F1021" s="269"/>
      <c r="G1021" s="48"/>
      <c r="H1021" s="269"/>
      <c r="I1021" s="72"/>
      <c r="J1021" s="330"/>
      <c r="K1021" s="75"/>
      <c r="L1021" s="157"/>
      <c r="M1021" s="341"/>
      <c r="N1021" s="334"/>
      <c r="T1021" s="110"/>
      <c r="V1021" s="232"/>
      <c r="W1021" s="269"/>
      <c r="X1021" s="201"/>
      <c r="Y1021" s="269"/>
      <c r="Z1021" s="269"/>
      <c r="AA1021" s="134"/>
      <c r="AB1021" s="269"/>
      <c r="AC1021" s="284"/>
      <c r="AD1021" s="284"/>
      <c r="AE1021" s="269"/>
    </row>
    <row r="1022" spans="2:31">
      <c r="B1022" s="83"/>
      <c r="C1022" s="81"/>
      <c r="D1022" s="83"/>
      <c r="E1022" s="81"/>
      <c r="F1022" s="269"/>
      <c r="G1022" s="48"/>
      <c r="H1022" s="269"/>
      <c r="I1022" s="72"/>
      <c r="J1022" s="330"/>
      <c r="K1022" s="75"/>
      <c r="L1022" s="157"/>
      <c r="M1022" s="341"/>
      <c r="N1022" s="334"/>
      <c r="T1022" s="110"/>
      <c r="V1022" s="232"/>
      <c r="W1022" s="269"/>
      <c r="X1022" s="201"/>
      <c r="Y1022" s="269"/>
      <c r="Z1022" s="269"/>
      <c r="AA1022" s="134"/>
      <c r="AB1022" s="269"/>
      <c r="AC1022" s="284"/>
      <c r="AD1022" s="284"/>
      <c r="AE1022" s="269"/>
    </row>
    <row r="1023" spans="2:31">
      <c r="B1023" s="83"/>
      <c r="C1023" s="81"/>
      <c r="D1023" s="83"/>
      <c r="E1023" s="81"/>
      <c r="F1023" s="269"/>
      <c r="G1023" s="48"/>
      <c r="H1023" s="269"/>
      <c r="I1023" s="72"/>
      <c r="J1023" s="330"/>
      <c r="K1023" s="75"/>
      <c r="L1023" s="157"/>
      <c r="M1023" s="341"/>
      <c r="N1023" s="334"/>
      <c r="T1023" s="110"/>
      <c r="V1023" s="232"/>
      <c r="W1023" s="269"/>
      <c r="X1023" s="201"/>
      <c r="Y1023" s="269"/>
      <c r="Z1023" s="269"/>
      <c r="AA1023" s="134"/>
      <c r="AB1023" s="269"/>
      <c r="AC1023" s="284"/>
      <c r="AD1023" s="284"/>
      <c r="AE1023" s="269"/>
    </row>
    <row r="1024" spans="2:31">
      <c r="B1024" s="83"/>
      <c r="C1024" s="81"/>
      <c r="D1024" s="83"/>
      <c r="E1024" s="81"/>
      <c r="F1024" s="269"/>
      <c r="G1024" s="48"/>
      <c r="H1024" s="269"/>
      <c r="I1024" s="72"/>
      <c r="J1024" s="330"/>
      <c r="K1024" s="75"/>
      <c r="L1024" s="157"/>
      <c r="M1024" s="341"/>
      <c r="N1024" s="334"/>
      <c r="T1024" s="110"/>
      <c r="V1024" s="232"/>
      <c r="W1024" s="269"/>
      <c r="X1024" s="201"/>
      <c r="Y1024" s="269"/>
      <c r="Z1024" s="269"/>
      <c r="AA1024" s="134"/>
      <c r="AB1024" s="269"/>
      <c r="AC1024" s="284"/>
      <c r="AD1024" s="284"/>
      <c r="AE1024" s="269"/>
    </row>
    <row r="1025" spans="2:31">
      <c r="B1025" s="83"/>
      <c r="C1025" s="81"/>
      <c r="D1025" s="83"/>
      <c r="E1025" s="81"/>
      <c r="F1025" s="269"/>
      <c r="G1025" s="48"/>
      <c r="H1025" s="269"/>
      <c r="I1025" s="72"/>
      <c r="J1025" s="330"/>
      <c r="K1025" s="75"/>
      <c r="L1025" s="157"/>
      <c r="M1025" s="341"/>
      <c r="N1025" s="334"/>
      <c r="T1025" s="110"/>
      <c r="V1025" s="232"/>
      <c r="W1025" s="269"/>
      <c r="X1025" s="201"/>
      <c r="Y1025" s="269"/>
      <c r="Z1025" s="269"/>
      <c r="AA1025" s="134"/>
      <c r="AB1025" s="269"/>
      <c r="AC1025" s="284"/>
      <c r="AD1025" s="284"/>
      <c r="AE1025" s="269"/>
    </row>
    <row r="1026" spans="2:31">
      <c r="B1026" s="83"/>
      <c r="C1026" s="81"/>
      <c r="D1026" s="83"/>
      <c r="E1026" s="81"/>
      <c r="F1026" s="269"/>
      <c r="G1026" s="48"/>
      <c r="H1026" s="269"/>
      <c r="I1026" s="72"/>
      <c r="J1026" s="330"/>
      <c r="K1026" s="75"/>
      <c r="L1026" s="157"/>
      <c r="M1026" s="341"/>
      <c r="N1026" s="334"/>
      <c r="T1026" s="110"/>
      <c r="V1026" s="232"/>
      <c r="W1026" s="269"/>
      <c r="X1026" s="201"/>
      <c r="Y1026" s="269"/>
      <c r="Z1026" s="269"/>
      <c r="AA1026" s="134"/>
      <c r="AB1026" s="269"/>
      <c r="AC1026" s="284"/>
      <c r="AD1026" s="284"/>
      <c r="AE1026" s="269"/>
    </row>
    <row r="1027" spans="2:31">
      <c r="B1027" s="83"/>
      <c r="C1027" s="81"/>
      <c r="D1027" s="83"/>
      <c r="E1027" s="81"/>
      <c r="F1027" s="269"/>
      <c r="G1027" s="48"/>
      <c r="H1027" s="269"/>
      <c r="I1027" s="72"/>
      <c r="J1027" s="330"/>
      <c r="K1027" s="75"/>
      <c r="L1027" s="157"/>
      <c r="M1027" s="341"/>
      <c r="N1027" s="334"/>
      <c r="T1027" s="110"/>
      <c r="V1027" s="232"/>
      <c r="W1027" s="269"/>
      <c r="X1027" s="201"/>
      <c r="Y1027" s="269"/>
      <c r="Z1027" s="269"/>
      <c r="AA1027" s="134"/>
      <c r="AB1027" s="269"/>
      <c r="AC1027" s="284"/>
      <c r="AD1027" s="284"/>
      <c r="AE1027" s="269"/>
    </row>
    <row r="1028" spans="2:31">
      <c r="B1028" s="83"/>
      <c r="C1028" s="81"/>
      <c r="D1028" s="83"/>
      <c r="E1028" s="81"/>
      <c r="F1028" s="269"/>
      <c r="G1028" s="48"/>
      <c r="H1028" s="269"/>
      <c r="I1028" s="72"/>
      <c r="J1028" s="330"/>
      <c r="K1028" s="75"/>
      <c r="L1028" s="157"/>
      <c r="M1028" s="341"/>
      <c r="N1028" s="334"/>
      <c r="T1028" s="110"/>
      <c r="V1028" s="232"/>
      <c r="W1028" s="269"/>
      <c r="X1028" s="201"/>
      <c r="Y1028" s="269"/>
      <c r="Z1028" s="269"/>
      <c r="AA1028" s="134"/>
      <c r="AB1028" s="269"/>
      <c r="AC1028" s="284"/>
      <c r="AD1028" s="284"/>
      <c r="AE1028" s="269"/>
    </row>
    <row r="1029" spans="2:31">
      <c r="B1029" s="83"/>
      <c r="C1029" s="81"/>
      <c r="D1029" s="83"/>
      <c r="E1029" s="81"/>
      <c r="F1029" s="269"/>
      <c r="G1029" s="48"/>
      <c r="H1029" s="269"/>
      <c r="I1029" s="72"/>
      <c r="J1029" s="330"/>
      <c r="K1029" s="75"/>
      <c r="L1029" s="157"/>
      <c r="M1029" s="341"/>
      <c r="N1029" s="334"/>
      <c r="T1029" s="110"/>
      <c r="V1029" s="232"/>
      <c r="W1029" s="269"/>
      <c r="X1029" s="201"/>
      <c r="Y1029" s="269"/>
      <c r="Z1029" s="269"/>
      <c r="AA1029" s="134"/>
      <c r="AB1029" s="269"/>
      <c r="AC1029" s="284"/>
      <c r="AD1029" s="284"/>
      <c r="AE1029" s="269"/>
    </row>
    <row r="1030" spans="2:31">
      <c r="B1030" s="83"/>
      <c r="C1030" s="81"/>
      <c r="D1030" s="83"/>
      <c r="E1030" s="81"/>
      <c r="F1030" s="269"/>
      <c r="G1030" s="48"/>
      <c r="H1030" s="269"/>
      <c r="I1030" s="72"/>
      <c r="J1030" s="330"/>
      <c r="K1030" s="75"/>
      <c r="L1030" s="157"/>
      <c r="M1030" s="341"/>
      <c r="N1030" s="334"/>
      <c r="T1030" s="110"/>
      <c r="V1030" s="232"/>
      <c r="W1030" s="269"/>
      <c r="X1030" s="201"/>
      <c r="Y1030" s="269"/>
      <c r="Z1030" s="269"/>
      <c r="AA1030" s="134"/>
      <c r="AB1030" s="269"/>
      <c r="AC1030" s="284"/>
      <c r="AD1030" s="284"/>
      <c r="AE1030" s="269"/>
    </row>
    <row r="1031" spans="2:31">
      <c r="B1031" s="83"/>
      <c r="C1031" s="81"/>
      <c r="D1031" s="83"/>
      <c r="E1031" s="81"/>
      <c r="F1031" s="269"/>
      <c r="G1031" s="48"/>
      <c r="H1031" s="269"/>
      <c r="I1031" s="72"/>
      <c r="J1031" s="330"/>
      <c r="K1031" s="75"/>
      <c r="L1031" s="157"/>
      <c r="M1031" s="341"/>
      <c r="N1031" s="334"/>
      <c r="T1031" s="110"/>
      <c r="V1031" s="232"/>
      <c r="W1031" s="269"/>
      <c r="X1031" s="201"/>
      <c r="Y1031" s="269"/>
      <c r="Z1031" s="269"/>
      <c r="AA1031" s="134"/>
      <c r="AB1031" s="269"/>
      <c r="AC1031" s="284"/>
      <c r="AD1031" s="284"/>
      <c r="AE1031" s="269"/>
    </row>
    <row r="1032" spans="2:31">
      <c r="B1032" s="83"/>
      <c r="C1032" s="81"/>
      <c r="D1032" s="83"/>
      <c r="E1032" s="81"/>
      <c r="F1032" s="269"/>
      <c r="G1032" s="48"/>
      <c r="H1032" s="269"/>
      <c r="I1032" s="72"/>
      <c r="J1032" s="330"/>
      <c r="K1032" s="75"/>
      <c r="L1032" s="157"/>
      <c r="M1032" s="341"/>
      <c r="N1032" s="334"/>
      <c r="T1032" s="110"/>
      <c r="V1032" s="232"/>
      <c r="W1032" s="269"/>
      <c r="X1032" s="201"/>
      <c r="Y1032" s="269"/>
      <c r="Z1032" s="269"/>
      <c r="AA1032" s="134"/>
      <c r="AB1032" s="269"/>
      <c r="AC1032" s="284"/>
      <c r="AD1032" s="284"/>
      <c r="AE1032" s="269"/>
    </row>
    <row r="1033" spans="2:31">
      <c r="B1033" s="83"/>
      <c r="C1033" s="81"/>
      <c r="D1033" s="83"/>
      <c r="E1033" s="81"/>
      <c r="F1033" s="269"/>
      <c r="G1033" s="48"/>
      <c r="H1033" s="269"/>
      <c r="I1033" s="72"/>
      <c r="J1033" s="330"/>
      <c r="K1033" s="75"/>
      <c r="L1033" s="157"/>
      <c r="M1033" s="341"/>
      <c r="N1033" s="334"/>
      <c r="T1033" s="110"/>
      <c r="V1033" s="232"/>
      <c r="W1033" s="269"/>
      <c r="X1033" s="201"/>
      <c r="Y1033" s="269"/>
      <c r="Z1033" s="269"/>
      <c r="AA1033" s="134"/>
      <c r="AB1033" s="269"/>
      <c r="AC1033" s="284"/>
      <c r="AD1033" s="284"/>
      <c r="AE1033" s="269"/>
    </row>
    <row r="1034" spans="2:31">
      <c r="B1034" s="83"/>
      <c r="C1034" s="81"/>
      <c r="D1034" s="83"/>
      <c r="E1034" s="81"/>
      <c r="F1034" s="269"/>
      <c r="G1034" s="48"/>
      <c r="H1034" s="269"/>
      <c r="I1034" s="72"/>
      <c r="J1034" s="330"/>
      <c r="K1034" s="75"/>
      <c r="L1034" s="157"/>
      <c r="M1034" s="341"/>
      <c r="N1034" s="334"/>
      <c r="T1034" s="110"/>
      <c r="V1034" s="232"/>
      <c r="W1034" s="269"/>
      <c r="X1034" s="201"/>
      <c r="Y1034" s="269"/>
      <c r="Z1034" s="269"/>
      <c r="AA1034" s="134"/>
      <c r="AB1034" s="269"/>
      <c r="AC1034" s="284"/>
      <c r="AD1034" s="284"/>
      <c r="AE1034" s="269"/>
    </row>
    <row r="1035" spans="2:31">
      <c r="B1035" s="83"/>
      <c r="C1035" s="81"/>
      <c r="D1035" s="83"/>
      <c r="E1035" s="81"/>
      <c r="F1035" s="269"/>
      <c r="G1035" s="48"/>
      <c r="H1035" s="269"/>
      <c r="I1035" s="72"/>
      <c r="J1035" s="330"/>
      <c r="K1035" s="75"/>
      <c r="L1035" s="157"/>
      <c r="M1035" s="341"/>
      <c r="N1035" s="334"/>
      <c r="T1035" s="110"/>
      <c r="V1035" s="232"/>
      <c r="W1035" s="269"/>
      <c r="X1035" s="201"/>
      <c r="Y1035" s="269"/>
      <c r="Z1035" s="269"/>
      <c r="AA1035" s="134"/>
      <c r="AB1035" s="269"/>
      <c r="AC1035" s="284"/>
      <c r="AD1035" s="284"/>
      <c r="AE1035" s="269"/>
    </row>
    <row r="1036" spans="2:31">
      <c r="B1036" s="83"/>
      <c r="C1036" s="81"/>
      <c r="D1036" s="83"/>
      <c r="E1036" s="81"/>
      <c r="F1036" s="269"/>
      <c r="G1036" s="48"/>
      <c r="H1036" s="269"/>
      <c r="I1036" s="72"/>
      <c r="J1036" s="330"/>
      <c r="K1036" s="75"/>
      <c r="L1036" s="157"/>
      <c r="M1036" s="341"/>
      <c r="N1036" s="334"/>
      <c r="T1036" s="110"/>
      <c r="V1036" s="232"/>
      <c r="W1036" s="269"/>
      <c r="X1036" s="201"/>
      <c r="Y1036" s="269"/>
      <c r="Z1036" s="269"/>
      <c r="AA1036" s="134"/>
      <c r="AB1036" s="269"/>
      <c r="AC1036" s="284"/>
      <c r="AD1036" s="284"/>
      <c r="AE1036" s="269"/>
    </row>
    <row r="1037" spans="2:31">
      <c r="B1037" s="83"/>
      <c r="C1037" s="81"/>
      <c r="D1037" s="83"/>
      <c r="E1037" s="81"/>
      <c r="F1037" s="269"/>
      <c r="G1037" s="48"/>
      <c r="H1037" s="269"/>
      <c r="I1037" s="72"/>
      <c r="J1037" s="330"/>
      <c r="K1037" s="75"/>
      <c r="L1037" s="157"/>
      <c r="M1037" s="341"/>
      <c r="N1037" s="334"/>
      <c r="T1037" s="110"/>
      <c r="V1037" s="232"/>
      <c r="W1037" s="269"/>
      <c r="X1037" s="201"/>
      <c r="Y1037" s="269"/>
      <c r="Z1037" s="269"/>
      <c r="AA1037" s="134"/>
      <c r="AB1037" s="269"/>
      <c r="AC1037" s="284"/>
      <c r="AD1037" s="284"/>
      <c r="AE1037" s="269"/>
    </row>
    <row r="1038" spans="2:31">
      <c r="B1038" s="83"/>
      <c r="C1038" s="81"/>
      <c r="D1038" s="83"/>
      <c r="E1038" s="81"/>
      <c r="F1038" s="269"/>
      <c r="G1038" s="48"/>
      <c r="H1038" s="269"/>
      <c r="I1038" s="72"/>
      <c r="J1038" s="330"/>
      <c r="K1038" s="75"/>
      <c r="L1038" s="157"/>
      <c r="M1038" s="341"/>
      <c r="N1038" s="334"/>
      <c r="T1038" s="110"/>
      <c r="V1038" s="232"/>
      <c r="W1038" s="269"/>
      <c r="X1038" s="201"/>
      <c r="Y1038" s="269"/>
      <c r="Z1038" s="269"/>
      <c r="AA1038" s="134"/>
      <c r="AB1038" s="269"/>
      <c r="AC1038" s="284"/>
      <c r="AD1038" s="284"/>
      <c r="AE1038" s="269"/>
    </row>
    <row r="1039" spans="2:31">
      <c r="B1039" s="83"/>
      <c r="C1039" s="81"/>
      <c r="D1039" s="83"/>
      <c r="E1039" s="81"/>
      <c r="F1039" s="269"/>
      <c r="G1039" s="48"/>
      <c r="H1039" s="269"/>
      <c r="I1039" s="72"/>
      <c r="J1039" s="330"/>
      <c r="K1039" s="75"/>
      <c r="L1039" s="157"/>
      <c r="M1039" s="341"/>
      <c r="N1039" s="334"/>
      <c r="T1039" s="110"/>
      <c r="V1039" s="232"/>
      <c r="W1039" s="269"/>
      <c r="X1039" s="201"/>
      <c r="Y1039" s="269"/>
      <c r="Z1039" s="269"/>
      <c r="AA1039" s="134"/>
      <c r="AB1039" s="269"/>
      <c r="AC1039" s="284"/>
      <c r="AD1039" s="284"/>
      <c r="AE1039" s="269"/>
    </row>
    <row r="1040" spans="2:31">
      <c r="B1040" s="83"/>
      <c r="C1040" s="81"/>
      <c r="D1040" s="83"/>
      <c r="E1040" s="81"/>
      <c r="F1040" s="269"/>
      <c r="G1040" s="48"/>
      <c r="H1040" s="269"/>
      <c r="I1040" s="72"/>
      <c r="J1040" s="330"/>
      <c r="K1040" s="75"/>
      <c r="L1040" s="157"/>
      <c r="M1040" s="341"/>
      <c r="N1040" s="334"/>
      <c r="T1040" s="110"/>
      <c r="V1040" s="232"/>
      <c r="W1040" s="269"/>
      <c r="X1040" s="201"/>
      <c r="Y1040" s="269"/>
      <c r="Z1040" s="269"/>
      <c r="AA1040" s="134"/>
      <c r="AB1040" s="269"/>
      <c r="AC1040" s="284"/>
      <c r="AD1040" s="284"/>
      <c r="AE1040" s="269"/>
    </row>
    <row r="1041" spans="2:31">
      <c r="B1041" s="83"/>
      <c r="C1041" s="81"/>
      <c r="D1041" s="83"/>
      <c r="E1041" s="81"/>
      <c r="F1041" s="269"/>
      <c r="G1041" s="48"/>
      <c r="H1041" s="269"/>
      <c r="I1041" s="72"/>
      <c r="J1041" s="330"/>
      <c r="K1041" s="75"/>
      <c r="L1041" s="157"/>
      <c r="M1041" s="341"/>
      <c r="N1041" s="334"/>
      <c r="T1041" s="110"/>
      <c r="V1041" s="232"/>
      <c r="W1041" s="269"/>
      <c r="X1041" s="201"/>
      <c r="Y1041" s="269"/>
      <c r="Z1041" s="269"/>
      <c r="AA1041" s="134"/>
      <c r="AB1041" s="269"/>
      <c r="AC1041" s="284"/>
      <c r="AD1041" s="284"/>
      <c r="AE1041" s="269"/>
    </row>
    <row r="1042" spans="2:31">
      <c r="B1042" s="83"/>
      <c r="C1042" s="81"/>
      <c r="D1042" s="83"/>
      <c r="E1042" s="81"/>
      <c r="F1042" s="269"/>
      <c r="G1042" s="48"/>
      <c r="H1042" s="269"/>
      <c r="I1042" s="72"/>
      <c r="J1042" s="330"/>
      <c r="K1042" s="75"/>
      <c r="L1042" s="157"/>
      <c r="M1042" s="341"/>
      <c r="N1042" s="334"/>
      <c r="T1042" s="110"/>
      <c r="V1042" s="232"/>
      <c r="W1042" s="269"/>
      <c r="X1042" s="201"/>
      <c r="Y1042" s="269"/>
      <c r="Z1042" s="269"/>
      <c r="AA1042" s="134"/>
      <c r="AB1042" s="269"/>
      <c r="AC1042" s="284"/>
      <c r="AD1042" s="284"/>
      <c r="AE1042" s="269"/>
    </row>
    <row r="1043" spans="2:31">
      <c r="B1043" s="83"/>
      <c r="C1043" s="81"/>
      <c r="D1043" s="83"/>
      <c r="E1043" s="81"/>
      <c r="F1043" s="269"/>
      <c r="G1043" s="48"/>
      <c r="H1043" s="269"/>
      <c r="I1043" s="72"/>
      <c r="J1043" s="330"/>
      <c r="K1043" s="75"/>
      <c r="L1043" s="157"/>
      <c r="M1043" s="341"/>
      <c r="N1043" s="334"/>
      <c r="T1043" s="110"/>
      <c r="V1043" s="232"/>
      <c r="W1043" s="269"/>
      <c r="X1043" s="201"/>
      <c r="Y1043" s="269"/>
      <c r="Z1043" s="269"/>
      <c r="AA1043" s="134"/>
      <c r="AB1043" s="269"/>
      <c r="AC1043" s="284"/>
      <c r="AD1043" s="284"/>
      <c r="AE1043" s="269"/>
    </row>
    <row r="1044" spans="2:31">
      <c r="B1044" s="83"/>
      <c r="C1044" s="81"/>
      <c r="D1044" s="83"/>
      <c r="E1044" s="81"/>
      <c r="F1044" s="269"/>
      <c r="G1044" s="48"/>
      <c r="H1044" s="269"/>
      <c r="I1044" s="72"/>
      <c r="J1044" s="330"/>
      <c r="K1044" s="75"/>
      <c r="L1044" s="157"/>
      <c r="M1044" s="341"/>
      <c r="N1044" s="334"/>
      <c r="T1044" s="110"/>
      <c r="V1044" s="232"/>
      <c r="W1044" s="269"/>
      <c r="X1044" s="201"/>
      <c r="Y1044" s="269"/>
      <c r="Z1044" s="269"/>
      <c r="AA1044" s="134"/>
      <c r="AB1044" s="269"/>
      <c r="AC1044" s="284"/>
      <c r="AD1044" s="284"/>
      <c r="AE1044" s="269"/>
    </row>
    <row r="1045" spans="2:31">
      <c r="B1045" s="83"/>
      <c r="C1045" s="81"/>
      <c r="D1045" s="83"/>
      <c r="E1045" s="81"/>
      <c r="F1045" s="269"/>
      <c r="G1045" s="48"/>
      <c r="H1045" s="269"/>
      <c r="I1045" s="72"/>
      <c r="J1045" s="330"/>
      <c r="K1045" s="75"/>
      <c r="L1045" s="157"/>
      <c r="M1045" s="341"/>
      <c r="N1045" s="334"/>
      <c r="T1045" s="110"/>
      <c r="V1045" s="232"/>
      <c r="W1045" s="269"/>
      <c r="X1045" s="201"/>
      <c r="Y1045" s="269"/>
      <c r="Z1045" s="269"/>
      <c r="AA1045" s="134"/>
      <c r="AB1045" s="269"/>
      <c r="AC1045" s="284"/>
      <c r="AD1045" s="284"/>
      <c r="AE1045" s="269"/>
    </row>
    <row r="1046" spans="2:31">
      <c r="B1046" s="83"/>
      <c r="C1046" s="81"/>
      <c r="D1046" s="83"/>
      <c r="E1046" s="81"/>
      <c r="F1046" s="269"/>
      <c r="G1046" s="48"/>
      <c r="H1046" s="269"/>
      <c r="I1046" s="72"/>
      <c r="J1046" s="330"/>
      <c r="K1046" s="75"/>
      <c r="L1046" s="157"/>
      <c r="M1046" s="341"/>
      <c r="N1046" s="334"/>
      <c r="T1046" s="110"/>
      <c r="V1046" s="232"/>
      <c r="W1046" s="269"/>
      <c r="X1046" s="201"/>
      <c r="Y1046" s="269"/>
      <c r="Z1046" s="269"/>
      <c r="AA1046" s="134"/>
      <c r="AB1046" s="269"/>
      <c r="AC1046" s="284"/>
      <c r="AD1046" s="284"/>
      <c r="AE1046" s="269"/>
    </row>
    <row r="1047" spans="2:31">
      <c r="B1047" s="83"/>
      <c r="C1047" s="81"/>
      <c r="D1047" s="83"/>
      <c r="E1047" s="81"/>
      <c r="F1047" s="269"/>
      <c r="G1047" s="48"/>
      <c r="H1047" s="269"/>
      <c r="I1047" s="72"/>
      <c r="J1047" s="330"/>
      <c r="K1047" s="75"/>
      <c r="L1047" s="157"/>
      <c r="M1047" s="341"/>
      <c r="N1047" s="334"/>
      <c r="T1047" s="110"/>
      <c r="V1047" s="232"/>
      <c r="W1047" s="269"/>
      <c r="X1047" s="201"/>
      <c r="Y1047" s="269"/>
      <c r="Z1047" s="269"/>
      <c r="AA1047" s="134"/>
      <c r="AB1047" s="269"/>
      <c r="AC1047" s="284"/>
      <c r="AD1047" s="284"/>
      <c r="AE1047" s="269"/>
    </row>
    <row r="1048" spans="2:31">
      <c r="B1048" s="83"/>
      <c r="C1048" s="81"/>
      <c r="D1048" s="83"/>
      <c r="E1048" s="81"/>
      <c r="F1048" s="269"/>
      <c r="G1048" s="48"/>
      <c r="H1048" s="269"/>
      <c r="I1048" s="72"/>
      <c r="J1048" s="330"/>
      <c r="K1048" s="75"/>
      <c r="L1048" s="157"/>
      <c r="M1048" s="341"/>
      <c r="N1048" s="334"/>
      <c r="T1048" s="110"/>
      <c r="V1048" s="232"/>
      <c r="W1048" s="269"/>
      <c r="X1048" s="201"/>
      <c r="Y1048" s="269"/>
      <c r="Z1048" s="269"/>
      <c r="AA1048" s="134"/>
      <c r="AB1048" s="269"/>
      <c r="AC1048" s="284"/>
      <c r="AD1048" s="284"/>
      <c r="AE1048" s="269"/>
    </row>
    <row r="1049" spans="2:31">
      <c r="B1049" s="83"/>
      <c r="C1049" s="81"/>
      <c r="D1049" s="83"/>
      <c r="E1049" s="81"/>
      <c r="F1049" s="269"/>
      <c r="G1049" s="48"/>
      <c r="H1049" s="269"/>
      <c r="I1049" s="72"/>
      <c r="J1049" s="330"/>
      <c r="K1049" s="75"/>
      <c r="L1049" s="157"/>
      <c r="M1049" s="341"/>
      <c r="N1049" s="334"/>
      <c r="T1049" s="110"/>
      <c r="V1049" s="232"/>
      <c r="W1049" s="269"/>
      <c r="X1049" s="201"/>
      <c r="Y1049" s="269"/>
      <c r="Z1049" s="269"/>
      <c r="AA1049" s="134"/>
      <c r="AB1049" s="269"/>
      <c r="AC1049" s="284"/>
      <c r="AD1049" s="284"/>
      <c r="AE1049" s="269"/>
    </row>
    <row r="1050" spans="2:31">
      <c r="B1050" s="83"/>
      <c r="C1050" s="81"/>
      <c r="D1050" s="83"/>
      <c r="E1050" s="81"/>
      <c r="F1050" s="269"/>
      <c r="G1050" s="48"/>
      <c r="H1050" s="269"/>
      <c r="I1050" s="72"/>
      <c r="J1050" s="330"/>
      <c r="K1050" s="75"/>
      <c r="L1050" s="157"/>
      <c r="M1050" s="341"/>
      <c r="N1050" s="334"/>
      <c r="T1050" s="110"/>
      <c r="V1050" s="232"/>
      <c r="W1050" s="269"/>
      <c r="X1050" s="201"/>
      <c r="Y1050" s="269"/>
      <c r="Z1050" s="269"/>
      <c r="AA1050" s="134"/>
      <c r="AB1050" s="269"/>
      <c r="AC1050" s="284"/>
      <c r="AD1050" s="284"/>
      <c r="AE1050" s="269"/>
    </row>
    <row r="1051" spans="2:31">
      <c r="B1051" s="83"/>
      <c r="C1051" s="81"/>
      <c r="D1051" s="83"/>
      <c r="E1051" s="81"/>
      <c r="F1051" s="269"/>
      <c r="G1051" s="48"/>
      <c r="H1051" s="269"/>
      <c r="I1051" s="72"/>
      <c r="J1051" s="330"/>
      <c r="K1051" s="75"/>
      <c r="L1051" s="157"/>
      <c r="M1051" s="341"/>
      <c r="N1051" s="334"/>
      <c r="T1051" s="110"/>
      <c r="V1051" s="232"/>
      <c r="W1051" s="269"/>
      <c r="X1051" s="201"/>
      <c r="Y1051" s="269"/>
      <c r="Z1051" s="269"/>
      <c r="AA1051" s="134"/>
      <c r="AB1051" s="269"/>
      <c r="AC1051" s="284"/>
      <c r="AD1051" s="284"/>
      <c r="AE1051" s="269"/>
    </row>
    <row r="1052" spans="2:31">
      <c r="B1052" s="83"/>
      <c r="C1052" s="81"/>
      <c r="D1052" s="83"/>
      <c r="E1052" s="81"/>
      <c r="F1052" s="269"/>
      <c r="G1052" s="48"/>
      <c r="H1052" s="269"/>
      <c r="I1052" s="72"/>
      <c r="J1052" s="330"/>
      <c r="K1052" s="75"/>
      <c r="L1052" s="157"/>
      <c r="M1052" s="341"/>
      <c r="N1052" s="334"/>
      <c r="T1052" s="110"/>
      <c r="V1052" s="232"/>
      <c r="W1052" s="269"/>
      <c r="X1052" s="201"/>
      <c r="Y1052" s="269"/>
      <c r="Z1052" s="269"/>
      <c r="AA1052" s="134"/>
      <c r="AB1052" s="269"/>
      <c r="AC1052" s="284"/>
      <c r="AD1052" s="284"/>
      <c r="AE1052" s="269"/>
    </row>
    <row r="1053" spans="2:31">
      <c r="B1053" s="83"/>
      <c r="C1053" s="81"/>
      <c r="D1053" s="83"/>
      <c r="E1053" s="81"/>
      <c r="F1053" s="269"/>
      <c r="G1053" s="48"/>
      <c r="H1053" s="269"/>
      <c r="I1053" s="72"/>
      <c r="J1053" s="330"/>
      <c r="K1053" s="75"/>
      <c r="L1053" s="157"/>
      <c r="M1053" s="341"/>
      <c r="N1053" s="334"/>
      <c r="T1053" s="110"/>
      <c r="V1053" s="232"/>
      <c r="W1053" s="269"/>
      <c r="X1053" s="201"/>
      <c r="Y1053" s="269"/>
      <c r="Z1053" s="269"/>
      <c r="AA1053" s="134"/>
      <c r="AB1053" s="269"/>
      <c r="AC1053" s="284"/>
      <c r="AD1053" s="284"/>
      <c r="AE1053" s="269"/>
    </row>
    <row r="1054" spans="2:31">
      <c r="B1054" s="83"/>
      <c r="C1054" s="81"/>
      <c r="D1054" s="83"/>
      <c r="E1054" s="81"/>
      <c r="F1054" s="269"/>
      <c r="G1054" s="48"/>
      <c r="H1054" s="269"/>
      <c r="I1054" s="72"/>
      <c r="J1054" s="330"/>
      <c r="K1054" s="75"/>
      <c r="L1054" s="157"/>
      <c r="M1054" s="341"/>
      <c r="N1054" s="334"/>
      <c r="T1054" s="110"/>
      <c r="V1054" s="232"/>
      <c r="W1054" s="269"/>
      <c r="X1054" s="201"/>
      <c r="Y1054" s="269"/>
      <c r="Z1054" s="269"/>
      <c r="AA1054" s="134"/>
      <c r="AB1054" s="269"/>
      <c r="AC1054" s="284"/>
      <c r="AD1054" s="284"/>
      <c r="AE1054" s="269"/>
    </row>
    <row r="1055" spans="2:31">
      <c r="B1055" s="83"/>
      <c r="C1055" s="81"/>
      <c r="D1055" s="83"/>
      <c r="E1055" s="81"/>
      <c r="F1055" s="269"/>
      <c r="G1055" s="48"/>
      <c r="H1055" s="269"/>
      <c r="I1055" s="72"/>
      <c r="J1055" s="330"/>
      <c r="K1055" s="75"/>
      <c r="L1055" s="157"/>
      <c r="M1055" s="341"/>
      <c r="N1055" s="334"/>
      <c r="T1055" s="110"/>
      <c r="V1055" s="232"/>
      <c r="W1055" s="269"/>
      <c r="X1055" s="201"/>
      <c r="Y1055" s="269"/>
      <c r="Z1055" s="269"/>
      <c r="AA1055" s="134"/>
      <c r="AB1055" s="269"/>
      <c r="AC1055" s="284"/>
      <c r="AD1055" s="284"/>
      <c r="AE1055" s="269"/>
    </row>
    <row r="1056" spans="2:31">
      <c r="B1056" s="83"/>
      <c r="C1056" s="81"/>
      <c r="D1056" s="83"/>
      <c r="E1056" s="81"/>
      <c r="F1056" s="269"/>
      <c r="G1056" s="48"/>
      <c r="H1056" s="269"/>
      <c r="I1056" s="72"/>
      <c r="J1056" s="330"/>
      <c r="K1056" s="75"/>
      <c r="L1056" s="157"/>
      <c r="M1056" s="341"/>
      <c r="N1056" s="334"/>
      <c r="T1056" s="110"/>
      <c r="V1056" s="232"/>
      <c r="W1056" s="269"/>
      <c r="X1056" s="201"/>
      <c r="Y1056" s="269"/>
      <c r="Z1056" s="269"/>
      <c r="AA1056" s="134"/>
      <c r="AB1056" s="269"/>
      <c r="AC1056" s="284"/>
      <c r="AD1056" s="284"/>
      <c r="AE1056" s="269"/>
    </row>
    <row r="1057" spans="2:31">
      <c r="B1057" s="83"/>
      <c r="C1057" s="81"/>
      <c r="D1057" s="83"/>
      <c r="E1057" s="81"/>
      <c r="F1057" s="269"/>
      <c r="G1057" s="48"/>
      <c r="H1057" s="269"/>
      <c r="I1057" s="72"/>
      <c r="J1057" s="330"/>
      <c r="K1057" s="75"/>
      <c r="L1057" s="157"/>
      <c r="M1057" s="341"/>
      <c r="N1057" s="334"/>
      <c r="T1057" s="110"/>
      <c r="V1057" s="232"/>
      <c r="W1057" s="269"/>
      <c r="X1057" s="201"/>
      <c r="Y1057" s="269"/>
      <c r="Z1057" s="269"/>
      <c r="AA1057" s="134"/>
      <c r="AB1057" s="269"/>
      <c r="AC1057" s="284"/>
      <c r="AD1057" s="284"/>
      <c r="AE1057" s="269"/>
    </row>
    <row r="1058" spans="2:31">
      <c r="B1058" s="83"/>
      <c r="C1058" s="81"/>
      <c r="D1058" s="83"/>
      <c r="E1058" s="81"/>
      <c r="F1058" s="269"/>
      <c r="G1058" s="48"/>
      <c r="H1058" s="269"/>
      <c r="I1058" s="72"/>
      <c r="J1058" s="330"/>
      <c r="K1058" s="75"/>
      <c r="L1058" s="157"/>
      <c r="M1058" s="341"/>
      <c r="N1058" s="334"/>
      <c r="T1058" s="110"/>
      <c r="V1058" s="232"/>
      <c r="W1058" s="269"/>
      <c r="X1058" s="201"/>
      <c r="Y1058" s="269"/>
      <c r="Z1058" s="269"/>
      <c r="AA1058" s="134"/>
      <c r="AB1058" s="269"/>
      <c r="AC1058" s="284"/>
      <c r="AD1058" s="284"/>
      <c r="AE1058" s="269"/>
    </row>
    <row r="1059" spans="2:31">
      <c r="B1059" s="83"/>
      <c r="C1059" s="81"/>
      <c r="D1059" s="83"/>
      <c r="E1059" s="81"/>
      <c r="F1059" s="269"/>
      <c r="G1059" s="48"/>
      <c r="H1059" s="269"/>
      <c r="I1059" s="72"/>
      <c r="J1059" s="330"/>
      <c r="K1059" s="75"/>
      <c r="L1059" s="157"/>
      <c r="M1059" s="341"/>
      <c r="N1059" s="334"/>
      <c r="T1059" s="110"/>
      <c r="V1059" s="232"/>
      <c r="W1059" s="269"/>
      <c r="X1059" s="201"/>
      <c r="Y1059" s="269"/>
      <c r="Z1059" s="269"/>
      <c r="AA1059" s="134"/>
      <c r="AB1059" s="269"/>
      <c r="AC1059" s="284"/>
      <c r="AD1059" s="284"/>
      <c r="AE1059" s="269"/>
    </row>
    <row r="1060" spans="2:31">
      <c r="B1060" s="83"/>
      <c r="C1060" s="81"/>
      <c r="D1060" s="83"/>
      <c r="E1060" s="81"/>
      <c r="F1060" s="269"/>
      <c r="G1060" s="48"/>
      <c r="H1060" s="269"/>
      <c r="I1060" s="72"/>
      <c r="J1060" s="330"/>
      <c r="K1060" s="75"/>
      <c r="L1060" s="157"/>
      <c r="M1060" s="341"/>
      <c r="N1060" s="334"/>
      <c r="T1060" s="110"/>
      <c r="V1060" s="232"/>
      <c r="W1060" s="269"/>
      <c r="X1060" s="201"/>
      <c r="Y1060" s="269"/>
      <c r="Z1060" s="269"/>
      <c r="AA1060" s="134"/>
      <c r="AB1060" s="269"/>
      <c r="AC1060" s="284"/>
      <c r="AD1060" s="284"/>
      <c r="AE1060" s="269"/>
    </row>
    <row r="1061" spans="2:31">
      <c r="B1061" s="83"/>
      <c r="C1061" s="81"/>
      <c r="D1061" s="83"/>
      <c r="E1061" s="81"/>
      <c r="F1061" s="269"/>
      <c r="G1061" s="48"/>
      <c r="H1061" s="269"/>
      <c r="I1061" s="72"/>
      <c r="J1061" s="330"/>
      <c r="K1061" s="75"/>
      <c r="L1061" s="157"/>
      <c r="M1061" s="341"/>
      <c r="N1061" s="334"/>
      <c r="T1061" s="110"/>
      <c r="V1061" s="232"/>
      <c r="W1061" s="269"/>
      <c r="X1061" s="201"/>
      <c r="Y1061" s="269"/>
      <c r="Z1061" s="269"/>
      <c r="AA1061" s="134"/>
      <c r="AB1061" s="269"/>
      <c r="AC1061" s="284"/>
      <c r="AD1061" s="284"/>
      <c r="AE1061" s="269"/>
    </row>
    <row r="1062" spans="2:31">
      <c r="B1062" s="83"/>
      <c r="C1062" s="81"/>
      <c r="D1062" s="83"/>
      <c r="E1062" s="81"/>
      <c r="F1062" s="269"/>
      <c r="G1062" s="48"/>
      <c r="H1062" s="269"/>
      <c r="I1062" s="72"/>
      <c r="J1062" s="330"/>
      <c r="K1062" s="75"/>
      <c r="L1062" s="157"/>
      <c r="M1062" s="341"/>
      <c r="N1062" s="334"/>
      <c r="T1062" s="110"/>
      <c r="V1062" s="232"/>
      <c r="W1062" s="269"/>
      <c r="X1062" s="201"/>
      <c r="Y1062" s="269"/>
      <c r="Z1062" s="269"/>
      <c r="AA1062" s="134"/>
      <c r="AB1062" s="269"/>
      <c r="AC1062" s="284"/>
      <c r="AD1062" s="284"/>
      <c r="AE1062" s="269"/>
    </row>
    <row r="1063" spans="2:31">
      <c r="B1063" s="83"/>
      <c r="C1063" s="81"/>
      <c r="D1063" s="83"/>
      <c r="E1063" s="81"/>
      <c r="F1063" s="269"/>
      <c r="G1063" s="48"/>
      <c r="H1063" s="269"/>
      <c r="I1063" s="72"/>
      <c r="J1063" s="330"/>
      <c r="K1063" s="75"/>
      <c r="L1063" s="157"/>
      <c r="M1063" s="341"/>
      <c r="N1063" s="334"/>
      <c r="T1063" s="110"/>
      <c r="V1063" s="232"/>
      <c r="W1063" s="269"/>
      <c r="X1063" s="201"/>
      <c r="Y1063" s="269"/>
      <c r="Z1063" s="269"/>
      <c r="AA1063" s="134"/>
      <c r="AB1063" s="269"/>
      <c r="AC1063" s="284"/>
      <c r="AD1063" s="284"/>
      <c r="AE1063" s="269"/>
    </row>
    <row r="1064" spans="2:31">
      <c r="B1064" s="83"/>
      <c r="C1064" s="81"/>
      <c r="D1064" s="83"/>
      <c r="E1064" s="81"/>
      <c r="F1064" s="269"/>
      <c r="G1064" s="48"/>
      <c r="H1064" s="269"/>
      <c r="I1064" s="72"/>
      <c r="J1064" s="330"/>
      <c r="K1064" s="75"/>
      <c r="L1064" s="157"/>
      <c r="M1064" s="341"/>
      <c r="N1064" s="334"/>
      <c r="T1064" s="110"/>
      <c r="V1064" s="232"/>
      <c r="W1064" s="269"/>
      <c r="X1064" s="201"/>
      <c r="Y1064" s="269"/>
      <c r="Z1064" s="269"/>
      <c r="AA1064" s="134"/>
      <c r="AB1064" s="269"/>
      <c r="AC1064" s="284"/>
      <c r="AD1064" s="284"/>
      <c r="AE1064" s="269"/>
    </row>
    <row r="1065" spans="2:31">
      <c r="B1065" s="83"/>
      <c r="C1065" s="81"/>
      <c r="D1065" s="83"/>
      <c r="E1065" s="81"/>
      <c r="F1065" s="269"/>
      <c r="G1065" s="48"/>
      <c r="H1065" s="269"/>
      <c r="I1065" s="72"/>
      <c r="J1065" s="330"/>
      <c r="K1065" s="75"/>
      <c r="L1065" s="157"/>
      <c r="M1065" s="341"/>
      <c r="N1065" s="334"/>
      <c r="T1065" s="110"/>
      <c r="V1065" s="232"/>
      <c r="W1065" s="269"/>
      <c r="X1065" s="201"/>
      <c r="Y1065" s="269"/>
      <c r="Z1065" s="269"/>
      <c r="AA1065" s="134"/>
      <c r="AB1065" s="269"/>
      <c r="AC1065" s="284"/>
      <c r="AD1065" s="284"/>
      <c r="AE1065" s="269"/>
    </row>
    <row r="1066" spans="2:31">
      <c r="B1066" s="83"/>
      <c r="C1066" s="81"/>
      <c r="D1066" s="83"/>
      <c r="E1066" s="81"/>
      <c r="F1066" s="269"/>
      <c r="G1066" s="48"/>
      <c r="H1066" s="269"/>
      <c r="I1066" s="72"/>
      <c r="J1066" s="330"/>
      <c r="K1066" s="75"/>
      <c r="L1066" s="157"/>
      <c r="M1066" s="341"/>
      <c r="N1066" s="334"/>
      <c r="T1066" s="110"/>
      <c r="V1066" s="232"/>
      <c r="W1066" s="269"/>
      <c r="X1066" s="201"/>
      <c r="Y1066" s="269"/>
      <c r="Z1066" s="269"/>
      <c r="AA1066" s="134"/>
      <c r="AB1066" s="269"/>
      <c r="AC1066" s="284"/>
      <c r="AD1066" s="284"/>
      <c r="AE1066" s="269"/>
    </row>
    <row r="1067" spans="2:31">
      <c r="B1067" s="83"/>
      <c r="C1067" s="81"/>
      <c r="D1067" s="83"/>
      <c r="E1067" s="81"/>
      <c r="F1067" s="269"/>
      <c r="G1067" s="48"/>
      <c r="H1067" s="269"/>
      <c r="I1067" s="72"/>
      <c r="J1067" s="330"/>
      <c r="K1067" s="75"/>
      <c r="L1067" s="157"/>
      <c r="M1067" s="341"/>
      <c r="N1067" s="334"/>
      <c r="T1067" s="110"/>
      <c r="V1067" s="232"/>
      <c r="W1067" s="269"/>
      <c r="X1067" s="201"/>
      <c r="Y1067" s="269"/>
      <c r="Z1067" s="269"/>
      <c r="AA1067" s="134"/>
      <c r="AB1067" s="269"/>
      <c r="AC1067" s="284"/>
      <c r="AD1067" s="284"/>
      <c r="AE1067" s="269"/>
    </row>
    <row r="1068" spans="2:31">
      <c r="B1068" s="83"/>
      <c r="C1068" s="81"/>
      <c r="D1068" s="83"/>
      <c r="E1068" s="81"/>
      <c r="F1068" s="269"/>
      <c r="G1068" s="48"/>
      <c r="H1068" s="269"/>
      <c r="I1068" s="72"/>
      <c r="J1068" s="330"/>
      <c r="K1068" s="75"/>
      <c r="L1068" s="157"/>
      <c r="M1068" s="341"/>
      <c r="N1068" s="334"/>
      <c r="T1068" s="110"/>
      <c r="V1068" s="232"/>
      <c r="W1068" s="269"/>
      <c r="X1068" s="201"/>
      <c r="Y1068" s="269"/>
      <c r="Z1068" s="269"/>
      <c r="AA1068" s="134"/>
      <c r="AB1068" s="269"/>
      <c r="AC1068" s="284"/>
      <c r="AD1068" s="284"/>
      <c r="AE1068" s="269"/>
    </row>
    <row r="1069" spans="2:31">
      <c r="B1069" s="83"/>
      <c r="C1069" s="81"/>
      <c r="D1069" s="83"/>
      <c r="E1069" s="81"/>
      <c r="F1069" s="269"/>
      <c r="G1069" s="48"/>
      <c r="H1069" s="269"/>
      <c r="I1069" s="72"/>
      <c r="J1069" s="330"/>
      <c r="K1069" s="75"/>
      <c r="L1069" s="157"/>
      <c r="M1069" s="341"/>
      <c r="N1069" s="334"/>
      <c r="T1069" s="110"/>
      <c r="V1069" s="232"/>
      <c r="W1069" s="269"/>
      <c r="X1069" s="201"/>
      <c r="Y1069" s="269"/>
      <c r="Z1069" s="269"/>
      <c r="AA1069" s="134"/>
      <c r="AB1069" s="269"/>
      <c r="AC1069" s="284"/>
      <c r="AD1069" s="284"/>
      <c r="AE1069" s="269"/>
    </row>
    <row r="1070" spans="2:31">
      <c r="B1070" s="83"/>
      <c r="C1070" s="81"/>
      <c r="D1070" s="83"/>
      <c r="E1070" s="81"/>
      <c r="F1070" s="269"/>
      <c r="G1070" s="48"/>
      <c r="H1070" s="269"/>
      <c r="I1070" s="72"/>
      <c r="J1070" s="330"/>
      <c r="K1070" s="75"/>
      <c r="L1070" s="157"/>
      <c r="M1070" s="341"/>
      <c r="N1070" s="334"/>
      <c r="T1070" s="110"/>
      <c r="V1070" s="232"/>
      <c r="W1070" s="269"/>
      <c r="X1070" s="201"/>
      <c r="Y1070" s="269"/>
      <c r="Z1070" s="269"/>
      <c r="AA1070" s="134"/>
      <c r="AB1070" s="269"/>
      <c r="AC1070" s="284"/>
      <c r="AD1070" s="284"/>
      <c r="AE1070" s="269"/>
    </row>
    <row r="1071" spans="2:31">
      <c r="B1071" s="83"/>
      <c r="C1071" s="81"/>
      <c r="D1071" s="83"/>
      <c r="E1071" s="81"/>
      <c r="F1071" s="269"/>
      <c r="G1071" s="48"/>
      <c r="H1071" s="269"/>
      <c r="I1071" s="72"/>
      <c r="J1071" s="330"/>
      <c r="K1071" s="75"/>
      <c r="L1071" s="157"/>
      <c r="M1071" s="341"/>
      <c r="N1071" s="334"/>
      <c r="T1071" s="110"/>
      <c r="V1071" s="232"/>
      <c r="W1071" s="269"/>
      <c r="X1071" s="201"/>
      <c r="Y1071" s="269"/>
      <c r="Z1071" s="269"/>
      <c r="AA1071" s="134"/>
      <c r="AB1071" s="269"/>
      <c r="AC1071" s="284"/>
      <c r="AD1071" s="284"/>
      <c r="AE1071" s="269"/>
    </row>
    <row r="1072" spans="2:31">
      <c r="B1072" s="83"/>
      <c r="C1072" s="81"/>
      <c r="D1072" s="83"/>
      <c r="E1072" s="81"/>
      <c r="F1072" s="269"/>
      <c r="G1072" s="48"/>
      <c r="H1072" s="269"/>
      <c r="I1072" s="72"/>
      <c r="J1072" s="330"/>
      <c r="K1072" s="75"/>
      <c r="L1072" s="157"/>
      <c r="M1072" s="341"/>
      <c r="N1072" s="334"/>
      <c r="T1072" s="110"/>
      <c r="V1072" s="232"/>
      <c r="W1072" s="269"/>
      <c r="X1072" s="201"/>
      <c r="Y1072" s="269"/>
      <c r="Z1072" s="269"/>
      <c r="AA1072" s="134"/>
      <c r="AB1072" s="269"/>
      <c r="AC1072" s="284"/>
      <c r="AD1072" s="284"/>
      <c r="AE1072" s="269"/>
    </row>
    <row r="1073" spans="2:31">
      <c r="B1073" s="83"/>
      <c r="C1073" s="81"/>
      <c r="D1073" s="83"/>
      <c r="E1073" s="81"/>
      <c r="F1073" s="269"/>
      <c r="G1073" s="48"/>
      <c r="H1073" s="269"/>
      <c r="I1073" s="72"/>
      <c r="J1073" s="330"/>
      <c r="K1073" s="75"/>
      <c r="L1073" s="157"/>
      <c r="M1073" s="341"/>
      <c r="N1073" s="334"/>
      <c r="T1073" s="110"/>
      <c r="V1073" s="232"/>
      <c r="W1073" s="269"/>
      <c r="X1073" s="201"/>
      <c r="Y1073" s="269"/>
      <c r="Z1073" s="269"/>
      <c r="AA1073" s="134"/>
      <c r="AB1073" s="269"/>
      <c r="AC1073" s="284"/>
      <c r="AD1073" s="284"/>
      <c r="AE1073" s="269"/>
    </row>
    <row r="1074" spans="2:31">
      <c r="B1074" s="83"/>
      <c r="C1074" s="81"/>
      <c r="D1074" s="83"/>
      <c r="E1074" s="81"/>
      <c r="F1074" s="269"/>
      <c r="G1074" s="48"/>
      <c r="H1074" s="269"/>
      <c r="I1074" s="72"/>
      <c r="J1074" s="330"/>
      <c r="K1074" s="75"/>
      <c r="L1074" s="157"/>
      <c r="M1074" s="341"/>
      <c r="N1074" s="334"/>
      <c r="T1074" s="110"/>
      <c r="V1074" s="232"/>
      <c r="W1074" s="269"/>
      <c r="X1074" s="201"/>
      <c r="Y1074" s="269"/>
      <c r="Z1074" s="269"/>
      <c r="AA1074" s="134"/>
      <c r="AB1074" s="269"/>
      <c r="AC1074" s="284"/>
      <c r="AD1074" s="284"/>
      <c r="AE1074" s="269"/>
    </row>
    <row r="1075" spans="2:31">
      <c r="B1075" s="83"/>
      <c r="C1075" s="81"/>
      <c r="D1075" s="83"/>
      <c r="E1075" s="81"/>
      <c r="F1075" s="269"/>
      <c r="G1075" s="48"/>
      <c r="H1075" s="269"/>
      <c r="I1075" s="72"/>
      <c r="J1075" s="330"/>
      <c r="K1075" s="75"/>
      <c r="L1075" s="157"/>
      <c r="M1075" s="341"/>
      <c r="N1075" s="334"/>
      <c r="T1075" s="110"/>
      <c r="V1075" s="232"/>
      <c r="W1075" s="269"/>
      <c r="X1075" s="201"/>
      <c r="Y1075" s="269"/>
      <c r="Z1075" s="269"/>
      <c r="AA1075" s="134"/>
      <c r="AB1075" s="269"/>
      <c r="AC1075" s="284"/>
      <c r="AD1075" s="284"/>
      <c r="AE1075" s="269"/>
    </row>
    <row r="1076" spans="2:31">
      <c r="B1076" s="83"/>
      <c r="C1076" s="81"/>
      <c r="D1076" s="83"/>
      <c r="E1076" s="81"/>
      <c r="F1076" s="269"/>
      <c r="G1076" s="48"/>
      <c r="H1076" s="269"/>
      <c r="I1076" s="72"/>
      <c r="J1076" s="330"/>
      <c r="K1076" s="75"/>
      <c r="L1076" s="157"/>
      <c r="M1076" s="341"/>
      <c r="N1076" s="334"/>
      <c r="T1076" s="110"/>
      <c r="V1076" s="232"/>
      <c r="W1076" s="269"/>
      <c r="X1076" s="201"/>
      <c r="Y1076" s="269"/>
      <c r="Z1076" s="269"/>
      <c r="AA1076" s="134"/>
      <c r="AB1076" s="269"/>
      <c r="AC1076" s="284"/>
      <c r="AD1076" s="284"/>
      <c r="AE1076" s="269"/>
    </row>
    <row r="1077" spans="2:31">
      <c r="B1077" s="83"/>
      <c r="C1077" s="81"/>
      <c r="D1077" s="83"/>
      <c r="E1077" s="81"/>
      <c r="F1077" s="269"/>
      <c r="G1077" s="48"/>
      <c r="H1077" s="269"/>
      <c r="I1077" s="72"/>
      <c r="J1077" s="330"/>
      <c r="K1077" s="75"/>
      <c r="L1077" s="157"/>
      <c r="M1077" s="341"/>
      <c r="N1077" s="334"/>
      <c r="T1077" s="110"/>
      <c r="V1077" s="232"/>
      <c r="W1077" s="269"/>
      <c r="X1077" s="201"/>
      <c r="Y1077" s="269"/>
      <c r="Z1077" s="269"/>
      <c r="AA1077" s="134"/>
      <c r="AB1077" s="269"/>
      <c r="AC1077" s="284"/>
      <c r="AD1077" s="284"/>
      <c r="AE1077" s="269"/>
    </row>
    <row r="1078" spans="2:31">
      <c r="B1078" s="83"/>
      <c r="C1078" s="81"/>
      <c r="D1078" s="83"/>
      <c r="E1078" s="81"/>
      <c r="F1078" s="269"/>
      <c r="G1078" s="48"/>
      <c r="H1078" s="269"/>
      <c r="I1078" s="72"/>
      <c r="J1078" s="330"/>
      <c r="K1078" s="75"/>
      <c r="L1078" s="157"/>
      <c r="M1078" s="341"/>
      <c r="N1078" s="334"/>
      <c r="T1078" s="110"/>
      <c r="V1078" s="232"/>
      <c r="W1078" s="269"/>
      <c r="X1078" s="201"/>
      <c r="Y1078" s="269"/>
      <c r="Z1078" s="269"/>
      <c r="AA1078" s="134"/>
      <c r="AB1078" s="269"/>
      <c r="AC1078" s="284"/>
      <c r="AD1078" s="284"/>
      <c r="AE1078" s="269"/>
    </row>
    <row r="1079" spans="2:31">
      <c r="B1079" s="83"/>
      <c r="C1079" s="81"/>
      <c r="D1079" s="83"/>
      <c r="E1079" s="81"/>
      <c r="F1079" s="269"/>
      <c r="G1079" s="48"/>
      <c r="H1079" s="269"/>
      <c r="I1079" s="72"/>
      <c r="J1079" s="330"/>
      <c r="K1079" s="75"/>
      <c r="L1079" s="157"/>
      <c r="M1079" s="341"/>
      <c r="N1079" s="334"/>
      <c r="T1079" s="110"/>
      <c r="V1079" s="232"/>
      <c r="W1079" s="269"/>
      <c r="X1079" s="201"/>
      <c r="Y1079" s="269"/>
      <c r="Z1079" s="269"/>
      <c r="AA1079" s="134"/>
      <c r="AB1079" s="269"/>
      <c r="AC1079" s="284"/>
      <c r="AD1079" s="284"/>
      <c r="AE1079" s="269"/>
    </row>
    <row r="1080" spans="2:31">
      <c r="B1080" s="83"/>
      <c r="C1080" s="81"/>
      <c r="D1080" s="83"/>
      <c r="E1080" s="81"/>
      <c r="F1080" s="269"/>
      <c r="G1080" s="48"/>
      <c r="H1080" s="269"/>
      <c r="I1080" s="72"/>
      <c r="J1080" s="330"/>
      <c r="K1080" s="75"/>
      <c r="L1080" s="157"/>
      <c r="M1080" s="341"/>
      <c r="N1080" s="334"/>
      <c r="T1080" s="110"/>
      <c r="V1080" s="232"/>
      <c r="W1080" s="269"/>
      <c r="X1080" s="201"/>
      <c r="Y1080" s="269"/>
      <c r="Z1080" s="269"/>
      <c r="AA1080" s="134"/>
      <c r="AB1080" s="269"/>
      <c r="AC1080" s="284"/>
      <c r="AD1080" s="284"/>
      <c r="AE1080" s="269"/>
    </row>
    <row r="1081" spans="2:31">
      <c r="B1081" s="83"/>
      <c r="C1081" s="81"/>
      <c r="D1081" s="83"/>
      <c r="E1081" s="81"/>
      <c r="F1081" s="269"/>
      <c r="G1081" s="48"/>
      <c r="H1081" s="269"/>
      <c r="I1081" s="72"/>
      <c r="J1081" s="330"/>
      <c r="K1081" s="75"/>
      <c r="L1081" s="157"/>
      <c r="M1081" s="341"/>
      <c r="N1081" s="334"/>
      <c r="T1081" s="110"/>
      <c r="V1081" s="232"/>
      <c r="W1081" s="269"/>
      <c r="X1081" s="201"/>
      <c r="Y1081" s="269"/>
      <c r="Z1081" s="269"/>
      <c r="AA1081" s="134"/>
      <c r="AB1081" s="269"/>
      <c r="AC1081" s="284"/>
      <c r="AD1081" s="284"/>
      <c r="AE1081" s="269"/>
    </row>
    <row r="1082" spans="2:31">
      <c r="B1082" s="83"/>
      <c r="C1082" s="81"/>
      <c r="D1082" s="83"/>
      <c r="E1082" s="81"/>
      <c r="F1082" s="269"/>
      <c r="G1082" s="48"/>
      <c r="H1082" s="269"/>
      <c r="I1082" s="72"/>
      <c r="J1082" s="330"/>
      <c r="K1082" s="75"/>
      <c r="L1082" s="157"/>
      <c r="M1082" s="341"/>
      <c r="N1082" s="334"/>
      <c r="T1082" s="110"/>
      <c r="V1082" s="232"/>
      <c r="W1082" s="269"/>
      <c r="X1082" s="201"/>
      <c r="Y1082" s="269"/>
      <c r="Z1082" s="269"/>
      <c r="AA1082" s="134"/>
      <c r="AB1082" s="269"/>
      <c r="AC1082" s="284"/>
      <c r="AD1082" s="284"/>
      <c r="AE1082" s="269"/>
    </row>
    <row r="1083" spans="2:31">
      <c r="B1083" s="83"/>
      <c r="C1083" s="81"/>
      <c r="D1083" s="83"/>
      <c r="E1083" s="81"/>
      <c r="F1083" s="269"/>
      <c r="G1083" s="48"/>
      <c r="H1083" s="269"/>
      <c r="I1083" s="72"/>
      <c r="J1083" s="330"/>
      <c r="K1083" s="75"/>
      <c r="L1083" s="157"/>
      <c r="M1083" s="341"/>
      <c r="N1083" s="334"/>
      <c r="T1083" s="110"/>
      <c r="V1083" s="232"/>
      <c r="W1083" s="269"/>
      <c r="X1083" s="201"/>
      <c r="Y1083" s="269"/>
      <c r="Z1083" s="269"/>
      <c r="AA1083" s="134"/>
      <c r="AB1083" s="269"/>
      <c r="AC1083" s="284"/>
      <c r="AD1083" s="284"/>
      <c r="AE1083" s="269"/>
    </row>
    <row r="1084" spans="2:31">
      <c r="B1084" s="83"/>
      <c r="C1084" s="81"/>
      <c r="D1084" s="83"/>
      <c r="E1084" s="81"/>
      <c r="F1084" s="269"/>
      <c r="G1084" s="48"/>
      <c r="H1084" s="269"/>
      <c r="I1084" s="72"/>
      <c r="J1084" s="330"/>
      <c r="K1084" s="75"/>
      <c r="L1084" s="157"/>
      <c r="M1084" s="341"/>
      <c r="N1084" s="334"/>
      <c r="T1084" s="110"/>
      <c r="V1084" s="232"/>
      <c r="W1084" s="269"/>
      <c r="X1084" s="201"/>
      <c r="Y1084" s="269"/>
      <c r="Z1084" s="269"/>
      <c r="AA1084" s="134"/>
      <c r="AB1084" s="269"/>
      <c r="AC1084" s="284"/>
      <c r="AD1084" s="284"/>
      <c r="AE1084" s="269"/>
    </row>
    <row r="1085" spans="2:31">
      <c r="B1085" s="83"/>
      <c r="C1085" s="81"/>
      <c r="D1085" s="83"/>
      <c r="E1085" s="81"/>
      <c r="F1085" s="269"/>
      <c r="G1085" s="48"/>
      <c r="H1085" s="269"/>
      <c r="I1085" s="72"/>
      <c r="J1085" s="330"/>
      <c r="K1085" s="75"/>
      <c r="L1085" s="157"/>
      <c r="M1085" s="341"/>
      <c r="N1085" s="334"/>
      <c r="T1085" s="110"/>
      <c r="V1085" s="232"/>
      <c r="W1085" s="269"/>
      <c r="X1085" s="201"/>
      <c r="Y1085" s="269"/>
      <c r="Z1085" s="269"/>
      <c r="AA1085" s="134"/>
      <c r="AB1085" s="269"/>
      <c r="AC1085" s="284"/>
      <c r="AD1085" s="284"/>
      <c r="AE1085" s="269"/>
    </row>
    <row r="1086" spans="2:31">
      <c r="B1086" s="83"/>
      <c r="C1086" s="81"/>
      <c r="D1086" s="83"/>
      <c r="E1086" s="81"/>
      <c r="F1086" s="269"/>
      <c r="G1086" s="48"/>
      <c r="H1086" s="269"/>
      <c r="I1086" s="72"/>
      <c r="J1086" s="330"/>
      <c r="K1086" s="75"/>
      <c r="L1086" s="157"/>
      <c r="M1086" s="341"/>
      <c r="N1086" s="334"/>
      <c r="T1086" s="110"/>
      <c r="V1086" s="232"/>
      <c r="W1086" s="269"/>
      <c r="X1086" s="201"/>
      <c r="Y1086" s="269"/>
      <c r="Z1086" s="269"/>
      <c r="AA1086" s="134"/>
      <c r="AB1086" s="269"/>
      <c r="AC1086" s="284"/>
      <c r="AD1086" s="284"/>
      <c r="AE1086" s="269"/>
    </row>
    <row r="1087" spans="2:31">
      <c r="B1087" s="83"/>
      <c r="C1087" s="81"/>
      <c r="D1087" s="83"/>
      <c r="E1087" s="81"/>
      <c r="F1087" s="269"/>
      <c r="G1087" s="48"/>
      <c r="H1087" s="269"/>
      <c r="I1087" s="72"/>
      <c r="J1087" s="330"/>
      <c r="K1087" s="75"/>
      <c r="L1087" s="157"/>
      <c r="M1087" s="341"/>
      <c r="N1087" s="334"/>
      <c r="T1087" s="110"/>
      <c r="V1087" s="232"/>
      <c r="W1087" s="269"/>
      <c r="X1087" s="201"/>
      <c r="Y1087" s="269"/>
      <c r="Z1087" s="269"/>
      <c r="AA1087" s="134"/>
      <c r="AB1087" s="269"/>
      <c r="AC1087" s="284"/>
      <c r="AD1087" s="284"/>
      <c r="AE1087" s="269"/>
    </row>
    <row r="1088" spans="2:31">
      <c r="B1088" s="83"/>
      <c r="C1088" s="81"/>
      <c r="D1088" s="83"/>
      <c r="E1088" s="81"/>
      <c r="F1088" s="269"/>
      <c r="G1088" s="48"/>
      <c r="H1088" s="269"/>
      <c r="I1088" s="72"/>
      <c r="J1088" s="330"/>
      <c r="K1088" s="75"/>
      <c r="L1088" s="157"/>
      <c r="M1088" s="341"/>
      <c r="N1088" s="334"/>
      <c r="T1088" s="110"/>
      <c r="V1088" s="232"/>
      <c r="W1088" s="269"/>
      <c r="X1088" s="201"/>
      <c r="Y1088" s="269"/>
      <c r="Z1088" s="269"/>
      <c r="AA1088" s="134"/>
      <c r="AB1088" s="269"/>
      <c r="AC1088" s="284"/>
      <c r="AD1088" s="284"/>
      <c r="AE1088" s="269"/>
    </row>
    <row r="1089" spans="2:31">
      <c r="B1089" s="83"/>
      <c r="C1089" s="81"/>
      <c r="D1089" s="83"/>
      <c r="E1089" s="81"/>
      <c r="F1089" s="269"/>
      <c r="G1089" s="48"/>
      <c r="H1089" s="269"/>
      <c r="I1089" s="72"/>
      <c r="J1089" s="330"/>
      <c r="K1089" s="75"/>
      <c r="L1089" s="157"/>
      <c r="M1089" s="341"/>
      <c r="N1089" s="334"/>
      <c r="T1089" s="110"/>
      <c r="V1089" s="232"/>
      <c r="W1089" s="269"/>
      <c r="X1089" s="201"/>
      <c r="Y1089" s="269"/>
      <c r="Z1089" s="269"/>
      <c r="AA1089" s="134"/>
      <c r="AB1089" s="269"/>
      <c r="AC1089" s="284"/>
      <c r="AD1089" s="284"/>
      <c r="AE1089" s="269"/>
    </row>
    <row r="1090" spans="2:31">
      <c r="B1090" s="83"/>
      <c r="C1090" s="81"/>
      <c r="D1090" s="83"/>
      <c r="E1090" s="81"/>
      <c r="F1090" s="269"/>
      <c r="G1090" s="48"/>
      <c r="H1090" s="269"/>
      <c r="I1090" s="72"/>
      <c r="J1090" s="330"/>
      <c r="K1090" s="75"/>
      <c r="L1090" s="157"/>
      <c r="M1090" s="341"/>
      <c r="N1090" s="334"/>
      <c r="T1090" s="110"/>
      <c r="V1090" s="232"/>
      <c r="W1090" s="269"/>
      <c r="X1090" s="201"/>
      <c r="Y1090" s="269"/>
      <c r="Z1090" s="269"/>
      <c r="AA1090" s="134"/>
      <c r="AB1090" s="269"/>
      <c r="AC1090" s="284"/>
      <c r="AD1090" s="284"/>
      <c r="AE1090" s="269"/>
    </row>
    <row r="1091" spans="2:31">
      <c r="B1091" s="83"/>
      <c r="C1091" s="81"/>
      <c r="D1091" s="83"/>
      <c r="E1091" s="81"/>
      <c r="F1091" s="269"/>
      <c r="G1091" s="48"/>
      <c r="H1091" s="269"/>
      <c r="I1091" s="72"/>
      <c r="J1091" s="330"/>
      <c r="K1091" s="75"/>
      <c r="L1091" s="157"/>
      <c r="M1091" s="341"/>
      <c r="N1091" s="334"/>
      <c r="T1091" s="110"/>
      <c r="V1091" s="232"/>
      <c r="W1091" s="269"/>
      <c r="X1091" s="201"/>
      <c r="Y1091" s="269"/>
      <c r="Z1091" s="269"/>
      <c r="AA1091" s="134"/>
      <c r="AB1091" s="269"/>
      <c r="AC1091" s="284"/>
      <c r="AD1091" s="284"/>
      <c r="AE1091" s="269"/>
    </row>
    <row r="1092" spans="2:31">
      <c r="B1092" s="83"/>
      <c r="C1092" s="81"/>
      <c r="D1092" s="83"/>
      <c r="E1092" s="81"/>
      <c r="F1092" s="269"/>
      <c r="G1092" s="48"/>
      <c r="H1092" s="269"/>
      <c r="I1092" s="72"/>
      <c r="J1092" s="330"/>
      <c r="K1092" s="75"/>
      <c r="L1092" s="157"/>
      <c r="M1092" s="341"/>
      <c r="N1092" s="334"/>
      <c r="T1092" s="110"/>
      <c r="V1092" s="232"/>
      <c r="W1092" s="269"/>
      <c r="X1092" s="201"/>
      <c r="Y1092" s="269"/>
      <c r="Z1092" s="269"/>
      <c r="AA1092" s="134"/>
      <c r="AB1092" s="269"/>
      <c r="AC1092" s="284"/>
      <c r="AD1092" s="284"/>
      <c r="AE1092" s="269"/>
    </row>
    <row r="1093" spans="2:31">
      <c r="B1093" s="83"/>
      <c r="C1093" s="81"/>
      <c r="D1093" s="83"/>
      <c r="E1093" s="81"/>
      <c r="F1093" s="269"/>
      <c r="G1093" s="48"/>
      <c r="H1093" s="269"/>
      <c r="I1093" s="72"/>
      <c r="J1093" s="330"/>
      <c r="K1093" s="75"/>
      <c r="L1093" s="157"/>
      <c r="M1093" s="341"/>
      <c r="N1093" s="334"/>
      <c r="T1093" s="110"/>
      <c r="V1093" s="232"/>
      <c r="W1093" s="269"/>
      <c r="X1093" s="201"/>
      <c r="Y1093" s="269"/>
      <c r="Z1093" s="269"/>
      <c r="AA1093" s="134"/>
      <c r="AB1093" s="269"/>
      <c r="AC1093" s="284"/>
      <c r="AD1093" s="284"/>
      <c r="AE1093" s="269"/>
    </row>
    <row r="1094" spans="2:31">
      <c r="B1094" s="83"/>
      <c r="C1094" s="81"/>
      <c r="D1094" s="83"/>
      <c r="E1094" s="81"/>
      <c r="F1094" s="269"/>
      <c r="G1094" s="48"/>
      <c r="H1094" s="269"/>
      <c r="I1094" s="72"/>
      <c r="J1094" s="330"/>
      <c r="K1094" s="75"/>
      <c r="L1094" s="157"/>
      <c r="M1094" s="341"/>
      <c r="N1094" s="334"/>
      <c r="T1094" s="110"/>
      <c r="V1094" s="232"/>
      <c r="W1094" s="269"/>
      <c r="X1094" s="201"/>
      <c r="Y1094" s="269"/>
      <c r="Z1094" s="269"/>
      <c r="AA1094" s="134"/>
      <c r="AB1094" s="269"/>
      <c r="AC1094" s="284"/>
      <c r="AD1094" s="284"/>
      <c r="AE1094" s="269"/>
    </row>
    <row r="1095" spans="2:31">
      <c r="B1095" s="83"/>
      <c r="C1095" s="81"/>
      <c r="D1095" s="83"/>
      <c r="E1095" s="81"/>
      <c r="F1095" s="269"/>
      <c r="G1095" s="48"/>
      <c r="H1095" s="269"/>
      <c r="I1095" s="72"/>
      <c r="J1095" s="330"/>
      <c r="K1095" s="75"/>
      <c r="L1095" s="157"/>
      <c r="M1095" s="341"/>
      <c r="N1095" s="334"/>
      <c r="T1095" s="110"/>
      <c r="V1095" s="232"/>
      <c r="W1095" s="269"/>
      <c r="X1095" s="201"/>
      <c r="Y1095" s="269"/>
      <c r="Z1095" s="269"/>
      <c r="AA1095" s="134"/>
      <c r="AB1095" s="269"/>
      <c r="AC1095" s="284"/>
      <c r="AD1095" s="284"/>
      <c r="AE1095" s="269"/>
    </row>
    <row r="1096" spans="2:31">
      <c r="B1096" s="83"/>
      <c r="C1096" s="81"/>
      <c r="D1096" s="83"/>
      <c r="E1096" s="81"/>
      <c r="F1096" s="269"/>
      <c r="G1096" s="48"/>
      <c r="H1096" s="269"/>
      <c r="I1096" s="72"/>
      <c r="J1096" s="330"/>
      <c r="K1096" s="75"/>
      <c r="L1096" s="157"/>
      <c r="M1096" s="341"/>
      <c r="N1096" s="334"/>
      <c r="T1096" s="110"/>
      <c r="V1096" s="232"/>
      <c r="W1096" s="269"/>
      <c r="X1096" s="201"/>
      <c r="Y1096" s="269"/>
      <c r="Z1096" s="269"/>
      <c r="AA1096" s="134"/>
      <c r="AB1096" s="269"/>
      <c r="AC1096" s="284"/>
      <c r="AD1096" s="284"/>
      <c r="AE1096" s="269"/>
    </row>
    <row r="1097" spans="2:31">
      <c r="B1097" s="83"/>
      <c r="C1097" s="81"/>
      <c r="D1097" s="83"/>
      <c r="E1097" s="81"/>
      <c r="F1097" s="269"/>
      <c r="G1097" s="48"/>
      <c r="H1097" s="269"/>
      <c r="I1097" s="72"/>
      <c r="J1097" s="330"/>
      <c r="K1097" s="75"/>
      <c r="L1097" s="157"/>
      <c r="M1097" s="341"/>
      <c r="N1097" s="334"/>
      <c r="T1097" s="110"/>
      <c r="V1097" s="232"/>
      <c r="W1097" s="269"/>
      <c r="X1097" s="201"/>
      <c r="Y1097" s="269"/>
      <c r="Z1097" s="269"/>
      <c r="AA1097" s="134"/>
      <c r="AB1097" s="269"/>
      <c r="AC1097" s="284"/>
      <c r="AD1097" s="284"/>
      <c r="AE1097" s="269"/>
    </row>
    <row r="1098" spans="2:31">
      <c r="B1098" s="83"/>
      <c r="C1098" s="81"/>
      <c r="D1098" s="83"/>
      <c r="E1098" s="81"/>
      <c r="F1098" s="269"/>
      <c r="G1098" s="48"/>
      <c r="H1098" s="269"/>
      <c r="I1098" s="72"/>
      <c r="J1098" s="330"/>
      <c r="K1098" s="75"/>
      <c r="L1098" s="157"/>
      <c r="M1098" s="341"/>
      <c r="N1098" s="334"/>
      <c r="T1098" s="110"/>
      <c r="V1098" s="232"/>
      <c r="W1098" s="269"/>
      <c r="X1098" s="201"/>
      <c r="Y1098" s="269"/>
      <c r="Z1098" s="269"/>
      <c r="AA1098" s="134"/>
      <c r="AB1098" s="269"/>
      <c r="AC1098" s="284"/>
      <c r="AD1098" s="284"/>
      <c r="AE1098" s="269"/>
    </row>
    <row r="1099" spans="2:31">
      <c r="B1099" s="83"/>
      <c r="C1099" s="81"/>
      <c r="D1099" s="83"/>
      <c r="E1099" s="81"/>
      <c r="F1099" s="269"/>
      <c r="G1099" s="48"/>
      <c r="H1099" s="269"/>
      <c r="I1099" s="72"/>
      <c r="J1099" s="330"/>
      <c r="K1099" s="75"/>
      <c r="L1099" s="157"/>
      <c r="M1099" s="341"/>
      <c r="N1099" s="334"/>
      <c r="T1099" s="110"/>
      <c r="V1099" s="232"/>
      <c r="W1099" s="269"/>
      <c r="X1099" s="201"/>
      <c r="Y1099" s="269"/>
      <c r="Z1099" s="269"/>
      <c r="AA1099" s="134"/>
      <c r="AB1099" s="269"/>
      <c r="AC1099" s="284"/>
      <c r="AD1099" s="284"/>
      <c r="AE1099" s="269"/>
    </row>
    <row r="1100" spans="2:31">
      <c r="B1100" s="83"/>
      <c r="C1100" s="81"/>
      <c r="D1100" s="83"/>
      <c r="E1100" s="81"/>
      <c r="F1100" s="269"/>
      <c r="G1100" s="48"/>
      <c r="H1100" s="269"/>
      <c r="I1100" s="72"/>
      <c r="J1100" s="330"/>
      <c r="K1100" s="75"/>
      <c r="L1100" s="157"/>
      <c r="M1100" s="341"/>
      <c r="N1100" s="334"/>
      <c r="T1100" s="110"/>
      <c r="V1100" s="232"/>
      <c r="W1100" s="269"/>
      <c r="X1100" s="201"/>
      <c r="Y1100" s="269"/>
      <c r="Z1100" s="269"/>
      <c r="AA1100" s="134"/>
      <c r="AB1100" s="269"/>
      <c r="AC1100" s="284"/>
      <c r="AD1100" s="284"/>
      <c r="AE1100" s="269"/>
    </row>
    <row r="1101" spans="2:31">
      <c r="B1101" s="83"/>
      <c r="C1101" s="81"/>
      <c r="D1101" s="83"/>
      <c r="E1101" s="81"/>
      <c r="F1101" s="269"/>
      <c r="G1101" s="48"/>
      <c r="H1101" s="269"/>
      <c r="I1101" s="72"/>
      <c r="J1101" s="330"/>
      <c r="K1101" s="75"/>
      <c r="L1101" s="157"/>
      <c r="M1101" s="341"/>
      <c r="N1101" s="334"/>
      <c r="T1101" s="110"/>
      <c r="V1101" s="232"/>
      <c r="W1101" s="269"/>
      <c r="X1101" s="201"/>
      <c r="Y1101" s="269"/>
      <c r="Z1101" s="269"/>
      <c r="AA1101" s="134"/>
      <c r="AB1101" s="269"/>
      <c r="AC1101" s="284"/>
      <c r="AD1101" s="284"/>
      <c r="AE1101" s="269"/>
    </row>
    <row r="1102" spans="2:31">
      <c r="B1102" s="83"/>
      <c r="C1102" s="81"/>
      <c r="D1102" s="83"/>
      <c r="E1102" s="81"/>
      <c r="F1102" s="269"/>
      <c r="G1102" s="48"/>
      <c r="H1102" s="269"/>
      <c r="I1102" s="72"/>
      <c r="J1102" s="330"/>
      <c r="K1102" s="75"/>
      <c r="L1102" s="157"/>
      <c r="M1102" s="341"/>
      <c r="N1102" s="334"/>
      <c r="T1102" s="110"/>
      <c r="V1102" s="232"/>
      <c r="W1102" s="269"/>
      <c r="X1102" s="201"/>
      <c r="Y1102" s="269"/>
      <c r="Z1102" s="269"/>
      <c r="AA1102" s="134"/>
      <c r="AB1102" s="269"/>
      <c r="AC1102" s="284"/>
      <c r="AD1102" s="284"/>
      <c r="AE1102" s="269"/>
    </row>
    <row r="1103" spans="2:31">
      <c r="B1103" s="83"/>
      <c r="C1103" s="81"/>
      <c r="D1103" s="83"/>
      <c r="E1103" s="81"/>
      <c r="F1103" s="269"/>
      <c r="G1103" s="48"/>
      <c r="H1103" s="269"/>
      <c r="I1103" s="72"/>
      <c r="J1103" s="330"/>
      <c r="K1103" s="75"/>
      <c r="L1103" s="157"/>
      <c r="M1103" s="341"/>
      <c r="N1103" s="334"/>
      <c r="T1103" s="110"/>
      <c r="V1103" s="232"/>
      <c r="W1103" s="269"/>
      <c r="X1103" s="201"/>
      <c r="Y1103" s="269"/>
      <c r="Z1103" s="269"/>
      <c r="AA1103" s="134"/>
      <c r="AB1103" s="269"/>
      <c r="AC1103" s="284"/>
      <c r="AD1103" s="284"/>
      <c r="AE1103" s="269"/>
    </row>
    <row r="1104" spans="2:31">
      <c r="B1104" s="83"/>
      <c r="C1104" s="81"/>
      <c r="D1104" s="83"/>
      <c r="E1104" s="81"/>
      <c r="F1104" s="269"/>
      <c r="G1104" s="48"/>
      <c r="H1104" s="269"/>
      <c r="I1104" s="72"/>
      <c r="J1104" s="330"/>
      <c r="K1104" s="75"/>
      <c r="L1104" s="157"/>
      <c r="M1104" s="341"/>
      <c r="N1104" s="334"/>
      <c r="T1104" s="110"/>
      <c r="V1104" s="232"/>
      <c r="W1104" s="269"/>
      <c r="X1104" s="201"/>
      <c r="Y1104" s="269"/>
      <c r="Z1104" s="269"/>
      <c r="AA1104" s="134"/>
      <c r="AB1104" s="269"/>
      <c r="AC1104" s="284"/>
      <c r="AD1104" s="284"/>
      <c r="AE1104" s="269"/>
    </row>
    <row r="1105" spans="2:31">
      <c r="B1105" s="83"/>
      <c r="C1105" s="81"/>
      <c r="D1105" s="83"/>
      <c r="E1105" s="81"/>
      <c r="F1105" s="269"/>
      <c r="G1105" s="48"/>
      <c r="H1105" s="269"/>
      <c r="I1105" s="72"/>
      <c r="J1105" s="330"/>
      <c r="K1105" s="75"/>
      <c r="L1105" s="157"/>
      <c r="M1105" s="341"/>
      <c r="N1105" s="334"/>
      <c r="T1105" s="110"/>
      <c r="V1105" s="232"/>
      <c r="W1105" s="269"/>
      <c r="X1105" s="201"/>
      <c r="Y1105" s="269"/>
      <c r="Z1105" s="269"/>
      <c r="AA1105" s="134"/>
      <c r="AB1105" s="269"/>
      <c r="AC1105" s="284"/>
      <c r="AD1105" s="284"/>
      <c r="AE1105" s="269"/>
    </row>
    <row r="1106" spans="2:31">
      <c r="B1106" s="83"/>
      <c r="C1106" s="81"/>
      <c r="D1106" s="83"/>
      <c r="E1106" s="81"/>
      <c r="F1106" s="269"/>
      <c r="G1106" s="48"/>
      <c r="H1106" s="269"/>
      <c r="I1106" s="72"/>
      <c r="J1106" s="330"/>
      <c r="K1106" s="75"/>
      <c r="L1106" s="157"/>
      <c r="M1106" s="341"/>
      <c r="N1106" s="334"/>
      <c r="T1106" s="110"/>
      <c r="V1106" s="232"/>
      <c r="W1106" s="269"/>
      <c r="X1106" s="201"/>
      <c r="Y1106" s="269"/>
      <c r="Z1106" s="269"/>
      <c r="AA1106" s="134"/>
      <c r="AB1106" s="269"/>
      <c r="AC1106" s="284"/>
      <c r="AD1106" s="284"/>
      <c r="AE1106" s="269"/>
    </row>
    <row r="1107" spans="2:31">
      <c r="B1107" s="83"/>
      <c r="C1107" s="81"/>
      <c r="D1107" s="83"/>
      <c r="E1107" s="81"/>
      <c r="F1107" s="269"/>
      <c r="G1107" s="48"/>
      <c r="H1107" s="269"/>
      <c r="I1107" s="72"/>
      <c r="J1107" s="330"/>
      <c r="K1107" s="75"/>
      <c r="L1107" s="157"/>
      <c r="M1107" s="341"/>
      <c r="N1107" s="334"/>
      <c r="T1107" s="110"/>
      <c r="V1107" s="232"/>
      <c r="W1107" s="269"/>
      <c r="X1107" s="201"/>
      <c r="Y1107" s="269"/>
      <c r="Z1107" s="269"/>
      <c r="AA1107" s="134"/>
      <c r="AB1107" s="269"/>
      <c r="AC1107" s="284"/>
      <c r="AD1107" s="284"/>
      <c r="AE1107" s="269"/>
    </row>
    <row r="1108" spans="2:31">
      <c r="B1108" s="83"/>
      <c r="C1108" s="81"/>
      <c r="D1108" s="83"/>
      <c r="E1108" s="81"/>
      <c r="F1108" s="269"/>
      <c r="G1108" s="48"/>
      <c r="H1108" s="269"/>
      <c r="I1108" s="72"/>
      <c r="J1108" s="330"/>
      <c r="K1108" s="75"/>
      <c r="L1108" s="157"/>
      <c r="M1108" s="341"/>
      <c r="N1108" s="334"/>
      <c r="T1108" s="110"/>
      <c r="V1108" s="232"/>
      <c r="W1108" s="269"/>
      <c r="X1108" s="201"/>
      <c r="Y1108" s="269"/>
      <c r="Z1108" s="269"/>
      <c r="AA1108" s="134"/>
      <c r="AB1108" s="269"/>
      <c r="AC1108" s="284"/>
      <c r="AD1108" s="284"/>
      <c r="AE1108" s="269"/>
    </row>
    <row r="1109" spans="2:31">
      <c r="B1109" s="83"/>
      <c r="C1109" s="81"/>
      <c r="D1109" s="83"/>
      <c r="E1109" s="81"/>
      <c r="F1109" s="269"/>
      <c r="G1109" s="48"/>
      <c r="H1109" s="269"/>
      <c r="I1109" s="72"/>
      <c r="J1109" s="330"/>
      <c r="K1109" s="75"/>
      <c r="L1109" s="157"/>
      <c r="M1109" s="341"/>
      <c r="N1109" s="334"/>
      <c r="T1109" s="110"/>
      <c r="V1109" s="232"/>
      <c r="W1109" s="269"/>
      <c r="X1109" s="201"/>
      <c r="Y1109" s="269"/>
      <c r="Z1109" s="269"/>
      <c r="AA1109" s="134"/>
      <c r="AB1109" s="269"/>
      <c r="AC1109" s="284"/>
      <c r="AD1109" s="284"/>
      <c r="AE1109" s="269"/>
    </row>
    <row r="1110" spans="2:31">
      <c r="B1110" s="83"/>
      <c r="C1110" s="81"/>
      <c r="D1110" s="83"/>
      <c r="E1110" s="81"/>
      <c r="F1110" s="269"/>
      <c r="G1110" s="48"/>
      <c r="H1110" s="269"/>
      <c r="I1110" s="72"/>
      <c r="J1110" s="330"/>
      <c r="K1110" s="75"/>
      <c r="L1110" s="157"/>
      <c r="M1110" s="341"/>
      <c r="N1110" s="334"/>
      <c r="T1110" s="110"/>
      <c r="V1110" s="232"/>
      <c r="W1110" s="269"/>
      <c r="X1110" s="201"/>
      <c r="Y1110" s="269"/>
      <c r="Z1110" s="269"/>
      <c r="AA1110" s="134"/>
      <c r="AB1110" s="269"/>
      <c r="AC1110" s="284"/>
      <c r="AD1110" s="284"/>
      <c r="AE1110" s="269"/>
    </row>
    <row r="1111" spans="2:31">
      <c r="B1111" s="83"/>
      <c r="C1111" s="81"/>
      <c r="D1111" s="83"/>
      <c r="E1111" s="81"/>
      <c r="F1111" s="269"/>
      <c r="G1111" s="48"/>
      <c r="H1111" s="269"/>
      <c r="I1111" s="72"/>
      <c r="J1111" s="330"/>
      <c r="K1111" s="75"/>
      <c r="L1111" s="157"/>
      <c r="M1111" s="341"/>
      <c r="N1111" s="334"/>
      <c r="T1111" s="110"/>
      <c r="V1111" s="232"/>
      <c r="W1111" s="269"/>
      <c r="X1111" s="201"/>
      <c r="Y1111" s="269"/>
      <c r="Z1111" s="269"/>
      <c r="AA1111" s="134"/>
      <c r="AB1111" s="269"/>
      <c r="AC1111" s="284"/>
      <c r="AD1111" s="284"/>
      <c r="AE1111" s="269"/>
    </row>
    <row r="1112" spans="2:31">
      <c r="B1112" s="83"/>
      <c r="C1112" s="81"/>
      <c r="D1112" s="83"/>
      <c r="E1112" s="81"/>
      <c r="F1112" s="269"/>
      <c r="G1112" s="48"/>
      <c r="H1112" s="269"/>
      <c r="I1112" s="72"/>
      <c r="J1112" s="330"/>
      <c r="K1112" s="75"/>
      <c r="L1112" s="157"/>
      <c r="M1112" s="341"/>
      <c r="N1112" s="334"/>
      <c r="T1112" s="110"/>
      <c r="V1112" s="232"/>
      <c r="W1112" s="269"/>
      <c r="X1112" s="201"/>
      <c r="Y1112" s="269"/>
      <c r="Z1112" s="269"/>
      <c r="AA1112" s="134"/>
      <c r="AB1112" s="269"/>
      <c r="AC1112" s="284"/>
      <c r="AD1112" s="284"/>
      <c r="AE1112" s="269"/>
    </row>
    <row r="1113" spans="2:31">
      <c r="B1113" s="83"/>
      <c r="C1113" s="81"/>
      <c r="D1113" s="83"/>
      <c r="E1113" s="81"/>
      <c r="F1113" s="269"/>
      <c r="G1113" s="48"/>
      <c r="H1113" s="269"/>
      <c r="I1113" s="72"/>
      <c r="J1113" s="330"/>
      <c r="K1113" s="75"/>
      <c r="L1113" s="157"/>
      <c r="M1113" s="341"/>
      <c r="N1113" s="334"/>
      <c r="T1113" s="110"/>
      <c r="V1113" s="232"/>
      <c r="W1113" s="269"/>
      <c r="X1113" s="201"/>
      <c r="Y1113" s="269"/>
      <c r="Z1113" s="269"/>
      <c r="AA1113" s="134"/>
      <c r="AB1113" s="269"/>
      <c r="AC1113" s="284"/>
      <c r="AD1113" s="284"/>
      <c r="AE1113" s="269"/>
    </row>
    <row r="1114" spans="2:31">
      <c r="B1114" s="83"/>
      <c r="C1114" s="81"/>
      <c r="D1114" s="83"/>
      <c r="E1114" s="81"/>
      <c r="F1114" s="269"/>
      <c r="G1114" s="48"/>
      <c r="H1114" s="269"/>
      <c r="I1114" s="72"/>
      <c r="J1114" s="330"/>
      <c r="K1114" s="75"/>
      <c r="L1114" s="157"/>
      <c r="M1114" s="341"/>
      <c r="N1114" s="334"/>
      <c r="T1114" s="110"/>
      <c r="V1114" s="232"/>
      <c r="W1114" s="269"/>
      <c r="X1114" s="201"/>
      <c r="Y1114" s="269"/>
      <c r="Z1114" s="269"/>
      <c r="AA1114" s="134"/>
      <c r="AB1114" s="269"/>
      <c r="AC1114" s="284"/>
      <c r="AD1114" s="284"/>
      <c r="AE1114" s="269"/>
    </row>
    <row r="1115" spans="2:31">
      <c r="B1115" s="83"/>
      <c r="C1115" s="81"/>
      <c r="D1115" s="83"/>
      <c r="E1115" s="81"/>
      <c r="F1115" s="269"/>
      <c r="G1115" s="48"/>
      <c r="H1115" s="269"/>
      <c r="I1115" s="72"/>
      <c r="J1115" s="330"/>
      <c r="K1115" s="75"/>
      <c r="L1115" s="157"/>
      <c r="M1115" s="341"/>
      <c r="N1115" s="334"/>
      <c r="T1115" s="110"/>
      <c r="V1115" s="232"/>
      <c r="W1115" s="269"/>
      <c r="X1115" s="201"/>
      <c r="Y1115" s="269"/>
      <c r="Z1115" s="269"/>
      <c r="AA1115" s="134"/>
      <c r="AB1115" s="269"/>
      <c r="AC1115" s="284"/>
      <c r="AD1115" s="284"/>
      <c r="AE1115" s="269"/>
    </row>
    <row r="1116" spans="2:31">
      <c r="B1116" s="83"/>
      <c r="C1116" s="81"/>
      <c r="D1116" s="83"/>
      <c r="E1116" s="81"/>
      <c r="F1116" s="269"/>
      <c r="G1116" s="48"/>
      <c r="H1116" s="269"/>
      <c r="I1116" s="72"/>
      <c r="J1116" s="330"/>
      <c r="K1116" s="75"/>
      <c r="L1116" s="157"/>
      <c r="M1116" s="341"/>
      <c r="N1116" s="334"/>
      <c r="T1116" s="110"/>
      <c r="V1116" s="232"/>
      <c r="W1116" s="269"/>
      <c r="X1116" s="201"/>
      <c r="Y1116" s="269"/>
      <c r="Z1116" s="269"/>
      <c r="AA1116" s="134"/>
      <c r="AB1116" s="269"/>
      <c r="AC1116" s="284"/>
      <c r="AD1116" s="284"/>
      <c r="AE1116" s="269"/>
    </row>
    <row r="1117" spans="2:31">
      <c r="B1117" s="83"/>
      <c r="C1117" s="81"/>
      <c r="D1117" s="83"/>
      <c r="E1117" s="81"/>
      <c r="F1117" s="269"/>
      <c r="G1117" s="48"/>
      <c r="H1117" s="269"/>
      <c r="I1117" s="72"/>
      <c r="J1117" s="330"/>
      <c r="K1117" s="75"/>
      <c r="L1117" s="157"/>
      <c r="M1117" s="341"/>
      <c r="N1117" s="334"/>
      <c r="T1117" s="110"/>
      <c r="V1117" s="232"/>
      <c r="W1117" s="269"/>
      <c r="X1117" s="201"/>
      <c r="Y1117" s="269"/>
      <c r="Z1117" s="269"/>
      <c r="AA1117" s="134"/>
      <c r="AB1117" s="269"/>
      <c r="AC1117" s="284"/>
      <c r="AD1117" s="284"/>
      <c r="AE1117" s="269"/>
    </row>
    <row r="1118" spans="2:31">
      <c r="B1118" s="83"/>
      <c r="C1118" s="81"/>
      <c r="D1118" s="83"/>
      <c r="E1118" s="81"/>
      <c r="F1118" s="269"/>
      <c r="G1118" s="48"/>
      <c r="H1118" s="269"/>
      <c r="I1118" s="72"/>
      <c r="J1118" s="330"/>
      <c r="K1118" s="75"/>
      <c r="L1118" s="157"/>
      <c r="M1118" s="341"/>
      <c r="N1118" s="334"/>
      <c r="T1118" s="110"/>
      <c r="V1118" s="232"/>
      <c r="W1118" s="269"/>
      <c r="X1118" s="201"/>
      <c r="Y1118" s="269"/>
      <c r="Z1118" s="269"/>
      <c r="AA1118" s="134"/>
      <c r="AB1118" s="269"/>
      <c r="AC1118" s="284"/>
      <c r="AD1118" s="284"/>
      <c r="AE1118" s="269"/>
    </row>
    <row r="1119" spans="2:31">
      <c r="B1119" s="83"/>
      <c r="C1119" s="81"/>
      <c r="D1119" s="83"/>
      <c r="E1119" s="81"/>
      <c r="F1119" s="269"/>
      <c r="G1119" s="48"/>
      <c r="H1119" s="269"/>
      <c r="I1119" s="72"/>
      <c r="J1119" s="330"/>
      <c r="K1119" s="75"/>
      <c r="L1119" s="157"/>
      <c r="M1119" s="341"/>
      <c r="N1119" s="334"/>
      <c r="T1119" s="110"/>
      <c r="V1119" s="232"/>
      <c r="W1119" s="269"/>
      <c r="X1119" s="201"/>
      <c r="Y1119" s="269"/>
      <c r="Z1119" s="269"/>
      <c r="AA1119" s="134"/>
      <c r="AB1119" s="269"/>
      <c r="AC1119" s="284"/>
      <c r="AD1119" s="284"/>
      <c r="AE1119" s="269"/>
    </row>
    <row r="1120" spans="2:31">
      <c r="B1120" s="83"/>
      <c r="C1120" s="81"/>
      <c r="D1120" s="83"/>
      <c r="E1120" s="81"/>
      <c r="F1120" s="269"/>
      <c r="G1120" s="48"/>
      <c r="H1120" s="269"/>
      <c r="I1120" s="72"/>
      <c r="J1120" s="330"/>
      <c r="K1120" s="75"/>
      <c r="L1120" s="157"/>
      <c r="M1120" s="341"/>
      <c r="N1120" s="334"/>
      <c r="T1120" s="110"/>
      <c r="V1120" s="232"/>
      <c r="W1120" s="269"/>
      <c r="X1120" s="201"/>
      <c r="Y1120" s="269"/>
      <c r="Z1120" s="269"/>
      <c r="AA1120" s="134"/>
      <c r="AB1120" s="269"/>
      <c r="AC1120" s="284"/>
      <c r="AD1120" s="284"/>
      <c r="AE1120" s="269"/>
    </row>
    <row r="1121" spans="2:31">
      <c r="B1121" s="83"/>
      <c r="C1121" s="81"/>
      <c r="D1121" s="83"/>
      <c r="E1121" s="81"/>
      <c r="F1121" s="269"/>
      <c r="G1121" s="48"/>
      <c r="H1121" s="269"/>
      <c r="I1121" s="72"/>
      <c r="J1121" s="330"/>
      <c r="K1121" s="75"/>
      <c r="L1121" s="157"/>
      <c r="M1121" s="341"/>
      <c r="N1121" s="334"/>
      <c r="T1121" s="110"/>
      <c r="V1121" s="232"/>
      <c r="W1121" s="269"/>
      <c r="X1121" s="201"/>
      <c r="Y1121" s="269"/>
      <c r="Z1121" s="269"/>
      <c r="AA1121" s="134"/>
      <c r="AB1121" s="269"/>
      <c r="AC1121" s="284"/>
      <c r="AD1121" s="284"/>
      <c r="AE1121" s="269"/>
    </row>
    <row r="1122" spans="2:31">
      <c r="B1122" s="83"/>
      <c r="C1122" s="81"/>
      <c r="D1122" s="83"/>
      <c r="E1122" s="81"/>
      <c r="F1122" s="269"/>
      <c r="G1122" s="48"/>
      <c r="H1122" s="269"/>
      <c r="I1122" s="72"/>
      <c r="J1122" s="330"/>
      <c r="K1122" s="75"/>
      <c r="L1122" s="157"/>
      <c r="M1122" s="341"/>
      <c r="N1122" s="334"/>
      <c r="T1122" s="110"/>
      <c r="V1122" s="232"/>
      <c r="W1122" s="269"/>
      <c r="X1122" s="201"/>
      <c r="Y1122" s="269"/>
      <c r="Z1122" s="269"/>
      <c r="AA1122" s="134"/>
      <c r="AB1122" s="269"/>
      <c r="AC1122" s="284"/>
      <c r="AD1122" s="284"/>
      <c r="AE1122" s="269"/>
    </row>
    <row r="1123" spans="2:31">
      <c r="B1123" s="83"/>
      <c r="C1123" s="81"/>
      <c r="D1123" s="83"/>
      <c r="E1123" s="81"/>
      <c r="F1123" s="269"/>
      <c r="G1123" s="48"/>
      <c r="H1123" s="269"/>
      <c r="I1123" s="72"/>
      <c r="J1123" s="330"/>
      <c r="K1123" s="75"/>
      <c r="L1123" s="157"/>
      <c r="M1123" s="341"/>
      <c r="N1123" s="334"/>
      <c r="T1123" s="110"/>
      <c r="V1123" s="232"/>
      <c r="W1123" s="269"/>
      <c r="X1123" s="201"/>
      <c r="Y1123" s="269"/>
      <c r="Z1123" s="269"/>
      <c r="AA1123" s="134"/>
      <c r="AB1123" s="269"/>
      <c r="AC1123" s="284"/>
      <c r="AD1123" s="284"/>
      <c r="AE1123" s="269"/>
    </row>
    <row r="1124" spans="2:31">
      <c r="B1124" s="83"/>
      <c r="C1124" s="81"/>
      <c r="D1124" s="83"/>
      <c r="E1124" s="81"/>
      <c r="F1124" s="269"/>
      <c r="G1124" s="48"/>
      <c r="H1124" s="269"/>
      <c r="I1124" s="72"/>
      <c r="J1124" s="330"/>
      <c r="K1124" s="75"/>
      <c r="L1124" s="157"/>
      <c r="M1124" s="341"/>
      <c r="N1124" s="334"/>
      <c r="T1124" s="110"/>
      <c r="V1124" s="232"/>
      <c r="W1124" s="269"/>
      <c r="X1124" s="201"/>
      <c r="Y1124" s="269"/>
      <c r="Z1124" s="269"/>
      <c r="AA1124" s="134"/>
      <c r="AB1124" s="269"/>
      <c r="AC1124" s="284"/>
      <c r="AD1124" s="284"/>
      <c r="AE1124" s="269"/>
    </row>
    <row r="1125" spans="2:31">
      <c r="B1125" s="83"/>
      <c r="C1125" s="81"/>
      <c r="D1125" s="83"/>
      <c r="E1125" s="81"/>
      <c r="F1125" s="269"/>
      <c r="G1125" s="48"/>
      <c r="H1125" s="269"/>
      <c r="I1125" s="72"/>
      <c r="J1125" s="330"/>
      <c r="K1125" s="75"/>
      <c r="L1125" s="157"/>
      <c r="M1125" s="341"/>
      <c r="N1125" s="334"/>
      <c r="T1125" s="110"/>
      <c r="V1125" s="232"/>
      <c r="W1125" s="269"/>
      <c r="X1125" s="201"/>
      <c r="Y1125" s="269"/>
      <c r="Z1125" s="269"/>
      <c r="AA1125" s="134"/>
      <c r="AB1125" s="269"/>
      <c r="AC1125" s="284"/>
      <c r="AD1125" s="284"/>
      <c r="AE1125" s="269"/>
    </row>
    <row r="1126" spans="2:31">
      <c r="B1126" s="83"/>
      <c r="C1126" s="81"/>
      <c r="D1126" s="83"/>
      <c r="E1126" s="81"/>
      <c r="F1126" s="269"/>
      <c r="G1126" s="48"/>
      <c r="H1126" s="269"/>
      <c r="I1126" s="72"/>
      <c r="J1126" s="330"/>
      <c r="K1126" s="75"/>
      <c r="L1126" s="157"/>
      <c r="M1126" s="341"/>
      <c r="N1126" s="334"/>
      <c r="T1126" s="110"/>
      <c r="V1126" s="232"/>
      <c r="W1126" s="269"/>
      <c r="X1126" s="201"/>
      <c r="Y1126" s="269"/>
      <c r="Z1126" s="269"/>
      <c r="AA1126" s="134"/>
      <c r="AB1126" s="269"/>
      <c r="AC1126" s="284"/>
      <c r="AD1126" s="284"/>
      <c r="AE1126" s="269"/>
    </row>
    <row r="1127" spans="2:31">
      <c r="B1127" s="83"/>
      <c r="C1127" s="81"/>
      <c r="D1127" s="83"/>
      <c r="E1127" s="81"/>
      <c r="F1127" s="269"/>
      <c r="G1127" s="48"/>
      <c r="H1127" s="269"/>
      <c r="I1127" s="72"/>
      <c r="J1127" s="330"/>
      <c r="K1127" s="75"/>
      <c r="L1127" s="157"/>
      <c r="M1127" s="341"/>
      <c r="N1127" s="334"/>
      <c r="T1127" s="110"/>
      <c r="V1127" s="232"/>
      <c r="W1127" s="269"/>
      <c r="X1127" s="201"/>
      <c r="Y1127" s="269"/>
      <c r="Z1127" s="269"/>
      <c r="AA1127" s="134"/>
      <c r="AB1127" s="269"/>
      <c r="AC1127" s="284"/>
      <c r="AD1127" s="284"/>
      <c r="AE1127" s="269"/>
    </row>
    <row r="1128" spans="2:31">
      <c r="B1128" s="83"/>
      <c r="C1128" s="81"/>
      <c r="D1128" s="83"/>
      <c r="E1128" s="81"/>
      <c r="F1128" s="269"/>
      <c r="G1128" s="48"/>
      <c r="H1128" s="269"/>
      <c r="I1128" s="72"/>
      <c r="J1128" s="330"/>
      <c r="K1128" s="75"/>
      <c r="L1128" s="157"/>
      <c r="M1128" s="341"/>
      <c r="N1128" s="334"/>
      <c r="T1128" s="110"/>
      <c r="V1128" s="232"/>
      <c r="W1128" s="269"/>
      <c r="X1128" s="201"/>
      <c r="Y1128" s="269"/>
      <c r="Z1128" s="269"/>
      <c r="AA1128" s="134"/>
      <c r="AB1128" s="269"/>
      <c r="AC1128" s="284"/>
      <c r="AD1128" s="284"/>
      <c r="AE1128" s="269"/>
    </row>
    <row r="1129" spans="2:31">
      <c r="B1129" s="83"/>
      <c r="C1129" s="81"/>
      <c r="D1129" s="83"/>
      <c r="E1129" s="81"/>
      <c r="F1129" s="269"/>
      <c r="G1129" s="48"/>
      <c r="H1129" s="269"/>
      <c r="I1129" s="72"/>
      <c r="J1129" s="330"/>
      <c r="K1129" s="75"/>
      <c r="L1129" s="157"/>
      <c r="M1129" s="341"/>
      <c r="N1129" s="334"/>
      <c r="T1129" s="110"/>
      <c r="V1129" s="232"/>
      <c r="W1129" s="269"/>
      <c r="X1129" s="201"/>
      <c r="Y1129" s="269"/>
      <c r="Z1129" s="269"/>
      <c r="AA1129" s="134"/>
      <c r="AB1129" s="269"/>
      <c r="AC1129" s="284"/>
      <c r="AD1129" s="284"/>
      <c r="AE1129" s="269"/>
    </row>
    <row r="1130" spans="2:31">
      <c r="B1130" s="83"/>
      <c r="C1130" s="81"/>
      <c r="D1130" s="83"/>
      <c r="E1130" s="81"/>
      <c r="F1130" s="269"/>
      <c r="G1130" s="48"/>
      <c r="H1130" s="269"/>
      <c r="I1130" s="72"/>
      <c r="J1130" s="330"/>
      <c r="K1130" s="75"/>
      <c r="L1130" s="157"/>
      <c r="M1130" s="341"/>
      <c r="N1130" s="334"/>
      <c r="T1130" s="110"/>
      <c r="V1130" s="232"/>
      <c r="W1130" s="269"/>
      <c r="X1130" s="201"/>
      <c r="Y1130" s="269"/>
      <c r="Z1130" s="269"/>
      <c r="AA1130" s="134"/>
      <c r="AB1130" s="269"/>
      <c r="AC1130" s="284"/>
      <c r="AD1130" s="284"/>
      <c r="AE1130" s="269"/>
    </row>
    <row r="1131" spans="2:31">
      <c r="B1131" s="83"/>
      <c r="C1131" s="81"/>
      <c r="D1131" s="83"/>
      <c r="E1131" s="81"/>
      <c r="F1131" s="269"/>
      <c r="G1131" s="48"/>
      <c r="H1131" s="269"/>
      <c r="I1131" s="72"/>
      <c r="J1131" s="330"/>
      <c r="K1131" s="75"/>
      <c r="L1131" s="157"/>
      <c r="M1131" s="341"/>
      <c r="N1131" s="334"/>
      <c r="T1131" s="110"/>
      <c r="V1131" s="232"/>
      <c r="W1131" s="269"/>
      <c r="X1131" s="201"/>
      <c r="Y1131" s="269"/>
      <c r="Z1131" s="269"/>
      <c r="AA1131" s="134"/>
      <c r="AB1131" s="269"/>
      <c r="AC1131" s="284"/>
      <c r="AD1131" s="284"/>
      <c r="AE1131" s="269"/>
    </row>
    <row r="1132" spans="2:31">
      <c r="B1132" s="83"/>
      <c r="C1132" s="81"/>
      <c r="D1132" s="83"/>
      <c r="E1132" s="81"/>
      <c r="F1132" s="269"/>
      <c r="G1132" s="48"/>
      <c r="H1132" s="269"/>
      <c r="I1132" s="72"/>
      <c r="J1132" s="330"/>
      <c r="K1132" s="75"/>
      <c r="L1132" s="157"/>
      <c r="M1132" s="341"/>
      <c r="N1132" s="334"/>
      <c r="T1132" s="110"/>
      <c r="V1132" s="232"/>
      <c r="W1132" s="269"/>
      <c r="X1132" s="201"/>
      <c r="Y1132" s="269"/>
      <c r="Z1132" s="269"/>
      <c r="AA1132" s="134"/>
      <c r="AB1132" s="269"/>
      <c r="AC1132" s="284"/>
      <c r="AD1132" s="284"/>
      <c r="AE1132" s="269"/>
    </row>
    <row r="1133" spans="2:31">
      <c r="B1133" s="83"/>
      <c r="C1133" s="81"/>
      <c r="D1133" s="83"/>
      <c r="E1133" s="81"/>
      <c r="F1133" s="269"/>
      <c r="G1133" s="48"/>
      <c r="H1133" s="269"/>
      <c r="I1133" s="72"/>
      <c r="J1133" s="330"/>
      <c r="K1133" s="75"/>
      <c r="L1133" s="157"/>
      <c r="M1133" s="341"/>
      <c r="N1133" s="334"/>
      <c r="T1133" s="110"/>
      <c r="V1133" s="232"/>
      <c r="W1133" s="269"/>
      <c r="X1133" s="201"/>
      <c r="Y1133" s="269"/>
      <c r="Z1133" s="269"/>
      <c r="AA1133" s="134"/>
      <c r="AB1133" s="269"/>
      <c r="AC1133" s="284"/>
      <c r="AD1133" s="284"/>
      <c r="AE1133" s="269"/>
    </row>
    <row r="1134" spans="2:31">
      <c r="B1134" s="83"/>
      <c r="C1134" s="81"/>
      <c r="D1134" s="83"/>
      <c r="E1134" s="81"/>
      <c r="F1134" s="269"/>
      <c r="G1134" s="48"/>
      <c r="H1134" s="269"/>
      <c r="I1134" s="72"/>
      <c r="J1134" s="330"/>
      <c r="K1134" s="75"/>
      <c r="L1134" s="157"/>
      <c r="M1134" s="341"/>
      <c r="N1134" s="334"/>
      <c r="T1134" s="110"/>
      <c r="V1134" s="232"/>
      <c r="W1134" s="269"/>
      <c r="X1134" s="201"/>
      <c r="Y1134" s="269"/>
      <c r="Z1134" s="269"/>
      <c r="AA1134" s="134"/>
      <c r="AB1134" s="269"/>
      <c r="AC1134" s="284"/>
      <c r="AD1134" s="284"/>
      <c r="AE1134" s="269"/>
    </row>
    <row r="1135" spans="2:31">
      <c r="B1135" s="83"/>
      <c r="C1135" s="81"/>
      <c r="D1135" s="83"/>
      <c r="E1135" s="81"/>
      <c r="F1135" s="269"/>
      <c r="G1135" s="48"/>
      <c r="H1135" s="269"/>
      <c r="I1135" s="72"/>
      <c r="J1135" s="330"/>
      <c r="K1135" s="75"/>
      <c r="L1135" s="157"/>
      <c r="M1135" s="341"/>
      <c r="N1135" s="334"/>
      <c r="T1135" s="110"/>
      <c r="V1135" s="232"/>
      <c r="W1135" s="269"/>
      <c r="X1135" s="201"/>
      <c r="Y1135" s="269"/>
      <c r="Z1135" s="269"/>
      <c r="AA1135" s="134"/>
      <c r="AB1135" s="269"/>
      <c r="AC1135" s="284"/>
      <c r="AD1135" s="284"/>
      <c r="AE1135" s="269"/>
    </row>
    <row r="1136" spans="2:31">
      <c r="B1136" s="83"/>
      <c r="C1136" s="81"/>
      <c r="D1136" s="83"/>
      <c r="E1136" s="81"/>
      <c r="F1136" s="269"/>
      <c r="G1136" s="48"/>
      <c r="H1136" s="269"/>
      <c r="I1136" s="72"/>
      <c r="J1136" s="330"/>
      <c r="K1136" s="75"/>
      <c r="L1136" s="157"/>
      <c r="M1136" s="341"/>
      <c r="N1136" s="334"/>
      <c r="T1136" s="110"/>
      <c r="V1136" s="232"/>
      <c r="W1136" s="269"/>
      <c r="X1136" s="201"/>
      <c r="Y1136" s="269"/>
      <c r="Z1136" s="269"/>
      <c r="AA1136" s="134"/>
      <c r="AB1136" s="269"/>
      <c r="AC1136" s="284"/>
      <c r="AD1136" s="284"/>
      <c r="AE1136" s="269"/>
    </row>
    <row r="1137" spans="2:31">
      <c r="B1137" s="83"/>
      <c r="C1137" s="81"/>
      <c r="D1137" s="83"/>
      <c r="E1137" s="81"/>
      <c r="F1137" s="269"/>
      <c r="G1137" s="48"/>
      <c r="H1137" s="269"/>
      <c r="I1137" s="72"/>
      <c r="J1137" s="330"/>
      <c r="K1137" s="75"/>
      <c r="L1137" s="157"/>
      <c r="M1137" s="341"/>
      <c r="N1137" s="334"/>
      <c r="T1137" s="110"/>
      <c r="V1137" s="232"/>
      <c r="W1137" s="269"/>
      <c r="X1137" s="201"/>
      <c r="Y1137" s="269"/>
      <c r="Z1137" s="269"/>
      <c r="AA1137" s="134"/>
      <c r="AB1137" s="269"/>
      <c r="AC1137" s="284"/>
      <c r="AD1137" s="284"/>
      <c r="AE1137" s="269"/>
    </row>
    <row r="1138" spans="2:31">
      <c r="B1138" s="83"/>
      <c r="C1138" s="81"/>
      <c r="D1138" s="83"/>
      <c r="E1138" s="81"/>
      <c r="F1138" s="269"/>
      <c r="G1138" s="48"/>
      <c r="H1138" s="269"/>
      <c r="I1138" s="72"/>
      <c r="J1138" s="330"/>
      <c r="K1138" s="75"/>
      <c r="L1138" s="157"/>
      <c r="M1138" s="341"/>
      <c r="N1138" s="334"/>
      <c r="T1138" s="110"/>
      <c r="V1138" s="232"/>
      <c r="W1138" s="269"/>
      <c r="X1138" s="201"/>
      <c r="Y1138" s="269"/>
      <c r="Z1138" s="269"/>
      <c r="AA1138" s="134"/>
      <c r="AB1138" s="269"/>
      <c r="AC1138" s="284"/>
      <c r="AD1138" s="284"/>
      <c r="AE1138" s="269"/>
    </row>
    <row r="1139" spans="2:31">
      <c r="B1139" s="83"/>
      <c r="C1139" s="81"/>
      <c r="D1139" s="83"/>
      <c r="E1139" s="81"/>
      <c r="F1139" s="269"/>
      <c r="G1139" s="48"/>
      <c r="H1139" s="269"/>
      <c r="I1139" s="72"/>
      <c r="J1139" s="330"/>
      <c r="K1139" s="75"/>
      <c r="L1139" s="157"/>
      <c r="M1139" s="341"/>
      <c r="N1139" s="334"/>
      <c r="T1139" s="110"/>
      <c r="V1139" s="232"/>
      <c r="W1139" s="269"/>
      <c r="X1139" s="201"/>
      <c r="Y1139" s="269"/>
      <c r="Z1139" s="269"/>
      <c r="AA1139" s="134"/>
      <c r="AB1139" s="269"/>
      <c r="AC1139" s="284"/>
      <c r="AD1139" s="284"/>
      <c r="AE1139" s="269"/>
    </row>
    <row r="1140" spans="2:31">
      <c r="B1140" s="83"/>
      <c r="C1140" s="81"/>
      <c r="D1140" s="83"/>
      <c r="E1140" s="81"/>
      <c r="F1140" s="269"/>
      <c r="G1140" s="48"/>
      <c r="H1140" s="269"/>
      <c r="I1140" s="72"/>
      <c r="J1140" s="330"/>
      <c r="K1140" s="75"/>
      <c r="L1140" s="157"/>
      <c r="M1140" s="341"/>
      <c r="N1140" s="334"/>
      <c r="T1140" s="110"/>
      <c r="V1140" s="232"/>
      <c r="W1140" s="269"/>
      <c r="X1140" s="201"/>
      <c r="Y1140" s="269"/>
      <c r="Z1140" s="269"/>
      <c r="AA1140" s="134"/>
      <c r="AB1140" s="269"/>
      <c r="AC1140" s="284"/>
      <c r="AD1140" s="284"/>
      <c r="AE1140" s="269"/>
    </row>
    <row r="1141" spans="2:31">
      <c r="B1141" s="83"/>
      <c r="C1141" s="81"/>
      <c r="D1141" s="83"/>
      <c r="E1141" s="81"/>
      <c r="F1141" s="269"/>
      <c r="G1141" s="48"/>
      <c r="H1141" s="269"/>
      <c r="I1141" s="72"/>
      <c r="J1141" s="330"/>
      <c r="K1141" s="75"/>
      <c r="L1141" s="157"/>
      <c r="M1141" s="341"/>
      <c r="N1141" s="334"/>
      <c r="T1141" s="110"/>
      <c r="V1141" s="232"/>
      <c r="W1141" s="269"/>
      <c r="X1141" s="201"/>
      <c r="Y1141" s="269"/>
      <c r="Z1141" s="269"/>
      <c r="AA1141" s="134"/>
      <c r="AB1141" s="269"/>
      <c r="AC1141" s="284"/>
      <c r="AD1141" s="284"/>
      <c r="AE1141" s="269"/>
    </row>
    <row r="1142" spans="2:31">
      <c r="B1142" s="83"/>
      <c r="C1142" s="81"/>
      <c r="D1142" s="83"/>
      <c r="E1142" s="81"/>
      <c r="F1142" s="269"/>
      <c r="G1142" s="48"/>
      <c r="H1142" s="269"/>
      <c r="I1142" s="72"/>
      <c r="J1142" s="330"/>
      <c r="K1142" s="75"/>
      <c r="L1142" s="157"/>
      <c r="M1142" s="341"/>
      <c r="N1142" s="334"/>
      <c r="T1142" s="110"/>
      <c r="V1142" s="232"/>
      <c r="W1142" s="269"/>
      <c r="X1142" s="201"/>
      <c r="Y1142" s="269"/>
      <c r="Z1142" s="269"/>
      <c r="AA1142" s="134"/>
      <c r="AB1142" s="269"/>
      <c r="AC1142" s="284"/>
      <c r="AD1142" s="284"/>
      <c r="AE1142" s="269"/>
    </row>
    <row r="1143" spans="2:31">
      <c r="B1143" s="83"/>
      <c r="C1143" s="81"/>
      <c r="D1143" s="83"/>
      <c r="E1143" s="81"/>
      <c r="F1143" s="269"/>
      <c r="G1143" s="48"/>
      <c r="H1143" s="269"/>
      <c r="I1143" s="72"/>
      <c r="J1143" s="330"/>
      <c r="K1143" s="75"/>
      <c r="L1143" s="157"/>
      <c r="M1143" s="341"/>
      <c r="N1143" s="334"/>
      <c r="T1143" s="110"/>
      <c r="V1143" s="232"/>
      <c r="W1143" s="269"/>
      <c r="X1143" s="201"/>
      <c r="Y1143" s="269"/>
      <c r="Z1143" s="269"/>
      <c r="AA1143" s="134"/>
      <c r="AB1143" s="269"/>
      <c r="AC1143" s="284"/>
      <c r="AD1143" s="284"/>
      <c r="AE1143" s="269"/>
    </row>
    <row r="1144" spans="2:31">
      <c r="B1144" s="83"/>
      <c r="C1144" s="81"/>
      <c r="D1144" s="83"/>
      <c r="E1144" s="81"/>
      <c r="F1144" s="269"/>
      <c r="G1144" s="48"/>
      <c r="H1144" s="269"/>
      <c r="I1144" s="72"/>
      <c r="J1144" s="330"/>
      <c r="K1144" s="75"/>
      <c r="L1144" s="157"/>
      <c r="M1144" s="341"/>
      <c r="N1144" s="334"/>
      <c r="T1144" s="110"/>
      <c r="V1144" s="232"/>
      <c r="W1144" s="269"/>
      <c r="X1144" s="201"/>
      <c r="Y1144" s="269"/>
      <c r="Z1144" s="269"/>
      <c r="AA1144" s="134"/>
      <c r="AB1144" s="269"/>
      <c r="AC1144" s="284"/>
      <c r="AD1144" s="284"/>
      <c r="AE1144" s="269"/>
    </row>
    <row r="1145" spans="2:31">
      <c r="B1145" s="83"/>
      <c r="C1145" s="81"/>
      <c r="D1145" s="83"/>
      <c r="E1145" s="81"/>
      <c r="F1145" s="269"/>
      <c r="G1145" s="48"/>
      <c r="H1145" s="269"/>
      <c r="I1145" s="72"/>
      <c r="J1145" s="330"/>
      <c r="K1145" s="75"/>
      <c r="L1145" s="157"/>
      <c r="M1145" s="341"/>
      <c r="N1145" s="334"/>
      <c r="T1145" s="110"/>
      <c r="V1145" s="232"/>
      <c r="W1145" s="269"/>
      <c r="X1145" s="201"/>
      <c r="Y1145" s="269"/>
      <c r="Z1145" s="269"/>
      <c r="AA1145" s="134"/>
      <c r="AB1145" s="269"/>
      <c r="AC1145" s="284"/>
      <c r="AD1145" s="284"/>
      <c r="AE1145" s="269"/>
    </row>
    <row r="1146" spans="2:31">
      <c r="B1146" s="83"/>
      <c r="C1146" s="81"/>
      <c r="D1146" s="83"/>
      <c r="E1146" s="81"/>
      <c r="F1146" s="269"/>
      <c r="G1146" s="48"/>
      <c r="H1146" s="269"/>
      <c r="I1146" s="72"/>
      <c r="J1146" s="330"/>
      <c r="K1146" s="75"/>
      <c r="L1146" s="157"/>
      <c r="M1146" s="341"/>
      <c r="N1146" s="334"/>
      <c r="T1146" s="110"/>
      <c r="V1146" s="232"/>
      <c r="W1146" s="269"/>
      <c r="X1146" s="201"/>
      <c r="Y1146" s="269"/>
      <c r="Z1146" s="269"/>
      <c r="AA1146" s="134"/>
      <c r="AB1146" s="269"/>
      <c r="AC1146" s="284"/>
      <c r="AD1146" s="284"/>
      <c r="AE1146" s="269"/>
    </row>
    <row r="1147" spans="2:31">
      <c r="B1147" s="83"/>
      <c r="C1147" s="81"/>
      <c r="D1147" s="83"/>
      <c r="E1147" s="81"/>
      <c r="F1147" s="269"/>
      <c r="G1147" s="48"/>
      <c r="H1147" s="269"/>
      <c r="I1147" s="72"/>
      <c r="J1147" s="330"/>
      <c r="K1147" s="75"/>
      <c r="L1147" s="157"/>
      <c r="M1147" s="341"/>
      <c r="N1147" s="334"/>
      <c r="T1147" s="110"/>
      <c r="V1147" s="232"/>
      <c r="W1147" s="269"/>
      <c r="X1147" s="201"/>
      <c r="Y1147" s="269"/>
      <c r="Z1147" s="269"/>
      <c r="AA1147" s="134"/>
      <c r="AB1147" s="269"/>
      <c r="AC1147" s="284"/>
      <c r="AD1147" s="284"/>
      <c r="AE1147" s="269"/>
    </row>
    <row r="1148" spans="2:31">
      <c r="B1148" s="83"/>
      <c r="C1148" s="81"/>
      <c r="D1148" s="83"/>
      <c r="E1148" s="81"/>
      <c r="F1148" s="269"/>
      <c r="G1148" s="48"/>
      <c r="H1148" s="269"/>
      <c r="I1148" s="72"/>
      <c r="J1148" s="330"/>
      <c r="K1148" s="75"/>
      <c r="L1148" s="157"/>
      <c r="M1148" s="341"/>
      <c r="N1148" s="334"/>
      <c r="T1148" s="110"/>
      <c r="V1148" s="232"/>
      <c r="W1148" s="269"/>
      <c r="X1148" s="201"/>
      <c r="Y1148" s="269"/>
      <c r="Z1148" s="269"/>
      <c r="AA1148" s="134"/>
      <c r="AB1148" s="269"/>
      <c r="AC1148" s="284"/>
      <c r="AD1148" s="284"/>
      <c r="AE1148" s="269"/>
    </row>
    <row r="1149" spans="2:31">
      <c r="B1149" s="83"/>
      <c r="C1149" s="81"/>
      <c r="D1149" s="83"/>
      <c r="E1149" s="81"/>
      <c r="F1149" s="269"/>
      <c r="G1149" s="48"/>
      <c r="H1149" s="269"/>
      <c r="I1149" s="72"/>
      <c r="J1149" s="330"/>
      <c r="K1149" s="75"/>
      <c r="L1149" s="157"/>
      <c r="M1149" s="341"/>
      <c r="N1149" s="334"/>
      <c r="T1149" s="110"/>
      <c r="V1149" s="232"/>
      <c r="W1149" s="269"/>
      <c r="X1149" s="201"/>
      <c r="Y1149" s="269"/>
      <c r="Z1149" s="269"/>
      <c r="AA1149" s="134"/>
      <c r="AB1149" s="269"/>
      <c r="AC1149" s="284"/>
      <c r="AD1149" s="284"/>
      <c r="AE1149" s="269"/>
    </row>
    <row r="1150" spans="2:31">
      <c r="B1150" s="83"/>
      <c r="C1150" s="81"/>
      <c r="D1150" s="83"/>
      <c r="E1150" s="81"/>
      <c r="F1150" s="269"/>
      <c r="G1150" s="48"/>
      <c r="H1150" s="269"/>
      <c r="I1150" s="72"/>
      <c r="J1150" s="330"/>
      <c r="K1150" s="75"/>
      <c r="L1150" s="157"/>
      <c r="M1150" s="341"/>
      <c r="N1150" s="334"/>
      <c r="T1150" s="110"/>
      <c r="V1150" s="232"/>
      <c r="W1150" s="269"/>
      <c r="X1150" s="201"/>
      <c r="Y1150" s="269"/>
      <c r="Z1150" s="269"/>
      <c r="AA1150" s="134"/>
      <c r="AB1150" s="269"/>
      <c r="AC1150" s="284"/>
      <c r="AD1150" s="284"/>
      <c r="AE1150" s="269"/>
    </row>
    <row r="1151" spans="2:31">
      <c r="B1151" s="83"/>
      <c r="C1151" s="81"/>
      <c r="D1151" s="83"/>
      <c r="E1151" s="81"/>
      <c r="F1151" s="269"/>
      <c r="G1151" s="48"/>
      <c r="H1151" s="269"/>
      <c r="I1151" s="72"/>
      <c r="J1151" s="330"/>
      <c r="K1151" s="75"/>
      <c r="L1151" s="157"/>
      <c r="M1151" s="341"/>
      <c r="N1151" s="334"/>
      <c r="T1151" s="110"/>
      <c r="V1151" s="232"/>
      <c r="W1151" s="269"/>
      <c r="X1151" s="201"/>
      <c r="Y1151" s="269"/>
      <c r="Z1151" s="269"/>
      <c r="AA1151" s="134"/>
      <c r="AB1151" s="269"/>
      <c r="AC1151" s="284"/>
      <c r="AD1151" s="284"/>
      <c r="AE1151" s="269"/>
    </row>
    <row r="1152" spans="2:31">
      <c r="B1152" s="83"/>
      <c r="C1152" s="81"/>
      <c r="D1152" s="83"/>
      <c r="E1152" s="81"/>
      <c r="F1152" s="269"/>
      <c r="G1152" s="48"/>
      <c r="H1152" s="269"/>
      <c r="I1152" s="72"/>
      <c r="J1152" s="330"/>
      <c r="K1152" s="75"/>
      <c r="L1152" s="157"/>
      <c r="M1152" s="341"/>
      <c r="N1152" s="334"/>
      <c r="T1152" s="110"/>
      <c r="V1152" s="232"/>
      <c r="W1152" s="269"/>
      <c r="X1152" s="201"/>
      <c r="Y1152" s="269"/>
      <c r="Z1152" s="269"/>
      <c r="AA1152" s="134"/>
      <c r="AB1152" s="269"/>
      <c r="AC1152" s="284"/>
      <c r="AD1152" s="284"/>
      <c r="AE1152" s="269"/>
    </row>
    <row r="1153" spans="2:31">
      <c r="B1153" s="83"/>
      <c r="C1153" s="81"/>
      <c r="D1153" s="83"/>
      <c r="E1153" s="81"/>
      <c r="F1153" s="269"/>
      <c r="G1153" s="48"/>
      <c r="H1153" s="269"/>
      <c r="I1153" s="72"/>
      <c r="J1153" s="330"/>
      <c r="K1153" s="75"/>
      <c r="L1153" s="157"/>
      <c r="M1153" s="341"/>
      <c r="N1153" s="334"/>
      <c r="T1153" s="110"/>
      <c r="V1153" s="232"/>
      <c r="W1153" s="269"/>
      <c r="X1153" s="201"/>
      <c r="Y1153" s="269"/>
      <c r="Z1153" s="269"/>
      <c r="AA1153" s="134"/>
      <c r="AB1153" s="269"/>
      <c r="AC1153" s="284"/>
      <c r="AD1153" s="284"/>
      <c r="AE1153" s="269"/>
    </row>
    <row r="1154" spans="2:31">
      <c r="B1154" s="83"/>
      <c r="C1154" s="81"/>
      <c r="D1154" s="83"/>
      <c r="E1154" s="81"/>
      <c r="F1154" s="269"/>
      <c r="G1154" s="48"/>
      <c r="H1154" s="269"/>
      <c r="I1154" s="72"/>
      <c r="J1154" s="330"/>
      <c r="K1154" s="75"/>
      <c r="L1154" s="157"/>
      <c r="M1154" s="341"/>
      <c r="N1154" s="334"/>
      <c r="T1154" s="110"/>
      <c r="V1154" s="232"/>
      <c r="W1154" s="269"/>
      <c r="X1154" s="201"/>
      <c r="Y1154" s="269"/>
      <c r="Z1154" s="269"/>
      <c r="AA1154" s="134"/>
      <c r="AB1154" s="269"/>
      <c r="AC1154" s="284"/>
      <c r="AD1154" s="284"/>
      <c r="AE1154" s="269"/>
    </row>
    <row r="1155" spans="2:31">
      <c r="B1155" s="83"/>
      <c r="C1155" s="81"/>
      <c r="D1155" s="83"/>
      <c r="E1155" s="81"/>
      <c r="F1155" s="269"/>
      <c r="G1155" s="48"/>
      <c r="H1155" s="269"/>
      <c r="I1155" s="72"/>
      <c r="J1155" s="330"/>
      <c r="K1155" s="75"/>
      <c r="L1155" s="157"/>
      <c r="M1155" s="341"/>
      <c r="N1155" s="334"/>
      <c r="T1155" s="110"/>
      <c r="V1155" s="232"/>
      <c r="W1155" s="269"/>
      <c r="X1155" s="201"/>
      <c r="Y1155" s="269"/>
      <c r="Z1155" s="269"/>
      <c r="AA1155" s="134"/>
      <c r="AB1155" s="269"/>
      <c r="AC1155" s="284"/>
      <c r="AD1155" s="284"/>
      <c r="AE1155" s="269"/>
    </row>
    <row r="1156" spans="2:31">
      <c r="B1156" s="83"/>
      <c r="C1156" s="81"/>
      <c r="D1156" s="83"/>
      <c r="E1156" s="81"/>
      <c r="F1156" s="269"/>
      <c r="G1156" s="48"/>
      <c r="H1156" s="269"/>
      <c r="I1156" s="72"/>
      <c r="J1156" s="330"/>
      <c r="K1156" s="75"/>
      <c r="L1156" s="157"/>
      <c r="M1156" s="341"/>
      <c r="N1156" s="334"/>
      <c r="T1156" s="110"/>
      <c r="V1156" s="232"/>
      <c r="W1156" s="269"/>
      <c r="X1156" s="201"/>
      <c r="Y1156" s="269"/>
      <c r="Z1156" s="269"/>
      <c r="AA1156" s="134"/>
      <c r="AB1156" s="269"/>
      <c r="AC1156" s="284"/>
      <c r="AD1156" s="284"/>
      <c r="AE1156" s="269"/>
    </row>
    <row r="1157" spans="2:31">
      <c r="B1157" s="83"/>
      <c r="C1157" s="81"/>
      <c r="D1157" s="83"/>
      <c r="E1157" s="81"/>
      <c r="F1157" s="269"/>
      <c r="G1157" s="48"/>
      <c r="H1157" s="269"/>
      <c r="I1157" s="72"/>
      <c r="J1157" s="330"/>
      <c r="K1157" s="75"/>
      <c r="L1157" s="157"/>
      <c r="M1157" s="341"/>
      <c r="N1157" s="334"/>
      <c r="T1157" s="110"/>
      <c r="V1157" s="232"/>
      <c r="W1157" s="269"/>
      <c r="X1157" s="201"/>
      <c r="Y1157" s="269"/>
      <c r="Z1157" s="269"/>
      <c r="AA1157" s="134"/>
      <c r="AB1157" s="269"/>
      <c r="AC1157" s="284"/>
      <c r="AD1157" s="284"/>
      <c r="AE1157" s="269"/>
    </row>
    <row r="1158" spans="2:31">
      <c r="B1158" s="83"/>
      <c r="C1158" s="81"/>
      <c r="D1158" s="83"/>
      <c r="E1158" s="81"/>
      <c r="F1158" s="269"/>
      <c r="G1158" s="48"/>
      <c r="H1158" s="269"/>
      <c r="I1158" s="72"/>
      <c r="J1158" s="330"/>
      <c r="K1158" s="75"/>
      <c r="L1158" s="157"/>
      <c r="M1158" s="341"/>
      <c r="N1158" s="334"/>
      <c r="T1158" s="110"/>
      <c r="V1158" s="232"/>
      <c r="W1158" s="269"/>
      <c r="X1158" s="201"/>
      <c r="Y1158" s="269"/>
      <c r="Z1158" s="269"/>
      <c r="AA1158" s="134"/>
      <c r="AB1158" s="269"/>
      <c r="AC1158" s="284"/>
      <c r="AD1158" s="284"/>
      <c r="AE1158" s="269"/>
    </row>
    <row r="1159" spans="2:31">
      <c r="B1159" s="83"/>
      <c r="C1159" s="81"/>
      <c r="D1159" s="83"/>
      <c r="E1159" s="81"/>
      <c r="F1159" s="269"/>
      <c r="G1159" s="48"/>
      <c r="H1159" s="269"/>
      <c r="I1159" s="72"/>
      <c r="J1159" s="330"/>
      <c r="K1159" s="75"/>
      <c r="L1159" s="157"/>
      <c r="M1159" s="341"/>
      <c r="N1159" s="334"/>
      <c r="T1159" s="110"/>
      <c r="V1159" s="232"/>
      <c r="W1159" s="269"/>
      <c r="X1159" s="201"/>
      <c r="Y1159" s="269"/>
      <c r="Z1159" s="269"/>
      <c r="AA1159" s="134"/>
      <c r="AB1159" s="269"/>
      <c r="AC1159" s="284"/>
      <c r="AD1159" s="284"/>
      <c r="AE1159" s="269"/>
    </row>
    <row r="1160" spans="2:31">
      <c r="B1160" s="83"/>
      <c r="C1160" s="81"/>
      <c r="D1160" s="83"/>
      <c r="E1160" s="81"/>
      <c r="F1160" s="269"/>
      <c r="G1160" s="48"/>
      <c r="H1160" s="269"/>
      <c r="I1160" s="72"/>
      <c r="J1160" s="330"/>
      <c r="K1160" s="75"/>
      <c r="L1160" s="157"/>
      <c r="M1160" s="341"/>
      <c r="N1160" s="334"/>
      <c r="T1160" s="110"/>
      <c r="V1160" s="232"/>
      <c r="W1160" s="269"/>
      <c r="X1160" s="201"/>
      <c r="Y1160" s="269"/>
      <c r="Z1160" s="269"/>
      <c r="AA1160" s="134"/>
      <c r="AB1160" s="269"/>
      <c r="AC1160" s="284"/>
      <c r="AD1160" s="284"/>
      <c r="AE1160" s="269"/>
    </row>
    <row r="1161" spans="2:31">
      <c r="B1161" s="83"/>
      <c r="C1161" s="81"/>
      <c r="D1161" s="83"/>
      <c r="E1161" s="81"/>
      <c r="F1161" s="269"/>
      <c r="G1161" s="48"/>
      <c r="H1161" s="269"/>
      <c r="I1161" s="72"/>
      <c r="J1161" s="330"/>
      <c r="K1161" s="75"/>
      <c r="L1161" s="157"/>
      <c r="M1161" s="341"/>
      <c r="N1161" s="334"/>
      <c r="T1161" s="110"/>
      <c r="V1161" s="232"/>
      <c r="W1161" s="269"/>
      <c r="X1161" s="201"/>
      <c r="Y1161" s="269"/>
      <c r="Z1161" s="269"/>
      <c r="AA1161" s="134"/>
      <c r="AB1161" s="269"/>
      <c r="AC1161" s="284"/>
      <c r="AD1161" s="284"/>
      <c r="AE1161" s="269"/>
    </row>
    <row r="1162" spans="2:31">
      <c r="B1162" s="83"/>
      <c r="C1162" s="81"/>
      <c r="D1162" s="83"/>
      <c r="E1162" s="81"/>
      <c r="F1162" s="269"/>
      <c r="G1162" s="48"/>
      <c r="H1162" s="269"/>
      <c r="I1162" s="72"/>
      <c r="J1162" s="330"/>
      <c r="K1162" s="75"/>
      <c r="L1162" s="157"/>
      <c r="M1162" s="341"/>
      <c r="N1162" s="334"/>
      <c r="T1162" s="110"/>
      <c r="V1162" s="232"/>
      <c r="W1162" s="269"/>
      <c r="X1162" s="201"/>
      <c r="Y1162" s="269"/>
      <c r="Z1162" s="269"/>
      <c r="AA1162" s="134"/>
      <c r="AB1162" s="269"/>
      <c r="AC1162" s="284"/>
      <c r="AD1162" s="284"/>
      <c r="AE1162" s="269"/>
    </row>
    <row r="1163" spans="2:31">
      <c r="B1163" s="83"/>
      <c r="C1163" s="81"/>
      <c r="D1163" s="83"/>
      <c r="E1163" s="81"/>
      <c r="F1163" s="269"/>
      <c r="G1163" s="48"/>
      <c r="H1163" s="269"/>
      <c r="I1163" s="72"/>
      <c r="J1163" s="330"/>
      <c r="K1163" s="75"/>
      <c r="L1163" s="157"/>
      <c r="M1163" s="341"/>
      <c r="N1163" s="334"/>
      <c r="T1163" s="110"/>
      <c r="V1163" s="232"/>
      <c r="W1163" s="269"/>
      <c r="X1163" s="201"/>
      <c r="Y1163" s="269"/>
      <c r="Z1163" s="269"/>
      <c r="AA1163" s="134"/>
      <c r="AB1163" s="269"/>
      <c r="AC1163" s="284"/>
      <c r="AD1163" s="284"/>
      <c r="AE1163" s="269"/>
    </row>
    <row r="1164" spans="2:31">
      <c r="B1164" s="83"/>
      <c r="C1164" s="81"/>
      <c r="D1164" s="83"/>
      <c r="E1164" s="81"/>
      <c r="F1164" s="269"/>
      <c r="G1164" s="48"/>
      <c r="H1164" s="269"/>
      <c r="I1164" s="72"/>
      <c r="J1164" s="330"/>
      <c r="K1164" s="75"/>
      <c r="L1164" s="157"/>
      <c r="M1164" s="341"/>
      <c r="N1164" s="334"/>
      <c r="T1164" s="110"/>
      <c r="V1164" s="232"/>
      <c r="W1164" s="269"/>
      <c r="X1164" s="201"/>
      <c r="Y1164" s="269"/>
      <c r="Z1164" s="269"/>
      <c r="AA1164" s="134"/>
      <c r="AB1164" s="269"/>
      <c r="AC1164" s="284"/>
      <c r="AD1164" s="284"/>
      <c r="AE1164" s="269"/>
    </row>
    <row r="1165" spans="2:31">
      <c r="B1165" s="83"/>
      <c r="C1165" s="81"/>
      <c r="D1165" s="83"/>
      <c r="E1165" s="81"/>
      <c r="F1165" s="269"/>
      <c r="G1165" s="48"/>
      <c r="H1165" s="269"/>
      <c r="I1165" s="72"/>
      <c r="J1165" s="330"/>
      <c r="K1165" s="75"/>
      <c r="L1165" s="157"/>
      <c r="M1165" s="341"/>
      <c r="N1165" s="334"/>
      <c r="T1165" s="110"/>
      <c r="V1165" s="232"/>
      <c r="W1165" s="269"/>
      <c r="X1165" s="201"/>
      <c r="Y1165" s="269"/>
      <c r="Z1165" s="269"/>
      <c r="AA1165" s="134"/>
      <c r="AB1165" s="269"/>
      <c r="AC1165" s="284"/>
      <c r="AD1165" s="284"/>
      <c r="AE1165" s="269"/>
    </row>
    <row r="1166" spans="2:31">
      <c r="B1166" s="83"/>
      <c r="C1166" s="81"/>
      <c r="D1166" s="83"/>
      <c r="E1166" s="81"/>
      <c r="F1166" s="269"/>
      <c r="G1166" s="48"/>
      <c r="H1166" s="269"/>
      <c r="I1166" s="72"/>
      <c r="J1166" s="330"/>
      <c r="K1166" s="75"/>
      <c r="L1166" s="157"/>
      <c r="M1166" s="341"/>
      <c r="N1166" s="334"/>
      <c r="T1166" s="110"/>
      <c r="V1166" s="232"/>
      <c r="W1166" s="269"/>
      <c r="X1166" s="201"/>
      <c r="Y1166" s="269"/>
      <c r="Z1166" s="269"/>
      <c r="AA1166" s="134"/>
      <c r="AB1166" s="269"/>
      <c r="AC1166" s="284"/>
      <c r="AD1166" s="284"/>
      <c r="AE1166" s="269"/>
    </row>
    <row r="1167" spans="2:31">
      <c r="B1167" s="83"/>
      <c r="C1167" s="81"/>
      <c r="D1167" s="83"/>
      <c r="E1167" s="81"/>
      <c r="F1167" s="269"/>
      <c r="G1167" s="48"/>
      <c r="H1167" s="269"/>
      <c r="I1167" s="72"/>
      <c r="J1167" s="330"/>
      <c r="K1167" s="75"/>
      <c r="L1167" s="157"/>
      <c r="M1167" s="341"/>
      <c r="N1167" s="334"/>
      <c r="T1167" s="110"/>
      <c r="V1167" s="232"/>
      <c r="W1167" s="269"/>
      <c r="X1167" s="201"/>
      <c r="Y1167" s="269"/>
      <c r="Z1167" s="269"/>
      <c r="AA1167" s="134"/>
      <c r="AB1167" s="269"/>
      <c r="AC1167" s="284"/>
      <c r="AD1167" s="284"/>
      <c r="AE1167" s="269"/>
    </row>
    <row r="1168" spans="2:31">
      <c r="B1168" s="83"/>
      <c r="C1168" s="81"/>
      <c r="D1168" s="83"/>
      <c r="E1168" s="81"/>
      <c r="F1168" s="269"/>
      <c r="G1168" s="48"/>
      <c r="H1168" s="269"/>
      <c r="I1168" s="72"/>
      <c r="J1168" s="330"/>
      <c r="K1168" s="75"/>
      <c r="L1168" s="157"/>
      <c r="M1168" s="341"/>
      <c r="N1168" s="334"/>
      <c r="T1168" s="110"/>
      <c r="V1168" s="232"/>
      <c r="W1168" s="269"/>
      <c r="X1168" s="201"/>
      <c r="Y1168" s="269"/>
      <c r="Z1168" s="269"/>
      <c r="AA1168" s="134"/>
      <c r="AB1168" s="269"/>
      <c r="AC1168" s="284"/>
      <c r="AD1168" s="284"/>
      <c r="AE1168" s="269"/>
    </row>
    <row r="1169" spans="2:31">
      <c r="B1169" s="83"/>
      <c r="C1169" s="81"/>
      <c r="D1169" s="83"/>
      <c r="E1169" s="81"/>
      <c r="F1169" s="269"/>
      <c r="G1169" s="48"/>
      <c r="H1169" s="269"/>
      <c r="I1169" s="72"/>
      <c r="J1169" s="330"/>
      <c r="K1169" s="75"/>
      <c r="L1169" s="157"/>
      <c r="M1169" s="341"/>
      <c r="N1169" s="334"/>
      <c r="T1169" s="110"/>
      <c r="V1169" s="232"/>
      <c r="W1169" s="269"/>
      <c r="X1169" s="201"/>
      <c r="Y1169" s="269"/>
      <c r="Z1169" s="269"/>
      <c r="AA1169" s="134"/>
      <c r="AB1169" s="269"/>
      <c r="AC1169" s="284"/>
      <c r="AD1169" s="284"/>
      <c r="AE1169" s="269"/>
    </row>
    <row r="1170" spans="2:31">
      <c r="B1170" s="83"/>
      <c r="C1170" s="81"/>
      <c r="D1170" s="83"/>
      <c r="E1170" s="81"/>
      <c r="F1170" s="269"/>
      <c r="G1170" s="48"/>
      <c r="H1170" s="269"/>
      <c r="I1170" s="72"/>
      <c r="J1170" s="330"/>
      <c r="K1170" s="75"/>
      <c r="L1170" s="157"/>
      <c r="M1170" s="341"/>
      <c r="N1170" s="334"/>
      <c r="T1170" s="110"/>
      <c r="V1170" s="232"/>
      <c r="W1170" s="269"/>
      <c r="X1170" s="201"/>
      <c r="Y1170" s="269"/>
      <c r="Z1170" s="269"/>
      <c r="AA1170" s="134"/>
      <c r="AB1170" s="269"/>
      <c r="AC1170" s="284"/>
      <c r="AD1170" s="284"/>
      <c r="AE1170" s="269"/>
    </row>
    <row r="1171" spans="2:31">
      <c r="B1171" s="83"/>
      <c r="C1171" s="81"/>
      <c r="D1171" s="83"/>
      <c r="E1171" s="81"/>
      <c r="F1171" s="269"/>
      <c r="G1171" s="48"/>
      <c r="H1171" s="269"/>
      <c r="I1171" s="72"/>
      <c r="J1171" s="330"/>
      <c r="K1171" s="75"/>
      <c r="L1171" s="157"/>
      <c r="M1171" s="341"/>
      <c r="N1171" s="334"/>
      <c r="T1171" s="110"/>
      <c r="V1171" s="232"/>
      <c r="W1171" s="269"/>
      <c r="X1171" s="201"/>
      <c r="Y1171" s="269"/>
      <c r="Z1171" s="269"/>
      <c r="AA1171" s="134"/>
      <c r="AB1171" s="269"/>
      <c r="AC1171" s="284"/>
      <c r="AD1171" s="284"/>
      <c r="AE1171" s="269"/>
    </row>
    <row r="1172" spans="2:31">
      <c r="B1172" s="83"/>
      <c r="C1172" s="81"/>
      <c r="D1172" s="83"/>
      <c r="E1172" s="81"/>
      <c r="F1172" s="269"/>
      <c r="G1172" s="48"/>
      <c r="H1172" s="269"/>
      <c r="I1172" s="72"/>
      <c r="J1172" s="330"/>
      <c r="K1172" s="75"/>
      <c r="L1172" s="157"/>
      <c r="M1172" s="341"/>
      <c r="N1172" s="334"/>
      <c r="T1172" s="110"/>
      <c r="V1172" s="232"/>
      <c r="W1172" s="269"/>
      <c r="X1172" s="201"/>
      <c r="Y1172" s="269"/>
      <c r="Z1172" s="269"/>
      <c r="AA1172" s="134"/>
      <c r="AB1172" s="269"/>
      <c r="AC1172" s="284"/>
      <c r="AD1172" s="284"/>
      <c r="AE1172" s="269"/>
    </row>
    <row r="1173" spans="2:31">
      <c r="B1173" s="83"/>
      <c r="C1173" s="81"/>
      <c r="D1173" s="83"/>
      <c r="E1173" s="81"/>
      <c r="F1173" s="269"/>
      <c r="G1173" s="48"/>
      <c r="H1173" s="269"/>
      <c r="I1173" s="72"/>
      <c r="J1173" s="330"/>
      <c r="K1173" s="75"/>
      <c r="L1173" s="157"/>
      <c r="M1173" s="341"/>
      <c r="N1173" s="334"/>
      <c r="T1173" s="110"/>
      <c r="V1173" s="232"/>
      <c r="W1173" s="269"/>
      <c r="X1173" s="201"/>
      <c r="Y1173" s="269"/>
      <c r="Z1173" s="269"/>
      <c r="AA1173" s="134"/>
      <c r="AB1173" s="269"/>
      <c r="AC1173" s="284"/>
      <c r="AD1173" s="284"/>
      <c r="AE1173" s="269"/>
    </row>
    <row r="1174" spans="2:31">
      <c r="B1174" s="83"/>
      <c r="C1174" s="81"/>
      <c r="D1174" s="83"/>
      <c r="E1174" s="81"/>
      <c r="F1174" s="269"/>
      <c r="G1174" s="48"/>
      <c r="H1174" s="269"/>
      <c r="I1174" s="72"/>
      <c r="J1174" s="330"/>
      <c r="K1174" s="75"/>
      <c r="L1174" s="157"/>
      <c r="M1174" s="341"/>
      <c r="N1174" s="334"/>
      <c r="T1174" s="110"/>
      <c r="V1174" s="232"/>
      <c r="W1174" s="269"/>
      <c r="X1174" s="201"/>
      <c r="Y1174" s="269"/>
      <c r="Z1174" s="269"/>
      <c r="AA1174" s="134"/>
      <c r="AB1174" s="269"/>
      <c r="AC1174" s="284"/>
      <c r="AD1174" s="284"/>
      <c r="AE1174" s="269"/>
    </row>
    <row r="1175" spans="2:31">
      <c r="B1175" s="83"/>
      <c r="C1175" s="81"/>
      <c r="D1175" s="83"/>
      <c r="E1175" s="81"/>
      <c r="F1175" s="269"/>
      <c r="G1175" s="48"/>
      <c r="H1175" s="269"/>
      <c r="I1175" s="72"/>
      <c r="J1175" s="330"/>
      <c r="K1175" s="75"/>
      <c r="L1175" s="157"/>
      <c r="M1175" s="341"/>
      <c r="N1175" s="334"/>
      <c r="T1175" s="110"/>
      <c r="V1175" s="232"/>
      <c r="W1175" s="269"/>
      <c r="X1175" s="201"/>
      <c r="Y1175" s="269"/>
      <c r="Z1175" s="269"/>
      <c r="AA1175" s="134"/>
      <c r="AB1175" s="269"/>
      <c r="AC1175" s="284"/>
      <c r="AD1175" s="284"/>
      <c r="AE1175" s="269"/>
    </row>
    <row r="1176" spans="2:31">
      <c r="B1176" s="83"/>
      <c r="C1176" s="81"/>
      <c r="D1176" s="83"/>
      <c r="E1176" s="81"/>
      <c r="F1176" s="269"/>
      <c r="G1176" s="48"/>
      <c r="H1176" s="269"/>
      <c r="I1176" s="72"/>
      <c r="J1176" s="330"/>
      <c r="K1176" s="75"/>
      <c r="L1176" s="157"/>
      <c r="M1176" s="341"/>
      <c r="N1176" s="334"/>
      <c r="T1176" s="110"/>
      <c r="V1176" s="232"/>
      <c r="W1176" s="269"/>
      <c r="X1176" s="201"/>
      <c r="Y1176" s="269"/>
      <c r="Z1176" s="269"/>
      <c r="AA1176" s="134"/>
      <c r="AB1176" s="269"/>
      <c r="AC1176" s="284"/>
      <c r="AD1176" s="284"/>
      <c r="AE1176" s="269"/>
    </row>
    <row r="1177" spans="2:31">
      <c r="B1177" s="83"/>
      <c r="C1177" s="81"/>
      <c r="D1177" s="83"/>
      <c r="E1177" s="81"/>
      <c r="F1177" s="269"/>
      <c r="G1177" s="48"/>
      <c r="H1177" s="269"/>
      <c r="I1177" s="72"/>
      <c r="J1177" s="330"/>
      <c r="K1177" s="75"/>
      <c r="L1177" s="157"/>
      <c r="M1177" s="341"/>
      <c r="N1177" s="334"/>
      <c r="T1177" s="110"/>
      <c r="V1177" s="232"/>
      <c r="W1177" s="269"/>
      <c r="X1177" s="201"/>
      <c r="Y1177" s="269"/>
      <c r="Z1177" s="269"/>
      <c r="AA1177" s="134"/>
      <c r="AB1177" s="269"/>
      <c r="AC1177" s="284"/>
      <c r="AD1177" s="284"/>
      <c r="AE1177" s="269"/>
    </row>
    <row r="1178" spans="2:31">
      <c r="B1178" s="83"/>
      <c r="C1178" s="81"/>
      <c r="D1178" s="83"/>
      <c r="E1178" s="81"/>
      <c r="F1178" s="269"/>
      <c r="G1178" s="48"/>
      <c r="H1178" s="269"/>
      <c r="I1178" s="72"/>
      <c r="J1178" s="330"/>
      <c r="K1178" s="75"/>
      <c r="L1178" s="157"/>
      <c r="M1178" s="341"/>
      <c r="N1178" s="334"/>
      <c r="T1178" s="110"/>
      <c r="V1178" s="232"/>
      <c r="W1178" s="269"/>
      <c r="X1178" s="201"/>
      <c r="Y1178" s="269"/>
      <c r="Z1178" s="269"/>
      <c r="AA1178" s="134"/>
      <c r="AB1178" s="269"/>
      <c r="AC1178" s="284"/>
      <c r="AD1178" s="284"/>
      <c r="AE1178" s="269"/>
    </row>
    <row r="1179" spans="2:31">
      <c r="B1179" s="83"/>
      <c r="C1179" s="81"/>
      <c r="D1179" s="83"/>
      <c r="E1179" s="81"/>
      <c r="F1179" s="269"/>
      <c r="G1179" s="48"/>
      <c r="H1179" s="269"/>
      <c r="I1179" s="72"/>
      <c r="J1179" s="330"/>
      <c r="K1179" s="75"/>
      <c r="L1179" s="157"/>
      <c r="M1179" s="341"/>
      <c r="N1179" s="334"/>
      <c r="T1179" s="110"/>
      <c r="V1179" s="232"/>
      <c r="W1179" s="269"/>
      <c r="X1179" s="201"/>
      <c r="Y1179" s="269"/>
      <c r="Z1179" s="269"/>
      <c r="AA1179" s="134"/>
      <c r="AB1179" s="269"/>
      <c r="AC1179" s="284"/>
      <c r="AD1179" s="284"/>
      <c r="AE1179" s="269"/>
    </row>
    <row r="1180" spans="2:31">
      <c r="B1180" s="83"/>
      <c r="C1180" s="81"/>
      <c r="D1180" s="83"/>
      <c r="E1180" s="81"/>
      <c r="F1180" s="269"/>
      <c r="G1180" s="48"/>
      <c r="H1180" s="269"/>
      <c r="I1180" s="72"/>
      <c r="J1180" s="330"/>
      <c r="K1180" s="75"/>
      <c r="L1180" s="157"/>
      <c r="M1180" s="341"/>
      <c r="N1180" s="334"/>
      <c r="T1180" s="110"/>
      <c r="V1180" s="232"/>
      <c r="W1180" s="269"/>
      <c r="X1180" s="201"/>
      <c r="Y1180" s="269"/>
      <c r="Z1180" s="269"/>
      <c r="AA1180" s="134"/>
      <c r="AB1180" s="269"/>
      <c r="AC1180" s="284"/>
      <c r="AD1180" s="284"/>
      <c r="AE1180" s="269"/>
    </row>
    <row r="1181" spans="2:31">
      <c r="B1181" s="83"/>
      <c r="C1181" s="81"/>
      <c r="D1181" s="83"/>
      <c r="E1181" s="81"/>
      <c r="F1181" s="269"/>
      <c r="G1181" s="48"/>
      <c r="H1181" s="269"/>
      <c r="I1181" s="72"/>
      <c r="J1181" s="330"/>
      <c r="K1181" s="75"/>
      <c r="L1181" s="157"/>
      <c r="M1181" s="341"/>
      <c r="N1181" s="334"/>
      <c r="T1181" s="110"/>
      <c r="V1181" s="232"/>
      <c r="W1181" s="269"/>
      <c r="X1181" s="201"/>
      <c r="Y1181" s="269"/>
      <c r="Z1181" s="269"/>
      <c r="AA1181" s="134"/>
      <c r="AB1181" s="269"/>
      <c r="AC1181" s="284"/>
      <c r="AD1181" s="284"/>
      <c r="AE1181" s="269"/>
    </row>
    <row r="1182" spans="2:31">
      <c r="B1182" s="83"/>
      <c r="C1182" s="81"/>
      <c r="D1182" s="83"/>
      <c r="E1182" s="81"/>
      <c r="F1182" s="269"/>
      <c r="G1182" s="48"/>
      <c r="H1182" s="269"/>
      <c r="I1182" s="72"/>
      <c r="J1182" s="330"/>
      <c r="K1182" s="75"/>
      <c r="L1182" s="157"/>
      <c r="M1182" s="341"/>
      <c r="N1182" s="334"/>
      <c r="T1182" s="110"/>
      <c r="V1182" s="232"/>
      <c r="W1182" s="269"/>
      <c r="X1182" s="201"/>
      <c r="Y1182" s="269"/>
      <c r="Z1182" s="269"/>
      <c r="AA1182" s="134"/>
      <c r="AB1182" s="269"/>
      <c r="AC1182" s="284"/>
      <c r="AD1182" s="284"/>
      <c r="AE1182" s="269"/>
    </row>
    <row r="1183" spans="2:31">
      <c r="B1183" s="83"/>
      <c r="C1183" s="81"/>
      <c r="D1183" s="83"/>
      <c r="E1183" s="81"/>
      <c r="F1183" s="269"/>
      <c r="G1183" s="48"/>
      <c r="H1183" s="269"/>
      <c r="I1183" s="72"/>
      <c r="J1183" s="330"/>
      <c r="K1183" s="75"/>
      <c r="L1183" s="157"/>
      <c r="M1183" s="341"/>
      <c r="N1183" s="334"/>
      <c r="T1183" s="110"/>
      <c r="V1183" s="232"/>
      <c r="W1183" s="269"/>
      <c r="X1183" s="201"/>
      <c r="Y1183" s="269"/>
      <c r="Z1183" s="269"/>
      <c r="AA1183" s="134"/>
      <c r="AB1183" s="269"/>
      <c r="AC1183" s="284"/>
      <c r="AD1183" s="284"/>
      <c r="AE1183" s="269"/>
    </row>
    <row r="1184" spans="2:31">
      <c r="B1184" s="83"/>
      <c r="C1184" s="81"/>
      <c r="D1184" s="83"/>
      <c r="E1184" s="81"/>
      <c r="F1184" s="269"/>
      <c r="G1184" s="48"/>
      <c r="H1184" s="269"/>
      <c r="I1184" s="72"/>
      <c r="J1184" s="330"/>
      <c r="K1184" s="75"/>
      <c r="L1184" s="157"/>
      <c r="M1184" s="341"/>
      <c r="N1184" s="334"/>
      <c r="T1184" s="110"/>
      <c r="V1184" s="232"/>
      <c r="W1184" s="269"/>
      <c r="X1184" s="201"/>
      <c r="Y1184" s="269"/>
      <c r="Z1184" s="269"/>
      <c r="AA1184" s="134"/>
      <c r="AB1184" s="269"/>
      <c r="AC1184" s="284"/>
      <c r="AD1184" s="284"/>
      <c r="AE1184" s="269"/>
    </row>
    <row r="1185" spans="2:31">
      <c r="B1185" s="83"/>
      <c r="C1185" s="81"/>
      <c r="D1185" s="83"/>
      <c r="E1185" s="81"/>
      <c r="F1185" s="269"/>
      <c r="G1185" s="48"/>
      <c r="H1185" s="269"/>
      <c r="I1185" s="72"/>
      <c r="J1185" s="330"/>
      <c r="K1185" s="75"/>
      <c r="L1185" s="157"/>
      <c r="M1185" s="341"/>
      <c r="N1185" s="334"/>
      <c r="T1185" s="110"/>
      <c r="V1185" s="232"/>
      <c r="W1185" s="269"/>
      <c r="X1185" s="201"/>
      <c r="Y1185" s="269"/>
      <c r="Z1185" s="269"/>
      <c r="AA1185" s="134"/>
      <c r="AB1185" s="269"/>
      <c r="AC1185" s="284"/>
      <c r="AD1185" s="284"/>
      <c r="AE1185" s="269"/>
    </row>
    <row r="1186" spans="2:31">
      <c r="B1186" s="83"/>
      <c r="C1186" s="81"/>
      <c r="D1186" s="83"/>
      <c r="E1186" s="81"/>
      <c r="F1186" s="269"/>
      <c r="G1186" s="48"/>
      <c r="H1186" s="269"/>
      <c r="I1186" s="72"/>
      <c r="J1186" s="330"/>
      <c r="K1186" s="75"/>
      <c r="L1186" s="157"/>
      <c r="M1186" s="341"/>
      <c r="N1186" s="334"/>
      <c r="T1186" s="110"/>
      <c r="V1186" s="232"/>
      <c r="W1186" s="269"/>
      <c r="X1186" s="201"/>
      <c r="Y1186" s="269"/>
      <c r="Z1186" s="269"/>
      <c r="AA1186" s="134"/>
      <c r="AB1186" s="269"/>
      <c r="AC1186" s="284"/>
      <c r="AD1186" s="284"/>
      <c r="AE1186" s="269"/>
    </row>
    <row r="1187" spans="2:31">
      <c r="B1187" s="83"/>
      <c r="C1187" s="81"/>
      <c r="D1187" s="83"/>
      <c r="E1187" s="81"/>
      <c r="F1187" s="269"/>
      <c r="G1187" s="48"/>
      <c r="H1187" s="269"/>
      <c r="I1187" s="72"/>
      <c r="J1187" s="330"/>
      <c r="K1187" s="75"/>
      <c r="L1187" s="157"/>
      <c r="M1187" s="341"/>
      <c r="N1187" s="334"/>
      <c r="T1187" s="110"/>
      <c r="V1187" s="232"/>
      <c r="W1187" s="269"/>
      <c r="X1187" s="201"/>
      <c r="Y1187" s="269"/>
      <c r="Z1187" s="269"/>
      <c r="AA1187" s="134"/>
      <c r="AB1187" s="269"/>
      <c r="AC1187" s="284"/>
      <c r="AD1187" s="284"/>
      <c r="AE1187" s="269"/>
    </row>
    <row r="1188" spans="2:31">
      <c r="B1188" s="83"/>
      <c r="C1188" s="81"/>
      <c r="D1188" s="83"/>
      <c r="E1188" s="81"/>
      <c r="F1188" s="269"/>
      <c r="G1188" s="48"/>
      <c r="H1188" s="269"/>
      <c r="I1188" s="72"/>
      <c r="J1188" s="330"/>
      <c r="K1188" s="75"/>
      <c r="L1188" s="157"/>
      <c r="M1188" s="341"/>
      <c r="N1188" s="334"/>
      <c r="T1188" s="110"/>
      <c r="V1188" s="232"/>
      <c r="W1188" s="269"/>
      <c r="X1188" s="201"/>
      <c r="Y1188" s="269"/>
      <c r="Z1188" s="269"/>
      <c r="AA1188" s="134"/>
      <c r="AB1188" s="269"/>
      <c r="AC1188" s="284"/>
      <c r="AD1188" s="284"/>
      <c r="AE1188" s="269"/>
    </row>
    <row r="1189" spans="2:31">
      <c r="B1189" s="83"/>
      <c r="C1189" s="81"/>
      <c r="D1189" s="83"/>
      <c r="E1189" s="81"/>
      <c r="F1189" s="269"/>
      <c r="G1189" s="48"/>
      <c r="H1189" s="269"/>
      <c r="I1189" s="72"/>
      <c r="J1189" s="330"/>
      <c r="K1189" s="75"/>
      <c r="L1189" s="157"/>
      <c r="M1189" s="341"/>
      <c r="N1189" s="334"/>
      <c r="T1189" s="110"/>
      <c r="V1189" s="232"/>
      <c r="W1189" s="269"/>
      <c r="X1189" s="201"/>
      <c r="Y1189" s="269"/>
      <c r="Z1189" s="269"/>
      <c r="AA1189" s="134"/>
      <c r="AB1189" s="269"/>
      <c r="AC1189" s="284"/>
      <c r="AD1189" s="284"/>
      <c r="AE1189" s="269"/>
    </row>
    <row r="1190" spans="2:31">
      <c r="B1190" s="83"/>
      <c r="C1190" s="81"/>
      <c r="D1190" s="83"/>
      <c r="E1190" s="81"/>
      <c r="F1190" s="269"/>
      <c r="G1190" s="48"/>
      <c r="H1190" s="269"/>
      <c r="I1190" s="72"/>
      <c r="J1190" s="330"/>
      <c r="K1190" s="75"/>
      <c r="L1190" s="157"/>
      <c r="M1190" s="341"/>
      <c r="N1190" s="334"/>
      <c r="T1190" s="110"/>
      <c r="V1190" s="232"/>
      <c r="W1190" s="269"/>
      <c r="X1190" s="201"/>
      <c r="Y1190" s="269"/>
      <c r="Z1190" s="269"/>
      <c r="AA1190" s="134"/>
      <c r="AB1190" s="269"/>
      <c r="AC1190" s="284"/>
      <c r="AD1190" s="284"/>
      <c r="AE1190" s="269"/>
    </row>
    <row r="1191" spans="2:31">
      <c r="B1191" s="83"/>
      <c r="C1191" s="81"/>
      <c r="D1191" s="83"/>
      <c r="E1191" s="81"/>
      <c r="F1191" s="269"/>
      <c r="G1191" s="48"/>
      <c r="H1191" s="269"/>
      <c r="I1191" s="72"/>
      <c r="J1191" s="330"/>
      <c r="K1191" s="75"/>
      <c r="L1191" s="157"/>
      <c r="M1191" s="341"/>
      <c r="N1191" s="334"/>
      <c r="T1191" s="110"/>
      <c r="V1191" s="232"/>
      <c r="W1191" s="269"/>
      <c r="X1191" s="201"/>
      <c r="Y1191" s="269"/>
      <c r="Z1191" s="269"/>
      <c r="AA1191" s="134"/>
      <c r="AB1191" s="269"/>
      <c r="AC1191" s="284"/>
      <c r="AD1191" s="284"/>
      <c r="AE1191" s="269"/>
    </row>
    <row r="1192" spans="2:31">
      <c r="B1192" s="83"/>
      <c r="C1192" s="81"/>
      <c r="D1192" s="83"/>
      <c r="E1192" s="81"/>
      <c r="F1192" s="269"/>
      <c r="G1192" s="48"/>
      <c r="H1192" s="269"/>
      <c r="I1192" s="72"/>
      <c r="J1192" s="330"/>
      <c r="K1192" s="75"/>
      <c r="L1192" s="157"/>
      <c r="M1192" s="341"/>
      <c r="N1192" s="334"/>
      <c r="T1192" s="110"/>
      <c r="V1192" s="232"/>
      <c r="W1192" s="269"/>
      <c r="X1192" s="201"/>
      <c r="Y1192" s="269"/>
      <c r="Z1192" s="269"/>
      <c r="AA1192" s="134"/>
      <c r="AB1192" s="269"/>
      <c r="AC1192" s="284"/>
      <c r="AD1192" s="284"/>
      <c r="AE1192" s="269"/>
    </row>
    <row r="1193" spans="2:31">
      <c r="B1193" s="83"/>
      <c r="C1193" s="81"/>
      <c r="D1193" s="83"/>
      <c r="E1193" s="81"/>
      <c r="F1193" s="269"/>
      <c r="G1193" s="48"/>
      <c r="H1193" s="269"/>
      <c r="I1193" s="72"/>
      <c r="J1193" s="330"/>
      <c r="K1193" s="75"/>
      <c r="L1193" s="157"/>
      <c r="M1193" s="341"/>
      <c r="N1193" s="334"/>
      <c r="T1193" s="110"/>
      <c r="V1193" s="232"/>
      <c r="W1193" s="269"/>
      <c r="X1193" s="201"/>
      <c r="Y1193" s="269"/>
      <c r="Z1193" s="269"/>
      <c r="AA1193" s="134"/>
      <c r="AB1193" s="269"/>
      <c r="AC1193" s="284"/>
      <c r="AD1193" s="284"/>
      <c r="AE1193" s="269"/>
    </row>
    <row r="1194" spans="2:31">
      <c r="B1194" s="83"/>
      <c r="C1194" s="81"/>
      <c r="D1194" s="83"/>
      <c r="E1194" s="81"/>
      <c r="F1194" s="269"/>
      <c r="G1194" s="48"/>
      <c r="H1194" s="269"/>
      <c r="I1194" s="72"/>
      <c r="J1194" s="330"/>
      <c r="K1194" s="75"/>
      <c r="L1194" s="157"/>
      <c r="M1194" s="341"/>
      <c r="N1194" s="334"/>
      <c r="T1194" s="110"/>
      <c r="V1194" s="232"/>
      <c r="W1194" s="269"/>
      <c r="X1194" s="201"/>
      <c r="Y1194" s="269"/>
      <c r="Z1194" s="269"/>
      <c r="AA1194" s="134"/>
      <c r="AB1194" s="269"/>
      <c r="AC1194" s="284"/>
      <c r="AD1194" s="284"/>
      <c r="AE1194" s="269"/>
    </row>
    <row r="1195" spans="2:31">
      <c r="B1195" s="83"/>
      <c r="C1195" s="81"/>
      <c r="D1195" s="83"/>
      <c r="E1195" s="81"/>
      <c r="F1195" s="269"/>
      <c r="G1195" s="48"/>
      <c r="H1195" s="269"/>
      <c r="I1195" s="72"/>
      <c r="J1195" s="330"/>
      <c r="K1195" s="75"/>
      <c r="L1195" s="157"/>
      <c r="M1195" s="341"/>
      <c r="N1195" s="334"/>
      <c r="T1195" s="110"/>
      <c r="V1195" s="232"/>
      <c r="W1195" s="269"/>
      <c r="X1195" s="201"/>
      <c r="Y1195" s="269"/>
      <c r="Z1195" s="269"/>
      <c r="AA1195" s="134"/>
      <c r="AB1195" s="269"/>
      <c r="AC1195" s="284"/>
      <c r="AD1195" s="284"/>
      <c r="AE1195" s="269"/>
    </row>
    <row r="1196" spans="2:31">
      <c r="B1196" s="83"/>
      <c r="C1196" s="81"/>
      <c r="D1196" s="83"/>
      <c r="E1196" s="81"/>
      <c r="F1196" s="269"/>
      <c r="G1196" s="48"/>
      <c r="H1196" s="269"/>
      <c r="I1196" s="72"/>
      <c r="J1196" s="330"/>
      <c r="K1196" s="75"/>
      <c r="L1196" s="157"/>
      <c r="M1196" s="341"/>
      <c r="N1196" s="334"/>
      <c r="T1196" s="110"/>
      <c r="V1196" s="232"/>
      <c r="W1196" s="269"/>
      <c r="X1196" s="201"/>
      <c r="Y1196" s="269"/>
      <c r="Z1196" s="269"/>
      <c r="AA1196" s="134"/>
      <c r="AB1196" s="269"/>
      <c r="AC1196" s="284"/>
      <c r="AD1196" s="284"/>
      <c r="AE1196" s="269"/>
    </row>
    <row r="1197" spans="2:31">
      <c r="B1197" s="83"/>
      <c r="C1197" s="81"/>
      <c r="D1197" s="83"/>
      <c r="E1197" s="81"/>
      <c r="F1197" s="269"/>
      <c r="G1197" s="48"/>
      <c r="H1197" s="269"/>
      <c r="I1197" s="72"/>
      <c r="J1197" s="330"/>
      <c r="K1197" s="75"/>
      <c r="L1197" s="157"/>
      <c r="M1197" s="341"/>
      <c r="N1197" s="334"/>
      <c r="T1197" s="110"/>
      <c r="V1197" s="232"/>
      <c r="W1197" s="269"/>
      <c r="X1197" s="201"/>
      <c r="Y1197" s="269"/>
      <c r="Z1197" s="269"/>
      <c r="AA1197" s="134"/>
      <c r="AB1197" s="269"/>
      <c r="AC1197" s="284"/>
      <c r="AD1197" s="284"/>
      <c r="AE1197" s="269"/>
    </row>
    <row r="1198" spans="2:31">
      <c r="B1198" s="83"/>
      <c r="C1198" s="81"/>
      <c r="D1198" s="83"/>
      <c r="E1198" s="81"/>
      <c r="F1198" s="269"/>
      <c r="G1198" s="48"/>
      <c r="H1198" s="269"/>
      <c r="I1198" s="72"/>
      <c r="J1198" s="330"/>
      <c r="K1198" s="75"/>
      <c r="L1198" s="157"/>
      <c r="M1198" s="341"/>
      <c r="N1198" s="334"/>
      <c r="T1198" s="110"/>
      <c r="V1198" s="232"/>
      <c r="W1198" s="269"/>
      <c r="X1198" s="201"/>
      <c r="Y1198" s="269"/>
      <c r="Z1198" s="269"/>
      <c r="AA1198" s="134"/>
      <c r="AB1198" s="269"/>
      <c r="AC1198" s="284"/>
      <c r="AD1198" s="284"/>
      <c r="AE1198" s="269"/>
    </row>
    <row r="1199" spans="2:31">
      <c r="B1199" s="83"/>
      <c r="C1199" s="81"/>
      <c r="D1199" s="83"/>
      <c r="E1199" s="81"/>
      <c r="F1199" s="269"/>
      <c r="G1199" s="48"/>
      <c r="H1199" s="269"/>
      <c r="I1199" s="72"/>
      <c r="J1199" s="330"/>
      <c r="K1199" s="75"/>
      <c r="L1199" s="157"/>
      <c r="M1199" s="341"/>
      <c r="N1199" s="334"/>
      <c r="T1199" s="110"/>
      <c r="V1199" s="232"/>
      <c r="W1199" s="269"/>
      <c r="X1199" s="201"/>
      <c r="Y1199" s="269"/>
      <c r="Z1199" s="269"/>
      <c r="AA1199" s="134"/>
      <c r="AB1199" s="269"/>
      <c r="AC1199" s="284"/>
      <c r="AD1199" s="284"/>
      <c r="AE1199" s="269"/>
    </row>
    <row r="1200" spans="2:31">
      <c r="B1200" s="83"/>
      <c r="C1200" s="81"/>
      <c r="D1200" s="83"/>
      <c r="E1200" s="81"/>
      <c r="F1200" s="269"/>
      <c r="G1200" s="48"/>
      <c r="H1200" s="269"/>
      <c r="I1200" s="72"/>
      <c r="J1200" s="330"/>
      <c r="K1200" s="75"/>
      <c r="L1200" s="157"/>
      <c r="M1200" s="341"/>
      <c r="N1200" s="334"/>
      <c r="T1200" s="110"/>
      <c r="V1200" s="232"/>
      <c r="W1200" s="269"/>
      <c r="X1200" s="201"/>
      <c r="Y1200" s="269"/>
      <c r="Z1200" s="269"/>
      <c r="AA1200" s="134"/>
      <c r="AB1200" s="269"/>
      <c r="AC1200" s="284"/>
      <c r="AD1200" s="284"/>
      <c r="AE1200" s="269"/>
    </row>
    <row r="1201" spans="2:31">
      <c r="B1201" s="83"/>
      <c r="C1201" s="81"/>
      <c r="D1201" s="83"/>
      <c r="E1201" s="81"/>
      <c r="F1201" s="269"/>
      <c r="G1201" s="48"/>
      <c r="H1201" s="269"/>
      <c r="I1201" s="72"/>
      <c r="J1201" s="330"/>
      <c r="K1201" s="75"/>
      <c r="L1201" s="157"/>
      <c r="M1201" s="341"/>
      <c r="N1201" s="334"/>
      <c r="T1201" s="110"/>
      <c r="V1201" s="232"/>
      <c r="W1201" s="269"/>
      <c r="X1201" s="201"/>
      <c r="Y1201" s="269"/>
      <c r="Z1201" s="269"/>
      <c r="AA1201" s="134"/>
      <c r="AB1201" s="269"/>
      <c r="AC1201" s="284"/>
      <c r="AD1201" s="284"/>
      <c r="AE1201" s="269"/>
    </row>
    <row r="1202" spans="2:31">
      <c r="B1202" s="83"/>
      <c r="C1202" s="81"/>
      <c r="D1202" s="83"/>
      <c r="E1202" s="81"/>
      <c r="F1202" s="269"/>
      <c r="G1202" s="48"/>
      <c r="H1202" s="269"/>
      <c r="I1202" s="72"/>
      <c r="J1202" s="330"/>
      <c r="K1202" s="75"/>
      <c r="L1202" s="157"/>
      <c r="M1202" s="341"/>
      <c r="N1202" s="334"/>
      <c r="T1202" s="110"/>
      <c r="V1202" s="232"/>
      <c r="W1202" s="269"/>
      <c r="X1202" s="201"/>
      <c r="Y1202" s="269"/>
      <c r="Z1202" s="269"/>
      <c r="AA1202" s="134"/>
      <c r="AB1202" s="269"/>
      <c r="AC1202" s="284"/>
      <c r="AD1202" s="284"/>
      <c r="AE1202" s="269"/>
    </row>
    <row r="1203" spans="2:31">
      <c r="B1203" s="83"/>
      <c r="C1203" s="81"/>
      <c r="D1203" s="83"/>
      <c r="E1203" s="81"/>
      <c r="F1203" s="269"/>
      <c r="G1203" s="48"/>
      <c r="H1203" s="269"/>
      <c r="I1203" s="72"/>
      <c r="J1203" s="330"/>
      <c r="K1203" s="75"/>
      <c r="L1203" s="157"/>
      <c r="M1203" s="341"/>
      <c r="N1203" s="334"/>
      <c r="T1203" s="110"/>
      <c r="V1203" s="232"/>
      <c r="W1203" s="269"/>
      <c r="X1203" s="201"/>
      <c r="Y1203" s="269"/>
      <c r="Z1203" s="269"/>
      <c r="AA1203" s="134"/>
      <c r="AB1203" s="269"/>
      <c r="AC1203" s="284"/>
      <c r="AD1203" s="284"/>
      <c r="AE1203" s="269"/>
    </row>
    <row r="1204" spans="2:31">
      <c r="B1204" s="83"/>
      <c r="C1204" s="81"/>
      <c r="D1204" s="83"/>
      <c r="E1204" s="81"/>
      <c r="F1204" s="269"/>
      <c r="G1204" s="48"/>
      <c r="H1204" s="269"/>
      <c r="I1204" s="72"/>
      <c r="J1204" s="330"/>
      <c r="K1204" s="75"/>
      <c r="L1204" s="157"/>
      <c r="M1204" s="341"/>
      <c r="N1204" s="334"/>
      <c r="T1204" s="110"/>
      <c r="V1204" s="232"/>
      <c r="W1204" s="269"/>
      <c r="X1204" s="201"/>
      <c r="Y1204" s="269"/>
      <c r="Z1204" s="269"/>
      <c r="AA1204" s="134"/>
      <c r="AB1204" s="269"/>
      <c r="AC1204" s="284"/>
      <c r="AD1204" s="284"/>
      <c r="AE1204" s="269"/>
    </row>
    <row r="1205" spans="2:31">
      <c r="B1205" s="83"/>
      <c r="C1205" s="81"/>
      <c r="D1205" s="83"/>
      <c r="E1205" s="81"/>
      <c r="F1205" s="269"/>
      <c r="G1205" s="48"/>
      <c r="H1205" s="269"/>
      <c r="I1205" s="72"/>
      <c r="J1205" s="330"/>
      <c r="K1205" s="75"/>
      <c r="L1205" s="157"/>
      <c r="M1205" s="341"/>
      <c r="N1205" s="334"/>
      <c r="T1205" s="110"/>
      <c r="V1205" s="232"/>
      <c r="W1205" s="269"/>
      <c r="X1205" s="201"/>
      <c r="Y1205" s="269"/>
      <c r="Z1205" s="269"/>
      <c r="AA1205" s="134"/>
      <c r="AB1205" s="269"/>
      <c r="AC1205" s="284"/>
      <c r="AD1205" s="284"/>
      <c r="AE1205" s="269"/>
    </row>
    <row r="1206" spans="2:31">
      <c r="B1206" s="83"/>
      <c r="C1206" s="81"/>
      <c r="D1206" s="83"/>
      <c r="E1206" s="81"/>
      <c r="F1206" s="269"/>
      <c r="G1206" s="48"/>
      <c r="H1206" s="269"/>
      <c r="I1206" s="72"/>
      <c r="J1206" s="330"/>
      <c r="K1206" s="75"/>
      <c r="L1206" s="157"/>
      <c r="M1206" s="341"/>
      <c r="N1206" s="334"/>
      <c r="T1206" s="110"/>
      <c r="V1206" s="232"/>
      <c r="W1206" s="269"/>
      <c r="X1206" s="201"/>
      <c r="Y1206" s="269"/>
      <c r="Z1206" s="269"/>
      <c r="AA1206" s="134"/>
      <c r="AB1206" s="269"/>
      <c r="AC1206" s="284"/>
      <c r="AD1206" s="284"/>
      <c r="AE1206" s="269"/>
    </row>
    <row r="1207" spans="2:31">
      <c r="B1207" s="83"/>
      <c r="C1207" s="81"/>
      <c r="D1207" s="83"/>
      <c r="E1207" s="81"/>
      <c r="F1207" s="269"/>
      <c r="G1207" s="48"/>
      <c r="H1207" s="269"/>
      <c r="I1207" s="72"/>
      <c r="J1207" s="330"/>
      <c r="K1207" s="75"/>
      <c r="L1207" s="157"/>
      <c r="M1207" s="341"/>
      <c r="N1207" s="334"/>
      <c r="T1207" s="110"/>
      <c r="V1207" s="232"/>
      <c r="W1207" s="269"/>
      <c r="X1207" s="201"/>
      <c r="Y1207" s="269"/>
      <c r="Z1207" s="269"/>
      <c r="AA1207" s="134"/>
      <c r="AB1207" s="269"/>
      <c r="AC1207" s="284"/>
      <c r="AD1207" s="284"/>
      <c r="AE1207" s="269"/>
    </row>
    <row r="1208" spans="2:31">
      <c r="B1208" s="83"/>
      <c r="C1208" s="81"/>
      <c r="D1208" s="83"/>
      <c r="E1208" s="81"/>
      <c r="F1208" s="269"/>
      <c r="G1208" s="48"/>
      <c r="H1208" s="269"/>
      <c r="I1208" s="72"/>
      <c r="J1208" s="330"/>
      <c r="K1208" s="75"/>
      <c r="L1208" s="157"/>
      <c r="M1208" s="341"/>
      <c r="N1208" s="334"/>
      <c r="T1208" s="110"/>
      <c r="V1208" s="232"/>
      <c r="W1208" s="269"/>
      <c r="X1208" s="201"/>
      <c r="Y1208" s="269"/>
      <c r="Z1208" s="269"/>
      <c r="AA1208" s="134"/>
      <c r="AB1208" s="269"/>
      <c r="AC1208" s="284"/>
      <c r="AD1208" s="284"/>
      <c r="AE1208" s="269"/>
    </row>
    <row r="1209" spans="2:31">
      <c r="B1209" s="83"/>
      <c r="C1209" s="81"/>
      <c r="D1209" s="83"/>
      <c r="E1209" s="81"/>
      <c r="F1209" s="269"/>
      <c r="G1209" s="48"/>
      <c r="H1209" s="269"/>
      <c r="I1209" s="72"/>
      <c r="J1209" s="330"/>
      <c r="K1209" s="75"/>
      <c r="L1209" s="157"/>
      <c r="M1209" s="341"/>
      <c r="N1209" s="334"/>
      <c r="T1209" s="110"/>
      <c r="V1209" s="232"/>
      <c r="W1209" s="269"/>
      <c r="X1209" s="201"/>
      <c r="Y1209" s="269"/>
      <c r="Z1209" s="269"/>
      <c r="AA1209" s="134"/>
      <c r="AB1209" s="269"/>
      <c r="AC1209" s="284"/>
      <c r="AD1209" s="284"/>
      <c r="AE1209" s="269"/>
    </row>
    <row r="1210" spans="2:31">
      <c r="B1210" s="83"/>
      <c r="C1210" s="81"/>
      <c r="D1210" s="83"/>
      <c r="E1210" s="81"/>
      <c r="F1210" s="269"/>
      <c r="G1210" s="48"/>
      <c r="H1210" s="269"/>
      <c r="I1210" s="72"/>
      <c r="J1210" s="330"/>
      <c r="K1210" s="75"/>
      <c r="L1210" s="157"/>
      <c r="M1210" s="341"/>
      <c r="N1210" s="334"/>
      <c r="T1210" s="110"/>
      <c r="V1210" s="232"/>
      <c r="W1210" s="269"/>
      <c r="X1210" s="201"/>
      <c r="Y1210" s="269"/>
      <c r="Z1210" s="269"/>
      <c r="AA1210" s="134"/>
      <c r="AB1210" s="269"/>
      <c r="AC1210" s="284"/>
      <c r="AD1210" s="284"/>
      <c r="AE1210" s="269"/>
    </row>
    <row r="1211" spans="2:31">
      <c r="B1211" s="83"/>
      <c r="C1211" s="81"/>
      <c r="D1211" s="83"/>
      <c r="E1211" s="81"/>
      <c r="F1211" s="269"/>
      <c r="G1211" s="48"/>
      <c r="H1211" s="269"/>
      <c r="I1211" s="72"/>
      <c r="J1211" s="330"/>
      <c r="K1211" s="75"/>
      <c r="L1211" s="157"/>
      <c r="M1211" s="341"/>
      <c r="N1211" s="334"/>
      <c r="T1211" s="110"/>
      <c r="V1211" s="232"/>
      <c r="W1211" s="269"/>
      <c r="X1211" s="201"/>
      <c r="Y1211" s="269"/>
      <c r="Z1211" s="269"/>
      <c r="AA1211" s="134"/>
      <c r="AB1211" s="269"/>
      <c r="AC1211" s="284"/>
      <c r="AD1211" s="284"/>
      <c r="AE1211" s="269"/>
    </row>
    <row r="1212" spans="2:31">
      <c r="B1212" s="83"/>
      <c r="C1212" s="81"/>
      <c r="D1212" s="83"/>
      <c r="E1212" s="81"/>
      <c r="F1212" s="269"/>
      <c r="G1212" s="48"/>
      <c r="H1212" s="269"/>
      <c r="I1212" s="72"/>
      <c r="J1212" s="330"/>
      <c r="K1212" s="75"/>
      <c r="L1212" s="157"/>
      <c r="M1212" s="341"/>
      <c r="N1212" s="334"/>
      <c r="T1212" s="110"/>
      <c r="V1212" s="232"/>
      <c r="W1212" s="269"/>
      <c r="X1212" s="201"/>
      <c r="Y1212" s="269"/>
      <c r="Z1212" s="269"/>
      <c r="AA1212" s="134"/>
      <c r="AB1212" s="269"/>
      <c r="AC1212" s="284"/>
      <c r="AD1212" s="284"/>
      <c r="AE1212" s="269"/>
    </row>
    <row r="1213" spans="2:31">
      <c r="B1213" s="83"/>
      <c r="C1213" s="81"/>
      <c r="D1213" s="83"/>
      <c r="E1213" s="81"/>
      <c r="F1213" s="269"/>
      <c r="G1213" s="48"/>
      <c r="H1213" s="269"/>
      <c r="I1213" s="72"/>
      <c r="J1213" s="330"/>
      <c r="K1213" s="75"/>
      <c r="L1213" s="157"/>
      <c r="M1213" s="341"/>
      <c r="N1213" s="334"/>
      <c r="T1213" s="110"/>
      <c r="V1213" s="232"/>
      <c r="W1213" s="269"/>
      <c r="X1213" s="201"/>
      <c r="Y1213" s="269"/>
      <c r="Z1213" s="269"/>
      <c r="AA1213" s="134"/>
      <c r="AB1213" s="269"/>
      <c r="AC1213" s="284"/>
      <c r="AD1213" s="284"/>
      <c r="AE1213" s="269"/>
    </row>
    <row r="1214" spans="2:31">
      <c r="B1214" s="83"/>
      <c r="C1214" s="81"/>
      <c r="D1214" s="83"/>
      <c r="E1214" s="81"/>
      <c r="F1214" s="269"/>
      <c r="G1214" s="48"/>
      <c r="H1214" s="269"/>
      <c r="I1214" s="72"/>
      <c r="J1214" s="330"/>
      <c r="K1214" s="75"/>
      <c r="L1214" s="157"/>
      <c r="M1214" s="341"/>
      <c r="N1214" s="334"/>
      <c r="T1214" s="110"/>
      <c r="V1214" s="232"/>
      <c r="W1214" s="269"/>
      <c r="X1214" s="201"/>
      <c r="Y1214" s="269"/>
      <c r="Z1214" s="269"/>
      <c r="AA1214" s="134"/>
      <c r="AB1214" s="269"/>
      <c r="AC1214" s="284"/>
      <c r="AD1214" s="284"/>
      <c r="AE1214" s="269"/>
    </row>
    <row r="1215" spans="2:31">
      <c r="B1215" s="83"/>
      <c r="C1215" s="81"/>
      <c r="D1215" s="83"/>
      <c r="E1215" s="81"/>
      <c r="F1215" s="269"/>
      <c r="G1215" s="48"/>
      <c r="H1215" s="269"/>
      <c r="I1215" s="72"/>
      <c r="J1215" s="330"/>
      <c r="K1215" s="75"/>
      <c r="L1215" s="157"/>
      <c r="M1215" s="341"/>
      <c r="N1215" s="334"/>
      <c r="T1215" s="110"/>
      <c r="V1215" s="232"/>
      <c r="W1215" s="269"/>
      <c r="X1215" s="201"/>
      <c r="Y1215" s="269"/>
      <c r="Z1215" s="269"/>
      <c r="AA1215" s="134"/>
      <c r="AB1215" s="269"/>
      <c r="AC1215" s="284"/>
      <c r="AD1215" s="284"/>
      <c r="AE1215" s="269"/>
    </row>
    <row r="1216" spans="2:31">
      <c r="B1216" s="83"/>
      <c r="C1216" s="81"/>
      <c r="D1216" s="83"/>
      <c r="E1216" s="81"/>
      <c r="F1216" s="269"/>
      <c r="G1216" s="48"/>
      <c r="H1216" s="269"/>
      <c r="I1216" s="72"/>
      <c r="J1216" s="330"/>
      <c r="K1216" s="75"/>
      <c r="L1216" s="157"/>
      <c r="M1216" s="341"/>
      <c r="N1216" s="334"/>
      <c r="T1216" s="110"/>
      <c r="V1216" s="232"/>
      <c r="W1216" s="269"/>
      <c r="X1216" s="201"/>
      <c r="Y1216" s="269"/>
      <c r="Z1216" s="269"/>
      <c r="AA1216" s="134"/>
      <c r="AB1216" s="269"/>
      <c r="AC1216" s="284"/>
      <c r="AD1216" s="284"/>
      <c r="AE1216" s="269"/>
    </row>
    <row r="1217" spans="2:31">
      <c r="B1217" s="83"/>
      <c r="C1217" s="81"/>
      <c r="D1217" s="83"/>
      <c r="E1217" s="81"/>
      <c r="F1217" s="269"/>
      <c r="G1217" s="48"/>
      <c r="H1217" s="269"/>
      <c r="I1217" s="72"/>
      <c r="J1217" s="330"/>
      <c r="K1217" s="75"/>
      <c r="L1217" s="157"/>
      <c r="M1217" s="341"/>
      <c r="N1217" s="334"/>
      <c r="T1217" s="110"/>
      <c r="V1217" s="232"/>
      <c r="W1217" s="269"/>
      <c r="X1217" s="201"/>
      <c r="Y1217" s="269"/>
      <c r="Z1217" s="269"/>
      <c r="AA1217" s="134"/>
      <c r="AB1217" s="269"/>
      <c r="AC1217" s="284"/>
      <c r="AD1217" s="284"/>
      <c r="AE1217" s="269"/>
    </row>
    <row r="1218" spans="2:31">
      <c r="B1218" s="83"/>
      <c r="C1218" s="81"/>
      <c r="D1218" s="83"/>
      <c r="E1218" s="81"/>
      <c r="F1218" s="269"/>
      <c r="G1218" s="48"/>
      <c r="H1218" s="269"/>
      <c r="I1218" s="72"/>
      <c r="J1218" s="330"/>
      <c r="K1218" s="75"/>
      <c r="L1218" s="157"/>
      <c r="M1218" s="341"/>
      <c r="N1218" s="334"/>
      <c r="T1218" s="110"/>
      <c r="V1218" s="232"/>
      <c r="W1218" s="269"/>
      <c r="X1218" s="201"/>
      <c r="Y1218" s="269"/>
      <c r="Z1218" s="269"/>
      <c r="AA1218" s="134"/>
      <c r="AB1218" s="269"/>
      <c r="AC1218" s="284"/>
      <c r="AD1218" s="284"/>
      <c r="AE1218" s="269"/>
    </row>
    <row r="1219" spans="2:31">
      <c r="B1219" s="83"/>
      <c r="C1219" s="81"/>
      <c r="D1219" s="83"/>
      <c r="E1219" s="81"/>
      <c r="F1219" s="269"/>
      <c r="G1219" s="48"/>
      <c r="H1219" s="269"/>
      <c r="I1219" s="72"/>
      <c r="J1219" s="330"/>
      <c r="K1219" s="75"/>
      <c r="L1219" s="157"/>
      <c r="M1219" s="341"/>
      <c r="N1219" s="334"/>
      <c r="T1219" s="110"/>
      <c r="V1219" s="232"/>
      <c r="W1219" s="269"/>
      <c r="X1219" s="201"/>
      <c r="Y1219" s="269"/>
      <c r="Z1219" s="269"/>
      <c r="AA1219" s="134"/>
      <c r="AB1219" s="269"/>
      <c r="AC1219" s="284"/>
      <c r="AD1219" s="284"/>
      <c r="AE1219" s="269"/>
    </row>
    <row r="1220" spans="2:31">
      <c r="B1220" s="83"/>
      <c r="C1220" s="81"/>
      <c r="D1220" s="83"/>
      <c r="E1220" s="81"/>
      <c r="F1220" s="269"/>
      <c r="G1220" s="48"/>
      <c r="H1220" s="269"/>
      <c r="I1220" s="72"/>
      <c r="J1220" s="330"/>
      <c r="K1220" s="75"/>
      <c r="L1220" s="157"/>
      <c r="M1220" s="341"/>
      <c r="N1220" s="334"/>
      <c r="T1220" s="110"/>
      <c r="V1220" s="232"/>
      <c r="W1220" s="269"/>
      <c r="X1220" s="201"/>
      <c r="Y1220" s="269"/>
      <c r="Z1220" s="269"/>
      <c r="AA1220" s="134"/>
      <c r="AB1220" s="269"/>
      <c r="AC1220" s="284"/>
      <c r="AD1220" s="284"/>
      <c r="AE1220" s="269"/>
    </row>
    <row r="1221" spans="2:31">
      <c r="B1221" s="83"/>
      <c r="C1221" s="81"/>
      <c r="D1221" s="83"/>
      <c r="E1221" s="81"/>
      <c r="F1221" s="269"/>
      <c r="G1221" s="48"/>
      <c r="H1221" s="269"/>
      <c r="I1221" s="72"/>
      <c r="J1221" s="330"/>
      <c r="K1221" s="75"/>
      <c r="L1221" s="157"/>
      <c r="M1221" s="341"/>
      <c r="N1221" s="334"/>
      <c r="T1221" s="110"/>
      <c r="V1221" s="232"/>
      <c r="W1221" s="269"/>
      <c r="X1221" s="201"/>
      <c r="Y1221" s="269"/>
      <c r="Z1221" s="269"/>
      <c r="AA1221" s="134"/>
      <c r="AB1221" s="269"/>
      <c r="AC1221" s="284"/>
      <c r="AD1221" s="284"/>
      <c r="AE1221" s="269"/>
    </row>
    <row r="1222" spans="2:31">
      <c r="B1222" s="83"/>
      <c r="C1222" s="81"/>
      <c r="D1222" s="83"/>
      <c r="E1222" s="81"/>
      <c r="F1222" s="269"/>
      <c r="G1222" s="48"/>
      <c r="H1222" s="269"/>
      <c r="I1222" s="72"/>
      <c r="J1222" s="330"/>
      <c r="K1222" s="75"/>
      <c r="L1222" s="157"/>
      <c r="M1222" s="341"/>
      <c r="N1222" s="334"/>
      <c r="T1222" s="110"/>
      <c r="V1222" s="232"/>
      <c r="W1222" s="269"/>
      <c r="X1222" s="201"/>
      <c r="Y1222" s="269"/>
      <c r="Z1222" s="269"/>
      <c r="AA1222" s="134"/>
      <c r="AB1222" s="269"/>
      <c r="AC1222" s="284"/>
      <c r="AD1222" s="284"/>
      <c r="AE1222" s="269"/>
    </row>
    <row r="1223" spans="2:31">
      <c r="B1223" s="83"/>
      <c r="C1223" s="81"/>
      <c r="D1223" s="83"/>
      <c r="E1223" s="81"/>
      <c r="F1223" s="269"/>
      <c r="G1223" s="48"/>
      <c r="H1223" s="269"/>
      <c r="I1223" s="72"/>
      <c r="J1223" s="330"/>
      <c r="K1223" s="75"/>
      <c r="L1223" s="157"/>
      <c r="M1223" s="341"/>
      <c r="N1223" s="334"/>
      <c r="T1223" s="110"/>
      <c r="V1223" s="232"/>
      <c r="W1223" s="269"/>
      <c r="X1223" s="201"/>
      <c r="Y1223" s="269"/>
      <c r="Z1223" s="269"/>
      <c r="AA1223" s="134"/>
      <c r="AB1223" s="269"/>
      <c r="AC1223" s="284"/>
      <c r="AD1223" s="284"/>
      <c r="AE1223" s="269"/>
    </row>
    <row r="1224" spans="2:31">
      <c r="B1224" s="83"/>
      <c r="C1224" s="81"/>
      <c r="D1224" s="83"/>
      <c r="E1224" s="81"/>
      <c r="F1224" s="269"/>
      <c r="G1224" s="48"/>
      <c r="H1224" s="269"/>
      <c r="I1224" s="72"/>
      <c r="J1224" s="330"/>
      <c r="K1224" s="75"/>
      <c r="L1224" s="157"/>
      <c r="M1224" s="341"/>
      <c r="N1224" s="334"/>
      <c r="T1224" s="110"/>
      <c r="V1224" s="232"/>
      <c r="W1224" s="269"/>
      <c r="X1224" s="201"/>
      <c r="Y1224" s="269"/>
      <c r="Z1224" s="269"/>
      <c r="AA1224" s="134"/>
      <c r="AB1224" s="269"/>
      <c r="AC1224" s="284"/>
      <c r="AD1224" s="284"/>
      <c r="AE1224" s="269"/>
    </row>
    <row r="1225" spans="2:31">
      <c r="B1225" s="83"/>
      <c r="C1225" s="81"/>
      <c r="D1225" s="83"/>
      <c r="E1225" s="81"/>
      <c r="F1225" s="269"/>
      <c r="G1225" s="48"/>
      <c r="H1225" s="269"/>
      <c r="I1225" s="72"/>
      <c r="J1225" s="330"/>
      <c r="K1225" s="75"/>
      <c r="L1225" s="157"/>
      <c r="M1225" s="341"/>
      <c r="N1225" s="334"/>
      <c r="T1225" s="110"/>
      <c r="V1225" s="232"/>
      <c r="W1225" s="269"/>
      <c r="X1225" s="201"/>
      <c r="Y1225" s="269"/>
      <c r="Z1225" s="269"/>
      <c r="AA1225" s="134"/>
      <c r="AB1225" s="269"/>
      <c r="AC1225" s="284"/>
      <c r="AD1225" s="284"/>
      <c r="AE1225" s="269"/>
    </row>
    <row r="1226" spans="2:31">
      <c r="B1226" s="83"/>
      <c r="C1226" s="81"/>
      <c r="D1226" s="83"/>
      <c r="E1226" s="81"/>
      <c r="F1226" s="269"/>
      <c r="G1226" s="48"/>
      <c r="H1226" s="269"/>
      <c r="I1226" s="72"/>
      <c r="J1226" s="330"/>
      <c r="K1226" s="75"/>
      <c r="L1226" s="157"/>
      <c r="M1226" s="341"/>
      <c r="N1226" s="334"/>
      <c r="T1226" s="110"/>
      <c r="V1226" s="232"/>
      <c r="W1226" s="269"/>
      <c r="X1226" s="201"/>
      <c r="Y1226" s="269"/>
      <c r="Z1226" s="269"/>
      <c r="AA1226" s="134"/>
      <c r="AB1226" s="269"/>
      <c r="AC1226" s="284"/>
      <c r="AD1226" s="284"/>
      <c r="AE1226" s="269"/>
    </row>
    <row r="1227" spans="2:31">
      <c r="B1227" s="83"/>
      <c r="C1227" s="81"/>
      <c r="D1227" s="83"/>
      <c r="E1227" s="81"/>
      <c r="F1227" s="269"/>
      <c r="G1227" s="48"/>
      <c r="H1227" s="269"/>
      <c r="I1227" s="72"/>
      <c r="J1227" s="330"/>
      <c r="K1227" s="75"/>
      <c r="L1227" s="157"/>
      <c r="M1227" s="341"/>
      <c r="N1227" s="334"/>
      <c r="T1227" s="110"/>
      <c r="V1227" s="232"/>
      <c r="W1227" s="269"/>
      <c r="X1227" s="201"/>
      <c r="Y1227" s="269"/>
      <c r="Z1227" s="269"/>
      <c r="AA1227" s="134"/>
      <c r="AB1227" s="269"/>
      <c r="AC1227" s="284"/>
      <c r="AD1227" s="284"/>
      <c r="AE1227" s="269"/>
    </row>
    <row r="1228" spans="2:31">
      <c r="B1228" s="83"/>
      <c r="C1228" s="81"/>
      <c r="D1228" s="83"/>
      <c r="E1228" s="81"/>
      <c r="F1228" s="269"/>
      <c r="G1228" s="48"/>
      <c r="H1228" s="269"/>
      <c r="I1228" s="72"/>
      <c r="J1228" s="330"/>
      <c r="K1228" s="75"/>
      <c r="L1228" s="157"/>
      <c r="M1228" s="341"/>
      <c r="N1228" s="334"/>
      <c r="T1228" s="110"/>
      <c r="V1228" s="232"/>
      <c r="W1228" s="269"/>
      <c r="X1228" s="201"/>
      <c r="Y1228" s="269"/>
      <c r="Z1228" s="269"/>
      <c r="AA1228" s="134"/>
      <c r="AB1228" s="269"/>
      <c r="AC1228" s="284"/>
      <c r="AD1228" s="284"/>
      <c r="AE1228" s="269"/>
    </row>
    <row r="1229" spans="2:31">
      <c r="B1229" s="83"/>
      <c r="C1229" s="81"/>
      <c r="D1229" s="83"/>
      <c r="E1229" s="81"/>
      <c r="F1229" s="269"/>
      <c r="G1229" s="48"/>
      <c r="H1229" s="269"/>
      <c r="I1229" s="72"/>
      <c r="J1229" s="330"/>
      <c r="K1229" s="75"/>
      <c r="L1229" s="157"/>
      <c r="M1229" s="341"/>
      <c r="N1229" s="334"/>
      <c r="T1229" s="110"/>
      <c r="V1229" s="232"/>
      <c r="W1229" s="269"/>
      <c r="X1229" s="201"/>
      <c r="Y1229" s="269"/>
      <c r="Z1229" s="269"/>
      <c r="AA1229" s="134"/>
      <c r="AB1229" s="269"/>
      <c r="AC1229" s="284"/>
      <c r="AD1229" s="284"/>
      <c r="AE1229" s="269"/>
    </row>
    <row r="1230" spans="2:31">
      <c r="B1230" s="83"/>
      <c r="C1230" s="81"/>
      <c r="D1230" s="83"/>
      <c r="E1230" s="81"/>
      <c r="F1230" s="269"/>
      <c r="G1230" s="48"/>
      <c r="H1230" s="269"/>
      <c r="I1230" s="72"/>
      <c r="J1230" s="330"/>
      <c r="K1230" s="75"/>
      <c r="L1230" s="157"/>
      <c r="M1230" s="341"/>
      <c r="N1230" s="334"/>
      <c r="T1230" s="110"/>
      <c r="V1230" s="232"/>
      <c r="W1230" s="269"/>
      <c r="X1230" s="201"/>
      <c r="Y1230" s="269"/>
      <c r="Z1230" s="269"/>
      <c r="AA1230" s="134"/>
      <c r="AB1230" s="269"/>
      <c r="AC1230" s="284"/>
      <c r="AD1230" s="284"/>
      <c r="AE1230" s="269"/>
    </row>
    <row r="1231" spans="2:31">
      <c r="B1231" s="83"/>
      <c r="C1231" s="81"/>
      <c r="D1231" s="83"/>
      <c r="E1231" s="81"/>
      <c r="F1231" s="269"/>
      <c r="G1231" s="48"/>
      <c r="H1231" s="269"/>
      <c r="I1231" s="72"/>
      <c r="J1231" s="330"/>
      <c r="K1231" s="75"/>
      <c r="L1231" s="157"/>
      <c r="M1231" s="341"/>
      <c r="N1231" s="334"/>
      <c r="T1231" s="110"/>
      <c r="V1231" s="232"/>
      <c r="W1231" s="269"/>
      <c r="X1231" s="201"/>
      <c r="Y1231" s="269"/>
      <c r="Z1231" s="269"/>
      <c r="AA1231" s="134"/>
      <c r="AB1231" s="269"/>
      <c r="AC1231" s="284"/>
      <c r="AD1231" s="284"/>
      <c r="AE1231" s="269"/>
    </row>
    <row r="1232" spans="2:31">
      <c r="B1232" s="83"/>
      <c r="C1232" s="81"/>
      <c r="D1232" s="83"/>
      <c r="E1232" s="81"/>
      <c r="F1232" s="269"/>
      <c r="G1232" s="48"/>
      <c r="H1232" s="269"/>
      <c r="I1232" s="72"/>
      <c r="J1232" s="330"/>
      <c r="K1232" s="75"/>
      <c r="L1232" s="157"/>
      <c r="M1232" s="341"/>
      <c r="N1232" s="334"/>
      <c r="T1232" s="110"/>
      <c r="V1232" s="232"/>
      <c r="W1232" s="269"/>
      <c r="X1232" s="201"/>
      <c r="Y1232" s="269"/>
      <c r="Z1232" s="269"/>
      <c r="AA1232" s="134"/>
      <c r="AB1232" s="269"/>
      <c r="AC1232" s="284"/>
      <c r="AD1232" s="284"/>
      <c r="AE1232" s="269"/>
    </row>
    <row r="1233" spans="2:31">
      <c r="B1233" s="83"/>
      <c r="C1233" s="81"/>
      <c r="D1233" s="83"/>
      <c r="E1233" s="81"/>
      <c r="F1233" s="269"/>
      <c r="G1233" s="48"/>
      <c r="H1233" s="269"/>
      <c r="I1233" s="72"/>
      <c r="J1233" s="330"/>
      <c r="K1233" s="75"/>
      <c r="L1233" s="157"/>
      <c r="M1233" s="341"/>
      <c r="N1233" s="334"/>
      <c r="T1233" s="110"/>
      <c r="V1233" s="232"/>
      <c r="W1233" s="269"/>
      <c r="X1233" s="201"/>
      <c r="Y1233" s="269"/>
      <c r="Z1233" s="269"/>
      <c r="AA1233" s="134"/>
      <c r="AB1233" s="269"/>
      <c r="AC1233" s="284"/>
      <c r="AD1233" s="284"/>
      <c r="AE1233" s="269"/>
    </row>
    <row r="1234" spans="2:31">
      <c r="B1234" s="83"/>
      <c r="C1234" s="81"/>
      <c r="D1234" s="83"/>
      <c r="E1234" s="81"/>
      <c r="F1234" s="269"/>
      <c r="G1234" s="48"/>
      <c r="H1234" s="269"/>
      <c r="I1234" s="72"/>
      <c r="J1234" s="330"/>
      <c r="K1234" s="75"/>
      <c r="L1234" s="157"/>
      <c r="M1234" s="341"/>
      <c r="N1234" s="334"/>
      <c r="T1234" s="110"/>
      <c r="V1234" s="232"/>
      <c r="W1234" s="269"/>
      <c r="X1234" s="201"/>
      <c r="Y1234" s="269"/>
      <c r="Z1234" s="269"/>
      <c r="AA1234" s="134"/>
      <c r="AB1234" s="269"/>
      <c r="AC1234" s="284"/>
      <c r="AD1234" s="284"/>
      <c r="AE1234" s="269"/>
    </row>
    <row r="1235" spans="2:31">
      <c r="B1235" s="83"/>
      <c r="C1235" s="81"/>
      <c r="D1235" s="83"/>
      <c r="E1235" s="81"/>
      <c r="F1235" s="269"/>
      <c r="G1235" s="48"/>
      <c r="H1235" s="269"/>
      <c r="I1235" s="72"/>
      <c r="J1235" s="330"/>
      <c r="K1235" s="75"/>
      <c r="L1235" s="157"/>
      <c r="M1235" s="341"/>
      <c r="N1235" s="334"/>
      <c r="T1235" s="110"/>
      <c r="V1235" s="232"/>
      <c r="W1235" s="269"/>
      <c r="X1235" s="201"/>
      <c r="Y1235" s="269"/>
      <c r="Z1235" s="269"/>
      <c r="AA1235" s="134"/>
      <c r="AB1235" s="269"/>
      <c r="AC1235" s="284"/>
      <c r="AD1235" s="284"/>
      <c r="AE1235" s="269"/>
    </row>
    <row r="1236" spans="2:31">
      <c r="B1236" s="83"/>
      <c r="C1236" s="81"/>
      <c r="D1236" s="83"/>
      <c r="E1236" s="81"/>
      <c r="F1236" s="269"/>
      <c r="G1236" s="48"/>
      <c r="H1236" s="269"/>
      <c r="I1236" s="72"/>
      <c r="J1236" s="330"/>
      <c r="K1236" s="75"/>
      <c r="L1236" s="157"/>
      <c r="M1236" s="341"/>
      <c r="N1236" s="334"/>
      <c r="T1236" s="110"/>
      <c r="V1236" s="232"/>
      <c r="W1236" s="269"/>
      <c r="X1236" s="201"/>
      <c r="Y1236" s="269"/>
      <c r="Z1236" s="269"/>
      <c r="AA1236" s="134"/>
      <c r="AB1236" s="269"/>
      <c r="AC1236" s="284"/>
      <c r="AD1236" s="284"/>
      <c r="AE1236" s="269"/>
    </row>
    <row r="1237" spans="2:31">
      <c r="B1237" s="83"/>
      <c r="C1237" s="81"/>
      <c r="D1237" s="83"/>
      <c r="E1237" s="81"/>
      <c r="F1237" s="269"/>
      <c r="G1237" s="48"/>
      <c r="H1237" s="269"/>
      <c r="I1237" s="72"/>
      <c r="J1237" s="330"/>
      <c r="K1237" s="75"/>
      <c r="L1237" s="157"/>
      <c r="M1237" s="341"/>
      <c r="N1237" s="334"/>
      <c r="T1237" s="110"/>
      <c r="V1237" s="232"/>
      <c r="W1237" s="269"/>
      <c r="X1237" s="201"/>
      <c r="Y1237" s="269"/>
      <c r="Z1237" s="269"/>
      <c r="AA1237" s="134"/>
      <c r="AB1237" s="269"/>
      <c r="AC1237" s="284"/>
      <c r="AD1237" s="284"/>
      <c r="AE1237" s="269"/>
    </row>
    <row r="1238" spans="2:31">
      <c r="B1238" s="83"/>
      <c r="C1238" s="81"/>
      <c r="D1238" s="83"/>
      <c r="E1238" s="81"/>
      <c r="F1238" s="269"/>
      <c r="G1238" s="48"/>
      <c r="H1238" s="269"/>
      <c r="I1238" s="72"/>
      <c r="J1238" s="330"/>
      <c r="K1238" s="75"/>
      <c r="L1238" s="157"/>
      <c r="M1238" s="341"/>
      <c r="N1238" s="334"/>
      <c r="T1238" s="110"/>
      <c r="V1238" s="232"/>
      <c r="W1238" s="269"/>
      <c r="X1238" s="201"/>
      <c r="Y1238" s="269"/>
      <c r="Z1238" s="269"/>
      <c r="AA1238" s="134"/>
      <c r="AB1238" s="269"/>
      <c r="AC1238" s="284"/>
      <c r="AD1238" s="284"/>
      <c r="AE1238" s="269"/>
    </row>
    <row r="1239" spans="2:31">
      <c r="B1239" s="83"/>
      <c r="C1239" s="81"/>
      <c r="D1239" s="83"/>
      <c r="E1239" s="81"/>
      <c r="F1239" s="269"/>
      <c r="G1239" s="48"/>
      <c r="H1239" s="269"/>
      <c r="I1239" s="72"/>
      <c r="J1239" s="330"/>
      <c r="K1239" s="75"/>
      <c r="L1239" s="157"/>
      <c r="M1239" s="341"/>
      <c r="N1239" s="334"/>
      <c r="T1239" s="110"/>
      <c r="V1239" s="232"/>
      <c r="W1239" s="269"/>
      <c r="X1239" s="201"/>
      <c r="Y1239" s="269"/>
      <c r="Z1239" s="269"/>
      <c r="AA1239" s="134"/>
      <c r="AB1239" s="269"/>
      <c r="AC1239" s="284"/>
      <c r="AD1239" s="284"/>
      <c r="AE1239" s="269"/>
    </row>
    <row r="1240" spans="2:31">
      <c r="B1240" s="83"/>
      <c r="C1240" s="81"/>
      <c r="D1240" s="83"/>
      <c r="E1240" s="81"/>
      <c r="F1240" s="269"/>
      <c r="G1240" s="48"/>
      <c r="H1240" s="269"/>
      <c r="I1240" s="72"/>
      <c r="J1240" s="330"/>
      <c r="K1240" s="75"/>
      <c r="L1240" s="157"/>
      <c r="M1240" s="341"/>
      <c r="N1240" s="334"/>
      <c r="T1240" s="110"/>
      <c r="V1240" s="232"/>
      <c r="W1240" s="269"/>
      <c r="X1240" s="201"/>
      <c r="Y1240" s="269"/>
      <c r="Z1240" s="269"/>
      <c r="AA1240" s="134"/>
      <c r="AB1240" s="269"/>
      <c r="AC1240" s="284"/>
      <c r="AD1240" s="284"/>
      <c r="AE1240" s="269"/>
    </row>
    <row r="1241" spans="2:31">
      <c r="B1241" s="83"/>
      <c r="C1241" s="81"/>
      <c r="D1241" s="83"/>
      <c r="E1241" s="81"/>
      <c r="F1241" s="269"/>
      <c r="G1241" s="48"/>
      <c r="H1241" s="269"/>
      <c r="I1241" s="72"/>
      <c r="J1241" s="330"/>
      <c r="K1241" s="75"/>
      <c r="L1241" s="157"/>
      <c r="M1241" s="341"/>
      <c r="N1241" s="334"/>
      <c r="T1241" s="110"/>
      <c r="V1241" s="232"/>
      <c r="W1241" s="269"/>
      <c r="X1241" s="201"/>
      <c r="Y1241" s="269"/>
      <c r="Z1241" s="269"/>
      <c r="AA1241" s="134"/>
      <c r="AB1241" s="269"/>
      <c r="AC1241" s="284"/>
      <c r="AD1241" s="284"/>
      <c r="AE1241" s="269"/>
    </row>
    <row r="1242" spans="2:31">
      <c r="B1242" s="83"/>
      <c r="C1242" s="81"/>
      <c r="D1242" s="83"/>
      <c r="E1242" s="81"/>
      <c r="F1242" s="269"/>
      <c r="G1242" s="48"/>
      <c r="H1242" s="269"/>
      <c r="I1242" s="72"/>
      <c r="J1242" s="330"/>
      <c r="K1242" s="75"/>
      <c r="L1242" s="157"/>
      <c r="M1242" s="341"/>
      <c r="N1242" s="334"/>
      <c r="T1242" s="110"/>
      <c r="V1242" s="232"/>
      <c r="W1242" s="269"/>
      <c r="X1242" s="201"/>
      <c r="Y1242" s="269"/>
      <c r="Z1242" s="269"/>
      <c r="AA1242" s="134"/>
      <c r="AB1242" s="269"/>
      <c r="AC1242" s="284"/>
      <c r="AD1242" s="284"/>
      <c r="AE1242" s="269"/>
    </row>
    <row r="1243" spans="2:31">
      <c r="B1243" s="83"/>
      <c r="C1243" s="81"/>
      <c r="D1243" s="83"/>
      <c r="E1243" s="81"/>
      <c r="F1243" s="269"/>
      <c r="G1243" s="48"/>
      <c r="H1243" s="269"/>
      <c r="I1243" s="72"/>
      <c r="J1243" s="330"/>
      <c r="K1243" s="75"/>
      <c r="L1243" s="157"/>
      <c r="M1243" s="341"/>
      <c r="N1243" s="334"/>
      <c r="T1243" s="110"/>
      <c r="V1243" s="232"/>
      <c r="W1243" s="269"/>
      <c r="X1243" s="201"/>
      <c r="Y1243" s="269"/>
      <c r="Z1243" s="269"/>
      <c r="AA1243" s="134"/>
      <c r="AB1243" s="269"/>
      <c r="AC1243" s="284"/>
      <c r="AD1243" s="284"/>
      <c r="AE1243" s="269"/>
    </row>
    <row r="1244" spans="2:31">
      <c r="B1244" s="83"/>
      <c r="C1244" s="81"/>
      <c r="D1244" s="83"/>
      <c r="E1244" s="81"/>
      <c r="F1244" s="269"/>
      <c r="G1244" s="48"/>
      <c r="H1244" s="269"/>
      <c r="I1244" s="72"/>
      <c r="J1244" s="330"/>
      <c r="K1244" s="75"/>
      <c r="L1244" s="157"/>
      <c r="M1244" s="341"/>
      <c r="N1244" s="334"/>
      <c r="T1244" s="110"/>
      <c r="V1244" s="232"/>
      <c r="W1244" s="269"/>
      <c r="X1244" s="201"/>
      <c r="Y1244" s="269"/>
      <c r="Z1244" s="269"/>
      <c r="AA1244" s="134"/>
      <c r="AB1244" s="269"/>
      <c r="AC1244" s="284"/>
      <c r="AD1244" s="284"/>
      <c r="AE1244" s="269"/>
    </row>
    <row r="1245" spans="2:31">
      <c r="B1245" s="83"/>
      <c r="C1245" s="81"/>
      <c r="D1245" s="83"/>
      <c r="E1245" s="81"/>
      <c r="F1245" s="269"/>
      <c r="G1245" s="48"/>
      <c r="H1245" s="269"/>
      <c r="I1245" s="72"/>
      <c r="J1245" s="330"/>
      <c r="K1245" s="75"/>
      <c r="L1245" s="157"/>
      <c r="M1245" s="341"/>
      <c r="N1245" s="334"/>
      <c r="T1245" s="110"/>
      <c r="V1245" s="232"/>
      <c r="W1245" s="269"/>
      <c r="X1245" s="201"/>
      <c r="Y1245" s="269"/>
      <c r="Z1245" s="269"/>
      <c r="AA1245" s="134"/>
      <c r="AB1245" s="269"/>
      <c r="AC1245" s="284"/>
      <c r="AD1245" s="284"/>
      <c r="AE1245" s="269"/>
    </row>
    <row r="1246" spans="2:31">
      <c r="B1246" s="83"/>
      <c r="C1246" s="81"/>
      <c r="D1246" s="83"/>
      <c r="E1246" s="81"/>
      <c r="F1246" s="269"/>
      <c r="G1246" s="48"/>
      <c r="H1246" s="269"/>
      <c r="I1246" s="72"/>
      <c r="J1246" s="330"/>
      <c r="K1246" s="75"/>
      <c r="L1246" s="157"/>
      <c r="M1246" s="341"/>
      <c r="N1246" s="334"/>
      <c r="T1246" s="110"/>
      <c r="V1246" s="232"/>
      <c r="W1246" s="269"/>
      <c r="X1246" s="201"/>
      <c r="Y1246" s="269"/>
      <c r="Z1246" s="269"/>
      <c r="AA1246" s="134"/>
      <c r="AB1246" s="269"/>
      <c r="AC1246" s="284"/>
      <c r="AD1246" s="284"/>
      <c r="AE1246" s="269"/>
    </row>
    <row r="1247" spans="2:31">
      <c r="B1247" s="83"/>
      <c r="C1247" s="81"/>
      <c r="D1247" s="83"/>
      <c r="E1247" s="81"/>
      <c r="F1247" s="269"/>
      <c r="G1247" s="48"/>
      <c r="H1247" s="269"/>
      <c r="I1247" s="72"/>
      <c r="J1247" s="330"/>
      <c r="K1247" s="75"/>
      <c r="L1247" s="157"/>
      <c r="M1247" s="341"/>
      <c r="N1247" s="334"/>
      <c r="T1247" s="110"/>
      <c r="V1247" s="232"/>
      <c r="W1247" s="269"/>
      <c r="X1247" s="201"/>
      <c r="Y1247" s="269"/>
      <c r="Z1247" s="269"/>
      <c r="AA1247" s="134"/>
      <c r="AB1247" s="269"/>
      <c r="AC1247" s="284"/>
      <c r="AD1247" s="284"/>
      <c r="AE1247" s="269"/>
    </row>
    <row r="1248" spans="2:31">
      <c r="B1248" s="83"/>
      <c r="C1248" s="81"/>
      <c r="D1248" s="83"/>
      <c r="E1248" s="81"/>
      <c r="F1248" s="269"/>
      <c r="G1248" s="48"/>
      <c r="H1248" s="269"/>
      <c r="I1248" s="72"/>
      <c r="J1248" s="330"/>
      <c r="K1248" s="75"/>
      <c r="L1248" s="157"/>
      <c r="M1248" s="341"/>
      <c r="N1248" s="334"/>
      <c r="T1248" s="110"/>
      <c r="V1248" s="232"/>
      <c r="W1248" s="269"/>
      <c r="X1248" s="201"/>
      <c r="Y1248" s="269"/>
      <c r="Z1248" s="269"/>
      <c r="AA1248" s="134"/>
      <c r="AB1248" s="269"/>
      <c r="AC1248" s="284"/>
      <c r="AD1248" s="284"/>
      <c r="AE1248" s="269"/>
    </row>
    <row r="1249" spans="2:31">
      <c r="B1249" s="83"/>
      <c r="C1249" s="81"/>
      <c r="D1249" s="83"/>
      <c r="E1249" s="81"/>
      <c r="F1249" s="269"/>
      <c r="G1249" s="48"/>
      <c r="H1249" s="269"/>
      <c r="I1249" s="72"/>
      <c r="J1249" s="330"/>
      <c r="K1249" s="75"/>
      <c r="L1249" s="157"/>
      <c r="M1249" s="341"/>
      <c r="N1249" s="334"/>
      <c r="T1249" s="110"/>
      <c r="V1249" s="232"/>
      <c r="W1249" s="269"/>
      <c r="X1249" s="201"/>
      <c r="Y1249" s="269"/>
      <c r="Z1249" s="269"/>
      <c r="AA1249" s="134"/>
      <c r="AB1249" s="269"/>
      <c r="AC1249" s="284"/>
      <c r="AD1249" s="284"/>
      <c r="AE1249" s="269"/>
    </row>
    <row r="1250" spans="2:31">
      <c r="B1250" s="83"/>
      <c r="C1250" s="81"/>
      <c r="D1250" s="83"/>
      <c r="E1250" s="81"/>
      <c r="F1250" s="269"/>
      <c r="G1250" s="48"/>
      <c r="H1250" s="269"/>
      <c r="I1250" s="72"/>
      <c r="J1250" s="330"/>
      <c r="K1250" s="75"/>
      <c r="L1250" s="157"/>
      <c r="M1250" s="341"/>
      <c r="N1250" s="334"/>
      <c r="T1250" s="110"/>
      <c r="V1250" s="232"/>
      <c r="W1250" s="269"/>
      <c r="X1250" s="201"/>
      <c r="Y1250" s="269"/>
      <c r="Z1250" s="269"/>
      <c r="AA1250" s="134"/>
      <c r="AB1250" s="269"/>
      <c r="AC1250" s="284"/>
      <c r="AD1250" s="284"/>
      <c r="AE1250" s="269"/>
    </row>
    <row r="1251" spans="2:31">
      <c r="B1251" s="83"/>
      <c r="C1251" s="81"/>
      <c r="D1251" s="83"/>
      <c r="E1251" s="81"/>
      <c r="F1251" s="269"/>
      <c r="G1251" s="48"/>
      <c r="H1251" s="269"/>
      <c r="I1251" s="72"/>
      <c r="J1251" s="330"/>
      <c r="K1251" s="75"/>
      <c r="L1251" s="157"/>
      <c r="M1251" s="341"/>
      <c r="N1251" s="334"/>
      <c r="T1251" s="110"/>
      <c r="V1251" s="232"/>
      <c r="W1251" s="269"/>
      <c r="X1251" s="201"/>
      <c r="Y1251" s="269"/>
      <c r="Z1251" s="269"/>
      <c r="AA1251" s="134"/>
      <c r="AB1251" s="269"/>
      <c r="AC1251" s="284"/>
      <c r="AD1251" s="284"/>
      <c r="AE1251" s="269"/>
    </row>
    <row r="1252" spans="2:31">
      <c r="B1252" s="83"/>
      <c r="C1252" s="81"/>
      <c r="D1252" s="83"/>
      <c r="E1252" s="81"/>
      <c r="F1252" s="269"/>
      <c r="G1252" s="48"/>
      <c r="H1252" s="269"/>
      <c r="I1252" s="72"/>
      <c r="J1252" s="330"/>
      <c r="K1252" s="75"/>
      <c r="L1252" s="157"/>
      <c r="M1252" s="341"/>
      <c r="N1252" s="334"/>
      <c r="T1252" s="110"/>
      <c r="V1252" s="232"/>
      <c r="W1252" s="269"/>
      <c r="X1252" s="201"/>
      <c r="Y1252" s="269"/>
      <c r="Z1252" s="269"/>
      <c r="AA1252" s="134"/>
      <c r="AB1252" s="269"/>
      <c r="AC1252" s="284"/>
      <c r="AD1252" s="284"/>
      <c r="AE1252" s="269"/>
    </row>
    <row r="1253" spans="2:31">
      <c r="B1253" s="83"/>
      <c r="C1253" s="81"/>
      <c r="D1253" s="83"/>
      <c r="E1253" s="81"/>
      <c r="F1253" s="269"/>
      <c r="G1253" s="48"/>
      <c r="H1253" s="269"/>
      <c r="I1253" s="72"/>
      <c r="J1253" s="330"/>
      <c r="K1253" s="75"/>
      <c r="L1253" s="157"/>
      <c r="M1253" s="341"/>
      <c r="N1253" s="334"/>
      <c r="T1253" s="110"/>
      <c r="V1253" s="232"/>
      <c r="W1253" s="269"/>
      <c r="X1253" s="201"/>
      <c r="Y1253" s="269"/>
      <c r="Z1253" s="269"/>
      <c r="AA1253" s="134"/>
      <c r="AB1253" s="269"/>
      <c r="AC1253" s="284"/>
      <c r="AD1253" s="284"/>
      <c r="AE1253" s="269"/>
    </row>
    <row r="1254" spans="2:31">
      <c r="B1254" s="83"/>
      <c r="C1254" s="81"/>
      <c r="D1254" s="83"/>
      <c r="E1254" s="81"/>
      <c r="F1254" s="269"/>
      <c r="G1254" s="48"/>
      <c r="H1254" s="269"/>
      <c r="I1254" s="72"/>
      <c r="J1254" s="330"/>
      <c r="K1254" s="75"/>
      <c r="L1254" s="157"/>
      <c r="M1254" s="341"/>
      <c r="N1254" s="334"/>
      <c r="T1254" s="110"/>
      <c r="V1254" s="232"/>
      <c r="W1254" s="269"/>
      <c r="X1254" s="201"/>
      <c r="Y1254" s="269"/>
      <c r="Z1254" s="269"/>
      <c r="AA1254" s="134"/>
      <c r="AB1254" s="269"/>
      <c r="AC1254" s="284"/>
      <c r="AD1254" s="284"/>
      <c r="AE1254" s="269"/>
    </row>
    <row r="1255" spans="2:31">
      <c r="B1255" s="83"/>
      <c r="C1255" s="81"/>
      <c r="D1255" s="83"/>
      <c r="E1255" s="81"/>
      <c r="F1255" s="269"/>
      <c r="G1255" s="48"/>
      <c r="H1255" s="269"/>
      <c r="I1255" s="72"/>
      <c r="J1255" s="330"/>
      <c r="K1255" s="75"/>
      <c r="L1255" s="157"/>
      <c r="M1255" s="341"/>
      <c r="N1255" s="334"/>
      <c r="T1255" s="110"/>
      <c r="V1255" s="232"/>
      <c r="W1255" s="269"/>
      <c r="X1255" s="201"/>
      <c r="Y1255" s="269"/>
      <c r="Z1255" s="269"/>
      <c r="AA1255" s="134"/>
      <c r="AB1255" s="269"/>
      <c r="AC1255" s="284"/>
      <c r="AD1255" s="284"/>
      <c r="AE1255" s="269"/>
    </row>
    <row r="1256" spans="2:31">
      <c r="B1256" s="83"/>
      <c r="C1256" s="81"/>
      <c r="D1256" s="83"/>
      <c r="E1256" s="81"/>
      <c r="F1256" s="269"/>
      <c r="G1256" s="48"/>
      <c r="H1256" s="269"/>
      <c r="I1256" s="72"/>
      <c r="J1256" s="330"/>
      <c r="K1256" s="75"/>
      <c r="L1256" s="157"/>
      <c r="M1256" s="341"/>
      <c r="N1256" s="334"/>
      <c r="T1256" s="110"/>
      <c r="V1256" s="232"/>
      <c r="W1256" s="269"/>
      <c r="X1256" s="201"/>
      <c r="Y1256" s="269"/>
      <c r="Z1256" s="269"/>
      <c r="AA1256" s="134"/>
      <c r="AB1256" s="269"/>
      <c r="AC1256" s="284"/>
      <c r="AD1256" s="284"/>
      <c r="AE1256" s="269"/>
    </row>
    <row r="1257" spans="2:31">
      <c r="B1257" s="83"/>
      <c r="C1257" s="81"/>
      <c r="D1257" s="83"/>
      <c r="E1257" s="81"/>
      <c r="F1257" s="269"/>
      <c r="G1257" s="48"/>
      <c r="H1257" s="269"/>
      <c r="I1257" s="72"/>
      <c r="J1257" s="330"/>
      <c r="K1257" s="75"/>
      <c r="L1257" s="157"/>
      <c r="M1257" s="341"/>
      <c r="N1257" s="334"/>
      <c r="T1257" s="110"/>
      <c r="V1257" s="232"/>
      <c r="W1257" s="269"/>
      <c r="X1257" s="201"/>
      <c r="Y1257" s="269"/>
      <c r="Z1257" s="269"/>
      <c r="AA1257" s="134"/>
      <c r="AB1257" s="269"/>
      <c r="AC1257" s="284"/>
      <c r="AD1257" s="284"/>
      <c r="AE1257" s="269"/>
    </row>
    <row r="1258" spans="2:31">
      <c r="B1258" s="83"/>
      <c r="C1258" s="81"/>
      <c r="D1258" s="83"/>
      <c r="E1258" s="81"/>
      <c r="F1258" s="269"/>
      <c r="G1258" s="48"/>
      <c r="H1258" s="269"/>
      <c r="I1258" s="72"/>
      <c r="J1258" s="330"/>
      <c r="K1258" s="75"/>
      <c r="L1258" s="157"/>
      <c r="M1258" s="341"/>
      <c r="N1258" s="334"/>
      <c r="T1258" s="110"/>
      <c r="V1258" s="232"/>
      <c r="W1258" s="269"/>
      <c r="X1258" s="201"/>
      <c r="Y1258" s="269"/>
      <c r="Z1258" s="269"/>
      <c r="AA1258" s="134"/>
      <c r="AB1258" s="269"/>
      <c r="AC1258" s="284"/>
      <c r="AD1258" s="284"/>
      <c r="AE1258" s="269"/>
    </row>
    <row r="1259" spans="2:31">
      <c r="B1259" s="83"/>
      <c r="C1259" s="81"/>
      <c r="D1259" s="83"/>
      <c r="E1259" s="81"/>
      <c r="F1259" s="269"/>
      <c r="G1259" s="48"/>
      <c r="H1259" s="269"/>
      <c r="I1259" s="72"/>
      <c r="J1259" s="330"/>
      <c r="K1259" s="75"/>
      <c r="L1259" s="157"/>
      <c r="M1259" s="341"/>
      <c r="N1259" s="334"/>
      <c r="T1259" s="110"/>
      <c r="V1259" s="232"/>
      <c r="W1259" s="269"/>
      <c r="X1259" s="201"/>
      <c r="Y1259" s="269"/>
      <c r="Z1259" s="269"/>
      <c r="AA1259" s="134"/>
      <c r="AB1259" s="269"/>
      <c r="AC1259" s="284"/>
      <c r="AD1259" s="284"/>
      <c r="AE1259" s="269"/>
    </row>
    <row r="1260" spans="2:31">
      <c r="B1260" s="83"/>
      <c r="C1260" s="81"/>
      <c r="D1260" s="83"/>
      <c r="E1260" s="81"/>
      <c r="F1260" s="269"/>
      <c r="G1260" s="48"/>
      <c r="H1260" s="269"/>
      <c r="I1260" s="72"/>
      <c r="J1260" s="330"/>
      <c r="K1260" s="75"/>
      <c r="L1260" s="157"/>
      <c r="M1260" s="341"/>
      <c r="N1260" s="334"/>
      <c r="T1260" s="110"/>
      <c r="V1260" s="232"/>
      <c r="W1260" s="269"/>
      <c r="X1260" s="201"/>
      <c r="Y1260" s="269"/>
      <c r="Z1260" s="269"/>
      <c r="AA1260" s="134"/>
      <c r="AB1260" s="269"/>
      <c r="AC1260" s="284"/>
      <c r="AD1260" s="284"/>
      <c r="AE1260" s="269"/>
    </row>
    <row r="1261" spans="2:31">
      <c r="B1261" s="83"/>
      <c r="C1261" s="81"/>
      <c r="D1261" s="83"/>
      <c r="E1261" s="81"/>
      <c r="F1261" s="269"/>
      <c r="G1261" s="48"/>
      <c r="H1261" s="269"/>
      <c r="I1261" s="72"/>
      <c r="J1261" s="330"/>
      <c r="K1261" s="75"/>
      <c r="L1261" s="157"/>
      <c r="M1261" s="341"/>
      <c r="N1261" s="334"/>
      <c r="T1261" s="110"/>
      <c r="V1261" s="232"/>
      <c r="W1261" s="269"/>
      <c r="X1261" s="201"/>
      <c r="Y1261" s="269"/>
      <c r="Z1261" s="269"/>
      <c r="AA1261" s="134"/>
      <c r="AB1261" s="269"/>
      <c r="AC1261" s="284"/>
      <c r="AD1261" s="284"/>
      <c r="AE1261" s="269"/>
    </row>
    <row r="1262" spans="2:31">
      <c r="B1262" s="83"/>
      <c r="C1262" s="81"/>
      <c r="D1262" s="83"/>
      <c r="E1262" s="81"/>
      <c r="F1262" s="269"/>
      <c r="G1262" s="48"/>
      <c r="H1262" s="269"/>
      <c r="I1262" s="72"/>
      <c r="J1262" s="330"/>
      <c r="K1262" s="75"/>
      <c r="L1262" s="157"/>
      <c r="M1262" s="341"/>
      <c r="N1262" s="334"/>
      <c r="T1262" s="110"/>
      <c r="V1262" s="232"/>
      <c r="W1262" s="269"/>
      <c r="X1262" s="201"/>
      <c r="Y1262" s="269"/>
      <c r="Z1262" s="269"/>
      <c r="AA1262" s="134"/>
      <c r="AB1262" s="269"/>
      <c r="AC1262" s="284"/>
      <c r="AD1262" s="284"/>
      <c r="AE1262" s="269"/>
    </row>
    <row r="1263" spans="2:31">
      <c r="B1263" s="83"/>
      <c r="C1263" s="81"/>
      <c r="D1263" s="83"/>
      <c r="E1263" s="81"/>
      <c r="F1263" s="269"/>
      <c r="G1263" s="48"/>
      <c r="H1263" s="269"/>
      <c r="I1263" s="72"/>
      <c r="J1263" s="330"/>
      <c r="K1263" s="75"/>
      <c r="L1263" s="157"/>
      <c r="M1263" s="341"/>
      <c r="N1263" s="334"/>
      <c r="T1263" s="110"/>
      <c r="V1263" s="232"/>
      <c r="W1263" s="269"/>
      <c r="X1263" s="201"/>
      <c r="Y1263" s="269"/>
      <c r="Z1263" s="269"/>
      <c r="AA1263" s="134"/>
      <c r="AB1263" s="269"/>
      <c r="AC1263" s="284"/>
      <c r="AD1263" s="284"/>
      <c r="AE1263" s="269"/>
    </row>
    <row r="1264" spans="2:31">
      <c r="B1264" s="83"/>
      <c r="C1264" s="81"/>
      <c r="D1264" s="83"/>
      <c r="E1264" s="81"/>
      <c r="F1264" s="269"/>
      <c r="G1264" s="48"/>
      <c r="H1264" s="269"/>
      <c r="I1264" s="72"/>
      <c r="J1264" s="330"/>
      <c r="K1264" s="75"/>
      <c r="L1264" s="157"/>
      <c r="M1264" s="341"/>
      <c r="N1264" s="334"/>
      <c r="T1264" s="110"/>
      <c r="V1264" s="232"/>
      <c r="W1264" s="269"/>
      <c r="X1264" s="201"/>
      <c r="Y1264" s="269"/>
      <c r="Z1264" s="269"/>
      <c r="AA1264" s="134"/>
      <c r="AB1264" s="269"/>
      <c r="AC1264" s="284"/>
      <c r="AD1264" s="284"/>
      <c r="AE1264" s="269"/>
    </row>
    <row r="1265" spans="2:31">
      <c r="B1265" s="83"/>
      <c r="C1265" s="81"/>
      <c r="D1265" s="83"/>
      <c r="E1265" s="81"/>
      <c r="F1265" s="269"/>
      <c r="G1265" s="48"/>
      <c r="H1265" s="269"/>
      <c r="I1265" s="72"/>
      <c r="J1265" s="330"/>
      <c r="K1265" s="75"/>
      <c r="L1265" s="157"/>
      <c r="M1265" s="341"/>
      <c r="N1265" s="334"/>
      <c r="T1265" s="110"/>
      <c r="V1265" s="232"/>
      <c r="W1265" s="269"/>
      <c r="X1265" s="201"/>
      <c r="Y1265" s="269"/>
      <c r="Z1265" s="269"/>
      <c r="AA1265" s="134"/>
      <c r="AB1265" s="269"/>
      <c r="AC1265" s="284"/>
      <c r="AD1265" s="284"/>
      <c r="AE1265" s="269"/>
    </row>
    <row r="1266" spans="2:31">
      <c r="B1266" s="83"/>
      <c r="C1266" s="81"/>
      <c r="D1266" s="83"/>
      <c r="E1266" s="81"/>
      <c r="F1266" s="269"/>
      <c r="G1266" s="48"/>
      <c r="H1266" s="269"/>
      <c r="I1266" s="72"/>
      <c r="J1266" s="330"/>
      <c r="K1266" s="75"/>
      <c r="L1266" s="157"/>
      <c r="M1266" s="341"/>
      <c r="N1266" s="334"/>
      <c r="T1266" s="110"/>
      <c r="V1266" s="232"/>
      <c r="W1266" s="269"/>
      <c r="X1266" s="201"/>
      <c r="Y1266" s="269"/>
      <c r="Z1266" s="269"/>
      <c r="AA1266" s="134"/>
      <c r="AB1266" s="269"/>
      <c r="AC1266" s="284"/>
      <c r="AD1266" s="284"/>
      <c r="AE1266" s="269"/>
    </row>
    <row r="1267" spans="2:31">
      <c r="B1267" s="83"/>
      <c r="C1267" s="81"/>
      <c r="D1267" s="83"/>
      <c r="E1267" s="81"/>
      <c r="F1267" s="269"/>
      <c r="G1267" s="48"/>
      <c r="H1267" s="269"/>
      <c r="I1267" s="72"/>
      <c r="J1267" s="330"/>
      <c r="K1267" s="75"/>
      <c r="L1267" s="157"/>
      <c r="M1267" s="341"/>
      <c r="N1267" s="334"/>
      <c r="T1267" s="110"/>
      <c r="V1267" s="232"/>
      <c r="W1267" s="269"/>
      <c r="X1267" s="201"/>
      <c r="Y1267" s="269"/>
      <c r="Z1267" s="269"/>
      <c r="AA1267" s="134"/>
      <c r="AB1267" s="269"/>
      <c r="AC1267" s="284"/>
      <c r="AD1267" s="284"/>
      <c r="AE1267" s="269"/>
    </row>
    <row r="1268" spans="2:31">
      <c r="B1268" s="83"/>
      <c r="C1268" s="81"/>
      <c r="D1268" s="83"/>
      <c r="E1268" s="81"/>
      <c r="F1268" s="269"/>
      <c r="G1268" s="48"/>
      <c r="H1268" s="269"/>
      <c r="I1268" s="72"/>
      <c r="J1268" s="330"/>
      <c r="K1268" s="75"/>
      <c r="L1268" s="157"/>
      <c r="M1268" s="341"/>
      <c r="N1268" s="334"/>
      <c r="T1268" s="110"/>
      <c r="V1268" s="232"/>
      <c r="W1268" s="269"/>
      <c r="X1268" s="201"/>
      <c r="Y1268" s="269"/>
      <c r="Z1268" s="269"/>
      <c r="AA1268" s="134"/>
      <c r="AB1268" s="269"/>
      <c r="AC1268" s="284"/>
      <c r="AD1268" s="284"/>
      <c r="AE1268" s="269"/>
    </row>
    <row r="1269" spans="2:31">
      <c r="B1269" s="83"/>
      <c r="C1269" s="81"/>
      <c r="D1269" s="83"/>
      <c r="E1269" s="81"/>
      <c r="F1269" s="269"/>
      <c r="G1269" s="48"/>
      <c r="H1269" s="269"/>
      <c r="I1269" s="72"/>
      <c r="J1269" s="330"/>
      <c r="K1269" s="75"/>
      <c r="L1269" s="157"/>
      <c r="M1269" s="341"/>
      <c r="N1269" s="334"/>
      <c r="T1269" s="110"/>
      <c r="V1269" s="232"/>
      <c r="W1269" s="269"/>
      <c r="X1269" s="201"/>
      <c r="Y1269" s="269"/>
      <c r="Z1269" s="269"/>
      <c r="AA1269" s="134"/>
      <c r="AB1269" s="269"/>
      <c r="AC1269" s="284"/>
      <c r="AD1269" s="284"/>
      <c r="AE1269" s="269"/>
    </row>
    <row r="1270" spans="2:31">
      <c r="B1270" s="83"/>
      <c r="C1270" s="81"/>
      <c r="D1270" s="83"/>
      <c r="E1270" s="81"/>
      <c r="F1270" s="269"/>
      <c r="G1270" s="48"/>
      <c r="H1270" s="269"/>
      <c r="I1270" s="72"/>
      <c r="J1270" s="330"/>
      <c r="K1270" s="75"/>
      <c r="L1270" s="157"/>
      <c r="M1270" s="341"/>
      <c r="N1270" s="334"/>
      <c r="O1270" s="394"/>
      <c r="T1270" s="110"/>
      <c r="V1270" s="232"/>
      <c r="W1270" s="269"/>
      <c r="X1270" s="201"/>
      <c r="Y1270" s="269"/>
      <c r="Z1270" s="269"/>
      <c r="AA1270" s="134"/>
      <c r="AB1270" s="269"/>
      <c r="AC1270" s="284"/>
      <c r="AD1270" s="284"/>
      <c r="AE1270" s="269"/>
    </row>
    <row r="1271" spans="2:31">
      <c r="B1271" s="83"/>
      <c r="C1271" s="81"/>
      <c r="D1271" s="83"/>
      <c r="E1271" s="81"/>
      <c r="F1271" s="269"/>
      <c r="G1271" s="48"/>
      <c r="H1271" s="269"/>
      <c r="I1271" s="72"/>
      <c r="J1271" s="330"/>
      <c r="K1271" s="75"/>
      <c r="L1271" s="157"/>
      <c r="M1271" s="341"/>
      <c r="N1271" s="334"/>
      <c r="T1271" s="110"/>
      <c r="V1271" s="232"/>
      <c r="W1271" s="269"/>
      <c r="X1271" s="201"/>
      <c r="Y1271" s="269"/>
      <c r="Z1271" s="269"/>
      <c r="AA1271" s="134"/>
      <c r="AB1271" s="269"/>
      <c r="AC1271" s="284"/>
      <c r="AD1271" s="284"/>
      <c r="AE1271" s="269"/>
    </row>
    <row r="1272" spans="2:31">
      <c r="B1272" s="83"/>
      <c r="C1272" s="81"/>
      <c r="D1272" s="83"/>
      <c r="E1272" s="81"/>
      <c r="F1272" s="269"/>
      <c r="G1272" s="48"/>
      <c r="H1272" s="269"/>
      <c r="I1272" s="72"/>
      <c r="J1272" s="330"/>
      <c r="K1272" s="75"/>
      <c r="L1272" s="157"/>
      <c r="M1272" s="341"/>
      <c r="N1272" s="334"/>
      <c r="T1272" s="110"/>
      <c r="V1272" s="232"/>
      <c r="W1272" s="269"/>
      <c r="X1272" s="201"/>
      <c r="Y1272" s="269"/>
      <c r="Z1272" s="269"/>
      <c r="AA1272" s="134"/>
      <c r="AB1272" s="269"/>
      <c r="AC1272" s="284"/>
      <c r="AD1272" s="284"/>
      <c r="AE1272" s="269"/>
    </row>
    <row r="1273" spans="2:31">
      <c r="B1273" s="83"/>
      <c r="C1273" s="81"/>
      <c r="D1273" s="83"/>
      <c r="E1273" s="81"/>
      <c r="F1273" s="269"/>
      <c r="G1273" s="48"/>
      <c r="H1273" s="269"/>
      <c r="I1273" s="72"/>
      <c r="J1273" s="330"/>
      <c r="K1273" s="75"/>
      <c r="L1273" s="157"/>
      <c r="M1273" s="341"/>
      <c r="N1273" s="334"/>
      <c r="T1273" s="110"/>
      <c r="V1273" s="232"/>
      <c r="W1273" s="269"/>
      <c r="X1273" s="201"/>
      <c r="Y1273" s="269"/>
      <c r="Z1273" s="269"/>
      <c r="AA1273" s="134"/>
      <c r="AB1273" s="269"/>
      <c r="AC1273" s="284"/>
      <c r="AD1273" s="284"/>
      <c r="AE1273" s="269"/>
    </row>
    <row r="1274" spans="2:31">
      <c r="B1274" s="83"/>
      <c r="C1274" s="81"/>
      <c r="D1274" s="83"/>
      <c r="E1274" s="81"/>
      <c r="F1274" s="269"/>
      <c r="G1274" s="48"/>
      <c r="H1274" s="269"/>
      <c r="I1274" s="72"/>
      <c r="J1274" s="330"/>
      <c r="K1274" s="75"/>
      <c r="L1274" s="157"/>
      <c r="M1274" s="341"/>
      <c r="N1274" s="334"/>
      <c r="T1274" s="110"/>
      <c r="V1274" s="232"/>
      <c r="W1274" s="269"/>
      <c r="X1274" s="201"/>
      <c r="Y1274" s="269"/>
      <c r="Z1274" s="269"/>
      <c r="AA1274" s="134"/>
      <c r="AB1274" s="269"/>
      <c r="AC1274" s="284"/>
      <c r="AD1274" s="284"/>
      <c r="AE1274" s="269"/>
    </row>
    <row r="1275" spans="2:31">
      <c r="B1275" s="83"/>
      <c r="C1275" s="81"/>
      <c r="D1275" s="83"/>
      <c r="E1275" s="81"/>
      <c r="F1275" s="269"/>
      <c r="G1275" s="48"/>
      <c r="H1275" s="269"/>
      <c r="I1275" s="72"/>
      <c r="J1275" s="330"/>
      <c r="K1275" s="75"/>
      <c r="L1275" s="157"/>
      <c r="M1275" s="341"/>
      <c r="N1275" s="334"/>
      <c r="T1275" s="110"/>
      <c r="V1275" s="232"/>
      <c r="W1275" s="269"/>
      <c r="X1275" s="201"/>
      <c r="Y1275" s="269"/>
      <c r="Z1275" s="269"/>
      <c r="AA1275" s="134"/>
      <c r="AB1275" s="269"/>
      <c r="AC1275" s="284"/>
      <c r="AD1275" s="284"/>
      <c r="AE1275" s="269"/>
    </row>
    <row r="1276" spans="2:31">
      <c r="B1276" s="83"/>
      <c r="C1276" s="81"/>
      <c r="D1276" s="83"/>
      <c r="E1276" s="81"/>
      <c r="F1276" s="269"/>
      <c r="G1276" s="48"/>
      <c r="H1276" s="269"/>
      <c r="I1276" s="72"/>
      <c r="J1276" s="330"/>
      <c r="K1276" s="75"/>
      <c r="L1276" s="157"/>
      <c r="M1276" s="341"/>
      <c r="N1276" s="334"/>
      <c r="T1276" s="110"/>
      <c r="V1276" s="232"/>
      <c r="W1276" s="269"/>
      <c r="X1276" s="201"/>
      <c r="Y1276" s="269"/>
      <c r="Z1276" s="269"/>
      <c r="AA1276" s="134"/>
      <c r="AB1276" s="269"/>
      <c r="AC1276" s="284"/>
      <c r="AD1276" s="284"/>
      <c r="AE1276" s="269"/>
    </row>
    <row r="1277" spans="2:31">
      <c r="B1277" s="83"/>
      <c r="C1277" s="81"/>
      <c r="D1277" s="83"/>
      <c r="E1277" s="81"/>
      <c r="F1277" s="269"/>
      <c r="G1277" s="48"/>
      <c r="H1277" s="269"/>
      <c r="I1277" s="72"/>
      <c r="J1277" s="330"/>
      <c r="K1277" s="75"/>
      <c r="L1277" s="157"/>
      <c r="M1277" s="341"/>
      <c r="N1277" s="334"/>
      <c r="T1277" s="110"/>
      <c r="V1277" s="232"/>
      <c r="W1277" s="269"/>
      <c r="X1277" s="201"/>
      <c r="Y1277" s="269"/>
      <c r="Z1277" s="269"/>
      <c r="AA1277" s="134"/>
      <c r="AB1277" s="269"/>
      <c r="AC1277" s="284"/>
      <c r="AD1277" s="284"/>
      <c r="AE1277" s="269"/>
    </row>
    <row r="1278" spans="2:31">
      <c r="B1278" s="83"/>
      <c r="C1278" s="81"/>
      <c r="D1278" s="83"/>
      <c r="E1278" s="81"/>
      <c r="F1278" s="269"/>
      <c r="G1278" s="48"/>
      <c r="H1278" s="269"/>
      <c r="I1278" s="72"/>
      <c r="J1278" s="330"/>
      <c r="K1278" s="75"/>
      <c r="L1278" s="157"/>
      <c r="M1278" s="341"/>
      <c r="N1278" s="334"/>
      <c r="T1278" s="110"/>
      <c r="V1278" s="232"/>
      <c r="W1278" s="269"/>
      <c r="X1278" s="201"/>
      <c r="Y1278" s="269"/>
      <c r="Z1278" s="269"/>
      <c r="AA1278" s="134"/>
      <c r="AB1278" s="269"/>
      <c r="AC1278" s="284"/>
      <c r="AD1278" s="284"/>
      <c r="AE1278" s="269"/>
    </row>
    <row r="1279" spans="2:31">
      <c r="B1279" s="83"/>
      <c r="C1279" s="81"/>
      <c r="D1279" s="83"/>
      <c r="E1279" s="81"/>
      <c r="F1279" s="269"/>
      <c r="G1279" s="48"/>
      <c r="H1279" s="269"/>
      <c r="I1279" s="72"/>
      <c r="J1279" s="330"/>
      <c r="K1279" s="75"/>
      <c r="L1279" s="157"/>
      <c r="M1279" s="341"/>
      <c r="N1279" s="334"/>
      <c r="T1279" s="110"/>
      <c r="V1279" s="232"/>
      <c r="W1279" s="269"/>
      <c r="X1279" s="201"/>
      <c r="Y1279" s="269"/>
      <c r="Z1279" s="269"/>
      <c r="AA1279" s="134"/>
      <c r="AB1279" s="269"/>
      <c r="AC1279" s="284"/>
      <c r="AD1279" s="284"/>
      <c r="AE1279" s="269"/>
    </row>
    <row r="1280" spans="2:31">
      <c r="B1280" s="83"/>
      <c r="C1280" s="81"/>
      <c r="D1280" s="83"/>
      <c r="E1280" s="81"/>
      <c r="F1280" s="269"/>
      <c r="G1280" s="48"/>
      <c r="H1280" s="269"/>
      <c r="I1280" s="72"/>
      <c r="J1280" s="330"/>
      <c r="K1280" s="75"/>
      <c r="L1280" s="157"/>
      <c r="M1280" s="341"/>
      <c r="N1280" s="334"/>
      <c r="O1280" s="394"/>
      <c r="T1280" s="110"/>
      <c r="V1280" s="232"/>
      <c r="W1280" s="269"/>
      <c r="X1280" s="201"/>
      <c r="Y1280" s="269"/>
      <c r="Z1280" s="269"/>
      <c r="AA1280" s="134"/>
      <c r="AB1280" s="269"/>
      <c r="AC1280" s="284"/>
      <c r="AD1280" s="284"/>
      <c r="AE1280" s="269"/>
    </row>
    <row r="1281" spans="2:31">
      <c r="B1281" s="83"/>
      <c r="C1281" s="81"/>
      <c r="D1281" s="83"/>
      <c r="E1281" s="81"/>
      <c r="F1281" s="269"/>
      <c r="G1281" s="48"/>
      <c r="H1281" s="269"/>
      <c r="I1281" s="72"/>
      <c r="J1281" s="330"/>
      <c r="K1281" s="75"/>
      <c r="L1281" s="157"/>
      <c r="M1281" s="341"/>
      <c r="N1281" s="334"/>
      <c r="T1281" s="110"/>
      <c r="V1281" s="232"/>
      <c r="W1281" s="269"/>
      <c r="X1281" s="201"/>
      <c r="Y1281" s="269"/>
      <c r="Z1281" s="269"/>
      <c r="AA1281" s="134"/>
      <c r="AB1281" s="269"/>
      <c r="AC1281" s="284"/>
      <c r="AD1281" s="284"/>
      <c r="AE1281" s="269"/>
    </row>
    <row r="1282" spans="2:31">
      <c r="B1282" s="83"/>
      <c r="C1282" s="81"/>
      <c r="D1282" s="83"/>
      <c r="E1282" s="81"/>
      <c r="F1282" s="269"/>
      <c r="G1282" s="48"/>
      <c r="H1282" s="269"/>
      <c r="I1282" s="72"/>
      <c r="J1282" s="330"/>
      <c r="K1282" s="75"/>
      <c r="L1282" s="157"/>
      <c r="M1282" s="341"/>
      <c r="N1282" s="334"/>
      <c r="T1282" s="110"/>
      <c r="V1282" s="232"/>
      <c r="W1282" s="269"/>
      <c r="X1282" s="201"/>
      <c r="Y1282" s="269"/>
      <c r="Z1282" s="269"/>
      <c r="AA1282" s="134"/>
      <c r="AB1282" s="269"/>
      <c r="AC1282" s="284"/>
      <c r="AD1282" s="284"/>
      <c r="AE1282" s="269"/>
    </row>
    <row r="1283" spans="2:31">
      <c r="B1283" s="83"/>
      <c r="C1283" s="81"/>
      <c r="D1283" s="83"/>
      <c r="E1283" s="81"/>
      <c r="F1283" s="269"/>
      <c r="G1283" s="48"/>
      <c r="H1283" s="269"/>
      <c r="I1283" s="72"/>
      <c r="J1283" s="330"/>
      <c r="K1283" s="75"/>
      <c r="L1283" s="157"/>
      <c r="M1283" s="341"/>
      <c r="N1283" s="334"/>
      <c r="T1283" s="110"/>
      <c r="V1283" s="232"/>
      <c r="W1283" s="269"/>
      <c r="X1283" s="201"/>
      <c r="Y1283" s="269"/>
      <c r="Z1283" s="269"/>
      <c r="AA1283" s="134"/>
      <c r="AB1283" s="269"/>
      <c r="AC1283" s="284"/>
      <c r="AD1283" s="284"/>
      <c r="AE1283" s="269"/>
    </row>
    <row r="1284" spans="2:31">
      <c r="B1284" s="83"/>
      <c r="C1284" s="81"/>
      <c r="D1284" s="83"/>
      <c r="E1284" s="81"/>
      <c r="F1284" s="269"/>
      <c r="G1284" s="48"/>
      <c r="H1284" s="269"/>
      <c r="I1284" s="72"/>
      <c r="J1284" s="330"/>
      <c r="K1284" s="75"/>
      <c r="L1284" s="157"/>
      <c r="M1284" s="341"/>
      <c r="N1284" s="334"/>
      <c r="O1284" s="394"/>
      <c r="T1284" s="110"/>
      <c r="V1284" s="232"/>
      <c r="W1284" s="269"/>
      <c r="X1284" s="201"/>
      <c r="Y1284" s="269"/>
      <c r="Z1284" s="269"/>
      <c r="AA1284" s="134"/>
      <c r="AB1284" s="269"/>
      <c r="AC1284" s="284"/>
      <c r="AD1284" s="284"/>
      <c r="AE1284" s="269"/>
    </row>
    <row r="1285" spans="2:31">
      <c r="B1285" s="83"/>
      <c r="C1285" s="81"/>
      <c r="D1285" s="83"/>
      <c r="E1285" s="81"/>
      <c r="F1285" s="269"/>
      <c r="G1285" s="48"/>
      <c r="H1285" s="269"/>
      <c r="I1285" s="72"/>
      <c r="J1285" s="330"/>
      <c r="K1285" s="75"/>
      <c r="L1285" s="157"/>
      <c r="M1285" s="341"/>
      <c r="N1285" s="334"/>
      <c r="T1285" s="110"/>
      <c r="V1285" s="232"/>
      <c r="W1285" s="269"/>
      <c r="X1285" s="201"/>
      <c r="Y1285" s="269"/>
      <c r="Z1285" s="269"/>
      <c r="AA1285" s="134"/>
      <c r="AB1285" s="269"/>
      <c r="AC1285" s="284"/>
      <c r="AD1285" s="284"/>
      <c r="AE1285" s="269"/>
    </row>
    <row r="1286" spans="2:31">
      <c r="B1286" s="83"/>
      <c r="C1286" s="81"/>
      <c r="D1286" s="83"/>
      <c r="E1286" s="81"/>
      <c r="F1286" s="269"/>
      <c r="G1286" s="48"/>
      <c r="H1286" s="269"/>
      <c r="I1286" s="72"/>
      <c r="J1286" s="330"/>
      <c r="K1286" s="75"/>
      <c r="L1286" s="157"/>
      <c r="M1286" s="341"/>
      <c r="N1286" s="334"/>
      <c r="T1286" s="110"/>
      <c r="V1286" s="232"/>
      <c r="W1286" s="269"/>
      <c r="X1286" s="201"/>
      <c r="Y1286" s="269"/>
      <c r="Z1286" s="269"/>
      <c r="AA1286" s="134"/>
      <c r="AB1286" s="269"/>
      <c r="AC1286" s="284"/>
      <c r="AD1286" s="284"/>
      <c r="AE1286" s="269"/>
    </row>
    <row r="1287" spans="2:31">
      <c r="B1287" s="83"/>
      <c r="C1287" s="81"/>
      <c r="D1287" s="83"/>
      <c r="E1287" s="81"/>
      <c r="F1287" s="269"/>
      <c r="G1287" s="48"/>
      <c r="H1287" s="269"/>
      <c r="I1287" s="72"/>
      <c r="J1287" s="330"/>
      <c r="K1287" s="75"/>
      <c r="L1287" s="157"/>
      <c r="M1287" s="341"/>
      <c r="N1287" s="334"/>
      <c r="T1287" s="110"/>
      <c r="V1287" s="232"/>
      <c r="W1287" s="269"/>
      <c r="X1287" s="201"/>
      <c r="Y1287" s="269"/>
      <c r="Z1287" s="269"/>
      <c r="AA1287" s="134"/>
      <c r="AB1287" s="269"/>
      <c r="AC1287" s="284"/>
      <c r="AD1287" s="284"/>
      <c r="AE1287" s="269"/>
    </row>
    <row r="1288" spans="2:31">
      <c r="B1288" s="83"/>
      <c r="C1288" s="81"/>
      <c r="D1288" s="83"/>
      <c r="E1288" s="81"/>
      <c r="F1288" s="269"/>
      <c r="G1288" s="48"/>
      <c r="H1288" s="269"/>
      <c r="I1288" s="72"/>
      <c r="J1288" s="330"/>
      <c r="K1288" s="75"/>
      <c r="L1288" s="157"/>
      <c r="M1288" s="341"/>
      <c r="N1288" s="334"/>
      <c r="T1288" s="110"/>
      <c r="V1288" s="232"/>
      <c r="W1288" s="269"/>
      <c r="X1288" s="201"/>
      <c r="Y1288" s="269"/>
      <c r="Z1288" s="269"/>
      <c r="AA1288" s="134"/>
      <c r="AB1288" s="269"/>
      <c r="AC1288" s="284"/>
      <c r="AD1288" s="284"/>
      <c r="AE1288" s="269"/>
    </row>
    <row r="1289" spans="2:31">
      <c r="B1289" s="83"/>
      <c r="C1289" s="81"/>
      <c r="D1289" s="83"/>
      <c r="E1289" s="81"/>
      <c r="F1289" s="269"/>
      <c r="G1289" s="48"/>
      <c r="H1289" s="269"/>
      <c r="I1289" s="72"/>
      <c r="J1289" s="330"/>
      <c r="K1289" s="75"/>
      <c r="L1289" s="157"/>
      <c r="M1289" s="341"/>
      <c r="N1289" s="334"/>
      <c r="O1289" s="394"/>
      <c r="T1289" s="110"/>
      <c r="V1289" s="232"/>
      <c r="W1289" s="269"/>
      <c r="X1289" s="201"/>
      <c r="Y1289" s="269"/>
      <c r="Z1289" s="269"/>
      <c r="AA1289" s="134"/>
      <c r="AB1289" s="269"/>
      <c r="AC1289" s="284"/>
      <c r="AD1289" s="284"/>
      <c r="AE1289" s="269"/>
    </row>
    <row r="1290" spans="2:31">
      <c r="B1290" s="83"/>
      <c r="C1290" s="81"/>
      <c r="D1290" s="83"/>
      <c r="E1290" s="81"/>
      <c r="F1290" s="269"/>
      <c r="G1290" s="48"/>
      <c r="H1290" s="269"/>
      <c r="I1290" s="72"/>
      <c r="J1290" s="330"/>
      <c r="K1290" s="75"/>
      <c r="L1290" s="157"/>
      <c r="M1290" s="341"/>
      <c r="N1290" s="334"/>
      <c r="O1290" s="394"/>
      <c r="T1290" s="110"/>
      <c r="V1290" s="232"/>
      <c r="W1290" s="269"/>
      <c r="X1290" s="201"/>
      <c r="Y1290" s="269"/>
      <c r="Z1290" s="269"/>
      <c r="AA1290" s="134"/>
      <c r="AB1290" s="269"/>
      <c r="AC1290" s="284"/>
      <c r="AD1290" s="284"/>
      <c r="AE1290" s="269"/>
    </row>
    <row r="1291" spans="2:31">
      <c r="B1291" s="83"/>
      <c r="C1291" s="81"/>
      <c r="D1291" s="83"/>
      <c r="E1291" s="81"/>
      <c r="F1291" s="269"/>
      <c r="G1291" s="48"/>
      <c r="H1291" s="269"/>
      <c r="I1291" s="72"/>
      <c r="J1291" s="330"/>
      <c r="K1291" s="75"/>
      <c r="L1291" s="157"/>
      <c r="M1291" s="341"/>
      <c r="N1291" s="334"/>
      <c r="O1291" s="394"/>
      <c r="T1291" s="110"/>
      <c r="V1291" s="232"/>
      <c r="W1291" s="269"/>
      <c r="X1291" s="201"/>
      <c r="Y1291" s="269"/>
      <c r="Z1291" s="269"/>
      <c r="AA1291" s="134"/>
      <c r="AB1291" s="269"/>
      <c r="AC1291" s="284"/>
      <c r="AD1291" s="284"/>
      <c r="AE1291" s="269"/>
    </row>
    <row r="1292" spans="2:31">
      <c r="B1292" s="83"/>
      <c r="C1292" s="81"/>
      <c r="D1292" s="83"/>
      <c r="E1292" s="81"/>
      <c r="F1292" s="269"/>
      <c r="G1292" s="48"/>
      <c r="H1292" s="269"/>
      <c r="I1292" s="72"/>
      <c r="J1292" s="330"/>
      <c r="K1292" s="75"/>
      <c r="L1292" s="157"/>
      <c r="M1292" s="341"/>
      <c r="N1292" s="334"/>
      <c r="T1292" s="110"/>
      <c r="V1292" s="232"/>
      <c r="W1292" s="269"/>
      <c r="X1292" s="201"/>
      <c r="Y1292" s="269"/>
      <c r="Z1292" s="269"/>
      <c r="AA1292" s="134"/>
      <c r="AB1292" s="269"/>
      <c r="AC1292" s="284"/>
      <c r="AD1292" s="284"/>
      <c r="AE1292" s="269"/>
    </row>
    <row r="1293" spans="2:31">
      <c r="B1293" s="83"/>
      <c r="C1293" s="81"/>
      <c r="D1293" s="83"/>
      <c r="E1293" s="81"/>
      <c r="F1293" s="269"/>
      <c r="G1293" s="48"/>
      <c r="H1293" s="269"/>
      <c r="I1293" s="72"/>
      <c r="J1293" s="330"/>
      <c r="K1293" s="75"/>
      <c r="L1293" s="157"/>
      <c r="M1293" s="341"/>
      <c r="N1293" s="334"/>
      <c r="O1293" s="394"/>
      <c r="T1293" s="110"/>
      <c r="V1293" s="232"/>
      <c r="W1293" s="269"/>
      <c r="X1293" s="201"/>
      <c r="Y1293" s="269"/>
      <c r="Z1293" s="269"/>
      <c r="AA1293" s="134"/>
      <c r="AB1293" s="269"/>
      <c r="AC1293" s="284"/>
      <c r="AD1293" s="284"/>
      <c r="AE1293" s="269"/>
    </row>
    <row r="1294" spans="2:31">
      <c r="B1294" s="83"/>
      <c r="C1294" s="81"/>
      <c r="D1294" s="83"/>
      <c r="E1294" s="81"/>
      <c r="F1294" s="269"/>
      <c r="G1294" s="48"/>
      <c r="H1294" s="269"/>
      <c r="I1294" s="72"/>
      <c r="J1294" s="330"/>
      <c r="K1294" s="75"/>
      <c r="L1294" s="157"/>
      <c r="M1294" s="341"/>
      <c r="N1294" s="334"/>
      <c r="O1294" s="394"/>
      <c r="T1294" s="110"/>
      <c r="V1294" s="232"/>
      <c r="W1294" s="269"/>
      <c r="X1294" s="201"/>
      <c r="Y1294" s="269"/>
      <c r="Z1294" s="269"/>
      <c r="AA1294" s="134"/>
      <c r="AB1294" s="269"/>
      <c r="AC1294" s="284"/>
      <c r="AD1294" s="284"/>
      <c r="AE1294" s="269"/>
    </row>
    <row r="1295" spans="2:31">
      <c r="B1295" s="83"/>
      <c r="C1295" s="81"/>
      <c r="D1295" s="83"/>
      <c r="E1295" s="81"/>
      <c r="F1295" s="269"/>
      <c r="G1295" s="48"/>
      <c r="H1295" s="269"/>
      <c r="I1295" s="72"/>
      <c r="J1295" s="330"/>
      <c r="K1295" s="75"/>
      <c r="L1295" s="157"/>
      <c r="M1295" s="341"/>
      <c r="N1295" s="334"/>
      <c r="T1295" s="110"/>
      <c r="V1295" s="232"/>
      <c r="W1295" s="269"/>
      <c r="X1295" s="201"/>
      <c r="Y1295" s="269"/>
      <c r="Z1295" s="269"/>
      <c r="AA1295" s="134"/>
      <c r="AB1295" s="269"/>
      <c r="AC1295" s="284"/>
      <c r="AD1295" s="284"/>
      <c r="AE1295" s="269"/>
    </row>
    <row r="1296" spans="2:31">
      <c r="B1296" s="83"/>
      <c r="C1296" s="81"/>
      <c r="D1296" s="83"/>
      <c r="E1296" s="81"/>
      <c r="F1296" s="269"/>
      <c r="G1296" s="48"/>
      <c r="H1296" s="269"/>
      <c r="I1296" s="72"/>
      <c r="J1296" s="330"/>
      <c r="K1296" s="75"/>
      <c r="L1296" s="157"/>
      <c r="M1296" s="341"/>
      <c r="N1296" s="334"/>
      <c r="O1296" s="394"/>
      <c r="T1296" s="110"/>
      <c r="V1296" s="232"/>
      <c r="W1296" s="269"/>
      <c r="X1296" s="201"/>
      <c r="Y1296" s="269"/>
      <c r="Z1296" s="269"/>
      <c r="AA1296" s="134"/>
      <c r="AB1296" s="269"/>
      <c r="AC1296" s="284"/>
      <c r="AD1296" s="284"/>
      <c r="AE1296" s="269"/>
    </row>
    <row r="1297" spans="2:31">
      <c r="B1297" s="83"/>
      <c r="C1297" s="81"/>
      <c r="D1297" s="83"/>
      <c r="E1297" s="81"/>
      <c r="F1297" s="269"/>
      <c r="G1297" s="48"/>
      <c r="H1297" s="269"/>
      <c r="I1297" s="72"/>
      <c r="J1297" s="330"/>
      <c r="K1297" s="75"/>
      <c r="L1297" s="157"/>
      <c r="M1297" s="341"/>
      <c r="N1297" s="334"/>
      <c r="T1297" s="110"/>
      <c r="V1297" s="232"/>
      <c r="W1297" s="269"/>
      <c r="X1297" s="201"/>
      <c r="Y1297" s="269"/>
      <c r="Z1297" s="269"/>
      <c r="AA1297" s="134"/>
      <c r="AB1297" s="269"/>
      <c r="AC1297" s="284"/>
      <c r="AD1297" s="284"/>
      <c r="AE1297" s="269"/>
    </row>
    <row r="1298" spans="2:31">
      <c r="B1298" s="83"/>
      <c r="C1298" s="81"/>
      <c r="D1298" s="83"/>
      <c r="E1298" s="81"/>
      <c r="F1298" s="269"/>
      <c r="G1298" s="48"/>
      <c r="H1298" s="269"/>
      <c r="I1298" s="72"/>
      <c r="J1298" s="330"/>
      <c r="K1298" s="75"/>
      <c r="L1298" s="157"/>
      <c r="M1298" s="341"/>
      <c r="N1298" s="334"/>
      <c r="O1298" s="394"/>
      <c r="T1298" s="110"/>
      <c r="V1298" s="232"/>
      <c r="W1298" s="269"/>
      <c r="X1298" s="201"/>
      <c r="Y1298" s="269"/>
      <c r="Z1298" s="269"/>
      <c r="AA1298" s="134"/>
      <c r="AB1298" s="269"/>
      <c r="AC1298" s="284"/>
      <c r="AD1298" s="284"/>
      <c r="AE1298" s="269"/>
    </row>
    <row r="1299" spans="2:31">
      <c r="B1299" s="83"/>
      <c r="C1299" s="81"/>
      <c r="D1299" s="83"/>
      <c r="E1299" s="81"/>
      <c r="F1299" s="269"/>
      <c r="G1299" s="48"/>
      <c r="H1299" s="269"/>
      <c r="I1299" s="72"/>
      <c r="J1299" s="330"/>
      <c r="K1299" s="75"/>
      <c r="L1299" s="157"/>
      <c r="M1299" s="341"/>
      <c r="N1299" s="334"/>
      <c r="O1299" s="394"/>
      <c r="T1299" s="110"/>
      <c r="V1299" s="232"/>
      <c r="W1299" s="269"/>
      <c r="X1299" s="201"/>
      <c r="Y1299" s="269"/>
      <c r="Z1299" s="269"/>
      <c r="AA1299" s="134"/>
      <c r="AB1299" s="269"/>
      <c r="AC1299" s="284"/>
      <c r="AD1299" s="284"/>
      <c r="AE1299" s="269"/>
    </row>
    <row r="1300" spans="2:31">
      <c r="B1300" s="83"/>
      <c r="C1300" s="81"/>
      <c r="D1300" s="83"/>
      <c r="E1300" s="81"/>
      <c r="F1300" s="269"/>
      <c r="G1300" s="48"/>
      <c r="H1300" s="269"/>
      <c r="I1300" s="72"/>
      <c r="J1300" s="330"/>
      <c r="K1300" s="75"/>
      <c r="L1300" s="157"/>
      <c r="M1300" s="341"/>
      <c r="N1300" s="334"/>
      <c r="O1300" s="394"/>
      <c r="T1300" s="110"/>
      <c r="V1300" s="232"/>
      <c r="W1300" s="269"/>
      <c r="X1300" s="201"/>
      <c r="Y1300" s="269"/>
      <c r="Z1300" s="269"/>
      <c r="AA1300" s="134"/>
      <c r="AB1300" s="269"/>
      <c r="AC1300" s="284"/>
      <c r="AD1300" s="284"/>
      <c r="AE1300" s="269"/>
    </row>
    <row r="1301" spans="2:31">
      <c r="B1301" s="83"/>
      <c r="C1301" s="81"/>
      <c r="D1301" s="83"/>
      <c r="E1301" s="81"/>
      <c r="F1301" s="269"/>
      <c r="G1301" s="48"/>
      <c r="H1301" s="269"/>
      <c r="I1301" s="72"/>
      <c r="J1301" s="330"/>
      <c r="K1301" s="75"/>
      <c r="L1301" s="157"/>
      <c r="M1301" s="341"/>
      <c r="N1301" s="334"/>
      <c r="O1301" s="394"/>
      <c r="T1301" s="110"/>
      <c r="V1301" s="232"/>
      <c r="W1301" s="269"/>
      <c r="X1301" s="201"/>
      <c r="Y1301" s="269"/>
      <c r="Z1301" s="269"/>
      <c r="AA1301" s="134"/>
      <c r="AB1301" s="269"/>
      <c r="AC1301" s="284"/>
      <c r="AD1301" s="284"/>
      <c r="AE1301" s="269"/>
    </row>
    <row r="1302" spans="2:31">
      <c r="B1302" s="83"/>
      <c r="C1302" s="81"/>
      <c r="D1302" s="83"/>
      <c r="E1302" s="81"/>
      <c r="F1302" s="269"/>
      <c r="G1302" s="48"/>
      <c r="H1302" s="269"/>
      <c r="I1302" s="72"/>
      <c r="J1302" s="330"/>
      <c r="K1302" s="75"/>
      <c r="L1302" s="157"/>
      <c r="M1302" s="341"/>
      <c r="N1302" s="334"/>
      <c r="O1302" s="394"/>
      <c r="T1302" s="110"/>
      <c r="V1302" s="232"/>
      <c r="W1302" s="269"/>
      <c r="X1302" s="201"/>
      <c r="Y1302" s="269"/>
      <c r="Z1302" s="269"/>
      <c r="AA1302" s="134"/>
      <c r="AB1302" s="269"/>
      <c r="AC1302" s="284"/>
      <c r="AD1302" s="284"/>
      <c r="AE1302" s="269"/>
    </row>
    <row r="1303" spans="2:31">
      <c r="B1303" s="83"/>
      <c r="C1303" s="81"/>
      <c r="D1303" s="83"/>
      <c r="E1303" s="81"/>
      <c r="F1303" s="269"/>
      <c r="G1303" s="48"/>
      <c r="H1303" s="269"/>
      <c r="I1303" s="72"/>
      <c r="J1303" s="330"/>
      <c r="K1303" s="75"/>
      <c r="L1303" s="157"/>
      <c r="M1303" s="341"/>
      <c r="N1303" s="334"/>
      <c r="O1303" s="394"/>
      <c r="T1303" s="110"/>
      <c r="V1303" s="232"/>
      <c r="W1303" s="269"/>
      <c r="X1303" s="201"/>
      <c r="Y1303" s="269"/>
      <c r="Z1303" s="269"/>
      <c r="AA1303" s="134"/>
      <c r="AB1303" s="269"/>
      <c r="AC1303" s="284"/>
      <c r="AD1303" s="284"/>
      <c r="AE1303" s="269"/>
    </row>
    <row r="1304" spans="2:31">
      <c r="B1304" s="83"/>
      <c r="C1304" s="81"/>
      <c r="D1304" s="83"/>
      <c r="E1304" s="81"/>
      <c r="F1304" s="269"/>
      <c r="G1304" s="48"/>
      <c r="H1304" s="269"/>
      <c r="I1304" s="72"/>
      <c r="J1304" s="330"/>
      <c r="K1304" s="75"/>
      <c r="L1304" s="157"/>
      <c r="M1304" s="341"/>
      <c r="N1304" s="334"/>
      <c r="O1304" s="394"/>
      <c r="T1304" s="110"/>
      <c r="V1304" s="232"/>
      <c r="W1304" s="269"/>
      <c r="X1304" s="201"/>
      <c r="Y1304" s="269"/>
      <c r="Z1304" s="269"/>
      <c r="AA1304" s="134"/>
      <c r="AB1304" s="269"/>
      <c r="AC1304" s="284"/>
      <c r="AD1304" s="284"/>
      <c r="AE1304" s="269"/>
    </row>
    <row r="1305" spans="2:31">
      <c r="B1305" s="83"/>
      <c r="C1305" s="81"/>
      <c r="D1305" s="83"/>
      <c r="E1305" s="81"/>
      <c r="F1305" s="269"/>
      <c r="G1305" s="48"/>
      <c r="H1305" s="269"/>
      <c r="I1305" s="72"/>
      <c r="J1305" s="330"/>
      <c r="K1305" s="75"/>
      <c r="L1305" s="157"/>
      <c r="M1305" s="341"/>
      <c r="N1305" s="334"/>
      <c r="O1305" s="394"/>
      <c r="T1305" s="110"/>
      <c r="V1305" s="232"/>
      <c r="W1305" s="269"/>
      <c r="X1305" s="201"/>
      <c r="Y1305" s="269"/>
      <c r="Z1305" s="269"/>
      <c r="AA1305" s="134"/>
      <c r="AB1305" s="269"/>
      <c r="AC1305" s="284"/>
      <c r="AD1305" s="284"/>
      <c r="AE1305" s="269"/>
    </row>
    <row r="1306" spans="2:31">
      <c r="B1306" s="83"/>
      <c r="C1306" s="81"/>
      <c r="D1306" s="83"/>
      <c r="E1306" s="81"/>
      <c r="F1306" s="269"/>
      <c r="G1306" s="48"/>
      <c r="H1306" s="269"/>
      <c r="I1306" s="72"/>
      <c r="J1306" s="330"/>
      <c r="K1306" s="75"/>
      <c r="L1306" s="157"/>
      <c r="M1306" s="341"/>
      <c r="N1306" s="334"/>
      <c r="T1306" s="110"/>
      <c r="V1306" s="232"/>
      <c r="W1306" s="269"/>
      <c r="X1306" s="201"/>
      <c r="Y1306" s="269"/>
      <c r="Z1306" s="269"/>
      <c r="AA1306" s="134"/>
      <c r="AB1306" s="269"/>
      <c r="AC1306" s="284"/>
      <c r="AD1306" s="284"/>
      <c r="AE1306" s="269"/>
    </row>
    <row r="1307" spans="2:31">
      <c r="B1307" s="83"/>
      <c r="C1307" s="81"/>
      <c r="D1307" s="83"/>
      <c r="E1307" s="81"/>
      <c r="F1307" s="269"/>
      <c r="G1307" s="48"/>
      <c r="H1307" s="269"/>
      <c r="I1307" s="72"/>
      <c r="J1307" s="330"/>
      <c r="K1307" s="75"/>
      <c r="L1307" s="157"/>
      <c r="M1307" s="341"/>
      <c r="N1307" s="334"/>
      <c r="T1307" s="110"/>
      <c r="V1307" s="232"/>
      <c r="W1307" s="269"/>
      <c r="X1307" s="201"/>
      <c r="Y1307" s="269"/>
      <c r="Z1307" s="269"/>
      <c r="AA1307" s="134"/>
      <c r="AB1307" s="269"/>
      <c r="AC1307" s="284"/>
      <c r="AD1307" s="284"/>
      <c r="AE1307" s="269"/>
    </row>
    <row r="1308" spans="2:31">
      <c r="B1308" s="83"/>
      <c r="C1308" s="81"/>
      <c r="D1308" s="83"/>
      <c r="E1308" s="81"/>
      <c r="F1308" s="269"/>
      <c r="G1308" s="48"/>
      <c r="H1308" s="269"/>
      <c r="I1308" s="72"/>
      <c r="J1308" s="330"/>
      <c r="K1308" s="75"/>
      <c r="L1308" s="157"/>
      <c r="M1308" s="341"/>
      <c r="N1308" s="334"/>
      <c r="P1308" s="392"/>
      <c r="Q1308" s="363"/>
      <c r="T1308" s="110"/>
      <c r="V1308" s="232"/>
      <c r="W1308" s="269"/>
      <c r="X1308" s="201"/>
      <c r="Y1308" s="269"/>
      <c r="Z1308" s="269"/>
      <c r="AA1308" s="134"/>
      <c r="AB1308" s="269"/>
      <c r="AC1308" s="284"/>
      <c r="AD1308" s="284"/>
      <c r="AE1308" s="269"/>
    </row>
    <row r="1309" spans="2:31">
      <c r="B1309" s="83"/>
      <c r="C1309" s="81"/>
      <c r="D1309" s="83"/>
      <c r="E1309" s="81"/>
      <c r="F1309" s="269"/>
      <c r="G1309" s="48"/>
      <c r="H1309" s="269"/>
      <c r="I1309" s="72"/>
      <c r="J1309" s="330"/>
      <c r="K1309" s="75"/>
      <c r="L1309" s="157"/>
      <c r="M1309" s="341"/>
      <c r="N1309" s="334"/>
      <c r="T1309" s="110"/>
      <c r="V1309" s="232"/>
      <c r="W1309" s="269"/>
      <c r="X1309" s="201"/>
      <c r="Y1309" s="269"/>
      <c r="Z1309" s="269"/>
      <c r="AA1309" s="134"/>
      <c r="AB1309" s="269"/>
      <c r="AC1309" s="284"/>
      <c r="AD1309" s="284"/>
      <c r="AE1309" s="269"/>
    </row>
    <row r="1310" spans="2:31">
      <c r="B1310" s="83"/>
      <c r="C1310" s="81"/>
      <c r="D1310" s="83"/>
      <c r="E1310" s="81"/>
      <c r="F1310" s="269"/>
      <c r="G1310" s="48"/>
      <c r="H1310" s="269"/>
      <c r="I1310" s="72"/>
      <c r="J1310" s="330"/>
      <c r="K1310" s="75"/>
      <c r="L1310" s="157"/>
      <c r="M1310" s="341"/>
      <c r="N1310" s="334"/>
      <c r="T1310" s="110"/>
      <c r="V1310" s="232"/>
      <c r="W1310" s="269"/>
      <c r="X1310" s="201"/>
      <c r="Y1310" s="269"/>
      <c r="Z1310" s="269"/>
      <c r="AA1310" s="134"/>
      <c r="AB1310" s="269"/>
      <c r="AC1310" s="284"/>
      <c r="AD1310" s="284"/>
      <c r="AE1310" s="269"/>
    </row>
    <row r="1311" spans="2:31">
      <c r="B1311" s="83"/>
      <c r="C1311" s="81"/>
      <c r="D1311" s="83"/>
      <c r="E1311" s="81"/>
      <c r="F1311" s="269"/>
      <c r="G1311" s="48"/>
      <c r="H1311" s="269"/>
      <c r="I1311" s="72"/>
      <c r="J1311" s="330"/>
      <c r="K1311" s="75"/>
      <c r="L1311" s="157"/>
      <c r="M1311" s="341"/>
      <c r="N1311" s="334"/>
      <c r="T1311" s="110"/>
      <c r="V1311" s="232"/>
      <c r="W1311" s="269"/>
      <c r="X1311" s="201"/>
      <c r="Y1311" s="269"/>
      <c r="Z1311" s="269"/>
      <c r="AA1311" s="134"/>
      <c r="AB1311" s="269"/>
      <c r="AC1311" s="284"/>
      <c r="AD1311" s="284"/>
      <c r="AE1311" s="269"/>
    </row>
    <row r="1312" spans="2:31">
      <c r="B1312" s="83"/>
      <c r="C1312" s="81"/>
      <c r="D1312" s="83"/>
      <c r="E1312" s="81"/>
      <c r="F1312" s="269"/>
      <c r="G1312" s="48"/>
      <c r="H1312" s="269"/>
      <c r="I1312" s="72"/>
      <c r="J1312" s="330"/>
      <c r="K1312" s="75"/>
      <c r="L1312" s="157"/>
      <c r="M1312" s="341"/>
      <c r="N1312" s="334"/>
      <c r="T1312" s="110"/>
      <c r="V1312" s="232"/>
      <c r="W1312" s="269"/>
      <c r="X1312" s="201"/>
      <c r="Y1312" s="269"/>
      <c r="Z1312" s="269"/>
      <c r="AA1312" s="134"/>
      <c r="AB1312" s="269"/>
      <c r="AC1312" s="284"/>
      <c r="AD1312" s="284"/>
      <c r="AE1312" s="269"/>
    </row>
    <row r="1313" spans="2:31">
      <c r="B1313" s="83"/>
      <c r="C1313" s="81"/>
      <c r="D1313" s="83"/>
      <c r="E1313" s="81"/>
      <c r="F1313" s="269"/>
      <c r="G1313" s="48"/>
      <c r="H1313" s="269"/>
      <c r="I1313" s="72"/>
      <c r="J1313" s="330"/>
      <c r="K1313" s="75"/>
      <c r="L1313" s="157"/>
      <c r="M1313" s="341"/>
      <c r="N1313" s="334"/>
      <c r="T1313" s="110"/>
      <c r="V1313" s="232"/>
      <c r="W1313" s="269"/>
      <c r="X1313" s="201"/>
      <c r="Y1313" s="269"/>
      <c r="Z1313" s="269"/>
      <c r="AA1313" s="134"/>
      <c r="AB1313" s="269"/>
      <c r="AC1313" s="284"/>
      <c r="AD1313" s="284"/>
      <c r="AE1313" s="269"/>
    </row>
    <row r="1314" spans="2:31">
      <c r="B1314" s="83"/>
      <c r="C1314" s="81"/>
      <c r="D1314" s="83"/>
      <c r="E1314" s="81"/>
      <c r="F1314" s="269"/>
      <c r="G1314" s="48"/>
      <c r="H1314" s="269"/>
      <c r="I1314" s="72"/>
      <c r="J1314" s="330"/>
      <c r="K1314" s="75"/>
      <c r="L1314" s="157"/>
      <c r="M1314" s="341"/>
      <c r="N1314" s="334"/>
      <c r="O1314" s="394"/>
      <c r="T1314" s="110"/>
      <c r="V1314" s="232"/>
      <c r="W1314" s="269"/>
      <c r="X1314" s="201"/>
      <c r="Y1314" s="269"/>
      <c r="Z1314" s="269"/>
      <c r="AA1314" s="134"/>
      <c r="AB1314" s="269"/>
      <c r="AC1314" s="284"/>
      <c r="AD1314" s="284"/>
      <c r="AE1314" s="269"/>
    </row>
    <row r="1315" spans="2:31">
      <c r="B1315" s="83"/>
      <c r="C1315" s="81"/>
      <c r="D1315" s="83"/>
      <c r="E1315" s="81"/>
      <c r="F1315" s="269"/>
      <c r="G1315" s="48"/>
      <c r="H1315" s="269"/>
      <c r="I1315" s="72"/>
      <c r="J1315" s="330"/>
      <c r="K1315" s="75"/>
      <c r="L1315" s="157"/>
      <c r="M1315" s="341"/>
      <c r="N1315" s="334"/>
      <c r="O1315" s="394"/>
      <c r="T1315" s="110"/>
      <c r="V1315" s="232"/>
      <c r="W1315" s="269"/>
      <c r="X1315" s="201"/>
      <c r="Y1315" s="269"/>
      <c r="Z1315" s="269"/>
      <c r="AA1315" s="134"/>
      <c r="AB1315" s="269"/>
      <c r="AC1315" s="284"/>
      <c r="AD1315" s="284"/>
      <c r="AE1315" s="269"/>
    </row>
    <row r="1316" spans="2:31">
      <c r="B1316" s="83"/>
      <c r="C1316" s="81"/>
      <c r="D1316" s="83"/>
      <c r="E1316" s="81"/>
      <c r="F1316" s="269"/>
      <c r="G1316" s="48"/>
      <c r="H1316" s="269"/>
      <c r="I1316" s="72"/>
      <c r="J1316" s="330"/>
      <c r="K1316" s="75"/>
      <c r="L1316" s="157"/>
      <c r="M1316" s="341"/>
      <c r="N1316" s="334"/>
      <c r="O1316" s="394"/>
      <c r="T1316" s="110"/>
      <c r="V1316" s="232"/>
      <c r="W1316" s="269"/>
      <c r="X1316" s="201"/>
      <c r="Y1316" s="269"/>
      <c r="Z1316" s="269"/>
      <c r="AA1316" s="134"/>
      <c r="AB1316" s="269"/>
      <c r="AC1316" s="284"/>
      <c r="AD1316" s="284"/>
      <c r="AE1316" s="269"/>
    </row>
    <row r="1317" spans="2:31">
      <c r="B1317" s="83"/>
      <c r="C1317" s="81"/>
      <c r="D1317" s="83"/>
      <c r="E1317" s="81"/>
      <c r="F1317" s="269"/>
      <c r="G1317" s="48"/>
      <c r="H1317" s="269"/>
      <c r="I1317" s="72"/>
      <c r="J1317" s="330"/>
      <c r="K1317" s="75"/>
      <c r="L1317" s="157"/>
      <c r="M1317" s="341"/>
      <c r="N1317" s="334"/>
      <c r="T1317" s="110"/>
      <c r="V1317" s="232"/>
      <c r="W1317" s="269"/>
      <c r="X1317" s="201"/>
      <c r="Y1317" s="269"/>
      <c r="Z1317" s="269"/>
      <c r="AA1317" s="134"/>
      <c r="AB1317" s="269"/>
      <c r="AC1317" s="284"/>
      <c r="AD1317" s="284"/>
      <c r="AE1317" s="269"/>
    </row>
    <row r="1318" spans="2:31">
      <c r="B1318" s="83"/>
      <c r="C1318" s="81"/>
      <c r="D1318" s="83"/>
      <c r="E1318" s="81"/>
      <c r="F1318" s="269"/>
      <c r="G1318" s="48"/>
      <c r="H1318" s="269"/>
      <c r="I1318" s="72"/>
      <c r="J1318" s="330"/>
      <c r="K1318" s="75"/>
      <c r="L1318" s="157"/>
      <c r="M1318" s="341"/>
      <c r="N1318" s="334"/>
      <c r="O1318" s="394"/>
      <c r="P1318" s="392"/>
      <c r="Q1318" s="363"/>
      <c r="T1318" s="110"/>
      <c r="V1318" s="232"/>
      <c r="W1318" s="269"/>
      <c r="X1318" s="201"/>
      <c r="Y1318" s="269"/>
      <c r="Z1318" s="269"/>
      <c r="AA1318" s="134"/>
      <c r="AB1318" s="269"/>
      <c r="AC1318" s="284"/>
      <c r="AD1318" s="284"/>
      <c r="AE1318" s="269"/>
    </row>
    <row r="1319" spans="2:31">
      <c r="B1319" s="83"/>
      <c r="C1319" s="81"/>
      <c r="D1319" s="83"/>
      <c r="E1319" s="81"/>
      <c r="F1319" s="269"/>
      <c r="G1319" s="48"/>
      <c r="H1319" s="269"/>
      <c r="I1319" s="72"/>
      <c r="J1319" s="330"/>
      <c r="K1319" s="75"/>
      <c r="L1319" s="157"/>
      <c r="M1319" s="341"/>
      <c r="N1319" s="334"/>
      <c r="O1319" s="394"/>
      <c r="T1319" s="110"/>
      <c r="V1319" s="232"/>
      <c r="W1319" s="269"/>
      <c r="X1319" s="201"/>
      <c r="Y1319" s="269"/>
      <c r="Z1319" s="269"/>
      <c r="AA1319" s="134"/>
      <c r="AB1319" s="269"/>
      <c r="AC1319" s="284"/>
      <c r="AD1319" s="284"/>
      <c r="AE1319" s="269"/>
    </row>
    <row r="1320" spans="2:31">
      <c r="B1320" s="83"/>
      <c r="C1320" s="81"/>
      <c r="D1320" s="83"/>
      <c r="E1320" s="81"/>
      <c r="F1320" s="269"/>
      <c r="G1320" s="48"/>
      <c r="H1320" s="269"/>
      <c r="I1320" s="72"/>
      <c r="J1320" s="330"/>
      <c r="K1320" s="75"/>
      <c r="L1320" s="157"/>
      <c r="M1320" s="341"/>
      <c r="N1320" s="334"/>
      <c r="O1320" s="394"/>
      <c r="T1320" s="110"/>
      <c r="V1320" s="232"/>
      <c r="W1320" s="269"/>
      <c r="X1320" s="201"/>
      <c r="Y1320" s="269"/>
      <c r="Z1320" s="269"/>
      <c r="AA1320" s="134"/>
      <c r="AB1320" s="269"/>
      <c r="AC1320" s="284"/>
      <c r="AD1320" s="284"/>
      <c r="AE1320" s="269"/>
    </row>
    <row r="1321" spans="2:31">
      <c r="B1321" s="83"/>
      <c r="C1321" s="81"/>
      <c r="D1321" s="83"/>
      <c r="E1321" s="81"/>
      <c r="F1321" s="269"/>
      <c r="G1321" s="48"/>
      <c r="H1321" s="269"/>
      <c r="I1321" s="72"/>
      <c r="J1321" s="330"/>
      <c r="K1321" s="75"/>
      <c r="L1321" s="157"/>
      <c r="M1321" s="341"/>
      <c r="N1321" s="334"/>
      <c r="O1321" s="394"/>
      <c r="T1321" s="110"/>
      <c r="V1321" s="232"/>
      <c r="W1321" s="269"/>
      <c r="X1321" s="201"/>
      <c r="Y1321" s="269"/>
      <c r="Z1321" s="269"/>
      <c r="AA1321" s="134"/>
      <c r="AB1321" s="269"/>
      <c r="AC1321" s="284"/>
      <c r="AD1321" s="284"/>
      <c r="AE1321" s="269"/>
    </row>
    <row r="1322" spans="2:31">
      <c r="B1322" s="83"/>
      <c r="C1322" s="81"/>
      <c r="D1322" s="83"/>
      <c r="E1322" s="81"/>
      <c r="F1322" s="269"/>
      <c r="G1322" s="48"/>
      <c r="H1322" s="269"/>
      <c r="I1322" s="72"/>
      <c r="J1322" s="330"/>
      <c r="K1322" s="75"/>
      <c r="L1322" s="157"/>
      <c r="M1322" s="341"/>
      <c r="N1322" s="334"/>
      <c r="P1322" s="392"/>
      <c r="Q1322" s="363"/>
      <c r="T1322" s="110"/>
      <c r="V1322" s="232"/>
      <c r="W1322" s="269"/>
      <c r="X1322" s="201"/>
      <c r="Y1322" s="269"/>
      <c r="Z1322" s="269"/>
      <c r="AA1322" s="134"/>
      <c r="AB1322" s="269"/>
      <c r="AC1322" s="284"/>
      <c r="AD1322" s="284"/>
      <c r="AE1322" s="269"/>
    </row>
    <row r="1323" spans="2:31">
      <c r="B1323" s="83"/>
      <c r="C1323" s="81"/>
      <c r="D1323" s="83"/>
      <c r="E1323" s="81"/>
      <c r="F1323" s="269"/>
      <c r="G1323" s="48"/>
      <c r="H1323" s="269"/>
      <c r="I1323" s="72"/>
      <c r="J1323" s="330"/>
      <c r="K1323" s="75"/>
      <c r="L1323" s="157"/>
      <c r="M1323" s="341"/>
      <c r="N1323" s="334"/>
      <c r="T1323" s="110"/>
      <c r="V1323" s="232"/>
      <c r="W1323" s="269"/>
      <c r="X1323" s="201"/>
      <c r="Y1323" s="269"/>
      <c r="Z1323" s="269"/>
      <c r="AA1323" s="134"/>
      <c r="AB1323" s="269"/>
      <c r="AC1323" s="284"/>
      <c r="AD1323" s="284"/>
      <c r="AE1323" s="269"/>
    </row>
    <row r="1324" spans="2:31">
      <c r="B1324" s="83"/>
      <c r="C1324" s="81"/>
      <c r="D1324" s="83"/>
      <c r="E1324" s="81"/>
      <c r="F1324" s="269"/>
      <c r="G1324" s="48"/>
      <c r="H1324" s="269"/>
      <c r="I1324" s="72"/>
      <c r="J1324" s="330"/>
      <c r="K1324" s="75"/>
      <c r="L1324" s="157"/>
      <c r="M1324" s="341"/>
      <c r="N1324" s="334"/>
      <c r="T1324" s="110"/>
      <c r="V1324" s="232"/>
      <c r="W1324" s="269"/>
      <c r="X1324" s="201"/>
      <c r="Y1324" s="269"/>
      <c r="Z1324" s="269"/>
      <c r="AA1324" s="134"/>
      <c r="AB1324" s="269"/>
      <c r="AC1324" s="284"/>
      <c r="AD1324" s="284"/>
      <c r="AE1324" s="269"/>
    </row>
    <row r="1325" spans="2:31">
      <c r="B1325" s="83"/>
      <c r="C1325" s="81"/>
      <c r="D1325" s="83"/>
      <c r="E1325" s="81"/>
      <c r="F1325" s="269"/>
      <c r="G1325" s="48"/>
      <c r="H1325" s="269"/>
      <c r="I1325" s="72"/>
      <c r="J1325" s="330"/>
      <c r="K1325" s="75"/>
      <c r="L1325" s="157"/>
      <c r="M1325" s="341"/>
      <c r="N1325" s="334"/>
      <c r="T1325" s="110"/>
      <c r="V1325" s="232"/>
      <c r="W1325" s="269"/>
      <c r="X1325" s="201"/>
      <c r="Y1325" s="269"/>
      <c r="Z1325" s="269"/>
      <c r="AA1325" s="134"/>
      <c r="AB1325" s="269"/>
      <c r="AC1325" s="284"/>
      <c r="AD1325" s="284"/>
      <c r="AE1325" s="269"/>
    </row>
    <row r="1326" spans="2:31">
      <c r="B1326" s="83"/>
      <c r="C1326" s="81"/>
      <c r="D1326" s="83"/>
      <c r="E1326" s="81"/>
      <c r="F1326" s="269"/>
      <c r="G1326" s="48"/>
      <c r="H1326" s="269"/>
      <c r="I1326" s="72"/>
      <c r="J1326" s="330"/>
      <c r="K1326" s="75"/>
      <c r="L1326" s="157"/>
      <c r="M1326" s="341"/>
      <c r="N1326" s="334"/>
      <c r="T1326" s="110"/>
      <c r="V1326" s="232"/>
      <c r="W1326" s="269"/>
      <c r="X1326" s="201"/>
      <c r="Y1326" s="269"/>
      <c r="Z1326" s="269"/>
      <c r="AA1326" s="134"/>
      <c r="AB1326" s="269"/>
      <c r="AC1326" s="284"/>
      <c r="AD1326" s="284"/>
      <c r="AE1326" s="269"/>
    </row>
    <row r="1327" spans="2:31">
      <c r="B1327" s="83"/>
      <c r="C1327" s="81"/>
      <c r="D1327" s="83"/>
      <c r="E1327" s="81"/>
      <c r="F1327" s="269"/>
      <c r="G1327" s="48"/>
      <c r="H1327" s="269"/>
      <c r="I1327" s="72"/>
      <c r="J1327" s="330"/>
      <c r="K1327" s="75"/>
      <c r="L1327" s="157"/>
      <c r="M1327" s="341"/>
      <c r="N1327" s="334"/>
      <c r="P1327" s="392"/>
      <c r="Q1327" s="363"/>
      <c r="T1327" s="110"/>
      <c r="V1327" s="232"/>
      <c r="W1327" s="269"/>
      <c r="X1327" s="201"/>
      <c r="Y1327" s="269"/>
      <c r="Z1327" s="269"/>
      <c r="AA1327" s="134"/>
      <c r="AB1327" s="269"/>
      <c r="AC1327" s="284"/>
      <c r="AD1327" s="284"/>
      <c r="AE1327" s="269"/>
    </row>
    <row r="1328" spans="2:31">
      <c r="B1328" s="83"/>
      <c r="C1328" s="81"/>
      <c r="D1328" s="83"/>
      <c r="E1328" s="81"/>
      <c r="F1328" s="269"/>
      <c r="G1328" s="48"/>
      <c r="H1328" s="269"/>
      <c r="I1328" s="72"/>
      <c r="J1328" s="330"/>
      <c r="K1328" s="75"/>
      <c r="L1328" s="157"/>
      <c r="M1328" s="341"/>
      <c r="N1328" s="334"/>
      <c r="P1328" s="392"/>
      <c r="Q1328" s="363"/>
      <c r="T1328" s="110"/>
      <c r="V1328" s="232"/>
      <c r="W1328" s="269"/>
      <c r="X1328" s="201"/>
      <c r="Y1328" s="269"/>
      <c r="Z1328" s="269"/>
      <c r="AA1328" s="134"/>
      <c r="AB1328" s="269"/>
      <c r="AC1328" s="284"/>
      <c r="AD1328" s="284"/>
      <c r="AE1328" s="269"/>
    </row>
    <row r="1329" spans="2:31">
      <c r="B1329" s="83"/>
      <c r="C1329" s="81"/>
      <c r="D1329" s="83"/>
      <c r="E1329" s="81"/>
      <c r="F1329" s="269"/>
      <c r="G1329" s="48"/>
      <c r="H1329" s="269"/>
      <c r="I1329" s="72"/>
      <c r="J1329" s="330"/>
      <c r="K1329" s="75"/>
      <c r="L1329" s="157"/>
      <c r="M1329" s="341"/>
      <c r="N1329" s="334"/>
      <c r="P1329" s="392"/>
      <c r="Q1329" s="363"/>
      <c r="T1329" s="110"/>
      <c r="V1329" s="232"/>
      <c r="W1329" s="269"/>
      <c r="X1329" s="201"/>
      <c r="Y1329" s="269"/>
      <c r="Z1329" s="269"/>
      <c r="AA1329" s="134"/>
      <c r="AB1329" s="269"/>
      <c r="AC1329" s="284"/>
      <c r="AD1329" s="284"/>
      <c r="AE1329" s="269"/>
    </row>
    <row r="1330" spans="2:31">
      <c r="B1330" s="83"/>
      <c r="C1330" s="81"/>
      <c r="D1330" s="83"/>
      <c r="E1330" s="81"/>
      <c r="F1330" s="269"/>
      <c r="G1330" s="48"/>
      <c r="H1330" s="269"/>
      <c r="I1330" s="72"/>
      <c r="J1330" s="330"/>
      <c r="K1330" s="75"/>
      <c r="L1330" s="157"/>
      <c r="M1330" s="341"/>
      <c r="N1330" s="334"/>
      <c r="T1330" s="110"/>
      <c r="V1330" s="232"/>
      <c r="W1330" s="269"/>
      <c r="X1330" s="201"/>
      <c r="Y1330" s="269"/>
      <c r="Z1330" s="269"/>
      <c r="AA1330" s="134"/>
      <c r="AB1330" s="269"/>
      <c r="AC1330" s="284"/>
      <c r="AD1330" s="284"/>
      <c r="AE1330" s="269"/>
    </row>
    <row r="1331" spans="2:31">
      <c r="B1331" s="83"/>
      <c r="C1331" s="81"/>
      <c r="D1331" s="83"/>
      <c r="E1331" s="81"/>
      <c r="F1331" s="269"/>
      <c r="G1331" s="48"/>
      <c r="H1331" s="269"/>
      <c r="I1331" s="72"/>
      <c r="J1331" s="330"/>
      <c r="K1331" s="75"/>
      <c r="L1331" s="157"/>
      <c r="M1331" s="341"/>
      <c r="N1331" s="334"/>
      <c r="P1331" s="392"/>
      <c r="Q1331" s="363"/>
      <c r="T1331" s="110"/>
      <c r="V1331" s="232"/>
      <c r="W1331" s="269"/>
      <c r="X1331" s="201"/>
      <c r="Y1331" s="269"/>
      <c r="Z1331" s="269"/>
      <c r="AA1331" s="134"/>
      <c r="AB1331" s="269"/>
      <c r="AC1331" s="284"/>
      <c r="AD1331" s="284"/>
      <c r="AE1331" s="269"/>
    </row>
    <row r="1332" spans="2:31">
      <c r="B1332" s="83"/>
      <c r="C1332" s="81"/>
      <c r="D1332" s="83"/>
      <c r="E1332" s="81"/>
      <c r="F1332" s="269"/>
      <c r="G1332" s="48"/>
      <c r="H1332" s="269"/>
      <c r="I1332" s="72"/>
      <c r="J1332" s="330"/>
      <c r="K1332" s="75"/>
      <c r="L1332" s="157"/>
      <c r="M1332" s="341"/>
      <c r="N1332" s="334"/>
      <c r="P1332" s="392"/>
      <c r="Q1332" s="363"/>
      <c r="T1332" s="110"/>
      <c r="V1332" s="232"/>
      <c r="W1332" s="269"/>
      <c r="X1332" s="201"/>
      <c r="Y1332" s="269"/>
      <c r="Z1332" s="269"/>
      <c r="AA1332" s="134"/>
      <c r="AB1332" s="269"/>
      <c r="AC1332" s="284"/>
      <c r="AD1332" s="284"/>
      <c r="AE1332" s="269"/>
    </row>
    <row r="1333" spans="2:31">
      <c r="B1333" s="83"/>
      <c r="C1333" s="81"/>
      <c r="D1333" s="83"/>
      <c r="E1333" s="81"/>
      <c r="F1333" s="269"/>
      <c r="G1333" s="48"/>
      <c r="H1333" s="269"/>
      <c r="I1333" s="72"/>
      <c r="J1333" s="330"/>
      <c r="K1333" s="75"/>
      <c r="L1333" s="157"/>
      <c r="M1333" s="341"/>
      <c r="N1333" s="334"/>
      <c r="T1333" s="110"/>
      <c r="V1333" s="232"/>
      <c r="W1333" s="269"/>
      <c r="X1333" s="201"/>
      <c r="Y1333" s="269"/>
      <c r="Z1333" s="269"/>
      <c r="AA1333" s="134"/>
      <c r="AB1333" s="269"/>
      <c r="AC1333" s="284"/>
      <c r="AD1333" s="284"/>
      <c r="AE1333" s="269"/>
    </row>
    <row r="1334" spans="2:31">
      <c r="B1334" s="83"/>
      <c r="C1334" s="81"/>
      <c r="D1334" s="83"/>
      <c r="E1334" s="81"/>
      <c r="F1334" s="269"/>
      <c r="G1334" s="48"/>
      <c r="H1334" s="269"/>
      <c r="I1334" s="72"/>
      <c r="J1334" s="330"/>
      <c r="K1334" s="75"/>
      <c r="L1334" s="157"/>
      <c r="M1334" s="341"/>
      <c r="N1334" s="334"/>
      <c r="P1334" s="392"/>
      <c r="Q1334" s="363"/>
      <c r="T1334" s="110"/>
      <c r="V1334" s="232"/>
      <c r="W1334" s="269"/>
      <c r="X1334" s="201"/>
      <c r="Y1334" s="269"/>
      <c r="Z1334" s="269"/>
      <c r="AA1334" s="134"/>
      <c r="AB1334" s="269"/>
      <c r="AC1334" s="284"/>
      <c r="AD1334" s="284"/>
      <c r="AE1334" s="269"/>
    </row>
    <row r="1335" spans="2:31">
      <c r="B1335" s="83"/>
      <c r="C1335" s="81"/>
      <c r="D1335" s="83"/>
      <c r="E1335" s="81"/>
      <c r="F1335" s="269"/>
      <c r="G1335" s="48"/>
      <c r="H1335" s="269"/>
      <c r="I1335" s="72"/>
      <c r="J1335" s="330"/>
      <c r="K1335" s="75"/>
      <c r="L1335" s="157"/>
      <c r="M1335" s="341"/>
      <c r="N1335" s="334"/>
      <c r="T1335" s="110"/>
      <c r="V1335" s="232"/>
      <c r="W1335" s="269"/>
      <c r="X1335" s="201"/>
      <c r="Y1335" s="269"/>
      <c r="Z1335" s="269"/>
      <c r="AA1335" s="134"/>
      <c r="AB1335" s="269"/>
      <c r="AC1335" s="284"/>
      <c r="AD1335" s="284"/>
      <c r="AE1335" s="269"/>
    </row>
    <row r="1336" spans="2:31">
      <c r="B1336" s="83"/>
      <c r="C1336" s="81"/>
      <c r="D1336" s="83"/>
      <c r="E1336" s="81"/>
      <c r="F1336" s="269"/>
      <c r="G1336" s="48"/>
      <c r="H1336" s="269"/>
      <c r="I1336" s="72"/>
      <c r="J1336" s="330"/>
      <c r="K1336" s="75"/>
      <c r="L1336" s="157"/>
      <c r="M1336" s="341"/>
      <c r="N1336" s="334"/>
      <c r="P1336" s="392"/>
      <c r="Q1336" s="363"/>
      <c r="T1336" s="110"/>
      <c r="V1336" s="232"/>
      <c r="W1336" s="269"/>
      <c r="X1336" s="201"/>
      <c r="Y1336" s="269"/>
      <c r="Z1336" s="269"/>
      <c r="AA1336" s="134"/>
      <c r="AB1336" s="269"/>
      <c r="AC1336" s="284"/>
      <c r="AD1336" s="284"/>
      <c r="AE1336" s="269"/>
    </row>
    <row r="1337" spans="2:31">
      <c r="B1337" s="83"/>
      <c r="C1337" s="81"/>
      <c r="D1337" s="83"/>
      <c r="E1337" s="81"/>
      <c r="F1337" s="269"/>
      <c r="G1337" s="48"/>
      <c r="H1337" s="269"/>
      <c r="I1337" s="72"/>
      <c r="J1337" s="330"/>
      <c r="K1337" s="75"/>
      <c r="L1337" s="157"/>
      <c r="M1337" s="341"/>
      <c r="N1337" s="334"/>
      <c r="P1337" s="392"/>
      <c r="Q1337" s="363"/>
      <c r="T1337" s="110"/>
      <c r="V1337" s="232"/>
      <c r="W1337" s="269"/>
      <c r="X1337" s="201"/>
      <c r="Y1337" s="269"/>
      <c r="Z1337" s="269"/>
      <c r="AA1337" s="134"/>
      <c r="AB1337" s="269"/>
      <c r="AC1337" s="284"/>
      <c r="AD1337" s="284"/>
      <c r="AE1337" s="269"/>
    </row>
    <row r="1338" spans="2:31">
      <c r="B1338" s="83"/>
      <c r="C1338" s="81"/>
      <c r="D1338" s="83"/>
      <c r="E1338" s="81"/>
      <c r="F1338" s="269"/>
      <c r="G1338" s="48"/>
      <c r="H1338" s="269"/>
      <c r="I1338" s="72"/>
      <c r="J1338" s="330"/>
      <c r="K1338" s="75"/>
      <c r="L1338" s="157"/>
      <c r="M1338" s="341"/>
      <c r="N1338" s="334"/>
      <c r="P1338" s="392"/>
      <c r="Q1338" s="363"/>
      <c r="T1338" s="110"/>
      <c r="V1338" s="232"/>
      <c r="W1338" s="269"/>
      <c r="X1338" s="201"/>
      <c r="Y1338" s="269"/>
      <c r="Z1338" s="269"/>
      <c r="AA1338" s="134"/>
      <c r="AB1338" s="269"/>
      <c r="AC1338" s="284"/>
      <c r="AD1338" s="284"/>
      <c r="AE1338" s="269"/>
    </row>
    <row r="1339" spans="2:31">
      <c r="B1339" s="83"/>
      <c r="C1339" s="81"/>
      <c r="D1339" s="83"/>
      <c r="E1339" s="81"/>
      <c r="F1339" s="269"/>
      <c r="G1339" s="48"/>
      <c r="H1339" s="269"/>
      <c r="I1339" s="72"/>
      <c r="J1339" s="330"/>
      <c r="K1339" s="75"/>
      <c r="L1339" s="157"/>
      <c r="M1339" s="341"/>
      <c r="N1339" s="334"/>
      <c r="P1339" s="392"/>
      <c r="Q1339" s="363"/>
      <c r="T1339" s="110"/>
      <c r="V1339" s="232"/>
      <c r="W1339" s="269"/>
      <c r="X1339" s="201"/>
      <c r="Y1339" s="269"/>
      <c r="Z1339" s="269"/>
      <c r="AA1339" s="134"/>
      <c r="AB1339" s="269"/>
      <c r="AC1339" s="284"/>
      <c r="AD1339" s="284"/>
      <c r="AE1339" s="269"/>
    </row>
    <row r="1340" spans="2:31">
      <c r="B1340" s="83"/>
      <c r="C1340" s="81"/>
      <c r="D1340" s="83"/>
      <c r="E1340" s="81"/>
      <c r="F1340" s="269"/>
      <c r="G1340" s="48"/>
      <c r="H1340" s="269"/>
      <c r="I1340" s="72"/>
      <c r="J1340" s="330"/>
      <c r="K1340" s="75"/>
      <c r="L1340" s="157"/>
      <c r="M1340" s="341"/>
      <c r="N1340" s="334"/>
      <c r="P1340" s="392"/>
      <c r="Q1340" s="363"/>
      <c r="T1340" s="110"/>
      <c r="V1340" s="232"/>
      <c r="W1340" s="269"/>
      <c r="X1340" s="201"/>
      <c r="Y1340" s="269"/>
      <c r="Z1340" s="269"/>
      <c r="AA1340" s="134"/>
      <c r="AB1340" s="269"/>
      <c r="AC1340" s="284"/>
      <c r="AD1340" s="284"/>
      <c r="AE1340" s="269"/>
    </row>
    <row r="1341" spans="2:31">
      <c r="B1341" s="83"/>
      <c r="C1341" s="81"/>
      <c r="D1341" s="83"/>
      <c r="E1341" s="81"/>
      <c r="F1341" s="269"/>
      <c r="G1341" s="48"/>
      <c r="H1341" s="269"/>
      <c r="I1341" s="72"/>
      <c r="J1341" s="330"/>
      <c r="K1341" s="75"/>
      <c r="L1341" s="157"/>
      <c r="M1341" s="341"/>
      <c r="N1341" s="334"/>
      <c r="P1341" s="392"/>
      <c r="Q1341" s="363"/>
      <c r="T1341" s="110"/>
      <c r="V1341" s="232"/>
      <c r="W1341" s="269"/>
      <c r="X1341" s="201"/>
      <c r="Y1341" s="269"/>
      <c r="Z1341" s="269"/>
      <c r="AA1341" s="134"/>
      <c r="AB1341" s="269"/>
      <c r="AC1341" s="284"/>
      <c r="AD1341" s="284"/>
      <c r="AE1341" s="269"/>
    </row>
    <row r="1342" spans="2:31">
      <c r="B1342" s="83"/>
      <c r="C1342" s="81"/>
      <c r="D1342" s="83"/>
      <c r="E1342" s="81"/>
      <c r="F1342" s="269"/>
      <c r="G1342" s="48"/>
      <c r="H1342" s="269"/>
      <c r="I1342" s="72"/>
      <c r="J1342" s="330"/>
      <c r="K1342" s="75"/>
      <c r="L1342" s="157"/>
      <c r="M1342" s="341"/>
      <c r="N1342" s="334"/>
      <c r="P1342" s="392"/>
      <c r="Q1342" s="363"/>
      <c r="T1342" s="110"/>
      <c r="V1342" s="232"/>
      <c r="W1342" s="269"/>
      <c r="X1342" s="201"/>
      <c r="Y1342" s="269"/>
      <c r="Z1342" s="269"/>
      <c r="AA1342" s="134"/>
      <c r="AB1342" s="269"/>
      <c r="AC1342" s="284"/>
      <c r="AD1342" s="284"/>
      <c r="AE1342" s="269"/>
    </row>
    <row r="1343" spans="2:31">
      <c r="B1343" s="83"/>
      <c r="C1343" s="81"/>
      <c r="D1343" s="83"/>
      <c r="E1343" s="81"/>
      <c r="F1343" s="269"/>
      <c r="G1343" s="48"/>
      <c r="H1343" s="269"/>
      <c r="I1343" s="72"/>
      <c r="J1343" s="330"/>
      <c r="K1343" s="75"/>
      <c r="L1343" s="157"/>
      <c r="M1343" s="341"/>
      <c r="N1343" s="334"/>
      <c r="P1343" s="392"/>
      <c r="Q1343" s="363"/>
      <c r="T1343" s="110"/>
      <c r="V1343" s="232"/>
      <c r="W1343" s="269"/>
      <c r="X1343" s="201"/>
      <c r="Y1343" s="269"/>
      <c r="Z1343" s="269"/>
      <c r="AA1343" s="134"/>
      <c r="AB1343" s="269"/>
      <c r="AC1343" s="284"/>
      <c r="AD1343" s="284"/>
      <c r="AE1343" s="269"/>
    </row>
    <row r="1344" spans="2:31">
      <c r="B1344" s="83"/>
      <c r="C1344" s="81"/>
      <c r="D1344" s="83"/>
      <c r="E1344" s="81"/>
      <c r="F1344" s="269"/>
      <c r="G1344" s="48"/>
      <c r="H1344" s="269"/>
      <c r="I1344" s="72"/>
      <c r="J1344" s="330"/>
      <c r="K1344" s="75"/>
      <c r="L1344" s="157"/>
      <c r="M1344" s="341"/>
      <c r="N1344" s="334"/>
      <c r="T1344" s="110"/>
      <c r="V1344" s="232"/>
      <c r="W1344" s="269"/>
      <c r="X1344" s="201"/>
      <c r="Y1344" s="269"/>
      <c r="Z1344" s="269"/>
      <c r="AA1344" s="134"/>
      <c r="AB1344" s="269"/>
      <c r="AC1344" s="284"/>
      <c r="AD1344" s="284"/>
      <c r="AE1344" s="269"/>
    </row>
    <row r="1345" spans="2:31">
      <c r="B1345" s="83"/>
      <c r="C1345" s="81"/>
      <c r="D1345" s="83"/>
      <c r="E1345" s="81"/>
      <c r="F1345" s="269"/>
      <c r="G1345" s="48"/>
      <c r="H1345" s="269"/>
      <c r="I1345" s="72"/>
      <c r="J1345" s="330"/>
      <c r="K1345" s="75"/>
      <c r="L1345" s="157"/>
      <c r="M1345" s="341"/>
      <c r="N1345" s="334"/>
      <c r="T1345" s="110"/>
      <c r="V1345" s="232"/>
      <c r="W1345" s="269"/>
      <c r="X1345" s="201"/>
      <c r="Y1345" s="269"/>
      <c r="Z1345" s="269"/>
      <c r="AA1345" s="134"/>
      <c r="AB1345" s="269"/>
      <c r="AC1345" s="284"/>
      <c r="AD1345" s="284"/>
      <c r="AE1345" s="269"/>
    </row>
    <row r="1346" spans="2:31">
      <c r="B1346" s="83"/>
      <c r="C1346" s="81"/>
      <c r="D1346" s="83"/>
      <c r="E1346" s="81"/>
      <c r="F1346" s="269"/>
      <c r="G1346" s="48"/>
      <c r="H1346" s="269"/>
      <c r="I1346" s="72"/>
      <c r="J1346" s="330"/>
      <c r="K1346" s="75"/>
      <c r="L1346" s="157"/>
      <c r="M1346" s="341"/>
      <c r="N1346" s="334"/>
      <c r="T1346" s="110"/>
      <c r="V1346" s="232"/>
      <c r="W1346" s="269"/>
      <c r="X1346" s="201"/>
      <c r="Y1346" s="269"/>
      <c r="Z1346" s="269"/>
      <c r="AA1346" s="134"/>
      <c r="AB1346" s="269"/>
      <c r="AC1346" s="284"/>
      <c r="AD1346" s="284"/>
      <c r="AE1346" s="269"/>
    </row>
    <row r="1347" spans="2:31">
      <c r="B1347" s="83"/>
      <c r="C1347" s="81"/>
      <c r="D1347" s="83"/>
      <c r="E1347" s="81"/>
      <c r="F1347" s="269"/>
      <c r="G1347" s="48"/>
      <c r="H1347" s="269"/>
      <c r="I1347" s="72"/>
      <c r="J1347" s="330"/>
      <c r="K1347" s="75"/>
      <c r="L1347" s="157"/>
      <c r="M1347" s="341"/>
      <c r="N1347" s="334"/>
      <c r="T1347" s="110"/>
      <c r="V1347" s="232"/>
      <c r="W1347" s="269"/>
      <c r="X1347" s="201"/>
      <c r="Y1347" s="269"/>
      <c r="Z1347" s="269"/>
      <c r="AA1347" s="134"/>
      <c r="AB1347" s="269"/>
      <c r="AC1347" s="284"/>
      <c r="AD1347" s="284"/>
      <c r="AE1347" s="269"/>
    </row>
    <row r="1348" spans="2:31">
      <c r="B1348" s="83"/>
      <c r="C1348" s="81"/>
      <c r="D1348" s="83"/>
      <c r="E1348" s="81"/>
      <c r="F1348" s="269"/>
      <c r="G1348" s="48"/>
      <c r="H1348" s="269"/>
      <c r="I1348" s="72"/>
      <c r="J1348" s="330"/>
      <c r="K1348" s="75"/>
      <c r="L1348" s="157"/>
      <c r="M1348" s="341"/>
      <c r="N1348" s="334"/>
      <c r="T1348" s="110"/>
      <c r="V1348" s="232"/>
      <c r="W1348" s="269"/>
      <c r="X1348" s="201"/>
      <c r="Y1348" s="269"/>
      <c r="Z1348" s="269"/>
      <c r="AA1348" s="134"/>
      <c r="AB1348" s="269"/>
      <c r="AC1348" s="284"/>
      <c r="AD1348" s="284"/>
      <c r="AE1348" s="269"/>
    </row>
    <row r="1349" spans="2:31">
      <c r="B1349" s="83"/>
      <c r="C1349" s="81"/>
      <c r="D1349" s="83"/>
      <c r="E1349" s="81"/>
      <c r="F1349" s="269"/>
      <c r="G1349" s="48"/>
      <c r="H1349" s="269"/>
      <c r="I1349" s="72"/>
      <c r="J1349" s="330"/>
      <c r="K1349" s="75"/>
      <c r="L1349" s="157"/>
      <c r="M1349" s="341"/>
      <c r="N1349" s="334"/>
      <c r="T1349" s="110"/>
      <c r="V1349" s="232"/>
      <c r="W1349" s="269"/>
      <c r="X1349" s="201"/>
      <c r="Y1349" s="269"/>
      <c r="Z1349" s="269"/>
      <c r="AA1349" s="134"/>
      <c r="AB1349" s="269"/>
      <c r="AC1349" s="284"/>
      <c r="AD1349" s="284"/>
      <c r="AE1349" s="269"/>
    </row>
    <row r="1350" spans="2:31">
      <c r="B1350" s="83"/>
      <c r="C1350" s="81"/>
      <c r="D1350" s="83"/>
      <c r="E1350" s="81"/>
      <c r="F1350" s="269"/>
      <c r="G1350" s="48"/>
      <c r="H1350" s="269"/>
      <c r="I1350" s="72"/>
      <c r="J1350" s="330"/>
      <c r="K1350" s="75"/>
      <c r="L1350" s="157"/>
      <c r="M1350" s="341"/>
      <c r="N1350" s="334"/>
      <c r="T1350" s="110"/>
      <c r="V1350" s="232"/>
      <c r="W1350" s="269"/>
      <c r="X1350" s="201"/>
      <c r="Y1350" s="269"/>
      <c r="Z1350" s="269"/>
      <c r="AA1350" s="134"/>
      <c r="AB1350" s="269"/>
      <c r="AC1350" s="284"/>
      <c r="AD1350" s="284"/>
      <c r="AE1350" s="269"/>
    </row>
    <row r="1351" spans="2:31">
      <c r="B1351" s="83"/>
      <c r="C1351" s="81"/>
      <c r="D1351" s="83"/>
      <c r="E1351" s="81"/>
      <c r="F1351" s="269"/>
      <c r="G1351" s="48"/>
      <c r="H1351" s="269"/>
      <c r="I1351" s="72"/>
      <c r="J1351" s="330"/>
      <c r="K1351" s="75"/>
      <c r="L1351" s="157"/>
      <c r="M1351" s="341"/>
      <c r="N1351" s="334"/>
      <c r="T1351" s="110"/>
      <c r="V1351" s="232"/>
      <c r="W1351" s="269"/>
      <c r="X1351" s="201"/>
      <c r="Y1351" s="269"/>
      <c r="Z1351" s="269"/>
      <c r="AA1351" s="134"/>
      <c r="AB1351" s="269"/>
      <c r="AC1351" s="284"/>
      <c r="AD1351" s="284"/>
      <c r="AE1351" s="269"/>
    </row>
    <row r="1352" spans="2:31">
      <c r="B1352" s="83"/>
      <c r="C1352" s="81"/>
      <c r="D1352" s="83"/>
      <c r="E1352" s="81"/>
      <c r="F1352" s="269"/>
      <c r="G1352" s="48"/>
      <c r="H1352" s="269"/>
      <c r="I1352" s="72"/>
      <c r="J1352" s="330"/>
      <c r="K1352" s="75"/>
      <c r="L1352" s="157"/>
      <c r="M1352" s="341"/>
      <c r="N1352" s="334"/>
      <c r="P1352" s="392"/>
      <c r="Q1352" s="363"/>
      <c r="T1352" s="110"/>
      <c r="V1352" s="232"/>
      <c r="W1352" s="269"/>
      <c r="X1352" s="201"/>
      <c r="Y1352" s="269"/>
      <c r="Z1352" s="269"/>
      <c r="AA1352" s="134"/>
      <c r="AB1352" s="269"/>
      <c r="AC1352" s="284"/>
      <c r="AD1352" s="284"/>
      <c r="AE1352" s="269"/>
    </row>
    <row r="1353" spans="2:31">
      <c r="B1353" s="83"/>
      <c r="C1353" s="81"/>
      <c r="D1353" s="83"/>
      <c r="E1353" s="81"/>
      <c r="F1353" s="269"/>
      <c r="G1353" s="48"/>
      <c r="H1353" s="269"/>
      <c r="I1353" s="72"/>
      <c r="J1353" s="330"/>
      <c r="K1353" s="75"/>
      <c r="L1353" s="157"/>
      <c r="M1353" s="341"/>
      <c r="N1353" s="334"/>
      <c r="P1353" s="392"/>
      <c r="Q1353" s="363"/>
      <c r="T1353" s="110"/>
      <c r="V1353" s="232"/>
      <c r="W1353" s="269"/>
      <c r="X1353" s="201"/>
      <c r="Y1353" s="269"/>
      <c r="Z1353" s="269"/>
      <c r="AA1353" s="134"/>
      <c r="AB1353" s="269"/>
      <c r="AC1353" s="284"/>
      <c r="AD1353" s="284"/>
      <c r="AE1353" s="269"/>
    </row>
    <row r="1354" spans="2:31">
      <c r="B1354" s="83"/>
      <c r="C1354" s="81"/>
      <c r="D1354" s="83"/>
      <c r="E1354" s="81"/>
      <c r="F1354" s="269"/>
      <c r="G1354" s="48"/>
      <c r="H1354" s="269"/>
      <c r="I1354" s="72"/>
      <c r="J1354" s="330"/>
      <c r="K1354" s="75"/>
      <c r="L1354" s="157"/>
      <c r="M1354" s="341"/>
      <c r="N1354" s="334"/>
      <c r="P1354" s="392"/>
      <c r="Q1354" s="363"/>
      <c r="T1354" s="110"/>
      <c r="V1354" s="232"/>
      <c r="W1354" s="269"/>
      <c r="X1354" s="201"/>
      <c r="Y1354" s="269"/>
      <c r="Z1354" s="269"/>
      <c r="AA1354" s="134"/>
      <c r="AB1354" s="269"/>
      <c r="AC1354" s="284"/>
      <c r="AD1354" s="284"/>
      <c r="AE1354" s="269"/>
    </row>
    <row r="1355" spans="2:31">
      <c r="B1355" s="83"/>
      <c r="C1355" s="81"/>
      <c r="D1355" s="83"/>
      <c r="E1355" s="81"/>
      <c r="F1355" s="269"/>
      <c r="G1355" s="48"/>
      <c r="H1355" s="269"/>
      <c r="I1355" s="72"/>
      <c r="J1355" s="330"/>
      <c r="K1355" s="75"/>
      <c r="L1355" s="157"/>
      <c r="M1355" s="341"/>
      <c r="N1355" s="334"/>
      <c r="T1355" s="110"/>
      <c r="V1355" s="232"/>
      <c r="W1355" s="269"/>
      <c r="X1355" s="201"/>
      <c r="Y1355" s="269"/>
      <c r="Z1355" s="269"/>
      <c r="AA1355" s="134"/>
      <c r="AB1355" s="269"/>
      <c r="AC1355" s="284"/>
      <c r="AD1355" s="284"/>
      <c r="AE1355" s="269"/>
    </row>
    <row r="1356" spans="2:31">
      <c r="B1356" s="83"/>
      <c r="C1356" s="81"/>
      <c r="D1356" s="83"/>
      <c r="E1356" s="81"/>
      <c r="F1356" s="269"/>
      <c r="G1356" s="48"/>
      <c r="H1356" s="269"/>
      <c r="I1356" s="72"/>
      <c r="J1356" s="330"/>
      <c r="K1356" s="75"/>
      <c r="L1356" s="157"/>
      <c r="M1356" s="341"/>
      <c r="N1356" s="334"/>
      <c r="P1356" s="392"/>
      <c r="Q1356" s="363"/>
      <c r="T1356" s="110"/>
      <c r="V1356" s="232"/>
      <c r="W1356" s="269"/>
      <c r="X1356" s="201"/>
      <c r="Y1356" s="269"/>
      <c r="Z1356" s="269"/>
      <c r="AA1356" s="134"/>
      <c r="AB1356" s="269"/>
      <c r="AC1356" s="284"/>
      <c r="AD1356" s="284"/>
      <c r="AE1356" s="269"/>
    </row>
    <row r="1357" spans="2:31">
      <c r="B1357" s="83"/>
      <c r="C1357" s="81"/>
      <c r="D1357" s="83"/>
      <c r="E1357" s="81"/>
      <c r="F1357" s="269"/>
      <c r="G1357" s="48"/>
      <c r="H1357" s="269"/>
      <c r="I1357" s="72"/>
      <c r="J1357" s="330"/>
      <c r="K1357" s="75"/>
      <c r="L1357" s="157"/>
      <c r="M1357" s="341"/>
      <c r="N1357" s="334"/>
      <c r="P1357" s="392"/>
      <c r="Q1357" s="363"/>
      <c r="T1357" s="110"/>
      <c r="V1357" s="232"/>
      <c r="W1357" s="269"/>
      <c r="X1357" s="201"/>
      <c r="Y1357" s="269"/>
      <c r="Z1357" s="269"/>
      <c r="AA1357" s="134"/>
      <c r="AB1357" s="269"/>
      <c r="AC1357" s="284"/>
      <c r="AD1357" s="284"/>
      <c r="AE1357" s="269"/>
    </row>
    <row r="1358" spans="2:31">
      <c r="B1358" s="83"/>
      <c r="C1358" s="81"/>
      <c r="D1358" s="83"/>
      <c r="E1358" s="81"/>
      <c r="F1358" s="269"/>
      <c r="G1358" s="48"/>
      <c r="H1358" s="269"/>
      <c r="I1358" s="72"/>
      <c r="J1358" s="330"/>
      <c r="K1358" s="75"/>
      <c r="L1358" s="157"/>
      <c r="M1358" s="341"/>
      <c r="N1358" s="334"/>
      <c r="P1358" s="392"/>
      <c r="Q1358" s="363"/>
      <c r="T1358" s="110"/>
      <c r="V1358" s="232"/>
      <c r="W1358" s="269"/>
      <c r="X1358" s="201"/>
      <c r="Y1358" s="269"/>
      <c r="Z1358" s="269"/>
      <c r="AA1358" s="134"/>
      <c r="AB1358" s="269"/>
      <c r="AC1358" s="284"/>
      <c r="AD1358" s="284"/>
      <c r="AE1358" s="269"/>
    </row>
    <row r="1359" spans="2:31">
      <c r="B1359" s="83"/>
      <c r="C1359" s="81"/>
      <c r="D1359" s="83"/>
      <c r="E1359" s="81"/>
      <c r="F1359" s="269"/>
      <c r="G1359" s="48"/>
      <c r="H1359" s="269"/>
      <c r="I1359" s="72"/>
      <c r="J1359" s="330"/>
      <c r="K1359" s="75"/>
      <c r="L1359" s="157"/>
      <c r="M1359" s="341"/>
      <c r="N1359" s="334"/>
      <c r="P1359" s="392"/>
      <c r="Q1359" s="363"/>
      <c r="T1359" s="110"/>
      <c r="V1359" s="232"/>
      <c r="W1359" s="269"/>
      <c r="X1359" s="201"/>
      <c r="Y1359" s="269"/>
      <c r="Z1359" s="269"/>
      <c r="AA1359" s="134"/>
      <c r="AB1359" s="269"/>
      <c r="AC1359" s="284"/>
      <c r="AD1359" s="284"/>
      <c r="AE1359" s="269"/>
    </row>
    <row r="1360" spans="2:31">
      <c r="B1360" s="83"/>
      <c r="C1360" s="81"/>
      <c r="D1360" s="83"/>
      <c r="E1360" s="81"/>
      <c r="F1360" s="269"/>
      <c r="G1360" s="48"/>
      <c r="H1360" s="269"/>
      <c r="I1360" s="72"/>
      <c r="J1360" s="330"/>
      <c r="K1360" s="75"/>
      <c r="L1360" s="157"/>
      <c r="M1360" s="341"/>
      <c r="N1360" s="334"/>
      <c r="T1360" s="110"/>
      <c r="V1360" s="232"/>
      <c r="W1360" s="269"/>
      <c r="X1360" s="201"/>
      <c r="Y1360" s="269"/>
      <c r="Z1360" s="269"/>
      <c r="AA1360" s="134"/>
      <c r="AB1360" s="269"/>
      <c r="AC1360" s="284"/>
      <c r="AD1360" s="284"/>
      <c r="AE1360" s="269"/>
    </row>
    <row r="1361" spans="2:31">
      <c r="B1361" s="83"/>
      <c r="C1361" s="81"/>
      <c r="D1361" s="83"/>
      <c r="E1361" s="81"/>
      <c r="F1361" s="269"/>
      <c r="G1361" s="48"/>
      <c r="H1361" s="269"/>
      <c r="I1361" s="72"/>
      <c r="J1361" s="330"/>
      <c r="K1361" s="75"/>
      <c r="L1361" s="157"/>
      <c r="M1361" s="341"/>
      <c r="N1361" s="334"/>
      <c r="T1361" s="110"/>
      <c r="V1361" s="232"/>
      <c r="W1361" s="269"/>
      <c r="X1361" s="201"/>
      <c r="Y1361" s="269"/>
      <c r="Z1361" s="269"/>
      <c r="AA1361" s="134"/>
      <c r="AB1361" s="269"/>
      <c r="AC1361" s="284"/>
      <c r="AD1361" s="284"/>
      <c r="AE1361" s="269"/>
    </row>
    <row r="1362" spans="2:31">
      <c r="B1362" s="83"/>
      <c r="C1362" s="81"/>
      <c r="D1362" s="83"/>
      <c r="E1362" s="81"/>
      <c r="F1362" s="269"/>
      <c r="G1362" s="48"/>
      <c r="H1362" s="269"/>
      <c r="I1362" s="72"/>
      <c r="J1362" s="330"/>
      <c r="K1362" s="75"/>
      <c r="L1362" s="157"/>
      <c r="M1362" s="341"/>
      <c r="N1362" s="334"/>
      <c r="T1362" s="110"/>
      <c r="V1362" s="232"/>
      <c r="W1362" s="269"/>
      <c r="X1362" s="201"/>
      <c r="Y1362" s="269"/>
      <c r="Z1362" s="269"/>
      <c r="AA1362" s="134"/>
      <c r="AB1362" s="269"/>
      <c r="AC1362" s="284"/>
      <c r="AD1362" s="284"/>
      <c r="AE1362" s="269"/>
    </row>
    <row r="1363" spans="2:31">
      <c r="B1363" s="83"/>
      <c r="C1363" s="81"/>
      <c r="D1363" s="83"/>
      <c r="E1363" s="81"/>
      <c r="F1363" s="269"/>
      <c r="G1363" s="48"/>
      <c r="H1363" s="269"/>
      <c r="I1363" s="72"/>
      <c r="J1363" s="330"/>
      <c r="K1363" s="75"/>
      <c r="L1363" s="157"/>
      <c r="M1363" s="341"/>
      <c r="N1363" s="334"/>
      <c r="T1363" s="110"/>
      <c r="V1363" s="232"/>
      <c r="W1363" s="269"/>
      <c r="X1363" s="201"/>
      <c r="Y1363" s="269"/>
      <c r="Z1363" s="269"/>
      <c r="AA1363" s="134"/>
      <c r="AB1363" s="269"/>
      <c r="AC1363" s="284"/>
      <c r="AD1363" s="284"/>
      <c r="AE1363" s="269"/>
    </row>
    <row r="1364" spans="2:31">
      <c r="B1364" s="83"/>
      <c r="C1364" s="81"/>
      <c r="D1364" s="83"/>
      <c r="E1364" s="81"/>
      <c r="F1364" s="269"/>
      <c r="G1364" s="48"/>
      <c r="H1364" s="269"/>
      <c r="I1364" s="72"/>
      <c r="J1364" s="330"/>
      <c r="K1364" s="75"/>
      <c r="L1364" s="157"/>
      <c r="M1364" s="341"/>
      <c r="N1364" s="334"/>
      <c r="T1364" s="110"/>
      <c r="V1364" s="232"/>
      <c r="W1364" s="269"/>
      <c r="X1364" s="201"/>
      <c r="Y1364" s="269"/>
      <c r="Z1364" s="269"/>
      <c r="AA1364" s="134"/>
      <c r="AB1364" s="269"/>
      <c r="AC1364" s="284"/>
      <c r="AD1364" s="284"/>
      <c r="AE1364" s="269"/>
    </row>
    <row r="1365" spans="2:31">
      <c r="B1365" s="83"/>
      <c r="C1365" s="81"/>
      <c r="D1365" s="83"/>
      <c r="E1365" s="81"/>
      <c r="F1365" s="269"/>
      <c r="G1365" s="48"/>
      <c r="H1365" s="269"/>
      <c r="I1365" s="72"/>
      <c r="J1365" s="330"/>
      <c r="K1365" s="75"/>
      <c r="L1365" s="157"/>
      <c r="M1365" s="341"/>
      <c r="N1365" s="334"/>
      <c r="T1365" s="110"/>
      <c r="V1365" s="232"/>
      <c r="W1365" s="269"/>
      <c r="X1365" s="201"/>
      <c r="Y1365" s="269"/>
      <c r="Z1365" s="269"/>
      <c r="AA1365" s="134"/>
      <c r="AB1365" s="269"/>
      <c r="AC1365" s="284"/>
      <c r="AD1365" s="284"/>
      <c r="AE1365" s="269"/>
    </row>
    <row r="1366" spans="2:31">
      <c r="B1366" s="83"/>
      <c r="C1366" s="81"/>
      <c r="D1366" s="83"/>
      <c r="E1366" s="81"/>
      <c r="F1366" s="269"/>
      <c r="G1366" s="48"/>
      <c r="H1366" s="269"/>
      <c r="I1366" s="72"/>
      <c r="J1366" s="330"/>
      <c r="K1366" s="75"/>
      <c r="L1366" s="157"/>
      <c r="M1366" s="341"/>
      <c r="N1366" s="334"/>
      <c r="T1366" s="110"/>
      <c r="V1366" s="232"/>
      <c r="W1366" s="269"/>
      <c r="X1366" s="201"/>
      <c r="Y1366" s="269"/>
      <c r="Z1366" s="269"/>
      <c r="AA1366" s="134"/>
      <c r="AB1366" s="269"/>
      <c r="AC1366" s="284"/>
      <c r="AD1366" s="284"/>
      <c r="AE1366" s="269"/>
    </row>
    <row r="1367" spans="2:31">
      <c r="B1367" s="83"/>
      <c r="C1367" s="81"/>
      <c r="D1367" s="83"/>
      <c r="E1367" s="81"/>
      <c r="F1367" s="269"/>
      <c r="G1367" s="48"/>
      <c r="H1367" s="269"/>
      <c r="I1367" s="72"/>
      <c r="J1367" s="330"/>
      <c r="K1367" s="75"/>
      <c r="L1367" s="157"/>
      <c r="M1367" s="341"/>
      <c r="N1367" s="334"/>
      <c r="T1367" s="110"/>
      <c r="V1367" s="232"/>
      <c r="W1367" s="269"/>
      <c r="X1367" s="201"/>
      <c r="Y1367" s="269"/>
      <c r="Z1367" s="269"/>
      <c r="AA1367" s="134"/>
      <c r="AB1367" s="269"/>
      <c r="AC1367" s="284"/>
      <c r="AD1367" s="284"/>
      <c r="AE1367" s="269"/>
    </row>
    <row r="1368" spans="2:31">
      <c r="B1368" s="83"/>
      <c r="C1368" s="81"/>
      <c r="D1368" s="83"/>
      <c r="E1368" s="81"/>
      <c r="F1368" s="269"/>
      <c r="G1368" s="48"/>
      <c r="H1368" s="269"/>
      <c r="I1368" s="72"/>
      <c r="J1368" s="330"/>
      <c r="K1368" s="75"/>
      <c r="L1368" s="157"/>
      <c r="M1368" s="341"/>
      <c r="N1368" s="334"/>
      <c r="T1368" s="110"/>
      <c r="V1368" s="232"/>
      <c r="W1368" s="269"/>
      <c r="X1368" s="201"/>
      <c r="Y1368" s="269"/>
      <c r="Z1368" s="269"/>
      <c r="AA1368" s="134"/>
      <c r="AB1368" s="269"/>
      <c r="AC1368" s="284"/>
      <c r="AD1368" s="284"/>
      <c r="AE1368" s="269"/>
    </row>
    <row r="1369" spans="2:31">
      <c r="B1369" s="83"/>
      <c r="C1369" s="81"/>
      <c r="D1369" s="83"/>
      <c r="E1369" s="81"/>
      <c r="F1369" s="269"/>
      <c r="G1369" s="48"/>
      <c r="H1369" s="269"/>
      <c r="I1369" s="72"/>
      <c r="J1369" s="330"/>
      <c r="K1369" s="75"/>
      <c r="L1369" s="157"/>
      <c r="M1369" s="341"/>
      <c r="N1369" s="334"/>
      <c r="T1369" s="110"/>
      <c r="V1369" s="232"/>
      <c r="W1369" s="269"/>
      <c r="X1369" s="201"/>
      <c r="Y1369" s="269"/>
      <c r="Z1369" s="269"/>
      <c r="AA1369" s="134"/>
      <c r="AB1369" s="269"/>
      <c r="AC1369" s="284"/>
      <c r="AD1369" s="284"/>
      <c r="AE1369" s="269"/>
    </row>
    <row r="1370" spans="2:31">
      <c r="B1370" s="83"/>
      <c r="C1370" s="81"/>
      <c r="D1370" s="83"/>
      <c r="E1370" s="81"/>
      <c r="F1370" s="269"/>
      <c r="G1370" s="48"/>
      <c r="H1370" s="269"/>
      <c r="I1370" s="72"/>
      <c r="J1370" s="330"/>
      <c r="K1370" s="75"/>
      <c r="L1370" s="157"/>
      <c r="M1370" s="341"/>
      <c r="N1370" s="334"/>
      <c r="T1370" s="110"/>
      <c r="V1370" s="232"/>
      <c r="W1370" s="269"/>
      <c r="X1370" s="201"/>
      <c r="Y1370" s="269"/>
      <c r="Z1370" s="269"/>
      <c r="AA1370" s="134"/>
      <c r="AB1370" s="269"/>
      <c r="AC1370" s="284"/>
      <c r="AD1370" s="284"/>
      <c r="AE1370" s="269"/>
    </row>
    <row r="1371" spans="2:31">
      <c r="B1371" s="83"/>
      <c r="C1371" s="81"/>
      <c r="D1371" s="83"/>
      <c r="E1371" s="81"/>
      <c r="F1371" s="269"/>
      <c r="G1371" s="48"/>
      <c r="H1371" s="269"/>
      <c r="I1371" s="72"/>
      <c r="J1371" s="330"/>
      <c r="K1371" s="75"/>
      <c r="L1371" s="157"/>
      <c r="M1371" s="341"/>
      <c r="N1371" s="334"/>
      <c r="T1371" s="110"/>
      <c r="V1371" s="232"/>
      <c r="W1371" s="269"/>
      <c r="X1371" s="201"/>
      <c r="Y1371" s="269"/>
      <c r="Z1371" s="269"/>
      <c r="AA1371" s="134"/>
      <c r="AB1371" s="269"/>
      <c r="AC1371" s="284"/>
      <c r="AD1371" s="284"/>
      <c r="AE1371" s="269"/>
    </row>
    <row r="1372" spans="2:31">
      <c r="B1372" s="83"/>
      <c r="C1372" s="81"/>
      <c r="D1372" s="83"/>
      <c r="E1372" s="81"/>
      <c r="F1372" s="269"/>
      <c r="G1372" s="48"/>
      <c r="H1372" s="269"/>
      <c r="I1372" s="72"/>
      <c r="J1372" s="330"/>
      <c r="K1372" s="75"/>
      <c r="L1372" s="157"/>
      <c r="M1372" s="341"/>
      <c r="N1372" s="334"/>
      <c r="T1372" s="110"/>
      <c r="V1372" s="232"/>
      <c r="W1372" s="269"/>
      <c r="X1372" s="201"/>
      <c r="Y1372" s="269"/>
      <c r="Z1372" s="269"/>
      <c r="AA1372" s="134"/>
      <c r="AB1372" s="269"/>
      <c r="AC1372" s="284"/>
      <c r="AD1372" s="284"/>
      <c r="AE1372" s="269"/>
    </row>
    <row r="1373" spans="2:31">
      <c r="B1373" s="83"/>
      <c r="C1373" s="81"/>
      <c r="D1373" s="83"/>
      <c r="E1373" s="81"/>
      <c r="F1373" s="269"/>
      <c r="G1373" s="48"/>
      <c r="H1373" s="269"/>
      <c r="I1373" s="72"/>
      <c r="J1373" s="330"/>
      <c r="K1373" s="75"/>
      <c r="L1373" s="157"/>
      <c r="M1373" s="341"/>
      <c r="N1373" s="334"/>
      <c r="T1373" s="110"/>
      <c r="V1373" s="232"/>
      <c r="W1373" s="269"/>
      <c r="X1373" s="201"/>
      <c r="Y1373" s="269"/>
      <c r="Z1373" s="269"/>
      <c r="AA1373" s="134"/>
      <c r="AB1373" s="269"/>
      <c r="AC1373" s="284"/>
      <c r="AD1373" s="284"/>
      <c r="AE1373" s="269"/>
    </row>
    <row r="1374" spans="2:31">
      <c r="B1374" s="83"/>
      <c r="C1374" s="81"/>
      <c r="D1374" s="83"/>
      <c r="E1374" s="81"/>
      <c r="F1374" s="269"/>
      <c r="G1374" s="48"/>
      <c r="H1374" s="269"/>
      <c r="I1374" s="72"/>
      <c r="J1374" s="330"/>
      <c r="K1374" s="75"/>
      <c r="L1374" s="157"/>
      <c r="M1374" s="341"/>
      <c r="N1374" s="334"/>
      <c r="T1374" s="110"/>
      <c r="V1374" s="232"/>
      <c r="W1374" s="269"/>
      <c r="X1374" s="201"/>
      <c r="Y1374" s="269"/>
      <c r="Z1374" s="269"/>
      <c r="AA1374" s="134"/>
      <c r="AB1374" s="269"/>
      <c r="AC1374" s="284"/>
      <c r="AD1374" s="284"/>
      <c r="AE1374" s="269"/>
    </row>
    <row r="1375" spans="2:31">
      <c r="B1375" s="83"/>
      <c r="C1375" s="81"/>
      <c r="D1375" s="83"/>
      <c r="E1375" s="81"/>
      <c r="F1375" s="269"/>
      <c r="G1375" s="48"/>
      <c r="H1375" s="269"/>
      <c r="I1375" s="72"/>
      <c r="J1375" s="330"/>
      <c r="K1375" s="75"/>
      <c r="L1375" s="157"/>
      <c r="M1375" s="341"/>
      <c r="N1375" s="334"/>
      <c r="T1375" s="110"/>
      <c r="V1375" s="232"/>
      <c r="W1375" s="269"/>
      <c r="X1375" s="201"/>
      <c r="Y1375" s="269"/>
      <c r="Z1375" s="269"/>
      <c r="AA1375" s="134"/>
      <c r="AB1375" s="269"/>
      <c r="AC1375" s="284"/>
      <c r="AD1375" s="284"/>
      <c r="AE1375" s="269"/>
    </row>
    <row r="1376" spans="2:31">
      <c r="B1376" s="83"/>
      <c r="C1376" s="81"/>
      <c r="D1376" s="83"/>
      <c r="E1376" s="81"/>
      <c r="F1376" s="269"/>
      <c r="G1376" s="48"/>
      <c r="H1376" s="269"/>
      <c r="I1376" s="72"/>
      <c r="J1376" s="330"/>
      <c r="K1376" s="75"/>
      <c r="L1376" s="157"/>
      <c r="M1376" s="341"/>
      <c r="N1376" s="334"/>
      <c r="T1376" s="110"/>
      <c r="V1376" s="232"/>
      <c r="W1376" s="269"/>
      <c r="X1376" s="201"/>
      <c r="Y1376" s="269"/>
      <c r="Z1376" s="269"/>
      <c r="AA1376" s="134"/>
      <c r="AB1376" s="269"/>
      <c r="AC1376" s="284"/>
      <c r="AD1376" s="284"/>
      <c r="AE1376" s="269"/>
    </row>
    <row r="1377" spans="2:31">
      <c r="B1377" s="83"/>
      <c r="C1377" s="81"/>
      <c r="D1377" s="83"/>
      <c r="E1377" s="81"/>
      <c r="F1377" s="269"/>
      <c r="G1377" s="48"/>
      <c r="H1377" s="269"/>
      <c r="I1377" s="72"/>
      <c r="J1377" s="330"/>
      <c r="K1377" s="75"/>
      <c r="L1377" s="157"/>
      <c r="M1377" s="341"/>
      <c r="N1377" s="334"/>
      <c r="T1377" s="110"/>
      <c r="V1377" s="232"/>
      <c r="W1377" s="269"/>
      <c r="X1377" s="201"/>
      <c r="Y1377" s="269"/>
      <c r="Z1377" s="269"/>
      <c r="AA1377" s="134"/>
      <c r="AB1377" s="269"/>
      <c r="AC1377" s="284"/>
      <c r="AD1377" s="284"/>
      <c r="AE1377" s="269"/>
    </row>
    <row r="1378" spans="2:31">
      <c r="B1378" s="83"/>
      <c r="C1378" s="81"/>
      <c r="D1378" s="83"/>
      <c r="E1378" s="81"/>
      <c r="F1378" s="269"/>
      <c r="G1378" s="48"/>
      <c r="H1378" s="269"/>
      <c r="I1378" s="72"/>
      <c r="J1378" s="330"/>
      <c r="K1378" s="75"/>
      <c r="L1378" s="157"/>
      <c r="M1378" s="341"/>
      <c r="N1378" s="334"/>
      <c r="T1378" s="110"/>
      <c r="V1378" s="232"/>
      <c r="W1378" s="269"/>
      <c r="X1378" s="201"/>
      <c r="Y1378" s="269"/>
      <c r="Z1378" s="269"/>
      <c r="AA1378" s="134"/>
      <c r="AB1378" s="269"/>
      <c r="AC1378" s="284"/>
      <c r="AD1378" s="284"/>
      <c r="AE1378" s="269"/>
    </row>
    <row r="1379" spans="2:31">
      <c r="B1379" s="83"/>
      <c r="C1379" s="81"/>
      <c r="D1379" s="83"/>
      <c r="E1379" s="81"/>
      <c r="F1379" s="269"/>
      <c r="G1379" s="48"/>
      <c r="H1379" s="269"/>
      <c r="I1379" s="72"/>
      <c r="J1379" s="330"/>
      <c r="K1379" s="75"/>
      <c r="L1379" s="157"/>
      <c r="M1379" s="341"/>
      <c r="N1379" s="334"/>
      <c r="T1379" s="110"/>
      <c r="V1379" s="232"/>
      <c r="W1379" s="269"/>
      <c r="X1379" s="201"/>
      <c r="Y1379" s="269"/>
      <c r="Z1379" s="269"/>
      <c r="AA1379" s="134"/>
      <c r="AB1379" s="269"/>
      <c r="AC1379" s="284"/>
      <c r="AD1379" s="284"/>
      <c r="AE1379" s="269"/>
    </row>
    <row r="1380" spans="2:31">
      <c r="B1380" s="83"/>
      <c r="C1380" s="81"/>
      <c r="D1380" s="83"/>
      <c r="E1380" s="81"/>
      <c r="F1380" s="269"/>
      <c r="G1380" s="48"/>
      <c r="H1380" s="269"/>
      <c r="I1380" s="72"/>
      <c r="J1380" s="330"/>
      <c r="K1380" s="75"/>
      <c r="L1380" s="157"/>
      <c r="M1380" s="341"/>
      <c r="N1380" s="334"/>
      <c r="T1380" s="110"/>
      <c r="V1380" s="232"/>
      <c r="W1380" s="269"/>
      <c r="X1380" s="201"/>
      <c r="Y1380" s="269"/>
      <c r="Z1380" s="269"/>
      <c r="AA1380" s="134"/>
      <c r="AB1380" s="269"/>
      <c r="AC1380" s="284"/>
      <c r="AD1380" s="284"/>
      <c r="AE1380" s="269"/>
    </row>
    <row r="1381" spans="2:31">
      <c r="B1381" s="83"/>
      <c r="C1381" s="81"/>
      <c r="D1381" s="83"/>
      <c r="E1381" s="81"/>
      <c r="F1381" s="269"/>
      <c r="G1381" s="48"/>
      <c r="H1381" s="269"/>
      <c r="I1381" s="72"/>
      <c r="J1381" s="330"/>
      <c r="K1381" s="75"/>
      <c r="L1381" s="157"/>
      <c r="M1381" s="341"/>
      <c r="N1381" s="334"/>
      <c r="T1381" s="110"/>
      <c r="V1381" s="232"/>
      <c r="W1381" s="269"/>
      <c r="X1381" s="201"/>
      <c r="Y1381" s="269"/>
      <c r="Z1381" s="269"/>
      <c r="AA1381" s="134"/>
      <c r="AB1381" s="269"/>
      <c r="AC1381" s="284"/>
      <c r="AD1381" s="284"/>
      <c r="AE1381" s="269"/>
    </row>
    <row r="1382" spans="2:31">
      <c r="B1382" s="83"/>
      <c r="C1382" s="81"/>
      <c r="D1382" s="83"/>
      <c r="E1382" s="81"/>
      <c r="F1382" s="269"/>
      <c r="G1382" s="48"/>
      <c r="H1382" s="269"/>
      <c r="I1382" s="72"/>
      <c r="J1382" s="330"/>
      <c r="K1382" s="75"/>
      <c r="L1382" s="157"/>
      <c r="M1382" s="341"/>
      <c r="N1382" s="334"/>
      <c r="T1382" s="110"/>
      <c r="V1382" s="232"/>
      <c r="W1382" s="269"/>
      <c r="X1382" s="201"/>
      <c r="Y1382" s="269"/>
      <c r="Z1382" s="269"/>
      <c r="AA1382" s="134"/>
      <c r="AB1382" s="269"/>
      <c r="AC1382" s="284"/>
      <c r="AD1382" s="284"/>
      <c r="AE1382" s="269"/>
    </row>
    <row r="1383" spans="2:31">
      <c r="B1383" s="83"/>
      <c r="C1383" s="81"/>
      <c r="D1383" s="83"/>
      <c r="E1383" s="81"/>
      <c r="F1383" s="269"/>
      <c r="G1383" s="48"/>
      <c r="H1383" s="269"/>
      <c r="I1383" s="72"/>
      <c r="J1383" s="330"/>
      <c r="K1383" s="75"/>
      <c r="L1383" s="157"/>
      <c r="M1383" s="341"/>
      <c r="N1383" s="334"/>
      <c r="T1383" s="110"/>
      <c r="V1383" s="232"/>
      <c r="W1383" s="269"/>
      <c r="X1383" s="201"/>
      <c r="Y1383" s="269"/>
      <c r="Z1383" s="269"/>
      <c r="AA1383" s="134"/>
      <c r="AB1383" s="269"/>
      <c r="AC1383" s="284"/>
      <c r="AD1383" s="284"/>
      <c r="AE1383" s="269"/>
    </row>
    <row r="1384" spans="2:31">
      <c r="B1384" s="83"/>
      <c r="C1384" s="81"/>
      <c r="D1384" s="83"/>
      <c r="E1384" s="81"/>
      <c r="F1384" s="269"/>
      <c r="G1384" s="48"/>
      <c r="H1384" s="269"/>
      <c r="I1384" s="72"/>
      <c r="J1384" s="330"/>
      <c r="K1384" s="75"/>
      <c r="L1384" s="157"/>
      <c r="M1384" s="341"/>
      <c r="N1384" s="334"/>
      <c r="T1384" s="110"/>
      <c r="V1384" s="232"/>
      <c r="W1384" s="269"/>
      <c r="X1384" s="201"/>
      <c r="Y1384" s="269"/>
      <c r="Z1384" s="269"/>
      <c r="AA1384" s="134"/>
      <c r="AB1384" s="269"/>
      <c r="AC1384" s="284"/>
      <c r="AD1384" s="284"/>
      <c r="AE1384" s="269"/>
    </row>
    <row r="1385" spans="2:31">
      <c r="B1385" s="83"/>
      <c r="C1385" s="81"/>
      <c r="D1385" s="83"/>
      <c r="E1385" s="81"/>
      <c r="F1385" s="269"/>
      <c r="G1385" s="48"/>
      <c r="H1385" s="269"/>
      <c r="I1385" s="72"/>
      <c r="J1385" s="330"/>
      <c r="K1385" s="75"/>
      <c r="L1385" s="157"/>
      <c r="M1385" s="341"/>
      <c r="N1385" s="334"/>
      <c r="T1385" s="110"/>
      <c r="V1385" s="232"/>
      <c r="W1385" s="269"/>
      <c r="X1385" s="201"/>
      <c r="Y1385" s="269"/>
      <c r="Z1385" s="269"/>
      <c r="AA1385" s="134"/>
      <c r="AB1385" s="269"/>
      <c r="AC1385" s="284"/>
      <c r="AD1385" s="284"/>
      <c r="AE1385" s="269"/>
    </row>
    <row r="1386" spans="2:31">
      <c r="B1386" s="83"/>
      <c r="C1386" s="81"/>
      <c r="D1386" s="83"/>
      <c r="E1386" s="81"/>
      <c r="F1386" s="269"/>
      <c r="G1386" s="48"/>
      <c r="H1386" s="269"/>
      <c r="I1386" s="72"/>
      <c r="J1386" s="330"/>
      <c r="K1386" s="75"/>
      <c r="L1386" s="157"/>
      <c r="M1386" s="341"/>
      <c r="N1386" s="334"/>
      <c r="T1386" s="110"/>
      <c r="V1386" s="232"/>
      <c r="W1386" s="269"/>
      <c r="X1386" s="201"/>
      <c r="Y1386" s="269"/>
      <c r="Z1386" s="269"/>
      <c r="AA1386" s="134"/>
      <c r="AB1386" s="269"/>
      <c r="AC1386" s="284"/>
      <c r="AD1386" s="284"/>
      <c r="AE1386" s="269"/>
    </row>
    <row r="1387" spans="2:31">
      <c r="B1387" s="83"/>
      <c r="C1387" s="81"/>
      <c r="D1387" s="83"/>
      <c r="E1387" s="81"/>
      <c r="F1387" s="269"/>
      <c r="G1387" s="48"/>
      <c r="H1387" s="269"/>
      <c r="I1387" s="72"/>
      <c r="J1387" s="330"/>
      <c r="K1387" s="75"/>
      <c r="L1387" s="157"/>
      <c r="M1387" s="341"/>
      <c r="N1387" s="334"/>
      <c r="T1387" s="110"/>
      <c r="V1387" s="232"/>
      <c r="W1387" s="269"/>
      <c r="X1387" s="201"/>
      <c r="Y1387" s="269"/>
      <c r="Z1387" s="269"/>
      <c r="AA1387" s="134"/>
      <c r="AB1387" s="269"/>
      <c r="AC1387" s="284"/>
      <c r="AD1387" s="284"/>
      <c r="AE1387" s="269"/>
    </row>
    <row r="1388" spans="2:31">
      <c r="B1388" s="83"/>
      <c r="C1388" s="81"/>
      <c r="D1388" s="83"/>
      <c r="E1388" s="81"/>
      <c r="F1388" s="269"/>
      <c r="G1388" s="48"/>
      <c r="H1388" s="269"/>
      <c r="I1388" s="72"/>
      <c r="J1388" s="330"/>
      <c r="K1388" s="75"/>
      <c r="L1388" s="157"/>
      <c r="M1388" s="341"/>
      <c r="N1388" s="334"/>
      <c r="T1388" s="110"/>
      <c r="V1388" s="232"/>
      <c r="W1388" s="269"/>
      <c r="X1388" s="201"/>
      <c r="Y1388" s="269"/>
      <c r="Z1388" s="269"/>
      <c r="AA1388" s="134"/>
      <c r="AB1388" s="269"/>
      <c r="AC1388" s="284"/>
      <c r="AD1388" s="284"/>
      <c r="AE1388" s="269"/>
    </row>
    <row r="1389" spans="2:31">
      <c r="B1389" s="83"/>
      <c r="C1389" s="81"/>
      <c r="D1389" s="83"/>
      <c r="E1389" s="81"/>
      <c r="F1389" s="269"/>
      <c r="G1389" s="48"/>
      <c r="H1389" s="269"/>
      <c r="I1389" s="72"/>
      <c r="J1389" s="330"/>
      <c r="K1389" s="75"/>
      <c r="L1389" s="157"/>
      <c r="M1389" s="341"/>
      <c r="N1389" s="334"/>
      <c r="T1389" s="110"/>
      <c r="V1389" s="232"/>
      <c r="W1389" s="269"/>
      <c r="X1389" s="201"/>
      <c r="Y1389" s="269"/>
      <c r="Z1389" s="269"/>
      <c r="AA1389" s="134"/>
      <c r="AB1389" s="269"/>
      <c r="AC1389" s="284"/>
      <c r="AD1389" s="284"/>
      <c r="AE1389" s="269"/>
    </row>
    <row r="1390" spans="2:31">
      <c r="B1390" s="83"/>
      <c r="C1390" s="81"/>
      <c r="D1390" s="83"/>
      <c r="E1390" s="81"/>
      <c r="F1390" s="269"/>
      <c r="G1390" s="48"/>
      <c r="H1390" s="269"/>
      <c r="I1390" s="72"/>
      <c r="J1390" s="330"/>
      <c r="K1390" s="75"/>
      <c r="L1390" s="157"/>
      <c r="M1390" s="341"/>
      <c r="N1390" s="334"/>
      <c r="T1390" s="110"/>
      <c r="V1390" s="232"/>
      <c r="W1390" s="269"/>
      <c r="X1390" s="201"/>
      <c r="Y1390" s="269"/>
      <c r="Z1390" s="269"/>
      <c r="AA1390" s="134"/>
      <c r="AB1390" s="269"/>
      <c r="AC1390" s="284"/>
      <c r="AD1390" s="284"/>
      <c r="AE1390" s="269"/>
    </row>
    <row r="1391" spans="2:31">
      <c r="B1391" s="83"/>
      <c r="C1391" s="81"/>
      <c r="D1391" s="83"/>
      <c r="E1391" s="81"/>
      <c r="F1391" s="269"/>
      <c r="G1391" s="48"/>
      <c r="H1391" s="269"/>
      <c r="I1391" s="72"/>
      <c r="J1391" s="330"/>
      <c r="K1391" s="75"/>
      <c r="L1391" s="157"/>
      <c r="M1391" s="341"/>
      <c r="N1391" s="334"/>
      <c r="T1391" s="110"/>
      <c r="V1391" s="232"/>
      <c r="W1391" s="269"/>
      <c r="X1391" s="201"/>
      <c r="Y1391" s="269"/>
      <c r="Z1391" s="269"/>
      <c r="AA1391" s="134"/>
      <c r="AB1391" s="269"/>
      <c r="AC1391" s="284"/>
      <c r="AD1391" s="284"/>
      <c r="AE1391" s="269"/>
    </row>
    <row r="1392" spans="2:31">
      <c r="B1392" s="83"/>
      <c r="C1392" s="81"/>
      <c r="D1392" s="83"/>
      <c r="E1392" s="81"/>
      <c r="F1392" s="269"/>
      <c r="G1392" s="48"/>
      <c r="H1392" s="269"/>
      <c r="I1392" s="72"/>
      <c r="J1392" s="330"/>
      <c r="K1392" s="75"/>
      <c r="L1392" s="157"/>
      <c r="M1392" s="341"/>
      <c r="N1392" s="334"/>
      <c r="T1392" s="110"/>
      <c r="V1392" s="232"/>
      <c r="W1392" s="269"/>
      <c r="X1392" s="201"/>
      <c r="Y1392" s="269"/>
      <c r="Z1392" s="269"/>
      <c r="AA1392" s="134"/>
      <c r="AB1392" s="269"/>
      <c r="AC1392" s="284"/>
      <c r="AD1392" s="284"/>
      <c r="AE1392" s="269"/>
    </row>
    <row r="1393" spans="2:31">
      <c r="B1393" s="83"/>
      <c r="C1393" s="81"/>
      <c r="D1393" s="83"/>
      <c r="E1393" s="81"/>
      <c r="F1393" s="269"/>
      <c r="G1393" s="48"/>
      <c r="H1393" s="269"/>
      <c r="I1393" s="72"/>
      <c r="J1393" s="330"/>
      <c r="K1393" s="75"/>
      <c r="L1393" s="157"/>
      <c r="M1393" s="341"/>
      <c r="N1393" s="334"/>
      <c r="T1393" s="110"/>
      <c r="V1393" s="232"/>
      <c r="W1393" s="269"/>
      <c r="X1393" s="201"/>
      <c r="Y1393" s="269"/>
      <c r="Z1393" s="269"/>
      <c r="AA1393" s="134"/>
      <c r="AB1393" s="269"/>
      <c r="AC1393" s="284"/>
      <c r="AD1393" s="284"/>
      <c r="AE1393" s="269"/>
    </row>
    <row r="1394" spans="2:31">
      <c r="B1394" s="83"/>
      <c r="C1394" s="81"/>
      <c r="D1394" s="83"/>
      <c r="E1394" s="81"/>
      <c r="F1394" s="269"/>
      <c r="G1394" s="48"/>
      <c r="H1394" s="269"/>
      <c r="I1394" s="72"/>
      <c r="J1394" s="330"/>
      <c r="K1394" s="75"/>
      <c r="L1394" s="157"/>
      <c r="M1394" s="341"/>
      <c r="N1394" s="334"/>
      <c r="T1394" s="110"/>
      <c r="V1394" s="232"/>
      <c r="W1394" s="269"/>
      <c r="X1394" s="201"/>
      <c r="Y1394" s="269"/>
      <c r="Z1394" s="269"/>
      <c r="AA1394" s="134"/>
      <c r="AB1394" s="269"/>
      <c r="AC1394" s="284"/>
      <c r="AD1394" s="284"/>
      <c r="AE1394" s="269"/>
    </row>
    <row r="1395" spans="2:31">
      <c r="B1395" s="83"/>
      <c r="C1395" s="81"/>
      <c r="D1395" s="83"/>
      <c r="E1395" s="81"/>
      <c r="F1395" s="269"/>
      <c r="G1395" s="48"/>
      <c r="H1395" s="269"/>
      <c r="I1395" s="72"/>
      <c r="J1395" s="330"/>
      <c r="K1395" s="75"/>
      <c r="L1395" s="157"/>
      <c r="M1395" s="341"/>
      <c r="N1395" s="334"/>
      <c r="T1395" s="110"/>
      <c r="V1395" s="232"/>
      <c r="W1395" s="269"/>
      <c r="X1395" s="201"/>
      <c r="Y1395" s="269"/>
      <c r="Z1395" s="269"/>
      <c r="AA1395" s="134"/>
      <c r="AB1395" s="269"/>
      <c r="AC1395" s="284"/>
      <c r="AD1395" s="284"/>
      <c r="AE1395" s="269"/>
    </row>
    <row r="1396" spans="2:31">
      <c r="B1396" s="83"/>
      <c r="C1396" s="81"/>
      <c r="D1396" s="83"/>
      <c r="E1396" s="81"/>
      <c r="F1396" s="269"/>
      <c r="G1396" s="48"/>
      <c r="H1396" s="269"/>
      <c r="I1396" s="72"/>
      <c r="J1396" s="330"/>
      <c r="K1396" s="75"/>
      <c r="L1396" s="157"/>
      <c r="M1396" s="341"/>
      <c r="N1396" s="334"/>
      <c r="T1396" s="110"/>
      <c r="V1396" s="232"/>
      <c r="W1396" s="269"/>
      <c r="X1396" s="201"/>
      <c r="Y1396" s="269"/>
      <c r="Z1396" s="269"/>
      <c r="AA1396" s="134"/>
      <c r="AB1396" s="269"/>
      <c r="AC1396" s="284"/>
      <c r="AD1396" s="284"/>
      <c r="AE1396" s="269"/>
    </row>
    <row r="1397" spans="2:31">
      <c r="B1397" s="83"/>
      <c r="C1397" s="81"/>
      <c r="D1397" s="83"/>
      <c r="E1397" s="81"/>
      <c r="F1397" s="269"/>
      <c r="G1397" s="48"/>
      <c r="H1397" s="269"/>
      <c r="I1397" s="72"/>
      <c r="J1397" s="330"/>
      <c r="K1397" s="75"/>
      <c r="L1397" s="157"/>
      <c r="M1397" s="341"/>
      <c r="N1397" s="334"/>
      <c r="T1397" s="110"/>
      <c r="V1397" s="232"/>
      <c r="W1397" s="269"/>
      <c r="X1397" s="201"/>
      <c r="Y1397" s="269"/>
      <c r="Z1397" s="269"/>
      <c r="AA1397" s="134"/>
      <c r="AB1397" s="269"/>
      <c r="AC1397" s="284"/>
      <c r="AD1397" s="284"/>
      <c r="AE1397" s="269"/>
    </row>
    <row r="1398" spans="2:31">
      <c r="B1398" s="83"/>
      <c r="C1398" s="81"/>
      <c r="D1398" s="83"/>
      <c r="E1398" s="81"/>
      <c r="F1398" s="269"/>
      <c r="G1398" s="48"/>
      <c r="H1398" s="269"/>
      <c r="I1398" s="72"/>
      <c r="J1398" s="330"/>
      <c r="K1398" s="75"/>
      <c r="L1398" s="157"/>
      <c r="M1398" s="341"/>
      <c r="N1398" s="334"/>
      <c r="T1398" s="110"/>
      <c r="V1398" s="232"/>
      <c r="W1398" s="269"/>
      <c r="X1398" s="201"/>
      <c r="Y1398" s="269"/>
      <c r="Z1398" s="269"/>
      <c r="AA1398" s="134"/>
      <c r="AB1398" s="269"/>
      <c r="AC1398" s="284"/>
      <c r="AD1398" s="284"/>
      <c r="AE1398" s="269"/>
    </row>
    <row r="1399" spans="2:31">
      <c r="B1399" s="83"/>
      <c r="C1399" s="81"/>
      <c r="D1399" s="83"/>
      <c r="E1399" s="81"/>
      <c r="F1399" s="269"/>
      <c r="G1399" s="48"/>
      <c r="H1399" s="269"/>
      <c r="I1399" s="72"/>
      <c r="J1399" s="330"/>
      <c r="K1399" s="75"/>
      <c r="L1399" s="157"/>
      <c r="M1399" s="341"/>
      <c r="N1399" s="334"/>
      <c r="T1399" s="110"/>
      <c r="V1399" s="232"/>
      <c r="W1399" s="269"/>
      <c r="X1399" s="201"/>
      <c r="Y1399" s="269"/>
      <c r="Z1399" s="269"/>
      <c r="AA1399" s="134"/>
      <c r="AB1399" s="269"/>
      <c r="AC1399" s="284"/>
      <c r="AD1399" s="284"/>
      <c r="AE1399" s="269"/>
    </row>
    <row r="1400" spans="2:31">
      <c r="B1400" s="83"/>
      <c r="C1400" s="81"/>
      <c r="D1400" s="83"/>
      <c r="E1400" s="81"/>
      <c r="F1400" s="269"/>
      <c r="G1400" s="48"/>
      <c r="H1400" s="269"/>
      <c r="I1400" s="72"/>
      <c r="J1400" s="330"/>
      <c r="K1400" s="75"/>
      <c r="L1400" s="157"/>
      <c r="M1400" s="341"/>
      <c r="N1400" s="334"/>
      <c r="T1400" s="110"/>
      <c r="V1400" s="232"/>
      <c r="W1400" s="269"/>
      <c r="X1400" s="201"/>
      <c r="Y1400" s="269"/>
      <c r="Z1400" s="269"/>
      <c r="AA1400" s="134"/>
      <c r="AB1400" s="269"/>
      <c r="AC1400" s="284"/>
      <c r="AD1400" s="284"/>
      <c r="AE1400" s="269"/>
    </row>
    <row r="1401" spans="2:31">
      <c r="B1401" s="83"/>
      <c r="C1401" s="81"/>
      <c r="D1401" s="83"/>
      <c r="E1401" s="81"/>
      <c r="F1401" s="269"/>
      <c r="G1401" s="48"/>
      <c r="H1401" s="269"/>
      <c r="I1401" s="72"/>
      <c r="J1401" s="330"/>
      <c r="K1401" s="75"/>
      <c r="L1401" s="157"/>
      <c r="M1401" s="341"/>
      <c r="N1401" s="334"/>
      <c r="T1401" s="110"/>
      <c r="V1401" s="232"/>
      <c r="W1401" s="269"/>
      <c r="X1401" s="201"/>
      <c r="Y1401" s="269"/>
      <c r="Z1401" s="269"/>
      <c r="AA1401" s="134"/>
      <c r="AB1401" s="269"/>
      <c r="AC1401" s="284"/>
      <c r="AD1401" s="284"/>
      <c r="AE1401" s="269"/>
    </row>
    <row r="1402" spans="2:31">
      <c r="B1402" s="83"/>
      <c r="C1402" s="81"/>
      <c r="D1402" s="83"/>
      <c r="E1402" s="81"/>
      <c r="F1402" s="269"/>
      <c r="G1402" s="48"/>
      <c r="H1402" s="269"/>
      <c r="I1402" s="72"/>
      <c r="J1402" s="330"/>
      <c r="K1402" s="75"/>
      <c r="L1402" s="157"/>
      <c r="M1402" s="341"/>
      <c r="N1402" s="334"/>
      <c r="T1402" s="110"/>
      <c r="V1402" s="232"/>
      <c r="W1402" s="269"/>
      <c r="X1402" s="201"/>
      <c r="Y1402" s="269"/>
      <c r="Z1402" s="269"/>
      <c r="AA1402" s="134"/>
      <c r="AB1402" s="269"/>
      <c r="AC1402" s="284"/>
      <c r="AD1402" s="284"/>
      <c r="AE1402" s="269"/>
    </row>
    <row r="1403" spans="2:31">
      <c r="B1403" s="83"/>
      <c r="C1403" s="81"/>
      <c r="D1403" s="83"/>
      <c r="E1403" s="81"/>
      <c r="F1403" s="269"/>
      <c r="G1403" s="48"/>
      <c r="H1403" s="269"/>
      <c r="I1403" s="72"/>
      <c r="J1403" s="330"/>
      <c r="K1403" s="75"/>
      <c r="L1403" s="157"/>
      <c r="M1403" s="341"/>
      <c r="N1403" s="334"/>
      <c r="T1403" s="110"/>
      <c r="V1403" s="232"/>
      <c r="W1403" s="269"/>
      <c r="X1403" s="201"/>
      <c r="Y1403" s="269"/>
      <c r="Z1403" s="269"/>
      <c r="AA1403" s="134"/>
      <c r="AB1403" s="269"/>
      <c r="AC1403" s="284"/>
      <c r="AD1403" s="284"/>
      <c r="AE1403" s="269"/>
    </row>
    <row r="1404" spans="2:31">
      <c r="B1404" s="83"/>
      <c r="C1404" s="81"/>
      <c r="D1404" s="83"/>
      <c r="E1404" s="81"/>
      <c r="F1404" s="269"/>
      <c r="G1404" s="48"/>
      <c r="H1404" s="269"/>
      <c r="I1404" s="72"/>
      <c r="J1404" s="330"/>
      <c r="K1404" s="75"/>
      <c r="L1404" s="157"/>
      <c r="M1404" s="341"/>
      <c r="N1404" s="334"/>
      <c r="T1404" s="110"/>
      <c r="V1404" s="232"/>
      <c r="W1404" s="269"/>
      <c r="X1404" s="201"/>
      <c r="Y1404" s="269"/>
      <c r="Z1404" s="269"/>
      <c r="AA1404" s="134"/>
      <c r="AB1404" s="269"/>
      <c r="AC1404" s="284"/>
      <c r="AD1404" s="284"/>
      <c r="AE1404" s="269"/>
    </row>
    <row r="1405" spans="2:31">
      <c r="B1405" s="83"/>
      <c r="C1405" s="81"/>
      <c r="D1405" s="83"/>
      <c r="E1405" s="81"/>
      <c r="F1405" s="269"/>
      <c r="G1405" s="48"/>
      <c r="H1405" s="269"/>
      <c r="I1405" s="72"/>
      <c r="J1405" s="330"/>
      <c r="K1405" s="75"/>
      <c r="L1405" s="157"/>
      <c r="M1405" s="341"/>
      <c r="N1405" s="334"/>
      <c r="T1405" s="110"/>
      <c r="V1405" s="232"/>
      <c r="W1405" s="269"/>
      <c r="X1405" s="201"/>
      <c r="Y1405" s="269"/>
      <c r="Z1405" s="269"/>
      <c r="AA1405" s="134"/>
      <c r="AB1405" s="269"/>
      <c r="AC1405" s="284"/>
      <c r="AD1405" s="284"/>
      <c r="AE1405" s="269"/>
    </row>
    <row r="1406" spans="2:31">
      <c r="B1406" s="83"/>
      <c r="C1406" s="81"/>
      <c r="D1406" s="83"/>
      <c r="E1406" s="81"/>
      <c r="F1406" s="269"/>
      <c r="G1406" s="48"/>
      <c r="H1406" s="269"/>
      <c r="I1406" s="72"/>
      <c r="J1406" s="330"/>
      <c r="K1406" s="75"/>
      <c r="L1406" s="157"/>
      <c r="M1406" s="341"/>
      <c r="N1406" s="334"/>
      <c r="T1406" s="110"/>
      <c r="V1406" s="232"/>
      <c r="W1406" s="269"/>
      <c r="X1406" s="201"/>
      <c r="Y1406" s="269"/>
      <c r="Z1406" s="269"/>
      <c r="AA1406" s="134"/>
      <c r="AB1406" s="269"/>
      <c r="AC1406" s="284"/>
      <c r="AD1406" s="284"/>
      <c r="AE1406" s="269"/>
    </row>
    <row r="1407" spans="2:31">
      <c r="B1407" s="83"/>
      <c r="C1407" s="81"/>
      <c r="D1407" s="83"/>
      <c r="E1407" s="81"/>
      <c r="F1407" s="269"/>
      <c r="G1407" s="48"/>
      <c r="H1407" s="269"/>
      <c r="I1407" s="72"/>
      <c r="J1407" s="330"/>
      <c r="K1407" s="75"/>
      <c r="L1407" s="157"/>
      <c r="M1407" s="341"/>
      <c r="N1407" s="334"/>
      <c r="T1407" s="110"/>
      <c r="V1407" s="232"/>
      <c r="W1407" s="269"/>
      <c r="X1407" s="201"/>
      <c r="Y1407" s="269"/>
      <c r="Z1407" s="269"/>
      <c r="AA1407" s="134"/>
      <c r="AB1407" s="269"/>
      <c r="AC1407" s="284"/>
      <c r="AD1407" s="284"/>
      <c r="AE1407" s="269"/>
    </row>
    <row r="1408" spans="2:31">
      <c r="B1408" s="83"/>
      <c r="C1408" s="81"/>
      <c r="D1408" s="83"/>
      <c r="E1408" s="81"/>
      <c r="F1408" s="269"/>
      <c r="G1408" s="48"/>
      <c r="H1408" s="269"/>
      <c r="I1408" s="72"/>
      <c r="J1408" s="330"/>
      <c r="K1408" s="75"/>
      <c r="L1408" s="157"/>
      <c r="M1408" s="341"/>
      <c r="N1408" s="334"/>
      <c r="T1408" s="110"/>
      <c r="V1408" s="232"/>
      <c r="W1408" s="269"/>
      <c r="X1408" s="201"/>
      <c r="Y1408" s="269"/>
      <c r="Z1408" s="269"/>
      <c r="AA1408" s="134"/>
      <c r="AB1408" s="269"/>
      <c r="AC1408" s="284"/>
      <c r="AD1408" s="284"/>
      <c r="AE1408" s="269"/>
    </row>
    <row r="1409" spans="2:31">
      <c r="B1409" s="83"/>
      <c r="C1409" s="81"/>
      <c r="D1409" s="83"/>
      <c r="E1409" s="81"/>
      <c r="F1409" s="269"/>
      <c r="G1409" s="48"/>
      <c r="H1409" s="269"/>
      <c r="I1409" s="72"/>
      <c r="J1409" s="330"/>
      <c r="K1409" s="75"/>
      <c r="L1409" s="157"/>
      <c r="M1409" s="341"/>
      <c r="N1409" s="334"/>
      <c r="T1409" s="110"/>
      <c r="V1409" s="232"/>
      <c r="W1409" s="269"/>
      <c r="X1409" s="201"/>
      <c r="Y1409" s="269"/>
      <c r="Z1409" s="269"/>
      <c r="AA1409" s="134"/>
      <c r="AB1409" s="269"/>
      <c r="AC1409" s="284"/>
      <c r="AD1409" s="284"/>
      <c r="AE1409" s="269"/>
    </row>
    <row r="1410" spans="2:31">
      <c r="B1410" s="83"/>
      <c r="C1410" s="81"/>
      <c r="D1410" s="83"/>
      <c r="E1410" s="81"/>
      <c r="F1410" s="269"/>
      <c r="G1410" s="48"/>
      <c r="H1410" s="269"/>
      <c r="I1410" s="72"/>
      <c r="J1410" s="330"/>
      <c r="K1410" s="75"/>
      <c r="L1410" s="157"/>
      <c r="M1410" s="341"/>
      <c r="N1410" s="334"/>
      <c r="T1410" s="110"/>
      <c r="V1410" s="232"/>
      <c r="W1410" s="269"/>
      <c r="X1410" s="201"/>
      <c r="Y1410" s="269"/>
      <c r="Z1410" s="269"/>
      <c r="AA1410" s="134"/>
      <c r="AB1410" s="269"/>
      <c r="AC1410" s="284"/>
      <c r="AD1410" s="284"/>
      <c r="AE1410" s="269"/>
    </row>
    <row r="1411" spans="2:31">
      <c r="B1411" s="83"/>
      <c r="C1411" s="81"/>
      <c r="D1411" s="83"/>
      <c r="E1411" s="81"/>
      <c r="F1411" s="269"/>
      <c r="G1411" s="48"/>
      <c r="H1411" s="269"/>
      <c r="I1411" s="72"/>
      <c r="J1411" s="330"/>
      <c r="K1411" s="75"/>
      <c r="L1411" s="157"/>
      <c r="M1411" s="341"/>
      <c r="N1411" s="334"/>
      <c r="T1411" s="110"/>
      <c r="V1411" s="232"/>
      <c r="W1411" s="269"/>
      <c r="X1411" s="201"/>
      <c r="Y1411" s="269"/>
      <c r="Z1411" s="269"/>
      <c r="AA1411" s="134"/>
      <c r="AB1411" s="269"/>
      <c r="AC1411" s="284"/>
      <c r="AD1411" s="284"/>
      <c r="AE1411" s="269"/>
    </row>
    <row r="1412" spans="2:31">
      <c r="B1412" s="83"/>
      <c r="C1412" s="81"/>
      <c r="D1412" s="83"/>
      <c r="E1412" s="81"/>
      <c r="F1412" s="269"/>
      <c r="G1412" s="48"/>
      <c r="H1412" s="269"/>
      <c r="I1412" s="72"/>
      <c r="J1412" s="330"/>
      <c r="K1412" s="75"/>
      <c r="L1412" s="157"/>
      <c r="M1412" s="341"/>
      <c r="N1412" s="334"/>
      <c r="T1412" s="110"/>
      <c r="V1412" s="232"/>
      <c r="W1412" s="269"/>
      <c r="X1412" s="201"/>
      <c r="Y1412" s="269"/>
      <c r="Z1412" s="269"/>
      <c r="AA1412" s="134"/>
      <c r="AB1412" s="269"/>
      <c r="AC1412" s="284"/>
      <c r="AD1412" s="284"/>
      <c r="AE1412" s="269"/>
    </row>
    <row r="1413" spans="2:31">
      <c r="B1413" s="83"/>
      <c r="C1413" s="81"/>
      <c r="D1413" s="83"/>
      <c r="E1413" s="81"/>
      <c r="F1413" s="269"/>
      <c r="G1413" s="48"/>
      <c r="H1413" s="269"/>
      <c r="I1413" s="72"/>
      <c r="J1413" s="330"/>
      <c r="K1413" s="75"/>
      <c r="L1413" s="157"/>
      <c r="M1413" s="341"/>
      <c r="N1413" s="334"/>
      <c r="T1413" s="110"/>
      <c r="V1413" s="232"/>
      <c r="W1413" s="269"/>
      <c r="X1413" s="201"/>
      <c r="Y1413" s="269"/>
      <c r="Z1413" s="269"/>
      <c r="AA1413" s="134"/>
      <c r="AB1413" s="269"/>
      <c r="AC1413" s="284"/>
      <c r="AD1413" s="284"/>
      <c r="AE1413" s="269"/>
    </row>
    <row r="1414" spans="2:31">
      <c r="B1414" s="83"/>
      <c r="C1414" s="81"/>
      <c r="D1414" s="83"/>
      <c r="E1414" s="81"/>
      <c r="F1414" s="269"/>
      <c r="G1414" s="48"/>
      <c r="H1414" s="269"/>
      <c r="I1414" s="72"/>
      <c r="J1414" s="330"/>
      <c r="K1414" s="75"/>
      <c r="L1414" s="157"/>
      <c r="M1414" s="341"/>
      <c r="N1414" s="334"/>
      <c r="T1414" s="110"/>
      <c r="V1414" s="232"/>
      <c r="W1414" s="269"/>
      <c r="X1414" s="201"/>
      <c r="Y1414" s="269"/>
      <c r="Z1414" s="269"/>
      <c r="AA1414" s="134"/>
      <c r="AB1414" s="269"/>
      <c r="AC1414" s="284"/>
      <c r="AD1414" s="284"/>
      <c r="AE1414" s="269"/>
    </row>
    <row r="1415" spans="2:31">
      <c r="B1415" s="83"/>
      <c r="C1415" s="81"/>
      <c r="D1415" s="83"/>
      <c r="E1415" s="81"/>
      <c r="F1415" s="269"/>
      <c r="G1415" s="48"/>
      <c r="H1415" s="269"/>
      <c r="I1415" s="72"/>
      <c r="J1415" s="330"/>
      <c r="K1415" s="75"/>
      <c r="L1415" s="157"/>
      <c r="M1415" s="341"/>
      <c r="N1415" s="334"/>
      <c r="T1415" s="110"/>
      <c r="V1415" s="232"/>
      <c r="W1415" s="269"/>
      <c r="X1415" s="201"/>
      <c r="Y1415" s="269"/>
      <c r="Z1415" s="269"/>
      <c r="AA1415" s="134"/>
      <c r="AB1415" s="269"/>
      <c r="AC1415" s="284"/>
      <c r="AD1415" s="284"/>
      <c r="AE1415" s="269"/>
    </row>
    <row r="1416" spans="2:31">
      <c r="B1416" s="83"/>
      <c r="C1416" s="81"/>
      <c r="D1416" s="83"/>
      <c r="E1416" s="81"/>
      <c r="F1416" s="269"/>
      <c r="G1416" s="48"/>
      <c r="H1416" s="269"/>
      <c r="I1416" s="72"/>
      <c r="J1416" s="330"/>
      <c r="K1416" s="75"/>
      <c r="L1416" s="157"/>
      <c r="M1416" s="341"/>
      <c r="N1416" s="334"/>
      <c r="T1416" s="110"/>
      <c r="V1416" s="232"/>
      <c r="W1416" s="269"/>
      <c r="X1416" s="201"/>
      <c r="Y1416" s="269"/>
      <c r="Z1416" s="269"/>
      <c r="AA1416" s="134"/>
      <c r="AB1416" s="269"/>
      <c r="AC1416" s="284"/>
      <c r="AD1416" s="284"/>
      <c r="AE1416" s="269"/>
    </row>
    <row r="1417" spans="2:31">
      <c r="B1417" s="83"/>
      <c r="C1417" s="81"/>
      <c r="D1417" s="83"/>
      <c r="E1417" s="81"/>
      <c r="F1417" s="269"/>
      <c r="G1417" s="48"/>
      <c r="H1417" s="269"/>
      <c r="I1417" s="72"/>
      <c r="J1417" s="330"/>
      <c r="K1417" s="75"/>
      <c r="L1417" s="157"/>
      <c r="M1417" s="341"/>
      <c r="N1417" s="334"/>
      <c r="T1417" s="110"/>
      <c r="V1417" s="232"/>
      <c r="W1417" s="269"/>
      <c r="X1417" s="201"/>
      <c r="Y1417" s="269"/>
      <c r="Z1417" s="269"/>
      <c r="AA1417" s="134"/>
      <c r="AB1417" s="269"/>
      <c r="AC1417" s="284"/>
      <c r="AD1417" s="284"/>
      <c r="AE1417" s="269"/>
    </row>
    <row r="1418" spans="2:31">
      <c r="B1418" s="83"/>
      <c r="C1418" s="81"/>
      <c r="D1418" s="83"/>
      <c r="E1418" s="81"/>
      <c r="F1418" s="269"/>
      <c r="G1418" s="48"/>
      <c r="H1418" s="269"/>
      <c r="I1418" s="72"/>
      <c r="J1418" s="330"/>
      <c r="K1418" s="75"/>
      <c r="L1418" s="157"/>
      <c r="M1418" s="341"/>
      <c r="N1418" s="334"/>
      <c r="T1418" s="110"/>
      <c r="V1418" s="232"/>
      <c r="W1418" s="269"/>
      <c r="X1418" s="201"/>
      <c r="Y1418" s="269"/>
      <c r="Z1418" s="269"/>
      <c r="AA1418" s="134"/>
      <c r="AB1418" s="269"/>
      <c r="AC1418" s="284"/>
      <c r="AD1418" s="284"/>
      <c r="AE1418" s="269"/>
    </row>
    <row r="1419" spans="2:31">
      <c r="B1419" s="83"/>
      <c r="C1419" s="81"/>
      <c r="D1419" s="83"/>
      <c r="E1419" s="81"/>
      <c r="F1419" s="269"/>
      <c r="G1419" s="48"/>
      <c r="H1419" s="269"/>
      <c r="I1419" s="72"/>
      <c r="J1419" s="330"/>
      <c r="K1419" s="75"/>
      <c r="L1419" s="157"/>
      <c r="M1419" s="341"/>
      <c r="N1419" s="334"/>
      <c r="T1419" s="110"/>
      <c r="V1419" s="232"/>
      <c r="W1419" s="269"/>
      <c r="X1419" s="201"/>
      <c r="Y1419" s="269"/>
      <c r="Z1419" s="269"/>
      <c r="AA1419" s="134"/>
      <c r="AB1419" s="269"/>
      <c r="AC1419" s="284"/>
      <c r="AD1419" s="284"/>
      <c r="AE1419" s="269"/>
    </row>
    <row r="1420" spans="2:31">
      <c r="B1420" s="83"/>
      <c r="C1420" s="81"/>
      <c r="D1420" s="83"/>
      <c r="E1420" s="81"/>
      <c r="F1420" s="269"/>
      <c r="G1420" s="48"/>
      <c r="H1420" s="269"/>
      <c r="I1420" s="72"/>
      <c r="J1420" s="330"/>
      <c r="K1420" s="75"/>
      <c r="L1420" s="157"/>
      <c r="M1420" s="341"/>
      <c r="N1420" s="334"/>
      <c r="T1420" s="110"/>
      <c r="V1420" s="232"/>
      <c r="W1420" s="269"/>
      <c r="X1420" s="201"/>
      <c r="Y1420" s="269"/>
      <c r="Z1420" s="269"/>
      <c r="AA1420" s="134"/>
      <c r="AB1420" s="269"/>
      <c r="AC1420" s="284"/>
      <c r="AD1420" s="284"/>
      <c r="AE1420" s="269"/>
    </row>
    <row r="1421" spans="2:31">
      <c r="B1421" s="83"/>
      <c r="C1421" s="81"/>
      <c r="D1421" s="83"/>
      <c r="E1421" s="81"/>
      <c r="F1421" s="269"/>
      <c r="G1421" s="48"/>
      <c r="H1421" s="269"/>
      <c r="I1421" s="72"/>
      <c r="J1421" s="330"/>
      <c r="K1421" s="75"/>
      <c r="L1421" s="157"/>
      <c r="M1421" s="341"/>
      <c r="N1421" s="334"/>
      <c r="T1421" s="110"/>
      <c r="V1421" s="232"/>
      <c r="W1421" s="269"/>
      <c r="X1421" s="201"/>
      <c r="Y1421" s="269"/>
      <c r="Z1421" s="269"/>
      <c r="AA1421" s="134"/>
      <c r="AB1421" s="269"/>
      <c r="AC1421" s="284"/>
      <c r="AD1421" s="284"/>
      <c r="AE1421" s="269"/>
    </row>
    <row r="1422" spans="2:31">
      <c r="B1422" s="83"/>
      <c r="C1422" s="81"/>
      <c r="D1422" s="83"/>
      <c r="E1422" s="81"/>
      <c r="F1422" s="269"/>
      <c r="G1422" s="48"/>
      <c r="H1422" s="269"/>
      <c r="I1422" s="72"/>
      <c r="J1422" s="330"/>
      <c r="K1422" s="75"/>
      <c r="L1422" s="157"/>
      <c r="M1422" s="341"/>
      <c r="N1422" s="334"/>
      <c r="T1422" s="110"/>
      <c r="V1422" s="232"/>
      <c r="W1422" s="269"/>
      <c r="X1422" s="201"/>
      <c r="Y1422" s="269"/>
      <c r="Z1422" s="269"/>
      <c r="AA1422" s="134"/>
      <c r="AB1422" s="269"/>
      <c r="AC1422" s="284"/>
      <c r="AD1422" s="284"/>
      <c r="AE1422" s="269"/>
    </row>
    <row r="1423" spans="2:31">
      <c r="B1423" s="83"/>
      <c r="C1423" s="81"/>
      <c r="D1423" s="83"/>
      <c r="E1423" s="81"/>
      <c r="F1423" s="269"/>
      <c r="G1423" s="48"/>
      <c r="H1423" s="269"/>
      <c r="I1423" s="72"/>
      <c r="J1423" s="330"/>
      <c r="K1423" s="75"/>
      <c r="L1423" s="157"/>
      <c r="M1423" s="341"/>
      <c r="N1423" s="334"/>
      <c r="T1423" s="110"/>
      <c r="V1423" s="232"/>
      <c r="W1423" s="269"/>
      <c r="X1423" s="201"/>
      <c r="Y1423" s="269"/>
      <c r="Z1423" s="269"/>
      <c r="AA1423" s="134"/>
      <c r="AB1423" s="269"/>
      <c r="AC1423" s="284"/>
      <c r="AD1423" s="284"/>
      <c r="AE1423" s="269"/>
    </row>
    <row r="1424" spans="2:31">
      <c r="B1424" s="83"/>
      <c r="C1424" s="81"/>
      <c r="D1424" s="83"/>
      <c r="E1424" s="81"/>
      <c r="F1424" s="269"/>
      <c r="G1424" s="48"/>
      <c r="H1424" s="269"/>
      <c r="I1424" s="72"/>
      <c r="J1424" s="330"/>
      <c r="K1424" s="75"/>
      <c r="L1424" s="157"/>
      <c r="M1424" s="341"/>
      <c r="N1424" s="334"/>
      <c r="T1424" s="110"/>
      <c r="V1424" s="232"/>
      <c r="W1424" s="269"/>
      <c r="X1424" s="201"/>
      <c r="Y1424" s="269"/>
      <c r="Z1424" s="269"/>
      <c r="AA1424" s="134"/>
      <c r="AB1424" s="269"/>
      <c r="AC1424" s="284"/>
      <c r="AD1424" s="284"/>
      <c r="AE1424" s="269"/>
    </row>
    <row r="1425" spans="2:31">
      <c r="B1425" s="83"/>
      <c r="C1425" s="81"/>
      <c r="D1425" s="83"/>
      <c r="E1425" s="81"/>
      <c r="F1425" s="269"/>
      <c r="G1425" s="48"/>
      <c r="H1425" s="269"/>
      <c r="I1425" s="72"/>
      <c r="J1425" s="330"/>
      <c r="K1425" s="75"/>
      <c r="L1425" s="157"/>
      <c r="M1425" s="341"/>
      <c r="N1425" s="334"/>
      <c r="T1425" s="110"/>
      <c r="V1425" s="232"/>
      <c r="W1425" s="269"/>
      <c r="X1425" s="201"/>
      <c r="Y1425" s="269"/>
      <c r="Z1425" s="269"/>
      <c r="AA1425" s="134"/>
      <c r="AB1425" s="269"/>
      <c r="AC1425" s="284"/>
      <c r="AD1425" s="284"/>
      <c r="AE1425" s="269"/>
    </row>
    <row r="1426" spans="2:31">
      <c r="B1426" s="83"/>
      <c r="C1426" s="81"/>
      <c r="D1426" s="83"/>
      <c r="E1426" s="81"/>
      <c r="F1426" s="269"/>
      <c r="G1426" s="48"/>
      <c r="H1426" s="269"/>
      <c r="I1426" s="72"/>
      <c r="J1426" s="330"/>
      <c r="K1426" s="75"/>
      <c r="L1426" s="157"/>
      <c r="M1426" s="341"/>
      <c r="N1426" s="334"/>
      <c r="T1426" s="110"/>
      <c r="V1426" s="232"/>
      <c r="W1426" s="269"/>
      <c r="X1426" s="201"/>
      <c r="Y1426" s="269"/>
      <c r="Z1426" s="269"/>
      <c r="AA1426" s="134"/>
      <c r="AB1426" s="269"/>
      <c r="AC1426" s="284"/>
      <c r="AD1426" s="284"/>
      <c r="AE1426" s="269"/>
    </row>
    <row r="1427" spans="2:31">
      <c r="B1427" s="83"/>
      <c r="C1427" s="81"/>
      <c r="D1427" s="83"/>
      <c r="E1427" s="81"/>
      <c r="F1427" s="269"/>
      <c r="G1427" s="48"/>
      <c r="H1427" s="269"/>
      <c r="I1427" s="72"/>
      <c r="J1427" s="330"/>
      <c r="K1427" s="75"/>
      <c r="L1427" s="157"/>
      <c r="M1427" s="341"/>
      <c r="N1427" s="334"/>
      <c r="T1427" s="110"/>
      <c r="V1427" s="232"/>
      <c r="W1427" s="269"/>
      <c r="X1427" s="201"/>
      <c r="Y1427" s="269"/>
      <c r="Z1427" s="269"/>
      <c r="AA1427" s="134"/>
      <c r="AB1427" s="269"/>
      <c r="AC1427" s="284"/>
      <c r="AD1427" s="284"/>
      <c r="AE1427" s="269"/>
    </row>
    <row r="1428" spans="2:31">
      <c r="B1428" s="83"/>
      <c r="C1428" s="81"/>
      <c r="D1428" s="83"/>
      <c r="E1428" s="81"/>
      <c r="F1428" s="269"/>
      <c r="G1428" s="48"/>
      <c r="H1428" s="269"/>
      <c r="I1428" s="72"/>
      <c r="J1428" s="330"/>
      <c r="K1428" s="75"/>
      <c r="L1428" s="157"/>
      <c r="M1428" s="341"/>
      <c r="N1428" s="334"/>
      <c r="T1428" s="110"/>
      <c r="V1428" s="232"/>
      <c r="W1428" s="269"/>
      <c r="X1428" s="201"/>
      <c r="Y1428" s="269"/>
      <c r="Z1428" s="269"/>
      <c r="AA1428" s="134"/>
      <c r="AB1428" s="269"/>
      <c r="AC1428" s="284"/>
      <c r="AD1428" s="284"/>
      <c r="AE1428" s="269"/>
    </row>
    <row r="1429" spans="2:31">
      <c r="B1429" s="83"/>
      <c r="C1429" s="81"/>
      <c r="D1429" s="83"/>
      <c r="E1429" s="81"/>
      <c r="F1429" s="269"/>
      <c r="G1429" s="48"/>
      <c r="H1429" s="269"/>
      <c r="I1429" s="72"/>
      <c r="J1429" s="330"/>
      <c r="K1429" s="75"/>
      <c r="L1429" s="157"/>
      <c r="M1429" s="341"/>
      <c r="N1429" s="334"/>
      <c r="T1429" s="110"/>
      <c r="V1429" s="232"/>
      <c r="W1429" s="269"/>
      <c r="X1429" s="201"/>
      <c r="Y1429" s="269"/>
      <c r="Z1429" s="269"/>
      <c r="AA1429" s="134"/>
      <c r="AB1429" s="269"/>
      <c r="AC1429" s="284"/>
      <c r="AD1429" s="284"/>
      <c r="AE1429" s="269"/>
    </row>
    <row r="1430" spans="2:31">
      <c r="B1430" s="83"/>
      <c r="C1430" s="81"/>
      <c r="D1430" s="83"/>
      <c r="E1430" s="81"/>
      <c r="F1430" s="269"/>
      <c r="G1430" s="48"/>
      <c r="H1430" s="269"/>
      <c r="I1430" s="72"/>
      <c r="J1430" s="330"/>
      <c r="K1430" s="75"/>
      <c r="L1430" s="157"/>
      <c r="M1430" s="341"/>
      <c r="N1430" s="334"/>
      <c r="T1430" s="110"/>
      <c r="V1430" s="232"/>
      <c r="W1430" s="269"/>
      <c r="X1430" s="201"/>
      <c r="Y1430" s="269"/>
      <c r="Z1430" s="269"/>
      <c r="AA1430" s="134"/>
      <c r="AB1430" s="269"/>
      <c r="AC1430" s="284"/>
      <c r="AD1430" s="284"/>
      <c r="AE1430" s="269"/>
    </row>
    <row r="1431" spans="2:31">
      <c r="B1431" s="83"/>
      <c r="C1431" s="81"/>
      <c r="D1431" s="83"/>
      <c r="E1431" s="81"/>
      <c r="F1431" s="269"/>
      <c r="G1431" s="48"/>
      <c r="H1431" s="269"/>
      <c r="I1431" s="72"/>
      <c r="J1431" s="330"/>
      <c r="K1431" s="75"/>
      <c r="L1431" s="157"/>
      <c r="M1431" s="341"/>
      <c r="N1431" s="334"/>
      <c r="T1431" s="110"/>
      <c r="V1431" s="232"/>
      <c r="W1431" s="269"/>
      <c r="X1431" s="201"/>
      <c r="Y1431" s="269"/>
      <c r="Z1431" s="269"/>
      <c r="AA1431" s="134"/>
      <c r="AB1431" s="269"/>
      <c r="AC1431" s="284"/>
      <c r="AD1431" s="284"/>
      <c r="AE1431" s="269"/>
    </row>
    <row r="1432" spans="2:31">
      <c r="B1432" s="83"/>
      <c r="C1432" s="81"/>
      <c r="D1432" s="83"/>
      <c r="E1432" s="81"/>
      <c r="F1432" s="269"/>
      <c r="G1432" s="48"/>
      <c r="H1432" s="269"/>
      <c r="I1432" s="72"/>
      <c r="J1432" s="330"/>
      <c r="K1432" s="75"/>
      <c r="L1432" s="157"/>
      <c r="M1432" s="341"/>
      <c r="N1432" s="334"/>
      <c r="T1432" s="110"/>
      <c r="V1432" s="232"/>
      <c r="W1432" s="269"/>
      <c r="X1432" s="201"/>
      <c r="Y1432" s="269"/>
      <c r="Z1432" s="269"/>
      <c r="AA1432" s="134"/>
      <c r="AB1432" s="269"/>
      <c r="AC1432" s="284"/>
      <c r="AD1432" s="284"/>
      <c r="AE1432" s="269"/>
    </row>
    <row r="1433" spans="2:31">
      <c r="B1433" s="83"/>
      <c r="C1433" s="81"/>
      <c r="D1433" s="83"/>
      <c r="E1433" s="81"/>
      <c r="F1433" s="269"/>
      <c r="G1433" s="48"/>
      <c r="H1433" s="269"/>
      <c r="I1433" s="72"/>
      <c r="J1433" s="330"/>
      <c r="K1433" s="75"/>
      <c r="L1433" s="157"/>
      <c r="M1433" s="341"/>
      <c r="N1433" s="334"/>
      <c r="T1433" s="110"/>
      <c r="V1433" s="232"/>
      <c r="W1433" s="269"/>
      <c r="X1433" s="201"/>
      <c r="Y1433" s="269"/>
      <c r="Z1433" s="269"/>
      <c r="AA1433" s="134"/>
      <c r="AB1433" s="269"/>
      <c r="AC1433" s="284"/>
      <c r="AD1433" s="284"/>
      <c r="AE1433" s="269"/>
    </row>
    <row r="1434" spans="2:31">
      <c r="B1434" s="83"/>
      <c r="C1434" s="81"/>
      <c r="D1434" s="83"/>
      <c r="E1434" s="81"/>
      <c r="F1434" s="269"/>
      <c r="G1434" s="48"/>
      <c r="H1434" s="269"/>
      <c r="I1434" s="72"/>
      <c r="J1434" s="330"/>
      <c r="K1434" s="75"/>
      <c r="L1434" s="157"/>
      <c r="M1434" s="341"/>
      <c r="N1434" s="334"/>
      <c r="T1434" s="110"/>
      <c r="V1434" s="232"/>
      <c r="W1434" s="269"/>
      <c r="X1434" s="201"/>
      <c r="Y1434" s="269"/>
      <c r="Z1434" s="269"/>
      <c r="AA1434" s="134"/>
      <c r="AB1434" s="269"/>
      <c r="AC1434" s="284"/>
      <c r="AD1434" s="284"/>
      <c r="AE1434" s="269"/>
    </row>
    <row r="1435" spans="2:31">
      <c r="B1435" s="83"/>
      <c r="C1435" s="81"/>
      <c r="D1435" s="83"/>
      <c r="E1435" s="81"/>
      <c r="F1435" s="269"/>
      <c r="G1435" s="48"/>
      <c r="H1435" s="269"/>
      <c r="I1435" s="72"/>
      <c r="J1435" s="330"/>
      <c r="K1435" s="75"/>
      <c r="L1435" s="157"/>
      <c r="M1435" s="341"/>
      <c r="N1435" s="334"/>
      <c r="T1435" s="110"/>
      <c r="V1435" s="232"/>
      <c r="W1435" s="269"/>
      <c r="X1435" s="201"/>
      <c r="Y1435" s="269"/>
      <c r="Z1435" s="269"/>
      <c r="AA1435" s="134"/>
      <c r="AB1435" s="269"/>
      <c r="AC1435" s="284"/>
      <c r="AD1435" s="284"/>
      <c r="AE1435" s="269"/>
    </row>
    <row r="1436" spans="2:31">
      <c r="B1436" s="83"/>
      <c r="C1436" s="81"/>
      <c r="D1436" s="83"/>
      <c r="E1436" s="81"/>
      <c r="F1436" s="269"/>
      <c r="G1436" s="48"/>
      <c r="H1436" s="269"/>
      <c r="I1436" s="72"/>
      <c r="J1436" s="330"/>
      <c r="K1436" s="75"/>
      <c r="L1436" s="157"/>
      <c r="M1436" s="341"/>
      <c r="N1436" s="334"/>
      <c r="T1436" s="110"/>
      <c r="V1436" s="232"/>
      <c r="W1436" s="269"/>
      <c r="X1436" s="201"/>
      <c r="Y1436" s="269"/>
      <c r="Z1436" s="269"/>
      <c r="AA1436" s="134"/>
      <c r="AB1436" s="269"/>
      <c r="AC1436" s="284"/>
      <c r="AD1436" s="284"/>
      <c r="AE1436" s="269"/>
    </row>
    <row r="1437" spans="2:31">
      <c r="B1437" s="83"/>
      <c r="C1437" s="81"/>
      <c r="D1437" s="83"/>
      <c r="E1437" s="81"/>
      <c r="F1437" s="269"/>
      <c r="G1437" s="48"/>
      <c r="H1437" s="269"/>
      <c r="I1437" s="72"/>
      <c r="J1437" s="330"/>
      <c r="K1437" s="75"/>
      <c r="L1437" s="157"/>
      <c r="M1437" s="341"/>
      <c r="N1437" s="334"/>
      <c r="T1437" s="110"/>
      <c r="V1437" s="232"/>
      <c r="W1437" s="269"/>
      <c r="X1437" s="201"/>
      <c r="Y1437" s="269"/>
      <c r="Z1437" s="269"/>
      <c r="AA1437" s="134"/>
      <c r="AB1437" s="269"/>
      <c r="AC1437" s="284"/>
      <c r="AD1437" s="284"/>
      <c r="AE1437" s="269"/>
    </row>
    <row r="1438" spans="2:31">
      <c r="B1438" s="83"/>
      <c r="C1438" s="81"/>
      <c r="D1438" s="83"/>
      <c r="E1438" s="81"/>
      <c r="F1438" s="269"/>
      <c r="G1438" s="48"/>
      <c r="H1438" s="269"/>
      <c r="I1438" s="72"/>
      <c r="J1438" s="330"/>
      <c r="K1438" s="75"/>
      <c r="L1438" s="157"/>
      <c r="M1438" s="341"/>
      <c r="N1438" s="334"/>
      <c r="T1438" s="110"/>
      <c r="V1438" s="232"/>
      <c r="W1438" s="269"/>
      <c r="X1438" s="201"/>
      <c r="Y1438" s="269"/>
      <c r="Z1438" s="269"/>
      <c r="AA1438" s="134"/>
      <c r="AB1438" s="269"/>
      <c r="AC1438" s="284"/>
      <c r="AD1438" s="284"/>
      <c r="AE1438" s="269"/>
    </row>
    <row r="1439" spans="2:31">
      <c r="B1439" s="83"/>
      <c r="C1439" s="81"/>
      <c r="D1439" s="83"/>
      <c r="E1439" s="81"/>
      <c r="F1439" s="269"/>
      <c r="G1439" s="48"/>
      <c r="H1439" s="269"/>
      <c r="I1439" s="72"/>
      <c r="J1439" s="330"/>
      <c r="K1439" s="75"/>
      <c r="L1439" s="157"/>
      <c r="M1439" s="341"/>
      <c r="N1439" s="334"/>
      <c r="T1439" s="110"/>
      <c r="V1439" s="232"/>
      <c r="W1439" s="269"/>
      <c r="X1439" s="201"/>
      <c r="Y1439" s="269"/>
      <c r="Z1439" s="269"/>
      <c r="AA1439" s="134"/>
      <c r="AB1439" s="269"/>
      <c r="AC1439" s="284"/>
      <c r="AD1439" s="284"/>
      <c r="AE1439" s="269"/>
    </row>
    <row r="1440" spans="2:31">
      <c r="B1440" s="83"/>
      <c r="C1440" s="81"/>
      <c r="D1440" s="83"/>
      <c r="E1440" s="81"/>
      <c r="F1440" s="269"/>
      <c r="G1440" s="48"/>
      <c r="H1440" s="269"/>
      <c r="I1440" s="72"/>
      <c r="J1440" s="330"/>
      <c r="K1440" s="75"/>
      <c r="L1440" s="157"/>
      <c r="M1440" s="341"/>
      <c r="N1440" s="334"/>
      <c r="T1440" s="110"/>
      <c r="V1440" s="232"/>
      <c r="W1440" s="269"/>
      <c r="X1440" s="201"/>
      <c r="Y1440" s="269"/>
      <c r="Z1440" s="269"/>
      <c r="AA1440" s="134"/>
      <c r="AB1440" s="269"/>
      <c r="AC1440" s="284"/>
      <c r="AD1440" s="284"/>
      <c r="AE1440" s="269"/>
    </row>
    <row r="1441" spans="2:31">
      <c r="B1441" s="83"/>
      <c r="C1441" s="81"/>
      <c r="D1441" s="83"/>
      <c r="E1441" s="81"/>
      <c r="F1441" s="269"/>
      <c r="G1441" s="48"/>
      <c r="H1441" s="269"/>
      <c r="I1441" s="72"/>
      <c r="J1441" s="330"/>
      <c r="K1441" s="75"/>
      <c r="L1441" s="157"/>
      <c r="M1441" s="341"/>
      <c r="N1441" s="334"/>
      <c r="T1441" s="110"/>
      <c r="V1441" s="232"/>
      <c r="W1441" s="269"/>
      <c r="X1441" s="201"/>
      <c r="Y1441" s="269"/>
      <c r="Z1441" s="269"/>
      <c r="AA1441" s="134"/>
      <c r="AB1441" s="269"/>
      <c r="AC1441" s="284"/>
      <c r="AD1441" s="284"/>
      <c r="AE1441" s="269"/>
    </row>
    <row r="1442" spans="2:31">
      <c r="B1442" s="83"/>
      <c r="C1442" s="81"/>
      <c r="D1442" s="83"/>
      <c r="E1442" s="81"/>
      <c r="F1442" s="269"/>
      <c r="G1442" s="48"/>
      <c r="H1442" s="269"/>
      <c r="I1442" s="72"/>
      <c r="J1442" s="330"/>
      <c r="K1442" s="75"/>
      <c r="L1442" s="157"/>
      <c r="M1442" s="341"/>
      <c r="N1442" s="334"/>
      <c r="T1442" s="110"/>
      <c r="V1442" s="232"/>
      <c r="W1442" s="269"/>
      <c r="X1442" s="201"/>
      <c r="Y1442" s="269"/>
      <c r="Z1442" s="269"/>
      <c r="AA1442" s="134"/>
      <c r="AB1442" s="269"/>
      <c r="AC1442" s="284"/>
      <c r="AD1442" s="284"/>
      <c r="AE1442" s="269"/>
    </row>
    <row r="1443" spans="2:31">
      <c r="B1443" s="83"/>
      <c r="C1443" s="81"/>
      <c r="D1443" s="83"/>
      <c r="E1443" s="81"/>
      <c r="F1443" s="269"/>
      <c r="G1443" s="48"/>
      <c r="H1443" s="269"/>
      <c r="I1443" s="72"/>
      <c r="J1443" s="330"/>
      <c r="K1443" s="75"/>
      <c r="L1443" s="157"/>
      <c r="M1443" s="341"/>
      <c r="N1443" s="334"/>
      <c r="T1443" s="110"/>
      <c r="V1443" s="232"/>
      <c r="W1443" s="269"/>
      <c r="X1443" s="201"/>
      <c r="Y1443" s="269"/>
      <c r="Z1443" s="269"/>
      <c r="AA1443" s="134"/>
      <c r="AB1443" s="269"/>
      <c r="AC1443" s="284"/>
      <c r="AD1443" s="284"/>
      <c r="AE1443" s="269"/>
    </row>
    <row r="1444" spans="2:31">
      <c r="B1444" s="83"/>
      <c r="C1444" s="81"/>
      <c r="D1444" s="83"/>
      <c r="E1444" s="81"/>
      <c r="F1444" s="269"/>
      <c r="G1444" s="48"/>
      <c r="H1444" s="269"/>
      <c r="I1444" s="72"/>
      <c r="J1444" s="330"/>
      <c r="K1444" s="75"/>
      <c r="L1444" s="157"/>
      <c r="M1444" s="341"/>
      <c r="N1444" s="334"/>
      <c r="T1444" s="110"/>
      <c r="V1444" s="232"/>
      <c r="W1444" s="269"/>
      <c r="X1444" s="201"/>
      <c r="Y1444" s="269"/>
      <c r="Z1444" s="269"/>
      <c r="AA1444" s="134"/>
      <c r="AB1444" s="269"/>
      <c r="AC1444" s="284"/>
      <c r="AD1444" s="284"/>
      <c r="AE1444" s="269"/>
    </row>
    <row r="1445" spans="2:31">
      <c r="B1445" s="83"/>
      <c r="C1445" s="81"/>
      <c r="D1445" s="83"/>
      <c r="E1445" s="81"/>
      <c r="F1445" s="269"/>
      <c r="G1445" s="48"/>
      <c r="H1445" s="269"/>
      <c r="I1445" s="72"/>
      <c r="J1445" s="330"/>
      <c r="K1445" s="75"/>
      <c r="L1445" s="157"/>
      <c r="M1445" s="341"/>
      <c r="N1445" s="334"/>
      <c r="T1445" s="110"/>
      <c r="V1445" s="232"/>
      <c r="W1445" s="269"/>
      <c r="X1445" s="201"/>
      <c r="Y1445" s="269"/>
      <c r="Z1445" s="269"/>
      <c r="AA1445" s="134"/>
      <c r="AB1445" s="269"/>
      <c r="AC1445" s="284"/>
      <c r="AD1445" s="284"/>
      <c r="AE1445" s="269"/>
    </row>
    <row r="1446" spans="2:31">
      <c r="B1446" s="83"/>
      <c r="C1446" s="81"/>
      <c r="D1446" s="83"/>
      <c r="E1446" s="81"/>
      <c r="F1446" s="269"/>
      <c r="G1446" s="48"/>
      <c r="H1446" s="269"/>
      <c r="I1446" s="72"/>
      <c r="J1446" s="330"/>
      <c r="K1446" s="75"/>
      <c r="L1446" s="157"/>
      <c r="M1446" s="341"/>
      <c r="N1446" s="334"/>
      <c r="T1446" s="110"/>
      <c r="V1446" s="232"/>
      <c r="W1446" s="269"/>
      <c r="X1446" s="201"/>
      <c r="Y1446" s="269"/>
      <c r="Z1446" s="269"/>
      <c r="AA1446" s="134"/>
      <c r="AB1446" s="269"/>
      <c r="AC1446" s="284"/>
      <c r="AD1446" s="284"/>
      <c r="AE1446" s="269"/>
    </row>
    <row r="1447" spans="2:31">
      <c r="B1447" s="83"/>
      <c r="C1447" s="81"/>
      <c r="D1447" s="83"/>
      <c r="E1447" s="81"/>
      <c r="F1447" s="269"/>
      <c r="G1447" s="48"/>
      <c r="H1447" s="269"/>
      <c r="I1447" s="72"/>
      <c r="J1447" s="330"/>
      <c r="K1447" s="75"/>
      <c r="L1447" s="157"/>
      <c r="M1447" s="341"/>
      <c r="N1447" s="334"/>
      <c r="O1447" s="394"/>
      <c r="T1447" s="110"/>
      <c r="V1447" s="232"/>
      <c r="W1447" s="269"/>
      <c r="X1447" s="201"/>
      <c r="Y1447" s="269"/>
      <c r="Z1447" s="269"/>
      <c r="AA1447" s="134"/>
      <c r="AB1447" s="269"/>
      <c r="AC1447" s="284"/>
      <c r="AD1447" s="284"/>
      <c r="AE1447" s="269"/>
    </row>
    <row r="1448" spans="2:31">
      <c r="B1448" s="83"/>
      <c r="C1448" s="81"/>
      <c r="D1448" s="83"/>
      <c r="E1448" s="81"/>
      <c r="F1448" s="269"/>
      <c r="G1448" s="48"/>
      <c r="H1448" s="269"/>
      <c r="I1448" s="72"/>
      <c r="J1448" s="330"/>
      <c r="K1448" s="75"/>
      <c r="L1448" s="157"/>
      <c r="M1448" s="341"/>
      <c r="N1448" s="334"/>
      <c r="T1448" s="110"/>
      <c r="V1448" s="232"/>
      <c r="W1448" s="269"/>
      <c r="X1448" s="201"/>
      <c r="Y1448" s="269"/>
      <c r="Z1448" s="269"/>
      <c r="AA1448" s="134"/>
      <c r="AB1448" s="269"/>
      <c r="AC1448" s="284"/>
      <c r="AD1448" s="284"/>
      <c r="AE1448" s="269"/>
    </row>
    <row r="1449" spans="2:31">
      <c r="B1449" s="83"/>
      <c r="C1449" s="81"/>
      <c r="D1449" s="83"/>
      <c r="E1449" s="81"/>
      <c r="F1449" s="269"/>
      <c r="G1449" s="48"/>
      <c r="H1449" s="269"/>
      <c r="I1449" s="72"/>
      <c r="J1449" s="330"/>
      <c r="K1449" s="75"/>
      <c r="L1449" s="157"/>
      <c r="M1449" s="341"/>
      <c r="N1449" s="334"/>
      <c r="T1449" s="110"/>
      <c r="V1449" s="232"/>
      <c r="W1449" s="269"/>
      <c r="X1449" s="201"/>
      <c r="Y1449" s="269"/>
      <c r="Z1449" s="269"/>
      <c r="AA1449" s="134"/>
      <c r="AB1449" s="269"/>
      <c r="AC1449" s="284"/>
      <c r="AD1449" s="284"/>
      <c r="AE1449" s="269"/>
    </row>
    <row r="1450" spans="2:31">
      <c r="B1450" s="83"/>
      <c r="C1450" s="81"/>
      <c r="D1450" s="83"/>
      <c r="E1450" s="81"/>
      <c r="F1450" s="269"/>
      <c r="G1450" s="48"/>
      <c r="H1450" s="269"/>
      <c r="I1450" s="72"/>
      <c r="J1450" s="330"/>
      <c r="K1450" s="75"/>
      <c r="L1450" s="157"/>
      <c r="M1450" s="341"/>
      <c r="N1450" s="334"/>
      <c r="T1450" s="110"/>
      <c r="V1450" s="232"/>
      <c r="W1450" s="269"/>
      <c r="X1450" s="201"/>
      <c r="Y1450" s="269"/>
      <c r="Z1450" s="269"/>
      <c r="AA1450" s="134"/>
      <c r="AB1450" s="269"/>
      <c r="AC1450" s="284"/>
      <c r="AD1450" s="284"/>
      <c r="AE1450" s="269"/>
    </row>
    <row r="1451" spans="2:31">
      <c r="B1451" s="83"/>
      <c r="C1451" s="81"/>
      <c r="D1451" s="83"/>
      <c r="E1451" s="81"/>
      <c r="F1451" s="269"/>
      <c r="G1451" s="48"/>
      <c r="H1451" s="269"/>
      <c r="I1451" s="72"/>
      <c r="J1451" s="330"/>
      <c r="K1451" s="75"/>
      <c r="L1451" s="157"/>
      <c r="M1451" s="341"/>
      <c r="N1451" s="334"/>
      <c r="T1451" s="110"/>
      <c r="V1451" s="232"/>
      <c r="W1451" s="269"/>
      <c r="X1451" s="201"/>
      <c r="Y1451" s="269"/>
      <c r="Z1451" s="269"/>
      <c r="AA1451" s="134"/>
      <c r="AB1451" s="269"/>
      <c r="AC1451" s="284"/>
      <c r="AD1451" s="284"/>
      <c r="AE1451" s="269"/>
    </row>
    <row r="1452" spans="2:31">
      <c r="B1452" s="83"/>
      <c r="C1452" s="81"/>
      <c r="D1452" s="83"/>
      <c r="E1452" s="81"/>
      <c r="F1452" s="269"/>
      <c r="G1452" s="48"/>
      <c r="H1452" s="269"/>
      <c r="I1452" s="72"/>
      <c r="J1452" s="330"/>
      <c r="K1452" s="75"/>
      <c r="L1452" s="157"/>
      <c r="M1452" s="341"/>
      <c r="N1452" s="334"/>
      <c r="T1452" s="110"/>
      <c r="V1452" s="232"/>
      <c r="W1452" s="269"/>
      <c r="X1452" s="201"/>
      <c r="Y1452" s="269"/>
      <c r="Z1452" s="269"/>
      <c r="AA1452" s="134"/>
      <c r="AB1452" s="269"/>
      <c r="AC1452" s="284"/>
      <c r="AD1452" s="284"/>
      <c r="AE1452" s="269"/>
    </row>
    <row r="1453" spans="2:31">
      <c r="B1453" s="83"/>
      <c r="C1453" s="81"/>
      <c r="D1453" s="83"/>
      <c r="E1453" s="81"/>
      <c r="F1453" s="269"/>
      <c r="G1453" s="48"/>
      <c r="H1453" s="269"/>
      <c r="I1453" s="72"/>
      <c r="J1453" s="330"/>
      <c r="K1453" s="75"/>
      <c r="L1453" s="157"/>
      <c r="M1453" s="341"/>
      <c r="N1453" s="334"/>
      <c r="T1453" s="110"/>
      <c r="V1453" s="232"/>
      <c r="W1453" s="269"/>
      <c r="X1453" s="201"/>
      <c r="Y1453" s="269"/>
      <c r="Z1453" s="269"/>
      <c r="AA1453" s="134"/>
      <c r="AB1453" s="269"/>
      <c r="AC1453" s="284"/>
      <c r="AD1453" s="284"/>
      <c r="AE1453" s="269"/>
    </row>
    <row r="1454" spans="2:31">
      <c r="B1454" s="83"/>
      <c r="C1454" s="81"/>
      <c r="D1454" s="83"/>
      <c r="E1454" s="81"/>
      <c r="F1454" s="269"/>
      <c r="G1454" s="48"/>
      <c r="H1454" s="269"/>
      <c r="I1454" s="72"/>
      <c r="J1454" s="330"/>
      <c r="K1454" s="75"/>
      <c r="L1454" s="157"/>
      <c r="M1454" s="341"/>
      <c r="N1454" s="334"/>
      <c r="T1454" s="110"/>
      <c r="V1454" s="232"/>
      <c r="W1454" s="269"/>
      <c r="X1454" s="201"/>
      <c r="Y1454" s="269"/>
      <c r="Z1454" s="269"/>
      <c r="AA1454" s="134"/>
      <c r="AB1454" s="269"/>
      <c r="AC1454" s="284"/>
      <c r="AD1454" s="284"/>
      <c r="AE1454" s="269"/>
    </row>
    <row r="1455" spans="2:31">
      <c r="B1455" s="83"/>
      <c r="C1455" s="81"/>
      <c r="D1455" s="83"/>
      <c r="E1455" s="81"/>
      <c r="F1455" s="269"/>
      <c r="G1455" s="48"/>
      <c r="H1455" s="269"/>
      <c r="I1455" s="72"/>
      <c r="J1455" s="330"/>
      <c r="K1455" s="75"/>
      <c r="L1455" s="157"/>
      <c r="M1455" s="341"/>
      <c r="N1455" s="334"/>
      <c r="T1455" s="110"/>
      <c r="V1455" s="232"/>
      <c r="W1455" s="269"/>
      <c r="X1455" s="201"/>
      <c r="Y1455" s="269"/>
      <c r="Z1455" s="269"/>
      <c r="AA1455" s="134"/>
      <c r="AB1455" s="269"/>
      <c r="AC1455" s="284"/>
      <c r="AD1455" s="284"/>
      <c r="AE1455" s="269"/>
    </row>
    <row r="1456" spans="2:31">
      <c r="B1456" s="83"/>
      <c r="C1456" s="81"/>
      <c r="D1456" s="83"/>
      <c r="E1456" s="81"/>
      <c r="F1456" s="269"/>
      <c r="G1456" s="48"/>
      <c r="H1456" s="269"/>
      <c r="I1456" s="72"/>
      <c r="J1456" s="330"/>
      <c r="K1456" s="75"/>
      <c r="L1456" s="157"/>
      <c r="M1456" s="341"/>
      <c r="N1456" s="334"/>
      <c r="T1456" s="110"/>
      <c r="V1456" s="232"/>
      <c r="W1456" s="269"/>
      <c r="X1456" s="201"/>
      <c r="Y1456" s="269"/>
      <c r="Z1456" s="269"/>
      <c r="AA1456" s="134"/>
      <c r="AB1456" s="269"/>
      <c r="AC1456" s="284"/>
      <c r="AD1456" s="284"/>
      <c r="AE1456" s="269"/>
    </row>
    <row r="1457" spans="2:31">
      <c r="B1457" s="83"/>
      <c r="C1457" s="81"/>
      <c r="D1457" s="83"/>
      <c r="E1457" s="81"/>
      <c r="F1457" s="269"/>
      <c r="G1457" s="48"/>
      <c r="H1457" s="269"/>
      <c r="I1457" s="72"/>
      <c r="J1457" s="330"/>
      <c r="K1457" s="75"/>
      <c r="L1457" s="157"/>
      <c r="M1457" s="341"/>
      <c r="N1457" s="334"/>
      <c r="O1457" s="394"/>
      <c r="T1457" s="110"/>
      <c r="V1457" s="232"/>
      <c r="W1457" s="269"/>
      <c r="X1457" s="201"/>
      <c r="Y1457" s="269"/>
      <c r="Z1457" s="269"/>
      <c r="AA1457" s="134"/>
      <c r="AB1457" s="269"/>
      <c r="AC1457" s="284"/>
      <c r="AD1457" s="284"/>
      <c r="AE1457" s="269"/>
    </row>
    <row r="1458" spans="2:31">
      <c r="B1458" s="83"/>
      <c r="C1458" s="81"/>
      <c r="D1458" s="83"/>
      <c r="E1458" s="81"/>
      <c r="F1458" s="269"/>
      <c r="G1458" s="48"/>
      <c r="H1458" s="269"/>
      <c r="I1458" s="72"/>
      <c r="J1458" s="330"/>
      <c r="K1458" s="75"/>
      <c r="L1458" s="157"/>
      <c r="M1458" s="341"/>
      <c r="N1458" s="334"/>
      <c r="T1458" s="110"/>
      <c r="V1458" s="232"/>
      <c r="W1458" s="269"/>
      <c r="X1458" s="201"/>
      <c r="Y1458" s="269"/>
      <c r="Z1458" s="269"/>
      <c r="AA1458" s="134"/>
      <c r="AB1458" s="269"/>
      <c r="AC1458" s="284"/>
      <c r="AD1458" s="284"/>
      <c r="AE1458" s="269"/>
    </row>
    <row r="1459" spans="2:31">
      <c r="B1459" s="83"/>
      <c r="C1459" s="81"/>
      <c r="D1459" s="83"/>
      <c r="E1459" s="81"/>
      <c r="F1459" s="269"/>
      <c r="G1459" s="48"/>
      <c r="H1459" s="269"/>
      <c r="I1459" s="72"/>
      <c r="J1459" s="330"/>
      <c r="K1459" s="75"/>
      <c r="L1459" s="157"/>
      <c r="M1459" s="341"/>
      <c r="N1459" s="334"/>
      <c r="T1459" s="110"/>
      <c r="V1459" s="232"/>
      <c r="W1459" s="269"/>
      <c r="X1459" s="201"/>
      <c r="Y1459" s="269"/>
      <c r="Z1459" s="269"/>
      <c r="AA1459" s="134"/>
      <c r="AB1459" s="269"/>
      <c r="AC1459" s="284"/>
      <c r="AD1459" s="284"/>
      <c r="AE1459" s="269"/>
    </row>
    <row r="1460" spans="2:31">
      <c r="B1460" s="83"/>
      <c r="C1460" s="81"/>
      <c r="D1460" s="83"/>
      <c r="E1460" s="81"/>
      <c r="F1460" s="269"/>
      <c r="G1460" s="48"/>
      <c r="H1460" s="269"/>
      <c r="I1460" s="72"/>
      <c r="J1460" s="330"/>
      <c r="K1460" s="75"/>
      <c r="L1460" s="157"/>
      <c r="M1460" s="341"/>
      <c r="N1460" s="334"/>
      <c r="T1460" s="110"/>
      <c r="V1460" s="232"/>
      <c r="W1460" s="269"/>
      <c r="X1460" s="201"/>
      <c r="Y1460" s="269"/>
      <c r="Z1460" s="269"/>
      <c r="AA1460" s="134"/>
      <c r="AB1460" s="269"/>
      <c r="AC1460" s="284"/>
      <c r="AD1460" s="284"/>
      <c r="AE1460" s="269"/>
    </row>
    <row r="1461" spans="2:31">
      <c r="B1461" s="83"/>
      <c r="C1461" s="81"/>
      <c r="D1461" s="83"/>
      <c r="E1461" s="81"/>
      <c r="F1461" s="269"/>
      <c r="G1461" s="48"/>
      <c r="H1461" s="269"/>
      <c r="I1461" s="72"/>
      <c r="J1461" s="330"/>
      <c r="K1461" s="75"/>
      <c r="L1461" s="157"/>
      <c r="M1461" s="341"/>
      <c r="N1461" s="334"/>
      <c r="O1461" s="394"/>
      <c r="T1461" s="110"/>
      <c r="V1461" s="232"/>
      <c r="W1461" s="269"/>
      <c r="X1461" s="201"/>
      <c r="Y1461" s="269"/>
      <c r="Z1461" s="269"/>
      <c r="AA1461" s="134"/>
      <c r="AB1461" s="269"/>
      <c r="AC1461" s="284"/>
      <c r="AD1461" s="284"/>
      <c r="AE1461" s="269"/>
    </row>
    <row r="1462" spans="2:31">
      <c r="B1462" s="83"/>
      <c r="C1462" s="81"/>
      <c r="D1462" s="83"/>
      <c r="E1462" s="81"/>
      <c r="F1462" s="269"/>
      <c r="G1462" s="48"/>
      <c r="H1462" s="269"/>
      <c r="I1462" s="72"/>
      <c r="J1462" s="330"/>
      <c r="K1462" s="75"/>
      <c r="L1462" s="157"/>
      <c r="M1462" s="341"/>
      <c r="N1462" s="334"/>
      <c r="T1462" s="110"/>
      <c r="V1462" s="232"/>
      <c r="W1462" s="269"/>
      <c r="X1462" s="201"/>
      <c r="Y1462" s="269"/>
      <c r="Z1462" s="269"/>
      <c r="AA1462" s="134"/>
      <c r="AB1462" s="269"/>
      <c r="AC1462" s="284"/>
      <c r="AD1462" s="284"/>
      <c r="AE1462" s="269"/>
    </row>
    <row r="1463" spans="2:31">
      <c r="B1463" s="83"/>
      <c r="C1463" s="81"/>
      <c r="D1463" s="83"/>
      <c r="E1463" s="81"/>
      <c r="F1463" s="269"/>
      <c r="G1463" s="48"/>
      <c r="H1463" s="269"/>
      <c r="I1463" s="72"/>
      <c r="J1463" s="330"/>
      <c r="K1463" s="75"/>
      <c r="L1463" s="157"/>
      <c r="M1463" s="341"/>
      <c r="N1463" s="334"/>
      <c r="T1463" s="110"/>
      <c r="V1463" s="232"/>
      <c r="W1463" s="269"/>
      <c r="X1463" s="201"/>
      <c r="Y1463" s="269"/>
      <c r="Z1463" s="269"/>
      <c r="AA1463" s="134"/>
      <c r="AB1463" s="269"/>
      <c r="AC1463" s="284"/>
      <c r="AD1463" s="284"/>
      <c r="AE1463" s="269"/>
    </row>
    <row r="1464" spans="2:31">
      <c r="B1464" s="83"/>
      <c r="C1464" s="81"/>
      <c r="D1464" s="83"/>
      <c r="E1464" s="81"/>
      <c r="F1464" s="269"/>
      <c r="G1464" s="48"/>
      <c r="H1464" s="269"/>
      <c r="I1464" s="72"/>
      <c r="J1464" s="330"/>
      <c r="K1464" s="75"/>
      <c r="L1464" s="157"/>
      <c r="M1464" s="341"/>
      <c r="N1464" s="334"/>
      <c r="T1464" s="110"/>
      <c r="V1464" s="232"/>
      <c r="W1464" s="269"/>
      <c r="X1464" s="201"/>
      <c r="Y1464" s="269"/>
      <c r="Z1464" s="269"/>
      <c r="AA1464" s="134"/>
      <c r="AB1464" s="269"/>
      <c r="AC1464" s="284"/>
      <c r="AD1464" s="284"/>
      <c r="AE1464" s="269"/>
    </row>
    <row r="1465" spans="2:31">
      <c r="B1465" s="83"/>
      <c r="C1465" s="81"/>
      <c r="D1465" s="83"/>
      <c r="E1465" s="81"/>
      <c r="F1465" s="269"/>
      <c r="G1465" s="48"/>
      <c r="H1465" s="269"/>
      <c r="I1465" s="72"/>
      <c r="J1465" s="330"/>
      <c r="K1465" s="75"/>
      <c r="L1465" s="157"/>
      <c r="M1465" s="341"/>
      <c r="N1465" s="334"/>
      <c r="T1465" s="110"/>
      <c r="V1465" s="232"/>
      <c r="W1465" s="269"/>
      <c r="X1465" s="201"/>
      <c r="Y1465" s="269"/>
      <c r="Z1465" s="269"/>
      <c r="AA1465" s="134"/>
      <c r="AB1465" s="269"/>
      <c r="AC1465" s="284"/>
      <c r="AD1465" s="284"/>
      <c r="AE1465" s="269"/>
    </row>
    <row r="1466" spans="2:31">
      <c r="B1466" s="83"/>
      <c r="C1466" s="81"/>
      <c r="D1466" s="83"/>
      <c r="E1466" s="81"/>
      <c r="F1466" s="269"/>
      <c r="G1466" s="48"/>
      <c r="H1466" s="269"/>
      <c r="I1466" s="72"/>
      <c r="J1466" s="330"/>
      <c r="K1466" s="75"/>
      <c r="L1466" s="157"/>
      <c r="M1466" s="341"/>
      <c r="N1466" s="334"/>
      <c r="O1466" s="394"/>
      <c r="T1466" s="110"/>
      <c r="V1466" s="232"/>
      <c r="W1466" s="269"/>
      <c r="X1466" s="201"/>
      <c r="Y1466" s="269"/>
      <c r="Z1466" s="269"/>
      <c r="AA1466" s="134"/>
      <c r="AB1466" s="269"/>
      <c r="AC1466" s="284"/>
      <c r="AD1466" s="284"/>
      <c r="AE1466" s="269"/>
    </row>
    <row r="1467" spans="2:31">
      <c r="B1467" s="83"/>
      <c r="C1467" s="81"/>
      <c r="D1467" s="83"/>
      <c r="E1467" s="81"/>
      <c r="F1467" s="269"/>
      <c r="G1467" s="48"/>
      <c r="H1467" s="269"/>
      <c r="I1467" s="72"/>
      <c r="J1467" s="330"/>
      <c r="K1467" s="75"/>
      <c r="L1467" s="157"/>
      <c r="M1467" s="341"/>
      <c r="N1467" s="334"/>
      <c r="O1467" s="394"/>
      <c r="T1467" s="110"/>
      <c r="V1467" s="232"/>
      <c r="W1467" s="269"/>
      <c r="X1467" s="201"/>
      <c r="Y1467" s="269"/>
      <c r="Z1467" s="269"/>
      <c r="AA1467" s="134"/>
      <c r="AB1467" s="269"/>
      <c r="AC1467" s="284"/>
      <c r="AD1467" s="284"/>
      <c r="AE1467" s="269"/>
    </row>
    <row r="1468" spans="2:31">
      <c r="B1468" s="83"/>
      <c r="C1468" s="81"/>
      <c r="D1468" s="83"/>
      <c r="E1468" s="81"/>
      <c r="F1468" s="269"/>
      <c r="G1468" s="48"/>
      <c r="H1468" s="269"/>
      <c r="I1468" s="72"/>
      <c r="J1468" s="330"/>
      <c r="K1468" s="75"/>
      <c r="L1468" s="157"/>
      <c r="M1468" s="341"/>
      <c r="N1468" s="334"/>
      <c r="O1468" s="394"/>
      <c r="T1468" s="110"/>
      <c r="V1468" s="232"/>
      <c r="W1468" s="269"/>
      <c r="X1468" s="201"/>
      <c r="Y1468" s="269"/>
      <c r="Z1468" s="269"/>
      <c r="AA1468" s="134"/>
      <c r="AB1468" s="269"/>
      <c r="AC1468" s="284"/>
      <c r="AD1468" s="284"/>
      <c r="AE1468" s="269"/>
    </row>
    <row r="1469" spans="2:31">
      <c r="B1469" s="83"/>
      <c r="C1469" s="81"/>
      <c r="D1469" s="83"/>
      <c r="E1469" s="81"/>
      <c r="F1469" s="269"/>
      <c r="G1469" s="48"/>
      <c r="H1469" s="269"/>
      <c r="I1469" s="72"/>
      <c r="J1469" s="330"/>
      <c r="K1469" s="75"/>
      <c r="L1469" s="157"/>
      <c r="M1469" s="341"/>
      <c r="N1469" s="334"/>
      <c r="T1469" s="110"/>
      <c r="V1469" s="232"/>
      <c r="W1469" s="269"/>
      <c r="X1469" s="201"/>
      <c r="Y1469" s="269"/>
      <c r="Z1469" s="269"/>
      <c r="AA1469" s="134"/>
      <c r="AB1469" s="269"/>
      <c r="AC1469" s="284"/>
      <c r="AD1469" s="284"/>
      <c r="AE1469" s="269"/>
    </row>
    <row r="1470" spans="2:31">
      <c r="B1470" s="83"/>
      <c r="C1470" s="81"/>
      <c r="D1470" s="83"/>
      <c r="E1470" s="81"/>
      <c r="F1470" s="269"/>
      <c r="G1470" s="48"/>
      <c r="H1470" s="269"/>
      <c r="I1470" s="72"/>
      <c r="J1470" s="330"/>
      <c r="K1470" s="75"/>
      <c r="L1470" s="157"/>
      <c r="M1470" s="341"/>
      <c r="N1470" s="334"/>
      <c r="O1470" s="394"/>
      <c r="T1470" s="110"/>
      <c r="V1470" s="232"/>
      <c r="W1470" s="269"/>
      <c r="X1470" s="201"/>
      <c r="Y1470" s="269"/>
      <c r="Z1470" s="269"/>
      <c r="AA1470" s="134"/>
      <c r="AB1470" s="269"/>
      <c r="AC1470" s="284"/>
      <c r="AD1470" s="284"/>
      <c r="AE1470" s="269"/>
    </row>
    <row r="1471" spans="2:31">
      <c r="B1471" s="83"/>
      <c r="C1471" s="81"/>
      <c r="D1471" s="83"/>
      <c r="E1471" s="81"/>
      <c r="F1471" s="269"/>
      <c r="G1471" s="48"/>
      <c r="H1471" s="269"/>
      <c r="I1471" s="72"/>
      <c r="J1471" s="330"/>
      <c r="K1471" s="75"/>
      <c r="L1471" s="157"/>
      <c r="M1471" s="341"/>
      <c r="N1471" s="334"/>
      <c r="O1471" s="394"/>
      <c r="T1471" s="110"/>
      <c r="V1471" s="232"/>
      <c r="W1471" s="269"/>
      <c r="X1471" s="201"/>
      <c r="Y1471" s="269"/>
      <c r="Z1471" s="269"/>
      <c r="AA1471" s="134"/>
      <c r="AB1471" s="269"/>
      <c r="AC1471" s="284"/>
      <c r="AD1471" s="284"/>
      <c r="AE1471" s="269"/>
    </row>
    <row r="1472" spans="2:31">
      <c r="B1472" s="83"/>
      <c r="C1472" s="81"/>
      <c r="D1472" s="83"/>
      <c r="E1472" s="81"/>
      <c r="F1472" s="269"/>
      <c r="G1472" s="48"/>
      <c r="H1472" s="269"/>
      <c r="I1472" s="72"/>
      <c r="J1472" s="330"/>
      <c r="K1472" s="75"/>
      <c r="L1472" s="157"/>
      <c r="M1472" s="341"/>
      <c r="N1472" s="334"/>
      <c r="T1472" s="110"/>
      <c r="V1472" s="232"/>
      <c r="W1472" s="269"/>
      <c r="X1472" s="201"/>
      <c r="Y1472" s="269"/>
      <c r="Z1472" s="269"/>
      <c r="AA1472" s="134"/>
      <c r="AB1472" s="269"/>
      <c r="AC1472" s="284"/>
      <c r="AD1472" s="284"/>
      <c r="AE1472" s="269"/>
    </row>
    <row r="1473" spans="2:31">
      <c r="B1473" s="83"/>
      <c r="C1473" s="81"/>
      <c r="D1473" s="83"/>
      <c r="E1473" s="81"/>
      <c r="F1473" s="269"/>
      <c r="G1473" s="48"/>
      <c r="H1473" s="269"/>
      <c r="I1473" s="72"/>
      <c r="J1473" s="330"/>
      <c r="K1473" s="75"/>
      <c r="L1473" s="157"/>
      <c r="M1473" s="341"/>
      <c r="N1473" s="334"/>
      <c r="O1473" s="394"/>
      <c r="T1473" s="110"/>
      <c r="V1473" s="232"/>
      <c r="W1473" s="269"/>
      <c r="X1473" s="201"/>
      <c r="Y1473" s="269"/>
      <c r="Z1473" s="269"/>
      <c r="AA1473" s="134"/>
      <c r="AB1473" s="269"/>
      <c r="AC1473" s="284"/>
      <c r="AD1473" s="284"/>
      <c r="AE1473" s="269"/>
    </row>
    <row r="1474" spans="2:31">
      <c r="B1474" s="83"/>
      <c r="C1474" s="81"/>
      <c r="D1474" s="83"/>
      <c r="E1474" s="81"/>
      <c r="F1474" s="269"/>
      <c r="G1474" s="48"/>
      <c r="H1474" s="269"/>
      <c r="I1474" s="72"/>
      <c r="J1474" s="330"/>
      <c r="K1474" s="75"/>
      <c r="L1474" s="157"/>
      <c r="M1474" s="341"/>
      <c r="N1474" s="334"/>
      <c r="T1474" s="110"/>
      <c r="V1474" s="232"/>
      <c r="W1474" s="269"/>
      <c r="X1474" s="201"/>
      <c r="Y1474" s="269"/>
      <c r="Z1474" s="269"/>
      <c r="AA1474" s="134"/>
      <c r="AB1474" s="269"/>
      <c r="AC1474" s="284"/>
      <c r="AD1474" s="284"/>
      <c r="AE1474" s="269"/>
    </row>
    <row r="1475" spans="2:31">
      <c r="B1475" s="83"/>
      <c r="C1475" s="81"/>
      <c r="D1475" s="83"/>
      <c r="E1475" s="81"/>
      <c r="F1475" s="269"/>
      <c r="G1475" s="48"/>
      <c r="H1475" s="269"/>
      <c r="I1475" s="72"/>
      <c r="J1475" s="330"/>
      <c r="K1475" s="75"/>
      <c r="L1475" s="157"/>
      <c r="M1475" s="341"/>
      <c r="N1475" s="334"/>
      <c r="O1475" s="394"/>
      <c r="T1475" s="110"/>
      <c r="V1475" s="232"/>
      <c r="W1475" s="269"/>
      <c r="X1475" s="201"/>
      <c r="Y1475" s="269"/>
      <c r="Z1475" s="269"/>
      <c r="AA1475" s="134"/>
      <c r="AB1475" s="269"/>
      <c r="AC1475" s="284"/>
      <c r="AD1475" s="284"/>
      <c r="AE1475" s="269"/>
    </row>
    <row r="1476" spans="2:31">
      <c r="B1476" s="83"/>
      <c r="C1476" s="81"/>
      <c r="D1476" s="83"/>
      <c r="E1476" s="81"/>
      <c r="F1476" s="269"/>
      <c r="G1476" s="48"/>
      <c r="H1476" s="269"/>
      <c r="I1476" s="72"/>
      <c r="J1476" s="330"/>
      <c r="K1476" s="75"/>
      <c r="L1476" s="157"/>
      <c r="M1476" s="341"/>
      <c r="N1476" s="334"/>
      <c r="O1476" s="394"/>
      <c r="T1476" s="110"/>
      <c r="V1476" s="232"/>
      <c r="W1476" s="269"/>
      <c r="X1476" s="201"/>
      <c r="Y1476" s="269"/>
      <c r="Z1476" s="269"/>
      <c r="AA1476" s="134"/>
      <c r="AB1476" s="269"/>
      <c r="AC1476" s="284"/>
      <c r="AD1476" s="284"/>
      <c r="AE1476" s="269"/>
    </row>
    <row r="1477" spans="2:31">
      <c r="B1477" s="83"/>
      <c r="C1477" s="81"/>
      <c r="D1477" s="83"/>
      <c r="E1477" s="81"/>
      <c r="F1477" s="269"/>
      <c r="G1477" s="48"/>
      <c r="H1477" s="269"/>
      <c r="I1477" s="72"/>
      <c r="J1477" s="330"/>
      <c r="K1477" s="75"/>
      <c r="L1477" s="157"/>
      <c r="M1477" s="341"/>
      <c r="N1477" s="334"/>
      <c r="O1477" s="394"/>
      <c r="T1477" s="110"/>
      <c r="V1477" s="232"/>
      <c r="W1477" s="269"/>
      <c r="X1477" s="201"/>
      <c r="Y1477" s="269"/>
      <c r="Z1477" s="269"/>
      <c r="AA1477" s="134"/>
      <c r="AB1477" s="269"/>
      <c r="AC1477" s="284"/>
      <c r="AD1477" s="284"/>
      <c r="AE1477" s="269"/>
    </row>
    <row r="1478" spans="2:31">
      <c r="B1478" s="83"/>
      <c r="C1478" s="81"/>
      <c r="D1478" s="83"/>
      <c r="E1478" s="81"/>
      <c r="F1478" s="269"/>
      <c r="G1478" s="48"/>
      <c r="H1478" s="269"/>
      <c r="I1478" s="72"/>
      <c r="J1478" s="330"/>
      <c r="K1478" s="75"/>
      <c r="L1478" s="157"/>
      <c r="M1478" s="341"/>
      <c r="N1478" s="334"/>
      <c r="O1478" s="394"/>
      <c r="T1478" s="110"/>
      <c r="V1478" s="232"/>
      <c r="W1478" s="269"/>
      <c r="X1478" s="201"/>
      <c r="Y1478" s="269"/>
      <c r="Z1478" s="269"/>
      <c r="AA1478" s="134"/>
      <c r="AB1478" s="269"/>
      <c r="AC1478" s="284"/>
      <c r="AD1478" s="284"/>
      <c r="AE1478" s="269"/>
    </row>
    <row r="1479" spans="2:31">
      <c r="B1479" s="83"/>
      <c r="C1479" s="81"/>
      <c r="D1479" s="83"/>
      <c r="E1479" s="81"/>
      <c r="F1479" s="269"/>
      <c r="G1479" s="48"/>
      <c r="H1479" s="269"/>
      <c r="I1479" s="72"/>
      <c r="J1479" s="330"/>
      <c r="K1479" s="75"/>
      <c r="L1479" s="157"/>
      <c r="M1479" s="341"/>
      <c r="N1479" s="334"/>
      <c r="O1479" s="394"/>
      <c r="T1479" s="110"/>
      <c r="V1479" s="232"/>
      <c r="W1479" s="269"/>
      <c r="X1479" s="201"/>
      <c r="Y1479" s="269"/>
      <c r="Z1479" s="269"/>
      <c r="AA1479" s="134"/>
      <c r="AB1479" s="269"/>
      <c r="AC1479" s="284"/>
      <c r="AD1479" s="284"/>
      <c r="AE1479" s="269"/>
    </row>
    <row r="1480" spans="2:31">
      <c r="B1480" s="83"/>
      <c r="C1480" s="81"/>
      <c r="D1480" s="83"/>
      <c r="E1480" s="81"/>
      <c r="F1480" s="269"/>
      <c r="G1480" s="48"/>
      <c r="H1480" s="269"/>
      <c r="I1480" s="72"/>
      <c r="J1480" s="330"/>
      <c r="K1480" s="75"/>
      <c r="L1480" s="157"/>
      <c r="M1480" s="341"/>
      <c r="N1480" s="334"/>
      <c r="O1480" s="394"/>
      <c r="T1480" s="110"/>
      <c r="V1480" s="232"/>
      <c r="W1480" s="269"/>
      <c r="X1480" s="201"/>
      <c r="Y1480" s="269"/>
      <c r="Z1480" s="269"/>
      <c r="AA1480" s="134"/>
      <c r="AB1480" s="269"/>
      <c r="AC1480" s="284"/>
      <c r="AD1480" s="284"/>
      <c r="AE1480" s="269"/>
    </row>
    <row r="1481" spans="2:31">
      <c r="B1481" s="83"/>
      <c r="C1481" s="81"/>
      <c r="D1481" s="83"/>
      <c r="E1481" s="81"/>
      <c r="F1481" s="269"/>
      <c r="G1481" s="48"/>
      <c r="H1481" s="269"/>
      <c r="I1481" s="72"/>
      <c r="J1481" s="330"/>
      <c r="K1481" s="75"/>
      <c r="L1481" s="157"/>
      <c r="M1481" s="341"/>
      <c r="N1481" s="334"/>
      <c r="O1481" s="394"/>
      <c r="T1481" s="110"/>
      <c r="V1481" s="232"/>
      <c r="W1481" s="269"/>
      <c r="X1481" s="201"/>
      <c r="Y1481" s="269"/>
      <c r="Z1481" s="269"/>
      <c r="AA1481" s="134"/>
      <c r="AB1481" s="269"/>
      <c r="AC1481" s="284"/>
      <c r="AD1481" s="284"/>
      <c r="AE1481" s="269"/>
    </row>
    <row r="1482" spans="2:31">
      <c r="B1482" s="83"/>
      <c r="C1482" s="81"/>
      <c r="D1482" s="83"/>
      <c r="E1482" s="81"/>
      <c r="F1482" s="269"/>
      <c r="G1482" s="48"/>
      <c r="H1482" s="269"/>
      <c r="I1482" s="72"/>
      <c r="J1482" s="330"/>
      <c r="K1482" s="75"/>
      <c r="L1482" s="157"/>
      <c r="M1482" s="341"/>
      <c r="N1482" s="334"/>
      <c r="O1482" s="394"/>
      <c r="T1482" s="110"/>
      <c r="V1482" s="232"/>
      <c r="W1482" s="269"/>
      <c r="X1482" s="201"/>
      <c r="Y1482" s="269"/>
      <c r="Z1482" s="269"/>
      <c r="AA1482" s="134"/>
      <c r="AB1482" s="269"/>
      <c r="AC1482" s="284"/>
      <c r="AD1482" s="284"/>
      <c r="AE1482" s="269"/>
    </row>
    <row r="1483" spans="2:31">
      <c r="B1483" s="83"/>
      <c r="C1483" s="81"/>
      <c r="D1483" s="83"/>
      <c r="E1483" s="81"/>
      <c r="F1483" s="269"/>
      <c r="G1483" s="48"/>
      <c r="H1483" s="269"/>
      <c r="I1483" s="72"/>
      <c r="J1483" s="330"/>
      <c r="K1483" s="75"/>
      <c r="L1483" s="157"/>
      <c r="M1483" s="341"/>
      <c r="N1483" s="334"/>
      <c r="O1483" s="394"/>
      <c r="T1483" s="110"/>
      <c r="V1483" s="232"/>
      <c r="W1483" s="269"/>
      <c r="X1483" s="201"/>
      <c r="Y1483" s="269"/>
      <c r="Z1483" s="269"/>
      <c r="AA1483" s="134"/>
      <c r="AB1483" s="269"/>
      <c r="AC1483" s="284"/>
      <c r="AD1483" s="284"/>
      <c r="AE1483" s="269"/>
    </row>
    <row r="1484" spans="2:31">
      <c r="B1484" s="83"/>
      <c r="C1484" s="81"/>
      <c r="D1484" s="83"/>
      <c r="E1484" s="81"/>
      <c r="F1484" s="269"/>
      <c r="G1484" s="48"/>
      <c r="H1484" s="269"/>
      <c r="I1484" s="72"/>
      <c r="J1484" s="330"/>
      <c r="K1484" s="75"/>
      <c r="L1484" s="157"/>
      <c r="M1484" s="341"/>
      <c r="N1484" s="334"/>
      <c r="O1484" s="394"/>
      <c r="T1484" s="110"/>
      <c r="V1484" s="232"/>
      <c r="W1484" s="269"/>
      <c r="X1484" s="201"/>
      <c r="Y1484" s="269"/>
      <c r="Z1484" s="269"/>
      <c r="AA1484" s="134"/>
      <c r="AB1484" s="269"/>
      <c r="AC1484" s="284"/>
      <c r="AD1484" s="284"/>
      <c r="AE1484" s="269"/>
    </row>
    <row r="1485" spans="2:31">
      <c r="B1485" s="83"/>
      <c r="C1485" s="81"/>
      <c r="D1485" s="83"/>
      <c r="E1485" s="81"/>
      <c r="F1485" s="269"/>
      <c r="G1485" s="48"/>
      <c r="H1485" s="269"/>
      <c r="I1485" s="72"/>
      <c r="J1485" s="330"/>
      <c r="K1485" s="75"/>
      <c r="L1485" s="157"/>
      <c r="M1485" s="341"/>
      <c r="N1485" s="334"/>
      <c r="P1485" s="392"/>
      <c r="Q1485" s="363"/>
      <c r="T1485" s="110"/>
      <c r="V1485" s="232"/>
      <c r="W1485" s="269"/>
      <c r="X1485" s="201"/>
      <c r="Y1485" s="269"/>
      <c r="Z1485" s="269"/>
      <c r="AA1485" s="134"/>
      <c r="AB1485" s="269"/>
      <c r="AC1485" s="284"/>
      <c r="AD1485" s="284"/>
      <c r="AE1485" s="269"/>
    </row>
    <row r="1486" spans="2:31">
      <c r="B1486" s="83"/>
      <c r="C1486" s="81"/>
      <c r="D1486" s="83"/>
      <c r="E1486" s="81"/>
      <c r="F1486" s="269"/>
      <c r="G1486" s="48"/>
      <c r="H1486" s="269"/>
      <c r="I1486" s="72"/>
      <c r="J1486" s="330"/>
      <c r="K1486" s="75"/>
      <c r="L1486" s="157"/>
      <c r="M1486" s="341"/>
      <c r="N1486" s="334"/>
      <c r="O1486" s="394"/>
      <c r="T1486" s="110"/>
      <c r="V1486" s="232"/>
      <c r="W1486" s="269"/>
      <c r="X1486" s="201"/>
      <c r="Y1486" s="269"/>
      <c r="Z1486" s="269"/>
      <c r="AA1486" s="134"/>
      <c r="AB1486" s="269"/>
      <c r="AC1486" s="284"/>
      <c r="AD1486" s="284"/>
      <c r="AE1486" s="269"/>
    </row>
    <row r="1487" spans="2:31">
      <c r="B1487" s="83"/>
      <c r="C1487" s="81"/>
      <c r="D1487" s="83"/>
      <c r="E1487" s="81"/>
      <c r="F1487" s="269"/>
      <c r="G1487" s="48"/>
      <c r="H1487" s="269"/>
      <c r="I1487" s="72"/>
      <c r="J1487" s="330"/>
      <c r="K1487" s="75"/>
      <c r="L1487" s="157"/>
      <c r="M1487" s="341"/>
      <c r="N1487" s="334"/>
      <c r="O1487" s="394"/>
      <c r="T1487" s="110"/>
      <c r="V1487" s="232"/>
      <c r="W1487" s="269"/>
      <c r="X1487" s="201"/>
      <c r="Y1487" s="269"/>
      <c r="Z1487" s="269"/>
      <c r="AA1487" s="134"/>
      <c r="AB1487" s="269"/>
      <c r="AC1487" s="284"/>
      <c r="AD1487" s="284"/>
      <c r="AE1487" s="269"/>
    </row>
    <row r="1488" spans="2:31">
      <c r="B1488" s="83"/>
      <c r="C1488" s="81"/>
      <c r="D1488" s="83"/>
      <c r="E1488" s="81"/>
      <c r="F1488" s="269"/>
      <c r="G1488" s="48"/>
      <c r="H1488" s="269"/>
      <c r="I1488" s="72"/>
      <c r="J1488" s="330"/>
      <c r="K1488" s="75"/>
      <c r="L1488" s="157"/>
      <c r="M1488" s="341"/>
      <c r="N1488" s="334"/>
      <c r="O1488" s="394"/>
      <c r="T1488" s="110"/>
      <c r="V1488" s="232"/>
      <c r="W1488" s="269"/>
      <c r="X1488" s="201"/>
      <c r="Y1488" s="269"/>
      <c r="Z1488" s="269"/>
      <c r="AA1488" s="134"/>
      <c r="AB1488" s="269"/>
      <c r="AC1488" s="284"/>
      <c r="AD1488" s="284"/>
      <c r="AE1488" s="269"/>
    </row>
    <row r="1489" spans="2:31">
      <c r="B1489" s="83"/>
      <c r="C1489" s="81"/>
      <c r="D1489" s="83"/>
      <c r="E1489" s="81"/>
      <c r="F1489" s="269"/>
      <c r="G1489" s="48"/>
      <c r="H1489" s="269"/>
      <c r="I1489" s="72"/>
      <c r="J1489" s="330"/>
      <c r="K1489" s="75"/>
      <c r="L1489" s="157"/>
      <c r="M1489" s="341"/>
      <c r="N1489" s="334"/>
      <c r="O1489" s="394"/>
      <c r="T1489" s="110"/>
      <c r="V1489" s="232"/>
      <c r="W1489" s="269"/>
      <c r="X1489" s="201"/>
      <c r="Y1489" s="269"/>
      <c r="Z1489" s="269"/>
      <c r="AA1489" s="134"/>
      <c r="AB1489" s="269"/>
      <c r="AC1489" s="284"/>
      <c r="AD1489" s="284"/>
      <c r="AE1489" s="269"/>
    </row>
    <row r="1490" spans="2:31">
      <c r="B1490" s="83"/>
      <c r="C1490" s="81"/>
      <c r="D1490" s="83"/>
      <c r="E1490" s="81"/>
      <c r="F1490" s="269"/>
      <c r="G1490" s="48"/>
      <c r="H1490" s="269"/>
      <c r="I1490" s="72"/>
      <c r="J1490" s="330"/>
      <c r="K1490" s="75"/>
      <c r="L1490" s="157"/>
      <c r="M1490" s="341"/>
      <c r="N1490" s="334"/>
      <c r="O1490" s="394"/>
      <c r="T1490" s="110"/>
      <c r="V1490" s="232"/>
      <c r="W1490" s="269"/>
      <c r="X1490" s="201"/>
      <c r="Y1490" s="269"/>
      <c r="Z1490" s="269"/>
      <c r="AA1490" s="134"/>
      <c r="AB1490" s="269"/>
      <c r="AC1490" s="284"/>
      <c r="AD1490" s="284"/>
      <c r="AE1490" s="269"/>
    </row>
    <row r="1491" spans="2:31">
      <c r="B1491" s="83"/>
      <c r="C1491" s="81"/>
      <c r="D1491" s="83"/>
      <c r="E1491" s="81"/>
      <c r="F1491" s="269"/>
      <c r="G1491" s="48"/>
      <c r="H1491" s="269"/>
      <c r="I1491" s="72"/>
      <c r="J1491" s="330"/>
      <c r="K1491" s="75"/>
      <c r="L1491" s="157"/>
      <c r="M1491" s="341"/>
      <c r="N1491" s="334"/>
      <c r="O1491" s="394"/>
      <c r="T1491" s="110"/>
      <c r="V1491" s="232"/>
      <c r="W1491" s="269"/>
      <c r="X1491" s="201"/>
      <c r="Y1491" s="269"/>
      <c r="Z1491" s="269"/>
      <c r="AA1491" s="134"/>
      <c r="AB1491" s="269"/>
      <c r="AC1491" s="284"/>
      <c r="AD1491" s="284"/>
      <c r="AE1491" s="269"/>
    </row>
    <row r="1492" spans="2:31">
      <c r="B1492" s="83"/>
      <c r="C1492" s="81"/>
      <c r="D1492" s="83"/>
      <c r="E1492" s="81"/>
      <c r="F1492" s="269"/>
      <c r="G1492" s="48"/>
      <c r="H1492" s="269"/>
      <c r="I1492" s="72"/>
      <c r="J1492" s="330"/>
      <c r="K1492" s="75"/>
      <c r="L1492" s="157"/>
      <c r="M1492" s="341"/>
      <c r="N1492" s="334"/>
      <c r="O1492" s="394"/>
      <c r="T1492" s="110"/>
      <c r="V1492" s="232"/>
      <c r="W1492" s="269"/>
      <c r="X1492" s="201"/>
      <c r="Y1492" s="269"/>
      <c r="Z1492" s="269"/>
      <c r="AA1492" s="134"/>
      <c r="AB1492" s="269"/>
      <c r="AC1492" s="284"/>
      <c r="AD1492" s="284"/>
      <c r="AE1492" s="269"/>
    </row>
    <row r="1493" spans="2:31">
      <c r="B1493" s="83"/>
      <c r="C1493" s="81"/>
      <c r="D1493" s="83"/>
      <c r="E1493" s="81"/>
      <c r="F1493" s="269"/>
      <c r="G1493" s="48"/>
      <c r="H1493" s="269"/>
      <c r="I1493" s="72"/>
      <c r="J1493" s="330"/>
      <c r="K1493" s="75"/>
      <c r="L1493" s="157"/>
      <c r="M1493" s="341"/>
      <c r="N1493" s="334"/>
      <c r="O1493" s="394"/>
      <c r="T1493" s="110"/>
      <c r="V1493" s="232"/>
      <c r="W1493" s="269"/>
      <c r="X1493" s="201"/>
      <c r="Y1493" s="269"/>
      <c r="Z1493" s="269"/>
      <c r="AA1493" s="134"/>
      <c r="AB1493" s="269"/>
      <c r="AC1493" s="284"/>
      <c r="AD1493" s="284"/>
      <c r="AE1493" s="269"/>
    </row>
    <row r="1494" spans="2:31">
      <c r="B1494" s="83"/>
      <c r="C1494" s="81"/>
      <c r="D1494" s="83"/>
      <c r="E1494" s="81"/>
      <c r="F1494" s="269"/>
      <c r="G1494" s="48"/>
      <c r="H1494" s="269"/>
      <c r="I1494" s="72"/>
      <c r="J1494" s="330"/>
      <c r="K1494" s="75"/>
      <c r="L1494" s="157"/>
      <c r="M1494" s="341"/>
      <c r="N1494" s="334"/>
      <c r="T1494" s="110"/>
      <c r="V1494" s="232"/>
      <c r="W1494" s="269"/>
      <c r="X1494" s="201"/>
      <c r="Y1494" s="269"/>
      <c r="Z1494" s="269"/>
      <c r="AA1494" s="134"/>
      <c r="AB1494" s="269"/>
      <c r="AC1494" s="284"/>
      <c r="AD1494" s="284"/>
      <c r="AE1494" s="269"/>
    </row>
    <row r="1495" spans="2:31">
      <c r="B1495" s="83"/>
      <c r="C1495" s="81"/>
      <c r="D1495" s="83"/>
      <c r="E1495" s="81"/>
      <c r="F1495" s="269"/>
      <c r="G1495" s="48"/>
      <c r="H1495" s="269"/>
      <c r="I1495" s="72"/>
      <c r="J1495" s="330"/>
      <c r="K1495" s="75"/>
      <c r="L1495" s="157"/>
      <c r="M1495" s="341"/>
      <c r="N1495" s="334"/>
      <c r="O1495" s="394"/>
      <c r="P1495" s="392"/>
      <c r="Q1495" s="363"/>
      <c r="T1495" s="110"/>
      <c r="V1495" s="232"/>
      <c r="W1495" s="269"/>
      <c r="X1495" s="201"/>
      <c r="Y1495" s="269"/>
      <c r="Z1495" s="269"/>
      <c r="AA1495" s="134"/>
      <c r="AB1495" s="269"/>
      <c r="AC1495" s="284"/>
      <c r="AD1495" s="284"/>
      <c r="AE1495" s="269"/>
    </row>
    <row r="1496" spans="2:31">
      <c r="B1496" s="83"/>
      <c r="C1496" s="81"/>
      <c r="D1496" s="83"/>
      <c r="E1496" s="81"/>
      <c r="F1496" s="269"/>
      <c r="G1496" s="48"/>
      <c r="H1496" s="269"/>
      <c r="I1496" s="72"/>
      <c r="J1496" s="330"/>
      <c r="K1496" s="75"/>
      <c r="L1496" s="157"/>
      <c r="M1496" s="341"/>
      <c r="N1496" s="334"/>
      <c r="O1496" s="394"/>
      <c r="T1496" s="110"/>
      <c r="V1496" s="232"/>
      <c r="W1496" s="269"/>
      <c r="X1496" s="201"/>
      <c r="Y1496" s="269"/>
      <c r="Z1496" s="269"/>
      <c r="AA1496" s="134"/>
      <c r="AB1496" s="269"/>
      <c r="AC1496" s="284"/>
      <c r="AD1496" s="284"/>
      <c r="AE1496" s="269"/>
    </row>
    <row r="1497" spans="2:31">
      <c r="B1497" s="83"/>
      <c r="C1497" s="81"/>
      <c r="D1497" s="83"/>
      <c r="E1497" s="81"/>
      <c r="F1497" s="269"/>
      <c r="G1497" s="48"/>
      <c r="H1497" s="269"/>
      <c r="I1497" s="72"/>
      <c r="J1497" s="330"/>
      <c r="K1497" s="75"/>
      <c r="L1497" s="157"/>
      <c r="M1497" s="341"/>
      <c r="N1497" s="334"/>
      <c r="O1497" s="394"/>
      <c r="T1497" s="110"/>
      <c r="V1497" s="232"/>
      <c r="W1497" s="269"/>
      <c r="X1497" s="201"/>
      <c r="Y1497" s="269"/>
      <c r="Z1497" s="269"/>
      <c r="AA1497" s="134"/>
      <c r="AB1497" s="269"/>
      <c r="AC1497" s="284"/>
      <c r="AD1497" s="284"/>
      <c r="AE1497" s="269"/>
    </row>
    <row r="1498" spans="2:31">
      <c r="B1498" s="83"/>
      <c r="C1498" s="81"/>
      <c r="D1498" s="83"/>
      <c r="E1498" s="81"/>
      <c r="F1498" s="269"/>
      <c r="G1498" s="48"/>
      <c r="H1498" s="269"/>
      <c r="I1498" s="72"/>
      <c r="J1498" s="330"/>
      <c r="K1498" s="75"/>
      <c r="L1498" s="157"/>
      <c r="M1498" s="341"/>
      <c r="N1498" s="334"/>
      <c r="O1498" s="394"/>
      <c r="T1498" s="110"/>
      <c r="V1498" s="232"/>
      <c r="W1498" s="269"/>
      <c r="X1498" s="201"/>
      <c r="Y1498" s="269"/>
      <c r="Z1498" s="269"/>
      <c r="AA1498" s="134"/>
      <c r="AB1498" s="269"/>
      <c r="AC1498" s="284"/>
      <c r="AD1498" s="284"/>
      <c r="AE1498" s="269"/>
    </row>
    <row r="1499" spans="2:31">
      <c r="B1499" s="83"/>
      <c r="C1499" s="81"/>
      <c r="D1499" s="83"/>
      <c r="E1499" s="81"/>
      <c r="F1499" s="269"/>
      <c r="G1499" s="48"/>
      <c r="H1499" s="269"/>
      <c r="I1499" s="72"/>
      <c r="J1499" s="330"/>
      <c r="K1499" s="75"/>
      <c r="L1499" s="157"/>
      <c r="M1499" s="341"/>
      <c r="N1499" s="334"/>
      <c r="O1499" s="394"/>
      <c r="P1499" s="392"/>
      <c r="Q1499" s="363"/>
      <c r="T1499" s="110"/>
      <c r="V1499" s="232"/>
      <c r="W1499" s="269"/>
      <c r="X1499" s="201"/>
      <c r="Y1499" s="269"/>
      <c r="Z1499" s="269"/>
      <c r="AA1499" s="134"/>
      <c r="AB1499" s="269"/>
      <c r="AC1499" s="284"/>
      <c r="AD1499" s="284"/>
      <c r="AE1499" s="269"/>
    </row>
    <row r="1500" spans="2:31">
      <c r="B1500" s="83"/>
      <c r="C1500" s="81"/>
      <c r="D1500" s="83"/>
      <c r="E1500" s="81"/>
      <c r="F1500" s="269"/>
      <c r="G1500" s="48"/>
      <c r="H1500" s="269"/>
      <c r="I1500" s="72"/>
      <c r="J1500" s="330"/>
      <c r="K1500" s="75"/>
      <c r="L1500" s="157"/>
      <c r="M1500" s="341"/>
      <c r="N1500" s="334"/>
      <c r="O1500" s="394"/>
      <c r="T1500" s="110"/>
      <c r="V1500" s="232"/>
      <c r="W1500" s="269"/>
      <c r="X1500" s="201"/>
      <c r="Y1500" s="269"/>
      <c r="Z1500" s="269"/>
      <c r="AA1500" s="134"/>
      <c r="AB1500" s="269"/>
      <c r="AC1500" s="284"/>
      <c r="AD1500" s="284"/>
      <c r="AE1500" s="269"/>
    </row>
    <row r="1501" spans="2:31">
      <c r="B1501" s="83"/>
      <c r="C1501" s="81"/>
      <c r="D1501" s="83"/>
      <c r="E1501" s="81"/>
      <c r="F1501" s="269"/>
      <c r="G1501" s="48"/>
      <c r="H1501" s="269"/>
      <c r="I1501" s="72"/>
      <c r="J1501" s="330"/>
      <c r="K1501" s="75"/>
      <c r="L1501" s="157"/>
      <c r="M1501" s="341"/>
      <c r="N1501" s="334"/>
      <c r="O1501" s="394"/>
      <c r="T1501" s="110"/>
      <c r="V1501" s="232"/>
      <c r="W1501" s="269"/>
      <c r="X1501" s="201"/>
      <c r="Y1501" s="269"/>
      <c r="Z1501" s="269"/>
      <c r="AA1501" s="134"/>
      <c r="AB1501" s="269"/>
      <c r="AC1501" s="284"/>
      <c r="AD1501" s="284"/>
      <c r="AE1501" s="269"/>
    </row>
    <row r="1502" spans="2:31">
      <c r="B1502" s="83"/>
      <c r="C1502" s="81"/>
      <c r="D1502" s="83"/>
      <c r="E1502" s="81"/>
      <c r="F1502" s="269"/>
      <c r="G1502" s="48"/>
      <c r="H1502" s="269"/>
      <c r="I1502" s="72"/>
      <c r="J1502" s="330"/>
      <c r="K1502" s="75"/>
      <c r="L1502" s="157"/>
      <c r="M1502" s="341"/>
      <c r="N1502" s="334"/>
      <c r="O1502" s="394"/>
      <c r="T1502" s="110"/>
      <c r="V1502" s="232"/>
      <c r="W1502" s="269"/>
      <c r="X1502" s="201"/>
      <c r="Y1502" s="269"/>
      <c r="Z1502" s="269"/>
      <c r="AA1502" s="134"/>
      <c r="AB1502" s="269"/>
      <c r="AC1502" s="284"/>
      <c r="AD1502" s="284"/>
      <c r="AE1502" s="269"/>
    </row>
    <row r="1503" spans="2:31">
      <c r="B1503" s="83"/>
      <c r="C1503" s="81"/>
      <c r="D1503" s="83"/>
      <c r="E1503" s="81"/>
      <c r="F1503" s="269"/>
      <c r="G1503" s="48"/>
      <c r="H1503" s="269"/>
      <c r="I1503" s="72"/>
      <c r="J1503" s="330"/>
      <c r="K1503" s="75"/>
      <c r="L1503" s="157"/>
      <c r="M1503" s="341"/>
      <c r="N1503" s="334"/>
      <c r="O1503" s="394"/>
      <c r="T1503" s="110"/>
      <c r="V1503" s="232"/>
      <c r="W1503" s="269"/>
      <c r="X1503" s="201"/>
      <c r="Y1503" s="269"/>
      <c r="Z1503" s="269"/>
      <c r="AA1503" s="134"/>
      <c r="AB1503" s="269"/>
      <c r="AC1503" s="284"/>
      <c r="AD1503" s="284"/>
      <c r="AE1503" s="269"/>
    </row>
    <row r="1504" spans="2:31">
      <c r="B1504" s="83"/>
      <c r="C1504" s="81"/>
      <c r="D1504" s="83"/>
      <c r="E1504" s="81"/>
      <c r="F1504" s="269"/>
      <c r="G1504" s="48"/>
      <c r="H1504" s="269"/>
      <c r="I1504" s="72"/>
      <c r="J1504" s="330"/>
      <c r="K1504" s="75"/>
      <c r="L1504" s="157"/>
      <c r="M1504" s="341"/>
      <c r="N1504" s="334"/>
      <c r="O1504" s="394"/>
      <c r="P1504" s="392"/>
      <c r="Q1504" s="363"/>
      <c r="T1504" s="110"/>
      <c r="V1504" s="232"/>
      <c r="W1504" s="269"/>
      <c r="X1504" s="201"/>
      <c r="Y1504" s="269"/>
      <c r="Z1504" s="269"/>
      <c r="AA1504" s="134"/>
      <c r="AB1504" s="269"/>
      <c r="AC1504" s="284"/>
      <c r="AD1504" s="284"/>
      <c r="AE1504" s="269"/>
    </row>
    <row r="1505" spans="2:31">
      <c r="B1505" s="83"/>
      <c r="C1505" s="81"/>
      <c r="D1505" s="83"/>
      <c r="E1505" s="81"/>
      <c r="F1505" s="269"/>
      <c r="G1505" s="48"/>
      <c r="H1505" s="269"/>
      <c r="I1505" s="72"/>
      <c r="J1505" s="330"/>
      <c r="K1505" s="75"/>
      <c r="L1505" s="157"/>
      <c r="M1505" s="341"/>
      <c r="N1505" s="334"/>
      <c r="O1505" s="394"/>
      <c r="P1505" s="392"/>
      <c r="Q1505" s="363"/>
      <c r="T1505" s="110"/>
      <c r="V1505" s="232"/>
      <c r="W1505" s="269"/>
      <c r="X1505" s="201"/>
      <c r="Y1505" s="269"/>
      <c r="Z1505" s="269"/>
      <c r="AA1505" s="134"/>
      <c r="AB1505" s="269"/>
      <c r="AC1505" s="284"/>
      <c r="AD1505" s="284"/>
      <c r="AE1505" s="269"/>
    </row>
    <row r="1506" spans="2:31">
      <c r="B1506" s="83"/>
      <c r="C1506" s="81"/>
      <c r="D1506" s="83"/>
      <c r="E1506" s="81"/>
      <c r="F1506" s="269"/>
      <c r="G1506" s="48"/>
      <c r="H1506" s="269"/>
      <c r="I1506" s="72"/>
      <c r="J1506" s="330"/>
      <c r="K1506" s="75"/>
      <c r="L1506" s="157"/>
      <c r="M1506" s="341"/>
      <c r="N1506" s="334"/>
      <c r="P1506" s="392"/>
      <c r="Q1506" s="363"/>
      <c r="T1506" s="110"/>
      <c r="V1506" s="232"/>
      <c r="W1506" s="269"/>
      <c r="X1506" s="201"/>
      <c r="Y1506" s="269"/>
      <c r="Z1506" s="269"/>
      <c r="AA1506" s="134"/>
      <c r="AB1506" s="269"/>
      <c r="AC1506" s="284"/>
      <c r="AD1506" s="284"/>
      <c r="AE1506" s="269"/>
    </row>
    <row r="1507" spans="2:31">
      <c r="B1507" s="83"/>
      <c r="C1507" s="81"/>
      <c r="D1507" s="83"/>
      <c r="E1507" s="81"/>
      <c r="F1507" s="269"/>
      <c r="G1507" s="48"/>
      <c r="H1507" s="269"/>
      <c r="I1507" s="72"/>
      <c r="J1507" s="330"/>
      <c r="K1507" s="75"/>
      <c r="L1507" s="157"/>
      <c r="M1507" s="341"/>
      <c r="N1507" s="334"/>
      <c r="O1507" s="394"/>
      <c r="T1507" s="110"/>
      <c r="V1507" s="232"/>
      <c r="W1507" s="269"/>
      <c r="X1507" s="201"/>
      <c r="Y1507" s="269"/>
      <c r="Z1507" s="269"/>
      <c r="AA1507" s="134"/>
      <c r="AB1507" s="269"/>
      <c r="AC1507" s="284"/>
      <c r="AD1507" s="284"/>
      <c r="AE1507" s="269"/>
    </row>
    <row r="1508" spans="2:31">
      <c r="B1508" s="83"/>
      <c r="C1508" s="81"/>
      <c r="D1508" s="83"/>
      <c r="E1508" s="81"/>
      <c r="F1508" s="269"/>
      <c r="G1508" s="48"/>
      <c r="H1508" s="269"/>
      <c r="I1508" s="72"/>
      <c r="J1508" s="330"/>
      <c r="K1508" s="75"/>
      <c r="L1508" s="157"/>
      <c r="M1508" s="341"/>
      <c r="N1508" s="334"/>
      <c r="O1508" s="394"/>
      <c r="P1508" s="392"/>
      <c r="Q1508" s="363"/>
      <c r="T1508" s="110"/>
      <c r="V1508" s="232"/>
      <c r="W1508" s="269"/>
      <c r="X1508" s="201"/>
      <c r="Y1508" s="269"/>
      <c r="Z1508" s="269"/>
      <c r="AA1508" s="134"/>
      <c r="AB1508" s="269"/>
      <c r="AC1508" s="284"/>
      <c r="AD1508" s="284"/>
      <c r="AE1508" s="269"/>
    </row>
    <row r="1509" spans="2:31">
      <c r="B1509" s="83"/>
      <c r="C1509" s="81"/>
      <c r="D1509" s="83"/>
      <c r="E1509" s="81"/>
      <c r="F1509" s="269"/>
      <c r="G1509" s="48"/>
      <c r="H1509" s="269"/>
      <c r="I1509" s="72"/>
      <c r="J1509" s="330"/>
      <c r="K1509" s="75"/>
      <c r="L1509" s="157"/>
      <c r="M1509" s="341"/>
      <c r="N1509" s="334"/>
      <c r="O1509" s="394"/>
      <c r="P1509" s="392"/>
      <c r="Q1509" s="363"/>
      <c r="T1509" s="110"/>
      <c r="V1509" s="232"/>
      <c r="W1509" s="269"/>
      <c r="X1509" s="201"/>
      <c r="Y1509" s="269"/>
      <c r="Z1509" s="269"/>
      <c r="AA1509" s="134"/>
      <c r="AB1509" s="269"/>
      <c r="AC1509" s="284"/>
      <c r="AD1509" s="284"/>
      <c r="AE1509" s="269"/>
    </row>
    <row r="1510" spans="2:31">
      <c r="B1510" s="83"/>
      <c r="C1510" s="81"/>
      <c r="D1510" s="83"/>
      <c r="E1510" s="81"/>
      <c r="F1510" s="269"/>
      <c r="G1510" s="48"/>
      <c r="H1510" s="269"/>
      <c r="I1510" s="72"/>
      <c r="J1510" s="330"/>
      <c r="K1510" s="75"/>
      <c r="L1510" s="157"/>
      <c r="M1510" s="341"/>
      <c r="N1510" s="334"/>
      <c r="O1510" s="394"/>
      <c r="T1510" s="110"/>
      <c r="V1510" s="232"/>
      <c r="W1510" s="269"/>
      <c r="X1510" s="201"/>
      <c r="Y1510" s="269"/>
      <c r="Z1510" s="269"/>
      <c r="AA1510" s="134"/>
      <c r="AB1510" s="269"/>
      <c r="AC1510" s="284"/>
      <c r="AD1510" s="284"/>
      <c r="AE1510" s="269"/>
    </row>
    <row r="1511" spans="2:31">
      <c r="B1511" s="83"/>
      <c r="C1511" s="81"/>
      <c r="D1511" s="83"/>
      <c r="E1511" s="81"/>
      <c r="F1511" s="269"/>
      <c r="G1511" s="48"/>
      <c r="H1511" s="269"/>
      <c r="I1511" s="72"/>
      <c r="J1511" s="330"/>
      <c r="K1511" s="75"/>
      <c r="L1511" s="157"/>
      <c r="M1511" s="341"/>
      <c r="N1511" s="334"/>
      <c r="O1511" s="394"/>
      <c r="P1511" s="392"/>
      <c r="Q1511" s="363"/>
      <c r="T1511" s="110"/>
      <c r="V1511" s="232"/>
      <c r="W1511" s="269"/>
      <c r="X1511" s="201"/>
      <c r="Y1511" s="269"/>
      <c r="Z1511" s="269"/>
      <c r="AA1511" s="134"/>
      <c r="AB1511" s="269"/>
      <c r="AC1511" s="284"/>
      <c r="AD1511" s="284"/>
      <c r="AE1511" s="269"/>
    </row>
    <row r="1512" spans="2:31">
      <c r="B1512" s="83"/>
      <c r="C1512" s="81"/>
      <c r="D1512" s="83"/>
      <c r="E1512" s="81"/>
      <c r="F1512" s="269"/>
      <c r="G1512" s="48"/>
      <c r="H1512" s="269"/>
      <c r="I1512" s="72"/>
      <c r="J1512" s="330"/>
      <c r="K1512" s="75"/>
      <c r="L1512" s="157"/>
      <c r="M1512" s="341"/>
      <c r="N1512" s="334"/>
      <c r="O1512" s="394"/>
      <c r="T1512" s="110"/>
      <c r="V1512" s="232"/>
      <c r="W1512" s="269"/>
      <c r="X1512" s="201"/>
      <c r="Y1512" s="269"/>
      <c r="Z1512" s="269"/>
      <c r="AA1512" s="134"/>
      <c r="AB1512" s="269"/>
      <c r="AC1512" s="284"/>
      <c r="AD1512" s="284"/>
      <c r="AE1512" s="269"/>
    </row>
    <row r="1513" spans="2:31">
      <c r="B1513" s="83"/>
      <c r="C1513" s="81"/>
      <c r="D1513" s="83"/>
      <c r="E1513" s="81"/>
      <c r="F1513" s="269"/>
      <c r="G1513" s="48"/>
      <c r="H1513" s="269"/>
      <c r="I1513" s="72"/>
      <c r="J1513" s="330"/>
      <c r="K1513" s="75"/>
      <c r="L1513" s="157"/>
      <c r="M1513" s="341"/>
      <c r="N1513" s="334"/>
      <c r="O1513" s="394"/>
      <c r="P1513" s="392"/>
      <c r="Q1513" s="363"/>
      <c r="T1513" s="110"/>
      <c r="V1513" s="232"/>
      <c r="W1513" s="269"/>
      <c r="X1513" s="201"/>
      <c r="Y1513" s="269"/>
      <c r="Z1513" s="269"/>
      <c r="AA1513" s="134"/>
      <c r="AB1513" s="269"/>
      <c r="AC1513" s="284"/>
      <c r="AD1513" s="284"/>
      <c r="AE1513" s="269"/>
    </row>
    <row r="1514" spans="2:31">
      <c r="B1514" s="83"/>
      <c r="C1514" s="81"/>
      <c r="D1514" s="83"/>
      <c r="E1514" s="81"/>
      <c r="F1514" s="269"/>
      <c r="G1514" s="48"/>
      <c r="H1514" s="269"/>
      <c r="I1514" s="72"/>
      <c r="J1514" s="330"/>
      <c r="K1514" s="75"/>
      <c r="L1514" s="157"/>
      <c r="M1514" s="341"/>
      <c r="N1514" s="334"/>
      <c r="O1514" s="394"/>
      <c r="P1514" s="392"/>
      <c r="Q1514" s="363"/>
      <c r="T1514" s="110"/>
      <c r="V1514" s="232"/>
      <c r="W1514" s="269"/>
      <c r="X1514" s="201"/>
      <c r="Y1514" s="269"/>
      <c r="Z1514" s="269"/>
      <c r="AA1514" s="134"/>
      <c r="AB1514" s="269"/>
      <c r="AC1514" s="284"/>
      <c r="AD1514" s="284"/>
      <c r="AE1514" s="269"/>
    </row>
    <row r="1515" spans="2:31">
      <c r="B1515" s="83"/>
      <c r="C1515" s="81"/>
      <c r="D1515" s="83"/>
      <c r="E1515" s="81"/>
      <c r="F1515" s="269"/>
      <c r="G1515" s="48"/>
      <c r="H1515" s="269"/>
      <c r="I1515" s="72"/>
      <c r="J1515" s="330"/>
      <c r="K1515" s="75"/>
      <c r="L1515" s="157"/>
      <c r="M1515" s="341"/>
      <c r="N1515" s="334"/>
      <c r="P1515" s="392"/>
      <c r="Q1515" s="363"/>
      <c r="T1515" s="110"/>
      <c r="V1515" s="232"/>
      <c r="W1515" s="269"/>
      <c r="X1515" s="201"/>
      <c r="Y1515" s="269"/>
      <c r="Z1515" s="269"/>
      <c r="AA1515" s="134"/>
      <c r="AB1515" s="269"/>
      <c r="AC1515" s="284"/>
      <c r="AD1515" s="284"/>
      <c r="AE1515" s="269"/>
    </row>
    <row r="1516" spans="2:31">
      <c r="B1516" s="83"/>
      <c r="C1516" s="81"/>
      <c r="D1516" s="83"/>
      <c r="E1516" s="81"/>
      <c r="F1516" s="269"/>
      <c r="G1516" s="48"/>
      <c r="H1516" s="269"/>
      <c r="I1516" s="72"/>
      <c r="J1516" s="330"/>
      <c r="K1516" s="75"/>
      <c r="L1516" s="157"/>
      <c r="M1516" s="341"/>
      <c r="N1516" s="334"/>
      <c r="O1516" s="394"/>
      <c r="P1516" s="392"/>
      <c r="Q1516" s="363"/>
      <c r="T1516" s="110"/>
      <c r="V1516" s="232"/>
      <c r="W1516" s="269"/>
      <c r="X1516" s="201"/>
      <c r="Y1516" s="269"/>
      <c r="Z1516" s="269"/>
      <c r="AA1516" s="134"/>
      <c r="AB1516" s="269"/>
      <c r="AC1516" s="284"/>
      <c r="AD1516" s="284"/>
      <c r="AE1516" s="269"/>
    </row>
    <row r="1517" spans="2:31">
      <c r="B1517" s="83"/>
      <c r="C1517" s="81"/>
      <c r="D1517" s="83"/>
      <c r="E1517" s="81"/>
      <c r="F1517" s="269"/>
      <c r="G1517" s="48"/>
      <c r="H1517" s="269"/>
      <c r="I1517" s="72"/>
      <c r="J1517" s="330"/>
      <c r="K1517" s="75"/>
      <c r="L1517" s="157"/>
      <c r="M1517" s="341"/>
      <c r="N1517" s="334"/>
      <c r="O1517" s="394"/>
      <c r="P1517" s="392"/>
      <c r="Q1517" s="363"/>
      <c r="T1517" s="110"/>
      <c r="V1517" s="232"/>
      <c r="W1517" s="269"/>
      <c r="X1517" s="201"/>
      <c r="Y1517" s="269"/>
      <c r="Z1517" s="269"/>
      <c r="AA1517" s="134"/>
      <c r="AB1517" s="269"/>
      <c r="AC1517" s="284"/>
      <c r="AD1517" s="284"/>
      <c r="AE1517" s="269"/>
    </row>
    <row r="1518" spans="2:31">
      <c r="B1518" s="83"/>
      <c r="C1518" s="81"/>
      <c r="D1518" s="83"/>
      <c r="E1518" s="81"/>
      <c r="F1518" s="269"/>
      <c r="G1518" s="48"/>
      <c r="H1518" s="269"/>
      <c r="I1518" s="72"/>
      <c r="J1518" s="330"/>
      <c r="K1518" s="75"/>
      <c r="L1518" s="157"/>
      <c r="M1518" s="341"/>
      <c r="N1518" s="334"/>
      <c r="O1518" s="394"/>
      <c r="P1518" s="392"/>
      <c r="Q1518" s="363"/>
      <c r="T1518" s="110"/>
      <c r="V1518" s="232"/>
      <c r="W1518" s="269"/>
      <c r="X1518" s="201"/>
      <c r="Y1518" s="269"/>
      <c r="Z1518" s="269"/>
      <c r="AA1518" s="134"/>
      <c r="AB1518" s="269"/>
      <c r="AC1518" s="284"/>
      <c r="AD1518" s="284"/>
      <c r="AE1518" s="269"/>
    </row>
    <row r="1519" spans="2:31">
      <c r="B1519" s="83"/>
      <c r="C1519" s="81"/>
      <c r="D1519" s="83"/>
      <c r="E1519" s="81"/>
      <c r="F1519" s="269"/>
      <c r="G1519" s="48"/>
      <c r="H1519" s="269"/>
      <c r="I1519" s="72"/>
      <c r="J1519" s="330"/>
      <c r="K1519" s="75"/>
      <c r="L1519" s="157"/>
      <c r="M1519" s="341"/>
      <c r="N1519" s="334"/>
      <c r="O1519" s="394"/>
      <c r="P1519" s="392"/>
      <c r="Q1519" s="363"/>
      <c r="T1519" s="110"/>
      <c r="V1519" s="232"/>
      <c r="W1519" s="269"/>
      <c r="X1519" s="201"/>
      <c r="Y1519" s="269"/>
      <c r="Z1519" s="269"/>
      <c r="AA1519" s="134"/>
      <c r="AB1519" s="269"/>
      <c r="AC1519" s="284"/>
      <c r="AD1519" s="284"/>
      <c r="AE1519" s="269"/>
    </row>
    <row r="1520" spans="2:31">
      <c r="B1520" s="83"/>
      <c r="C1520" s="81"/>
      <c r="D1520" s="83"/>
      <c r="E1520" s="81"/>
      <c r="F1520" s="269"/>
      <c r="G1520" s="48"/>
      <c r="H1520" s="269"/>
      <c r="I1520" s="72"/>
      <c r="J1520" s="330"/>
      <c r="K1520" s="75"/>
      <c r="L1520" s="157"/>
      <c r="M1520" s="341"/>
      <c r="N1520" s="334"/>
      <c r="O1520" s="394"/>
      <c r="P1520" s="392"/>
      <c r="Q1520" s="363"/>
      <c r="T1520" s="110"/>
      <c r="V1520" s="232"/>
      <c r="W1520" s="269"/>
      <c r="X1520" s="201"/>
      <c r="Y1520" s="269"/>
      <c r="Z1520" s="269"/>
      <c r="AA1520" s="134"/>
      <c r="AB1520" s="269"/>
      <c r="AC1520" s="284"/>
      <c r="AD1520" s="284"/>
      <c r="AE1520" s="269"/>
    </row>
    <row r="1521" spans="2:31">
      <c r="B1521" s="83"/>
      <c r="C1521" s="81"/>
      <c r="D1521" s="83"/>
      <c r="E1521" s="81"/>
      <c r="F1521" s="269"/>
      <c r="G1521" s="48"/>
      <c r="H1521" s="269"/>
      <c r="I1521" s="72"/>
      <c r="J1521" s="330"/>
      <c r="K1521" s="75"/>
      <c r="L1521" s="157"/>
      <c r="M1521" s="341"/>
      <c r="N1521" s="334"/>
      <c r="O1521" s="394"/>
      <c r="P1521" s="392"/>
      <c r="Q1521" s="363"/>
      <c r="T1521" s="110"/>
      <c r="V1521" s="232"/>
      <c r="W1521" s="269"/>
      <c r="X1521" s="201"/>
      <c r="Y1521" s="269"/>
      <c r="Z1521" s="269"/>
      <c r="AA1521" s="134"/>
      <c r="AB1521" s="269"/>
      <c r="AC1521" s="284"/>
      <c r="AD1521" s="284"/>
      <c r="AE1521" s="269"/>
    </row>
    <row r="1522" spans="2:31">
      <c r="B1522" s="83"/>
      <c r="C1522" s="81"/>
      <c r="D1522" s="83"/>
      <c r="E1522" s="81"/>
      <c r="F1522" s="269"/>
      <c r="G1522" s="48"/>
      <c r="H1522" s="269"/>
      <c r="I1522" s="72"/>
      <c r="J1522" s="330"/>
      <c r="K1522" s="75"/>
      <c r="L1522" s="157"/>
      <c r="M1522" s="341"/>
      <c r="N1522" s="334"/>
      <c r="O1522" s="394"/>
      <c r="P1522" s="392"/>
      <c r="Q1522" s="363"/>
      <c r="T1522" s="110"/>
      <c r="V1522" s="232"/>
      <c r="W1522" s="269"/>
      <c r="X1522" s="201"/>
      <c r="Y1522" s="269"/>
      <c r="Z1522" s="269"/>
      <c r="AA1522" s="134"/>
      <c r="AB1522" s="269"/>
      <c r="AC1522" s="284"/>
      <c r="AD1522" s="284"/>
      <c r="AE1522" s="269"/>
    </row>
    <row r="1523" spans="2:31">
      <c r="B1523" s="83"/>
      <c r="C1523" s="81"/>
      <c r="D1523" s="83"/>
      <c r="E1523" s="81"/>
      <c r="F1523" s="269"/>
      <c r="G1523" s="48"/>
      <c r="H1523" s="269"/>
      <c r="I1523" s="72"/>
      <c r="J1523" s="330"/>
      <c r="K1523" s="75"/>
      <c r="L1523" s="157"/>
      <c r="M1523" s="341"/>
      <c r="N1523" s="334"/>
      <c r="O1523" s="394"/>
      <c r="T1523" s="110"/>
      <c r="V1523" s="232"/>
      <c r="W1523" s="269"/>
      <c r="X1523" s="201"/>
      <c r="Y1523" s="269"/>
      <c r="Z1523" s="269"/>
      <c r="AA1523" s="134"/>
      <c r="AB1523" s="269"/>
      <c r="AC1523" s="284"/>
      <c r="AD1523" s="284"/>
      <c r="AE1523" s="269"/>
    </row>
    <row r="1524" spans="2:31">
      <c r="B1524" s="83"/>
      <c r="C1524" s="81"/>
      <c r="D1524" s="83"/>
      <c r="E1524" s="81"/>
      <c r="F1524" s="269"/>
      <c r="G1524" s="48"/>
      <c r="H1524" s="269"/>
      <c r="I1524" s="72"/>
      <c r="J1524" s="330"/>
      <c r="K1524" s="75"/>
      <c r="L1524" s="157"/>
      <c r="M1524" s="341"/>
      <c r="N1524" s="334"/>
      <c r="O1524" s="394"/>
      <c r="P1524" s="392"/>
      <c r="Q1524" s="363"/>
      <c r="T1524" s="110"/>
      <c r="V1524" s="232"/>
      <c r="W1524" s="269"/>
      <c r="X1524" s="201"/>
      <c r="Y1524" s="269"/>
      <c r="Z1524" s="269"/>
      <c r="AA1524" s="134"/>
      <c r="AB1524" s="269"/>
      <c r="AC1524" s="284"/>
      <c r="AD1524" s="284"/>
      <c r="AE1524" s="269"/>
    </row>
    <row r="1525" spans="2:31">
      <c r="B1525" s="83"/>
      <c r="C1525" s="81"/>
      <c r="D1525" s="83"/>
      <c r="E1525" s="81"/>
      <c r="F1525" s="269"/>
      <c r="G1525" s="48"/>
      <c r="H1525" s="269"/>
      <c r="I1525" s="72"/>
      <c r="J1525" s="330"/>
      <c r="K1525" s="75"/>
      <c r="L1525" s="157"/>
      <c r="M1525" s="341"/>
      <c r="N1525" s="334"/>
      <c r="O1525" s="394"/>
      <c r="P1525" s="392"/>
      <c r="Q1525" s="363"/>
      <c r="T1525" s="110"/>
      <c r="V1525" s="232"/>
      <c r="W1525" s="269"/>
      <c r="X1525" s="201"/>
      <c r="Y1525" s="269"/>
      <c r="Z1525" s="269"/>
      <c r="AA1525" s="134"/>
      <c r="AB1525" s="269"/>
      <c r="AC1525" s="284"/>
      <c r="AD1525" s="284"/>
      <c r="AE1525" s="269"/>
    </row>
    <row r="1526" spans="2:31">
      <c r="B1526" s="83"/>
      <c r="C1526" s="81"/>
      <c r="D1526" s="83"/>
      <c r="E1526" s="81"/>
      <c r="F1526" s="269"/>
      <c r="G1526" s="48"/>
      <c r="H1526" s="269"/>
      <c r="I1526" s="72"/>
      <c r="J1526" s="330"/>
      <c r="K1526" s="75"/>
      <c r="L1526" s="157"/>
      <c r="M1526" s="341"/>
      <c r="N1526" s="334"/>
      <c r="O1526" s="394"/>
      <c r="P1526" s="392"/>
      <c r="Q1526" s="363"/>
      <c r="T1526" s="110"/>
      <c r="V1526" s="232"/>
      <c r="W1526" s="269"/>
      <c r="X1526" s="201"/>
      <c r="Y1526" s="269"/>
      <c r="Z1526" s="269"/>
      <c r="AA1526" s="134"/>
      <c r="AB1526" s="269"/>
      <c r="AC1526" s="284"/>
      <c r="AD1526" s="284"/>
      <c r="AE1526" s="269"/>
    </row>
    <row r="1527" spans="2:31">
      <c r="B1527" s="83"/>
      <c r="C1527" s="81"/>
      <c r="D1527" s="83"/>
      <c r="E1527" s="81"/>
      <c r="F1527" s="269"/>
      <c r="G1527" s="48"/>
      <c r="H1527" s="269"/>
      <c r="I1527" s="72"/>
      <c r="J1527" s="330"/>
      <c r="K1527" s="75"/>
      <c r="L1527" s="157"/>
      <c r="M1527" s="341"/>
      <c r="N1527" s="334"/>
      <c r="O1527" s="394"/>
      <c r="P1527" s="392"/>
      <c r="Q1527" s="363"/>
      <c r="T1527" s="110"/>
      <c r="V1527" s="232"/>
      <c r="W1527" s="269"/>
      <c r="X1527" s="201"/>
      <c r="Y1527" s="269"/>
      <c r="Z1527" s="269"/>
      <c r="AA1527" s="134"/>
      <c r="AB1527" s="269"/>
      <c r="AC1527" s="284"/>
      <c r="AD1527" s="284"/>
      <c r="AE1527" s="269"/>
    </row>
    <row r="1528" spans="2:31">
      <c r="B1528" s="83"/>
      <c r="C1528" s="81"/>
      <c r="D1528" s="83"/>
      <c r="E1528" s="81"/>
      <c r="F1528" s="269"/>
      <c r="G1528" s="48"/>
      <c r="H1528" s="269"/>
      <c r="I1528" s="72"/>
      <c r="J1528" s="330"/>
      <c r="K1528" s="75"/>
      <c r="L1528" s="157"/>
      <c r="M1528" s="341"/>
      <c r="N1528" s="334"/>
      <c r="O1528" s="394"/>
      <c r="P1528" s="392"/>
      <c r="Q1528" s="363"/>
      <c r="T1528" s="110"/>
      <c r="V1528" s="232"/>
      <c r="W1528" s="269"/>
      <c r="X1528" s="201"/>
      <c r="Y1528" s="269"/>
      <c r="Z1528" s="269"/>
      <c r="AA1528" s="134"/>
      <c r="AB1528" s="269"/>
      <c r="AC1528" s="284"/>
      <c r="AD1528" s="284"/>
      <c r="AE1528" s="269"/>
    </row>
    <row r="1529" spans="2:31">
      <c r="B1529" s="83"/>
      <c r="C1529" s="81"/>
      <c r="D1529" s="83"/>
      <c r="E1529" s="81"/>
      <c r="F1529" s="269"/>
      <c r="G1529" s="48"/>
      <c r="H1529" s="269"/>
      <c r="I1529" s="72"/>
      <c r="J1529" s="330"/>
      <c r="K1529" s="75"/>
      <c r="L1529" s="157"/>
      <c r="M1529" s="341"/>
      <c r="N1529" s="334"/>
      <c r="O1529" s="394"/>
      <c r="P1529" s="392"/>
      <c r="Q1529" s="363"/>
      <c r="T1529" s="110"/>
      <c r="V1529" s="232"/>
      <c r="W1529" s="269"/>
      <c r="X1529" s="201"/>
      <c r="Y1529" s="269"/>
      <c r="Z1529" s="269"/>
      <c r="AA1529" s="134"/>
      <c r="AB1529" s="269"/>
      <c r="AC1529" s="284"/>
      <c r="AD1529" s="284"/>
      <c r="AE1529" s="269"/>
    </row>
    <row r="1530" spans="2:31">
      <c r="B1530" s="83"/>
      <c r="C1530" s="81"/>
      <c r="D1530" s="83"/>
      <c r="E1530" s="81"/>
      <c r="F1530" s="269"/>
      <c r="G1530" s="48"/>
      <c r="H1530" s="269"/>
      <c r="I1530" s="72"/>
      <c r="J1530" s="330"/>
      <c r="K1530" s="75"/>
      <c r="L1530" s="157"/>
      <c r="M1530" s="341"/>
      <c r="N1530" s="334"/>
      <c r="O1530" s="394"/>
      <c r="P1530" s="392"/>
      <c r="Q1530" s="363"/>
      <c r="T1530" s="110"/>
      <c r="V1530" s="232"/>
      <c r="W1530" s="269"/>
      <c r="X1530" s="201"/>
      <c r="Y1530" s="269"/>
      <c r="Z1530" s="269"/>
      <c r="AA1530" s="134"/>
      <c r="AB1530" s="269"/>
      <c r="AC1530" s="284"/>
      <c r="AD1530" s="284"/>
      <c r="AE1530" s="269"/>
    </row>
    <row r="1531" spans="2:31">
      <c r="B1531" s="83"/>
      <c r="C1531" s="81"/>
      <c r="D1531" s="83"/>
      <c r="E1531" s="81"/>
      <c r="F1531" s="269"/>
      <c r="G1531" s="48"/>
      <c r="H1531" s="269"/>
      <c r="I1531" s="72"/>
      <c r="J1531" s="330"/>
      <c r="K1531" s="75"/>
      <c r="L1531" s="157"/>
      <c r="M1531" s="341"/>
      <c r="N1531" s="334"/>
      <c r="O1531" s="394"/>
      <c r="P1531" s="392"/>
      <c r="Q1531" s="363"/>
      <c r="T1531" s="110"/>
      <c r="V1531" s="232"/>
      <c r="W1531" s="269"/>
      <c r="X1531" s="201"/>
      <c r="Y1531" s="269"/>
      <c r="Z1531" s="269"/>
      <c r="AA1531" s="134"/>
      <c r="AB1531" s="269"/>
      <c r="AC1531" s="284"/>
      <c r="AD1531" s="284"/>
      <c r="AE1531" s="269"/>
    </row>
    <row r="1532" spans="2:31">
      <c r="B1532" s="83"/>
      <c r="C1532" s="81"/>
      <c r="D1532" s="83"/>
      <c r="E1532" s="81"/>
      <c r="F1532" s="269"/>
      <c r="G1532" s="48"/>
      <c r="H1532" s="269"/>
      <c r="I1532" s="72"/>
      <c r="J1532" s="330"/>
      <c r="K1532" s="75"/>
      <c r="L1532" s="157"/>
      <c r="M1532" s="341"/>
      <c r="N1532" s="334"/>
      <c r="O1532" s="394"/>
      <c r="T1532" s="110"/>
      <c r="V1532" s="232"/>
      <c r="W1532" s="269"/>
      <c r="X1532" s="201"/>
      <c r="Y1532" s="269"/>
      <c r="Z1532" s="269"/>
      <c r="AA1532" s="134"/>
      <c r="AB1532" s="269"/>
      <c r="AC1532" s="284"/>
      <c r="AD1532" s="284"/>
      <c r="AE1532" s="269"/>
    </row>
    <row r="1533" spans="2:31">
      <c r="B1533" s="83"/>
      <c r="C1533" s="81"/>
      <c r="D1533" s="83"/>
      <c r="E1533" s="81"/>
      <c r="F1533" s="269"/>
      <c r="G1533" s="48"/>
      <c r="H1533" s="269"/>
      <c r="I1533" s="72"/>
      <c r="J1533" s="330"/>
      <c r="K1533" s="75"/>
      <c r="L1533" s="157"/>
      <c r="M1533" s="341"/>
      <c r="N1533" s="334"/>
      <c r="O1533" s="394"/>
      <c r="P1533" s="392"/>
      <c r="Q1533" s="363"/>
      <c r="T1533" s="110"/>
      <c r="V1533" s="232"/>
      <c r="W1533" s="269"/>
      <c r="X1533" s="201"/>
      <c r="Y1533" s="269"/>
      <c r="Z1533" s="269"/>
      <c r="AA1533" s="134"/>
      <c r="AB1533" s="269"/>
      <c r="AC1533" s="284"/>
      <c r="AD1533" s="284"/>
      <c r="AE1533" s="269"/>
    </row>
    <row r="1534" spans="2:31">
      <c r="B1534" s="83"/>
      <c r="C1534" s="81"/>
      <c r="D1534" s="83"/>
      <c r="E1534" s="81"/>
      <c r="F1534" s="269"/>
      <c r="G1534" s="48"/>
      <c r="H1534" s="269"/>
      <c r="I1534" s="72"/>
      <c r="J1534" s="330"/>
      <c r="K1534" s="75"/>
      <c r="L1534" s="157"/>
      <c r="M1534" s="341"/>
      <c r="N1534" s="334"/>
      <c r="O1534" s="394"/>
      <c r="P1534" s="392"/>
      <c r="Q1534" s="363"/>
      <c r="T1534" s="110"/>
      <c r="V1534" s="232"/>
      <c r="W1534" s="269"/>
      <c r="X1534" s="201"/>
      <c r="Y1534" s="269"/>
      <c r="Z1534" s="269"/>
      <c r="AA1534" s="134"/>
      <c r="AB1534" s="269"/>
      <c r="AC1534" s="284"/>
      <c r="AD1534" s="284"/>
      <c r="AE1534" s="269"/>
    </row>
    <row r="1535" spans="2:31">
      <c r="B1535" s="83"/>
      <c r="C1535" s="81"/>
      <c r="D1535" s="83"/>
      <c r="E1535" s="81"/>
      <c r="F1535" s="269"/>
      <c r="G1535" s="48"/>
      <c r="H1535" s="269"/>
      <c r="I1535" s="72"/>
      <c r="J1535" s="330"/>
      <c r="K1535" s="75"/>
      <c r="L1535" s="157"/>
      <c r="M1535" s="341"/>
      <c r="N1535" s="334"/>
      <c r="O1535" s="394"/>
      <c r="P1535" s="392"/>
      <c r="Q1535" s="363"/>
      <c r="T1535" s="110"/>
      <c r="V1535" s="232"/>
      <c r="W1535" s="269"/>
      <c r="X1535" s="201"/>
      <c r="Y1535" s="269"/>
      <c r="Z1535" s="269"/>
      <c r="AA1535" s="134"/>
      <c r="AB1535" s="269"/>
      <c r="AC1535" s="284"/>
      <c r="AD1535" s="284"/>
      <c r="AE1535" s="269"/>
    </row>
    <row r="1536" spans="2:31">
      <c r="B1536" s="83"/>
      <c r="C1536" s="81"/>
      <c r="D1536" s="83"/>
      <c r="E1536" s="81"/>
      <c r="F1536" s="269"/>
      <c r="G1536" s="48"/>
      <c r="H1536" s="269"/>
      <c r="I1536" s="72"/>
      <c r="J1536" s="330"/>
      <c r="K1536" s="75"/>
      <c r="L1536" s="157"/>
      <c r="M1536" s="341"/>
      <c r="N1536" s="334"/>
      <c r="O1536" s="394"/>
      <c r="P1536" s="392"/>
      <c r="Q1536" s="363"/>
      <c r="T1536" s="110"/>
      <c r="V1536" s="232"/>
      <c r="W1536" s="269"/>
      <c r="X1536" s="201"/>
      <c r="Y1536" s="269"/>
      <c r="Z1536" s="269"/>
      <c r="AA1536" s="134"/>
      <c r="AB1536" s="269"/>
      <c r="AC1536" s="284"/>
      <c r="AD1536" s="284"/>
      <c r="AE1536" s="269"/>
    </row>
    <row r="1537" spans="2:31">
      <c r="B1537" s="83"/>
      <c r="C1537" s="81"/>
      <c r="D1537" s="83"/>
      <c r="E1537" s="81"/>
      <c r="F1537" s="269"/>
      <c r="G1537" s="48"/>
      <c r="H1537" s="269"/>
      <c r="I1537" s="72"/>
      <c r="J1537" s="330"/>
      <c r="K1537" s="75"/>
      <c r="L1537" s="157"/>
      <c r="M1537" s="341"/>
      <c r="N1537" s="334"/>
      <c r="O1537" s="394"/>
      <c r="P1537" s="392"/>
      <c r="Q1537" s="363"/>
      <c r="T1537" s="110"/>
      <c r="V1537" s="232"/>
      <c r="W1537" s="269"/>
      <c r="X1537" s="201"/>
      <c r="Y1537" s="269"/>
      <c r="Z1537" s="269"/>
      <c r="AA1537" s="134"/>
      <c r="AB1537" s="269"/>
      <c r="AC1537" s="284"/>
      <c r="AD1537" s="284"/>
      <c r="AE1537" s="269"/>
    </row>
    <row r="1538" spans="2:31">
      <c r="B1538" s="83"/>
      <c r="C1538" s="81"/>
      <c r="D1538" s="83"/>
      <c r="E1538" s="81"/>
      <c r="F1538" s="269"/>
      <c r="G1538" s="48"/>
      <c r="H1538" s="269"/>
      <c r="I1538" s="72"/>
      <c r="J1538" s="330"/>
      <c r="K1538" s="75"/>
      <c r="L1538" s="157"/>
      <c r="M1538" s="341"/>
      <c r="N1538" s="334"/>
      <c r="O1538" s="394"/>
      <c r="P1538" s="392"/>
      <c r="Q1538" s="363"/>
      <c r="T1538" s="110"/>
      <c r="V1538" s="232"/>
      <c r="W1538" s="269"/>
      <c r="X1538" s="201"/>
      <c r="Y1538" s="269"/>
      <c r="Z1538" s="269"/>
      <c r="AA1538" s="134"/>
      <c r="AB1538" s="269"/>
      <c r="AC1538" s="284"/>
      <c r="AD1538" s="284"/>
      <c r="AE1538" s="269"/>
    </row>
    <row r="1539" spans="2:31">
      <c r="B1539" s="83"/>
      <c r="C1539" s="81"/>
      <c r="D1539" s="83"/>
      <c r="E1539" s="81"/>
      <c r="F1539" s="269"/>
      <c r="G1539" s="48"/>
      <c r="H1539" s="269"/>
      <c r="I1539" s="72"/>
      <c r="J1539" s="330"/>
      <c r="K1539" s="75"/>
      <c r="L1539" s="157"/>
      <c r="M1539" s="341"/>
      <c r="N1539" s="334"/>
      <c r="O1539" s="394"/>
      <c r="P1539" s="392"/>
      <c r="Q1539" s="363"/>
      <c r="T1539" s="110"/>
      <c r="V1539" s="232"/>
      <c r="W1539" s="269"/>
      <c r="X1539" s="201"/>
      <c r="Y1539" s="269"/>
      <c r="Z1539" s="269"/>
      <c r="AA1539" s="134"/>
      <c r="AB1539" s="269"/>
      <c r="AC1539" s="284"/>
      <c r="AD1539" s="284"/>
      <c r="AE1539" s="269"/>
    </row>
    <row r="1540" spans="2:31">
      <c r="B1540" s="83"/>
      <c r="C1540" s="81"/>
      <c r="D1540" s="83"/>
      <c r="E1540" s="81"/>
      <c r="F1540" s="269"/>
      <c r="G1540" s="48"/>
      <c r="H1540" s="269"/>
      <c r="I1540" s="72"/>
      <c r="J1540" s="330"/>
      <c r="K1540" s="75"/>
      <c r="L1540" s="157"/>
      <c r="M1540" s="341"/>
      <c r="N1540" s="334"/>
      <c r="O1540" s="394"/>
      <c r="P1540" s="392"/>
      <c r="Q1540" s="363"/>
      <c r="T1540" s="110"/>
      <c r="V1540" s="232"/>
      <c r="W1540" s="269"/>
      <c r="X1540" s="201"/>
      <c r="Y1540" s="269"/>
      <c r="Z1540" s="269"/>
      <c r="AA1540" s="134"/>
      <c r="AB1540" s="269"/>
      <c r="AC1540" s="284"/>
      <c r="AD1540" s="284"/>
      <c r="AE1540" s="269"/>
    </row>
    <row r="1541" spans="2:31">
      <c r="B1541" s="83"/>
      <c r="C1541" s="81"/>
      <c r="D1541" s="83"/>
      <c r="E1541" s="81"/>
      <c r="F1541" s="269"/>
      <c r="G1541" s="48"/>
      <c r="H1541" s="269"/>
      <c r="I1541" s="72"/>
      <c r="J1541" s="330"/>
      <c r="K1541" s="75"/>
      <c r="L1541" s="157"/>
      <c r="M1541" s="341"/>
      <c r="N1541" s="334"/>
      <c r="O1541" s="394"/>
      <c r="P1541" s="392"/>
      <c r="Q1541" s="363"/>
      <c r="T1541" s="110"/>
      <c r="V1541" s="232"/>
      <c r="W1541" s="269"/>
      <c r="X1541" s="201"/>
      <c r="Y1541" s="269"/>
      <c r="Z1541" s="269"/>
      <c r="AA1541" s="134"/>
      <c r="AB1541" s="269"/>
      <c r="AC1541" s="284"/>
      <c r="AD1541" s="284"/>
      <c r="AE1541" s="269"/>
    </row>
    <row r="1542" spans="2:31">
      <c r="B1542" s="83"/>
      <c r="C1542" s="81"/>
      <c r="D1542" s="83"/>
      <c r="E1542" s="81"/>
      <c r="F1542" s="269"/>
      <c r="G1542" s="48"/>
      <c r="H1542" s="269"/>
      <c r="I1542" s="72"/>
      <c r="J1542" s="330"/>
      <c r="K1542" s="75"/>
      <c r="L1542" s="157"/>
      <c r="M1542" s="341"/>
      <c r="N1542" s="334"/>
      <c r="O1542" s="394"/>
      <c r="P1542" s="392"/>
      <c r="Q1542" s="363"/>
      <c r="T1542" s="110"/>
      <c r="V1542" s="232"/>
      <c r="W1542" s="269"/>
      <c r="X1542" s="201"/>
      <c r="Y1542" s="269"/>
      <c r="Z1542" s="269"/>
      <c r="AA1542" s="134"/>
      <c r="AB1542" s="269"/>
      <c r="AC1542" s="284"/>
      <c r="AD1542" s="284"/>
      <c r="AE1542" s="269"/>
    </row>
    <row r="1543" spans="2:31">
      <c r="B1543" s="83"/>
      <c r="C1543" s="81"/>
      <c r="D1543" s="83"/>
      <c r="E1543" s="81"/>
      <c r="F1543" s="269"/>
      <c r="G1543" s="48"/>
      <c r="H1543" s="269"/>
      <c r="I1543" s="72"/>
      <c r="J1543" s="330"/>
      <c r="K1543" s="75"/>
      <c r="L1543" s="157"/>
      <c r="M1543" s="341"/>
      <c r="N1543" s="334"/>
      <c r="O1543" s="394"/>
      <c r="P1543" s="392"/>
      <c r="Q1543" s="363"/>
      <c r="T1543" s="110"/>
      <c r="V1543" s="232"/>
      <c r="W1543" s="269"/>
      <c r="X1543" s="201"/>
      <c r="Y1543" s="269"/>
      <c r="Z1543" s="269"/>
      <c r="AA1543" s="134"/>
      <c r="AB1543" s="269"/>
      <c r="AC1543" s="284"/>
      <c r="AD1543" s="284"/>
      <c r="AE1543" s="269"/>
    </row>
    <row r="1544" spans="2:31">
      <c r="B1544" s="83"/>
      <c r="C1544" s="81"/>
      <c r="D1544" s="83"/>
      <c r="E1544" s="81"/>
      <c r="F1544" s="269"/>
      <c r="G1544" s="48"/>
      <c r="H1544" s="269"/>
      <c r="I1544" s="72"/>
      <c r="J1544" s="330"/>
      <c r="K1544" s="75"/>
      <c r="L1544" s="157"/>
      <c r="M1544" s="341"/>
      <c r="N1544" s="334"/>
      <c r="O1544" s="394"/>
      <c r="T1544" s="110"/>
      <c r="V1544" s="232"/>
      <c r="W1544" s="269"/>
      <c r="X1544" s="201"/>
      <c r="Y1544" s="269"/>
      <c r="Z1544" s="269"/>
      <c r="AA1544" s="134"/>
      <c r="AB1544" s="269"/>
      <c r="AC1544" s="284"/>
      <c r="AD1544" s="284"/>
      <c r="AE1544" s="269"/>
    </row>
    <row r="1545" spans="2:31">
      <c r="B1545" s="83"/>
      <c r="C1545" s="81"/>
      <c r="D1545" s="83"/>
      <c r="E1545" s="81"/>
      <c r="F1545" s="269"/>
      <c r="G1545" s="48"/>
      <c r="H1545" s="269"/>
      <c r="I1545" s="72"/>
      <c r="J1545" s="330"/>
      <c r="K1545" s="75"/>
      <c r="L1545" s="157"/>
      <c r="M1545" s="341"/>
      <c r="N1545" s="334"/>
      <c r="O1545" s="394"/>
      <c r="P1545" s="392"/>
      <c r="Q1545" s="363"/>
      <c r="T1545" s="110"/>
      <c r="V1545" s="232"/>
      <c r="W1545" s="269"/>
      <c r="X1545" s="201"/>
      <c r="Y1545" s="269"/>
      <c r="Z1545" s="269"/>
      <c r="AA1545" s="134"/>
      <c r="AB1545" s="269"/>
      <c r="AC1545" s="284"/>
      <c r="AD1545" s="284"/>
      <c r="AE1545" s="269"/>
    </row>
    <row r="1546" spans="2:31">
      <c r="B1546" s="83"/>
      <c r="C1546" s="81"/>
      <c r="D1546" s="83"/>
      <c r="E1546" s="81"/>
      <c r="F1546" s="269"/>
      <c r="G1546" s="48"/>
      <c r="H1546" s="269"/>
      <c r="I1546" s="72"/>
      <c r="J1546" s="330"/>
      <c r="K1546" s="75"/>
      <c r="L1546" s="157"/>
      <c r="M1546" s="341"/>
      <c r="N1546" s="334"/>
      <c r="O1546" s="394"/>
      <c r="P1546" s="392"/>
      <c r="Q1546" s="363"/>
      <c r="T1546" s="110"/>
      <c r="V1546" s="232"/>
      <c r="W1546" s="269"/>
      <c r="X1546" s="201"/>
      <c r="Y1546" s="269"/>
      <c r="Z1546" s="269"/>
      <c r="AA1546" s="134"/>
      <c r="AB1546" s="269"/>
      <c r="AC1546" s="284"/>
      <c r="AD1546" s="284"/>
      <c r="AE1546" s="269"/>
    </row>
    <row r="1547" spans="2:31">
      <c r="B1547" s="83"/>
      <c r="C1547" s="81"/>
      <c r="D1547" s="83"/>
      <c r="E1547" s="81"/>
      <c r="F1547" s="269"/>
      <c r="G1547" s="48"/>
      <c r="H1547" s="269"/>
      <c r="I1547" s="72"/>
      <c r="J1547" s="330"/>
      <c r="K1547" s="75"/>
      <c r="L1547" s="157"/>
      <c r="M1547" s="341"/>
      <c r="N1547" s="334"/>
      <c r="O1547" s="394"/>
      <c r="P1547" s="392"/>
      <c r="Q1547" s="363"/>
      <c r="T1547" s="110"/>
      <c r="V1547" s="232"/>
      <c r="W1547" s="269"/>
      <c r="X1547" s="201"/>
      <c r="Y1547" s="269"/>
      <c r="Z1547" s="269"/>
      <c r="AA1547" s="134"/>
      <c r="AB1547" s="269"/>
      <c r="AC1547" s="284"/>
      <c r="AD1547" s="284"/>
      <c r="AE1547" s="269"/>
    </row>
    <row r="1548" spans="2:31">
      <c r="B1548" s="83"/>
      <c r="C1548" s="81"/>
      <c r="D1548" s="83"/>
      <c r="E1548" s="81"/>
      <c r="F1548" s="269"/>
      <c r="G1548" s="48"/>
      <c r="H1548" s="269"/>
      <c r="I1548" s="72"/>
      <c r="J1548" s="330"/>
      <c r="K1548" s="75"/>
      <c r="L1548" s="157"/>
      <c r="M1548" s="341"/>
      <c r="N1548" s="334"/>
      <c r="O1548" s="394"/>
      <c r="P1548" s="392"/>
      <c r="Q1548" s="363"/>
      <c r="T1548" s="110"/>
      <c r="V1548" s="232"/>
      <c r="W1548" s="269"/>
      <c r="X1548" s="201"/>
      <c r="Y1548" s="269"/>
      <c r="Z1548" s="269"/>
      <c r="AA1548" s="134"/>
      <c r="AB1548" s="269"/>
      <c r="AC1548" s="284"/>
      <c r="AD1548" s="284"/>
      <c r="AE1548" s="269"/>
    </row>
    <row r="1549" spans="2:31">
      <c r="B1549" s="83"/>
      <c r="C1549" s="81"/>
      <c r="D1549" s="83"/>
      <c r="E1549" s="81"/>
      <c r="F1549" s="269"/>
      <c r="G1549" s="48"/>
      <c r="H1549" s="269"/>
      <c r="I1549" s="72"/>
      <c r="J1549" s="330"/>
      <c r="K1549" s="75"/>
      <c r="L1549" s="157"/>
      <c r="M1549" s="341"/>
      <c r="N1549" s="334"/>
      <c r="O1549" s="394"/>
      <c r="P1549" s="392"/>
      <c r="Q1549" s="363"/>
      <c r="T1549" s="110"/>
      <c r="V1549" s="232"/>
      <c r="W1549" s="269"/>
      <c r="X1549" s="201"/>
      <c r="Y1549" s="269"/>
      <c r="Z1549" s="269"/>
      <c r="AA1549" s="134"/>
      <c r="AB1549" s="269"/>
      <c r="AC1549" s="284"/>
      <c r="AD1549" s="284"/>
      <c r="AE1549" s="269"/>
    </row>
    <row r="1550" spans="2:31">
      <c r="B1550" s="83"/>
      <c r="C1550" s="81"/>
      <c r="D1550" s="83"/>
      <c r="E1550" s="81"/>
      <c r="F1550" s="269"/>
      <c r="G1550" s="48"/>
      <c r="H1550" s="269"/>
      <c r="I1550" s="72"/>
      <c r="J1550" s="330"/>
      <c r="K1550" s="75"/>
      <c r="L1550" s="157"/>
      <c r="M1550" s="341"/>
      <c r="N1550" s="334"/>
      <c r="O1550" s="394"/>
      <c r="P1550" s="392"/>
      <c r="Q1550" s="363"/>
      <c r="T1550" s="110"/>
      <c r="V1550" s="232"/>
      <c r="W1550" s="269"/>
      <c r="X1550" s="201"/>
      <c r="Y1550" s="269"/>
      <c r="Z1550" s="269"/>
      <c r="AA1550" s="134"/>
      <c r="AB1550" s="269"/>
      <c r="AC1550" s="284"/>
      <c r="AD1550" s="284"/>
      <c r="AE1550" s="269"/>
    </row>
    <row r="1551" spans="2:31">
      <c r="B1551" s="83"/>
      <c r="C1551" s="81"/>
      <c r="D1551" s="83"/>
      <c r="E1551" s="81"/>
      <c r="F1551" s="269"/>
      <c r="G1551" s="48"/>
      <c r="H1551" s="269"/>
      <c r="I1551" s="72"/>
      <c r="J1551" s="330"/>
      <c r="K1551" s="75"/>
      <c r="L1551" s="157"/>
      <c r="M1551" s="341"/>
      <c r="N1551" s="334"/>
      <c r="O1551" s="394"/>
      <c r="P1551" s="392"/>
      <c r="Q1551" s="363"/>
      <c r="T1551" s="110"/>
      <c r="V1551" s="232"/>
      <c r="W1551" s="269"/>
      <c r="X1551" s="201"/>
      <c r="Y1551" s="269"/>
      <c r="Z1551" s="269"/>
      <c r="AA1551" s="134"/>
      <c r="AB1551" s="269"/>
      <c r="AC1551" s="284"/>
      <c r="AD1551" s="284"/>
      <c r="AE1551" s="269"/>
    </row>
    <row r="1552" spans="2:31">
      <c r="B1552" s="83"/>
      <c r="C1552" s="81"/>
      <c r="D1552" s="83"/>
      <c r="E1552" s="81"/>
      <c r="F1552" s="269"/>
      <c r="G1552" s="48"/>
      <c r="H1552" s="269"/>
      <c r="I1552" s="72"/>
      <c r="J1552" s="330"/>
      <c r="K1552" s="75"/>
      <c r="L1552" s="157"/>
      <c r="M1552" s="341"/>
      <c r="N1552" s="334"/>
      <c r="O1552" s="394"/>
      <c r="P1552" s="392"/>
      <c r="Q1552" s="363"/>
      <c r="T1552" s="110"/>
      <c r="V1552" s="232"/>
      <c r="W1552" s="269"/>
      <c r="X1552" s="201"/>
      <c r="Y1552" s="269"/>
      <c r="Z1552" s="269"/>
      <c r="AA1552" s="134"/>
      <c r="AB1552" s="269"/>
      <c r="AC1552" s="284"/>
      <c r="AD1552" s="284"/>
      <c r="AE1552" s="269"/>
    </row>
    <row r="1553" spans="2:31">
      <c r="B1553" s="83"/>
      <c r="C1553" s="81"/>
      <c r="D1553" s="83"/>
      <c r="E1553" s="81"/>
      <c r="F1553" s="269"/>
      <c r="G1553" s="48"/>
      <c r="H1553" s="269"/>
      <c r="I1553" s="72"/>
      <c r="J1553" s="330"/>
      <c r="K1553" s="75"/>
      <c r="L1553" s="157"/>
      <c r="M1553" s="341"/>
      <c r="N1553" s="334"/>
      <c r="O1553" s="394"/>
      <c r="T1553" s="110"/>
      <c r="V1553" s="232"/>
      <c r="W1553" s="269"/>
      <c r="X1553" s="201"/>
      <c r="Y1553" s="269"/>
      <c r="Z1553" s="269"/>
      <c r="AA1553" s="134"/>
      <c r="AB1553" s="269"/>
      <c r="AC1553" s="284"/>
      <c r="AD1553" s="284"/>
      <c r="AE1553" s="269"/>
    </row>
    <row r="1554" spans="2:31">
      <c r="B1554" s="83"/>
      <c r="C1554" s="81"/>
      <c r="D1554" s="83"/>
      <c r="E1554" s="81"/>
      <c r="F1554" s="269"/>
      <c r="G1554" s="48"/>
      <c r="H1554" s="269"/>
      <c r="I1554" s="72"/>
      <c r="J1554" s="330"/>
      <c r="K1554" s="75"/>
      <c r="L1554" s="157"/>
      <c r="M1554" s="341"/>
      <c r="N1554" s="334"/>
      <c r="O1554" s="394"/>
      <c r="P1554" s="392"/>
      <c r="Q1554" s="363"/>
      <c r="T1554" s="110"/>
      <c r="V1554" s="232"/>
      <c r="W1554" s="269"/>
      <c r="X1554" s="201"/>
      <c r="Y1554" s="269"/>
      <c r="Z1554" s="269"/>
      <c r="AA1554" s="134"/>
      <c r="AB1554" s="269"/>
      <c r="AC1554" s="284"/>
      <c r="AD1554" s="284"/>
      <c r="AE1554" s="269"/>
    </row>
    <row r="1555" spans="2:31">
      <c r="B1555" s="83"/>
      <c r="C1555" s="81"/>
      <c r="D1555" s="83"/>
      <c r="E1555" s="81"/>
      <c r="F1555" s="269"/>
      <c r="G1555" s="48"/>
      <c r="H1555" s="269"/>
      <c r="I1555" s="72"/>
      <c r="J1555" s="330"/>
      <c r="K1555" s="75"/>
      <c r="L1555" s="157"/>
      <c r="M1555" s="341"/>
      <c r="N1555" s="334"/>
      <c r="O1555" s="394"/>
      <c r="P1555" s="392"/>
      <c r="Q1555" s="363"/>
      <c r="T1555" s="110"/>
      <c r="V1555" s="232"/>
      <c r="W1555" s="269"/>
      <c r="X1555" s="201"/>
      <c r="Y1555" s="269"/>
      <c r="Z1555" s="269"/>
      <c r="AA1555" s="134"/>
      <c r="AB1555" s="269"/>
      <c r="AC1555" s="284"/>
      <c r="AD1555" s="284"/>
      <c r="AE1555" s="269"/>
    </row>
    <row r="1556" spans="2:31">
      <c r="B1556" s="83"/>
      <c r="C1556" s="81"/>
      <c r="D1556" s="83"/>
      <c r="E1556" s="81"/>
      <c r="F1556" s="269"/>
      <c r="G1556" s="48"/>
      <c r="H1556" s="269"/>
      <c r="I1556" s="72"/>
      <c r="J1556" s="330"/>
      <c r="K1556" s="75"/>
      <c r="L1556" s="157"/>
      <c r="M1556" s="341"/>
      <c r="N1556" s="334"/>
      <c r="O1556" s="394"/>
      <c r="P1556" s="392"/>
      <c r="Q1556" s="363"/>
      <c r="T1556" s="110"/>
      <c r="V1556" s="232"/>
      <c r="W1556" s="269"/>
      <c r="X1556" s="201"/>
      <c r="Y1556" s="269"/>
      <c r="Z1556" s="269"/>
      <c r="AA1556" s="134"/>
      <c r="AB1556" s="269"/>
      <c r="AC1556" s="284"/>
      <c r="AD1556" s="284"/>
      <c r="AE1556" s="269"/>
    </row>
    <row r="1557" spans="2:31">
      <c r="B1557" s="83"/>
      <c r="C1557" s="81"/>
      <c r="D1557" s="83"/>
      <c r="E1557" s="81"/>
      <c r="F1557" s="269"/>
      <c r="G1557" s="48"/>
      <c r="H1557" s="269"/>
      <c r="I1557" s="72"/>
      <c r="J1557" s="330"/>
      <c r="K1557" s="75"/>
      <c r="L1557" s="157"/>
      <c r="M1557" s="341"/>
      <c r="N1557" s="334"/>
      <c r="O1557" s="394"/>
      <c r="P1557" s="392"/>
      <c r="Q1557" s="363"/>
      <c r="T1557" s="110"/>
      <c r="V1557" s="232"/>
      <c r="W1557" s="269"/>
      <c r="X1557" s="201"/>
      <c r="Y1557" s="269"/>
      <c r="Z1557" s="269"/>
      <c r="AA1557" s="134"/>
      <c r="AB1557" s="269"/>
      <c r="AC1557" s="284"/>
      <c r="AD1557" s="284"/>
      <c r="AE1557" s="269"/>
    </row>
    <row r="1558" spans="2:31">
      <c r="B1558" s="83"/>
      <c r="C1558" s="81"/>
      <c r="D1558" s="83"/>
      <c r="E1558" s="81"/>
      <c r="F1558" s="269"/>
      <c r="G1558" s="48"/>
      <c r="H1558" s="269"/>
      <c r="I1558" s="72"/>
      <c r="J1558" s="330"/>
      <c r="K1558" s="75"/>
      <c r="L1558" s="157"/>
      <c r="M1558" s="341"/>
      <c r="N1558" s="334"/>
      <c r="O1558" s="394"/>
      <c r="P1558" s="392"/>
      <c r="Q1558" s="363"/>
      <c r="T1558" s="110"/>
      <c r="V1558" s="232"/>
      <c r="W1558" s="269"/>
      <c r="X1558" s="201"/>
      <c r="Y1558" s="269"/>
      <c r="Z1558" s="269"/>
      <c r="AA1558" s="134"/>
      <c r="AB1558" s="269"/>
      <c r="AC1558" s="284"/>
      <c r="AD1558" s="284"/>
      <c r="AE1558" s="269"/>
    </row>
    <row r="1559" spans="2:31">
      <c r="B1559" s="83"/>
      <c r="C1559" s="81"/>
      <c r="D1559" s="83"/>
      <c r="E1559" s="81"/>
      <c r="F1559" s="269"/>
      <c r="G1559" s="48"/>
      <c r="H1559" s="269"/>
      <c r="I1559" s="72"/>
      <c r="J1559" s="330"/>
      <c r="K1559" s="75"/>
      <c r="L1559" s="157"/>
      <c r="M1559" s="341"/>
      <c r="N1559" s="334"/>
      <c r="O1559" s="394"/>
      <c r="P1559" s="392"/>
      <c r="Q1559" s="363"/>
      <c r="T1559" s="110"/>
      <c r="V1559" s="232"/>
      <c r="W1559" s="269"/>
      <c r="X1559" s="201"/>
      <c r="Y1559" s="269"/>
      <c r="Z1559" s="269"/>
      <c r="AA1559" s="134"/>
      <c r="AB1559" s="269"/>
      <c r="AC1559" s="284"/>
      <c r="AD1559" s="284"/>
      <c r="AE1559" s="269"/>
    </row>
    <row r="1560" spans="2:31">
      <c r="B1560" s="83"/>
      <c r="C1560" s="81"/>
      <c r="D1560" s="83"/>
      <c r="E1560" s="81"/>
      <c r="F1560" s="269"/>
      <c r="G1560" s="48"/>
      <c r="H1560" s="269"/>
      <c r="I1560" s="72"/>
      <c r="J1560" s="330"/>
      <c r="K1560" s="75"/>
      <c r="L1560" s="157"/>
      <c r="M1560" s="341"/>
      <c r="N1560" s="334"/>
      <c r="O1560" s="394"/>
      <c r="P1560" s="392"/>
      <c r="Q1560" s="363"/>
      <c r="T1560" s="110"/>
      <c r="V1560" s="232"/>
      <c r="W1560" s="269"/>
      <c r="X1560" s="201"/>
      <c r="Y1560" s="269"/>
      <c r="Z1560" s="269"/>
      <c r="AA1560" s="134"/>
      <c r="AB1560" s="269"/>
      <c r="AC1560" s="284"/>
      <c r="AD1560" s="284"/>
      <c r="AE1560" s="269"/>
    </row>
    <row r="1561" spans="2:31">
      <c r="B1561" s="83"/>
      <c r="C1561" s="81"/>
      <c r="D1561" s="83"/>
      <c r="E1561" s="81"/>
      <c r="F1561" s="269"/>
      <c r="G1561" s="48"/>
      <c r="H1561" s="269"/>
      <c r="I1561" s="72"/>
      <c r="J1561" s="330"/>
      <c r="K1561" s="75"/>
      <c r="L1561" s="157"/>
      <c r="M1561" s="341"/>
      <c r="N1561" s="334"/>
      <c r="O1561" s="394"/>
      <c r="P1561" s="392"/>
      <c r="Q1561" s="363"/>
      <c r="T1561" s="110"/>
      <c r="V1561" s="232"/>
      <c r="W1561" s="269"/>
      <c r="X1561" s="201"/>
      <c r="Y1561" s="269"/>
      <c r="Z1561" s="269"/>
      <c r="AA1561" s="134"/>
      <c r="AB1561" s="269"/>
      <c r="AC1561" s="284"/>
      <c r="AD1561" s="284"/>
      <c r="AE1561" s="269"/>
    </row>
    <row r="1562" spans="2:31">
      <c r="B1562" s="83"/>
      <c r="C1562" s="81"/>
      <c r="D1562" s="83"/>
      <c r="E1562" s="81"/>
      <c r="F1562" s="269"/>
      <c r="G1562" s="48"/>
      <c r="H1562" s="269"/>
      <c r="I1562" s="72"/>
      <c r="J1562" s="330"/>
      <c r="K1562" s="75"/>
      <c r="L1562" s="157"/>
      <c r="M1562" s="341"/>
      <c r="N1562" s="334"/>
      <c r="O1562" s="394"/>
      <c r="P1562" s="392"/>
      <c r="Q1562" s="363"/>
      <c r="T1562" s="110"/>
      <c r="V1562" s="232"/>
      <c r="W1562" s="269"/>
      <c r="X1562" s="201"/>
      <c r="Y1562" s="269"/>
      <c r="Z1562" s="269"/>
      <c r="AA1562" s="134"/>
      <c r="AB1562" s="269"/>
      <c r="AC1562" s="284"/>
      <c r="AD1562" s="284"/>
      <c r="AE1562" s="269"/>
    </row>
    <row r="1563" spans="2:31">
      <c r="B1563" s="83"/>
      <c r="C1563" s="81"/>
      <c r="D1563" s="83"/>
      <c r="E1563" s="81"/>
      <c r="F1563" s="269"/>
      <c r="G1563" s="48"/>
      <c r="H1563" s="269"/>
      <c r="I1563" s="72"/>
      <c r="J1563" s="330"/>
      <c r="K1563" s="75"/>
      <c r="L1563" s="157"/>
      <c r="M1563" s="341"/>
      <c r="N1563" s="334"/>
      <c r="O1563" s="394"/>
      <c r="P1563" s="392"/>
      <c r="Q1563" s="363"/>
      <c r="T1563" s="110"/>
      <c r="V1563" s="232"/>
      <c r="W1563" s="269"/>
      <c r="X1563" s="201"/>
      <c r="Y1563" s="269"/>
      <c r="Z1563" s="269"/>
      <c r="AA1563" s="134"/>
      <c r="AB1563" s="269"/>
      <c r="AC1563" s="284"/>
      <c r="AD1563" s="284"/>
      <c r="AE1563" s="269"/>
    </row>
    <row r="1564" spans="2:31">
      <c r="B1564" s="83"/>
      <c r="C1564" s="81"/>
      <c r="D1564" s="83"/>
      <c r="E1564" s="81"/>
      <c r="F1564" s="269"/>
      <c r="G1564" s="48"/>
      <c r="H1564" s="269"/>
      <c r="I1564" s="72"/>
      <c r="J1564" s="330"/>
      <c r="K1564" s="75"/>
      <c r="L1564" s="157"/>
      <c r="M1564" s="341"/>
      <c r="N1564" s="334"/>
      <c r="O1564" s="394"/>
      <c r="P1564" s="392"/>
      <c r="Q1564" s="363"/>
      <c r="T1564" s="110"/>
      <c r="V1564" s="232"/>
      <c r="W1564" s="269"/>
      <c r="X1564" s="201"/>
      <c r="Y1564" s="269"/>
      <c r="Z1564" s="269"/>
      <c r="AA1564" s="134"/>
      <c r="AB1564" s="269"/>
      <c r="AC1564" s="284"/>
      <c r="AD1564" s="284"/>
      <c r="AE1564" s="269"/>
    </row>
    <row r="1565" spans="2:31">
      <c r="B1565" s="83"/>
      <c r="C1565" s="81"/>
      <c r="D1565" s="83"/>
      <c r="E1565" s="81"/>
      <c r="F1565" s="269"/>
      <c r="G1565" s="48"/>
      <c r="H1565" s="269"/>
      <c r="I1565" s="72"/>
      <c r="J1565" s="330"/>
      <c r="K1565" s="75"/>
      <c r="L1565" s="157"/>
      <c r="M1565" s="341"/>
      <c r="N1565" s="334"/>
      <c r="O1565" s="394"/>
      <c r="P1565" s="392"/>
      <c r="Q1565" s="363"/>
      <c r="T1565" s="110"/>
      <c r="V1565" s="232"/>
      <c r="W1565" s="269"/>
      <c r="X1565" s="201"/>
      <c r="Y1565" s="269"/>
      <c r="Z1565" s="269"/>
      <c r="AA1565" s="134"/>
      <c r="AB1565" s="269"/>
      <c r="AC1565" s="284"/>
      <c r="AD1565" s="284"/>
      <c r="AE1565" s="269"/>
    </row>
    <row r="1566" spans="2:31">
      <c r="B1566" s="83"/>
      <c r="C1566" s="81"/>
      <c r="D1566" s="83"/>
      <c r="E1566" s="81"/>
      <c r="F1566" s="269"/>
      <c r="G1566" s="48"/>
      <c r="H1566" s="269"/>
      <c r="I1566" s="72"/>
      <c r="J1566" s="330"/>
      <c r="K1566" s="75"/>
      <c r="L1566" s="157"/>
      <c r="M1566" s="341"/>
      <c r="N1566" s="334"/>
      <c r="O1566" s="394"/>
      <c r="P1566" s="392"/>
      <c r="Q1566" s="363"/>
      <c r="T1566" s="110"/>
      <c r="V1566" s="232"/>
      <c r="W1566" s="269"/>
      <c r="X1566" s="201"/>
      <c r="Y1566" s="269"/>
      <c r="Z1566" s="269"/>
      <c r="AA1566" s="134"/>
      <c r="AB1566" s="269"/>
      <c r="AC1566" s="284"/>
      <c r="AD1566" s="284"/>
      <c r="AE1566" s="269"/>
    </row>
    <row r="1567" spans="2:31">
      <c r="B1567" s="83"/>
      <c r="C1567" s="81"/>
      <c r="D1567" s="83"/>
      <c r="E1567" s="81"/>
      <c r="F1567" s="269"/>
      <c r="G1567" s="48"/>
      <c r="H1567" s="269"/>
      <c r="I1567" s="72"/>
      <c r="J1567" s="330"/>
      <c r="K1567" s="75"/>
      <c r="L1567" s="157"/>
      <c r="M1567" s="341"/>
      <c r="N1567" s="334"/>
      <c r="O1567" s="394"/>
      <c r="P1567" s="392"/>
      <c r="Q1567" s="363"/>
      <c r="T1567" s="110"/>
      <c r="V1567" s="232"/>
      <c r="W1567" s="269"/>
      <c r="X1567" s="201"/>
      <c r="Y1567" s="269"/>
      <c r="Z1567" s="269"/>
      <c r="AA1567" s="134"/>
      <c r="AB1567" s="269"/>
      <c r="AC1567" s="284"/>
      <c r="AD1567" s="284"/>
      <c r="AE1567" s="269"/>
    </row>
    <row r="1568" spans="2:31">
      <c r="B1568" s="83"/>
      <c r="C1568" s="81"/>
      <c r="D1568" s="83"/>
      <c r="E1568" s="81"/>
      <c r="F1568" s="269"/>
      <c r="G1568" s="48"/>
      <c r="H1568" s="269"/>
      <c r="I1568" s="72"/>
      <c r="J1568" s="330"/>
      <c r="K1568" s="75"/>
      <c r="L1568" s="157"/>
      <c r="M1568" s="341"/>
      <c r="N1568" s="334"/>
      <c r="O1568" s="394"/>
      <c r="P1568" s="392"/>
      <c r="Q1568" s="363"/>
      <c r="T1568" s="110"/>
      <c r="V1568" s="232"/>
      <c r="W1568" s="269"/>
      <c r="X1568" s="201"/>
      <c r="Y1568" s="269"/>
      <c r="Z1568" s="269"/>
      <c r="AA1568" s="134"/>
      <c r="AB1568" s="269"/>
      <c r="AC1568" s="284"/>
      <c r="AD1568" s="284"/>
      <c r="AE1568" s="269"/>
    </row>
    <row r="1569" spans="2:31">
      <c r="B1569" s="83"/>
      <c r="C1569" s="81"/>
      <c r="D1569" s="83"/>
      <c r="E1569" s="81"/>
      <c r="F1569" s="269"/>
      <c r="G1569" s="48"/>
      <c r="H1569" s="269"/>
      <c r="I1569" s="72"/>
      <c r="J1569" s="330"/>
      <c r="K1569" s="75"/>
      <c r="L1569" s="157"/>
      <c r="M1569" s="341"/>
      <c r="N1569" s="334"/>
      <c r="O1569" s="394"/>
      <c r="P1569" s="392"/>
      <c r="Q1569" s="363"/>
      <c r="T1569" s="110"/>
      <c r="V1569" s="232"/>
      <c r="W1569" s="269"/>
      <c r="X1569" s="201"/>
      <c r="Y1569" s="269"/>
      <c r="Z1569" s="269"/>
      <c r="AA1569" s="134"/>
      <c r="AB1569" s="269"/>
      <c r="AC1569" s="284"/>
      <c r="AD1569" s="284"/>
      <c r="AE1569" s="269"/>
    </row>
    <row r="1570" spans="2:31">
      <c r="B1570" s="83"/>
      <c r="C1570" s="81"/>
      <c r="D1570" s="83"/>
      <c r="E1570" s="81"/>
      <c r="F1570" s="269"/>
      <c r="G1570" s="48"/>
      <c r="H1570" s="269"/>
      <c r="I1570" s="72"/>
      <c r="J1570" s="330"/>
      <c r="K1570" s="75"/>
      <c r="L1570" s="157"/>
      <c r="M1570" s="341"/>
      <c r="N1570" s="334"/>
      <c r="O1570" s="394"/>
      <c r="P1570" s="392"/>
      <c r="Q1570" s="363"/>
      <c r="T1570" s="110"/>
      <c r="V1570" s="232"/>
      <c r="W1570" s="269"/>
      <c r="X1570" s="201"/>
      <c r="Y1570" s="269"/>
      <c r="Z1570" s="269"/>
      <c r="AA1570" s="134"/>
      <c r="AB1570" s="269"/>
      <c r="AC1570" s="284"/>
      <c r="AD1570" s="284"/>
      <c r="AE1570" s="269"/>
    </row>
    <row r="1571" spans="2:31">
      <c r="B1571" s="83"/>
      <c r="C1571" s="81"/>
      <c r="D1571" s="83"/>
      <c r="E1571" s="81"/>
      <c r="F1571" s="269"/>
      <c r="G1571" s="48"/>
      <c r="H1571" s="269"/>
      <c r="I1571" s="72"/>
      <c r="J1571" s="330"/>
      <c r="K1571" s="75"/>
      <c r="L1571" s="157"/>
      <c r="M1571" s="341"/>
      <c r="N1571" s="334"/>
      <c r="O1571" s="394"/>
      <c r="P1571" s="392"/>
      <c r="Q1571" s="363"/>
      <c r="T1571" s="110"/>
      <c r="V1571" s="232"/>
      <c r="W1571" s="269"/>
      <c r="X1571" s="201"/>
      <c r="Y1571" s="269"/>
      <c r="Z1571" s="269"/>
      <c r="AA1571" s="134"/>
      <c r="AB1571" s="269"/>
      <c r="AC1571" s="284"/>
      <c r="AD1571" s="284"/>
      <c r="AE1571" s="269"/>
    </row>
    <row r="1572" spans="2:31">
      <c r="B1572" s="83"/>
      <c r="C1572" s="81"/>
      <c r="D1572" s="83"/>
      <c r="E1572" s="81"/>
      <c r="F1572" s="269"/>
      <c r="G1572" s="48"/>
      <c r="H1572" s="269"/>
      <c r="I1572" s="72"/>
      <c r="J1572" s="330"/>
      <c r="K1572" s="75"/>
      <c r="L1572" s="157"/>
      <c r="M1572" s="341"/>
      <c r="N1572" s="334"/>
      <c r="O1572" s="394"/>
      <c r="P1572" s="392"/>
      <c r="Q1572" s="363"/>
      <c r="T1572" s="110"/>
      <c r="V1572" s="232"/>
      <c r="W1572" s="269"/>
      <c r="X1572" s="201"/>
      <c r="Y1572" s="269"/>
      <c r="Z1572" s="269"/>
      <c r="AA1572" s="134"/>
      <c r="AB1572" s="269"/>
      <c r="AC1572" s="284"/>
      <c r="AD1572" s="284"/>
      <c r="AE1572" s="269"/>
    </row>
    <row r="1573" spans="2:31">
      <c r="B1573" s="83"/>
      <c r="C1573" s="81"/>
      <c r="D1573" s="83"/>
      <c r="E1573" s="81"/>
      <c r="F1573" s="269"/>
      <c r="G1573" s="48"/>
      <c r="H1573" s="269"/>
      <c r="I1573" s="72"/>
      <c r="J1573" s="330"/>
      <c r="K1573" s="75"/>
      <c r="L1573" s="157"/>
      <c r="M1573" s="341"/>
      <c r="N1573" s="334"/>
      <c r="O1573" s="394"/>
      <c r="P1573" s="392"/>
      <c r="Q1573" s="363"/>
      <c r="T1573" s="110"/>
      <c r="V1573" s="232"/>
      <c r="W1573" s="269"/>
      <c r="X1573" s="201"/>
      <c r="Y1573" s="269"/>
      <c r="Z1573" s="269"/>
      <c r="AA1573" s="134"/>
      <c r="AB1573" s="269"/>
      <c r="AC1573" s="284"/>
      <c r="AD1573" s="284"/>
      <c r="AE1573" s="269"/>
    </row>
    <row r="1574" spans="2:31">
      <c r="B1574" s="83"/>
      <c r="C1574" s="81"/>
      <c r="D1574" s="83"/>
      <c r="E1574" s="81"/>
      <c r="F1574" s="269"/>
      <c r="G1574" s="48"/>
      <c r="H1574" s="269"/>
      <c r="I1574" s="72"/>
      <c r="J1574" s="330"/>
      <c r="K1574" s="75"/>
      <c r="L1574" s="157"/>
      <c r="M1574" s="341"/>
      <c r="N1574" s="334"/>
      <c r="O1574" s="394"/>
      <c r="P1574" s="392"/>
      <c r="Q1574" s="363"/>
      <c r="T1574" s="110"/>
      <c r="V1574" s="232"/>
      <c r="W1574" s="269"/>
      <c r="X1574" s="201"/>
      <c r="Y1574" s="269"/>
      <c r="Z1574" s="269"/>
      <c r="AA1574" s="134"/>
      <c r="AB1574" s="269"/>
      <c r="AC1574" s="284"/>
      <c r="AD1574" s="284"/>
      <c r="AE1574" s="269"/>
    </row>
    <row r="1575" spans="2:31">
      <c r="B1575" s="83"/>
      <c r="C1575" s="81"/>
      <c r="D1575" s="83"/>
      <c r="E1575" s="81"/>
      <c r="F1575" s="269"/>
      <c r="G1575" s="48"/>
      <c r="H1575" s="269"/>
      <c r="I1575" s="72"/>
      <c r="J1575" s="330"/>
      <c r="K1575" s="75"/>
      <c r="L1575" s="157"/>
      <c r="M1575" s="341"/>
      <c r="N1575" s="334"/>
      <c r="O1575" s="394"/>
      <c r="P1575" s="392"/>
      <c r="Q1575" s="363"/>
      <c r="T1575" s="110"/>
      <c r="V1575" s="232"/>
      <c r="W1575" s="269"/>
      <c r="X1575" s="201"/>
      <c r="Y1575" s="269"/>
      <c r="Z1575" s="269"/>
      <c r="AA1575" s="134"/>
      <c r="AB1575" s="269"/>
      <c r="AC1575" s="284"/>
      <c r="AD1575" s="284"/>
      <c r="AE1575" s="269"/>
    </row>
    <row r="1576" spans="2:31">
      <c r="B1576" s="83"/>
      <c r="C1576" s="81"/>
      <c r="D1576" s="83"/>
      <c r="E1576" s="81"/>
      <c r="F1576" s="269"/>
      <c r="G1576" s="48"/>
      <c r="H1576" s="269"/>
      <c r="I1576" s="72"/>
      <c r="J1576" s="330"/>
      <c r="K1576" s="75"/>
      <c r="L1576" s="157"/>
      <c r="M1576" s="341"/>
      <c r="N1576" s="334"/>
      <c r="O1576" s="394"/>
      <c r="P1576" s="392"/>
      <c r="Q1576" s="363"/>
      <c r="T1576" s="110"/>
      <c r="V1576" s="232"/>
      <c r="W1576" s="269"/>
      <c r="X1576" s="201"/>
      <c r="Y1576" s="269"/>
      <c r="Z1576" s="269"/>
      <c r="AA1576" s="134"/>
      <c r="AB1576" s="269"/>
      <c r="AC1576" s="284"/>
      <c r="AD1576" s="284"/>
      <c r="AE1576" s="269"/>
    </row>
    <row r="1577" spans="2:31">
      <c r="B1577" s="83"/>
      <c r="C1577" s="81"/>
      <c r="D1577" s="83"/>
      <c r="E1577" s="81"/>
      <c r="F1577" s="269"/>
      <c r="G1577" s="48"/>
      <c r="H1577" s="269"/>
      <c r="I1577" s="72"/>
      <c r="J1577" s="330"/>
      <c r="K1577" s="75"/>
      <c r="L1577" s="157"/>
      <c r="M1577" s="341"/>
      <c r="N1577" s="334"/>
      <c r="O1577" s="394"/>
      <c r="P1577" s="392"/>
      <c r="Q1577" s="363"/>
      <c r="T1577" s="110"/>
      <c r="V1577" s="232"/>
      <c r="W1577" s="269"/>
      <c r="X1577" s="201"/>
      <c r="Y1577" s="269"/>
      <c r="Z1577" s="269"/>
      <c r="AA1577" s="134"/>
      <c r="AB1577" s="269"/>
      <c r="AC1577" s="284"/>
      <c r="AD1577" s="284"/>
      <c r="AE1577" s="269"/>
    </row>
    <row r="1578" spans="2:31">
      <c r="B1578" s="83"/>
      <c r="C1578" s="81"/>
      <c r="D1578" s="83"/>
      <c r="E1578" s="81"/>
      <c r="F1578" s="269"/>
      <c r="G1578" s="48"/>
      <c r="H1578" s="269"/>
      <c r="I1578" s="72"/>
      <c r="J1578" s="330"/>
      <c r="K1578" s="75"/>
      <c r="L1578" s="157"/>
      <c r="M1578" s="341"/>
      <c r="N1578" s="334"/>
      <c r="O1578" s="394"/>
      <c r="P1578" s="392"/>
      <c r="Q1578" s="363"/>
      <c r="T1578" s="110"/>
      <c r="V1578" s="232"/>
      <c r="W1578" s="269"/>
      <c r="X1578" s="201"/>
      <c r="Y1578" s="269"/>
      <c r="Z1578" s="269"/>
      <c r="AA1578" s="134"/>
      <c r="AB1578" s="269"/>
      <c r="AC1578" s="284"/>
      <c r="AD1578" s="284"/>
      <c r="AE1578" s="269"/>
    </row>
    <row r="1579" spans="2:31">
      <c r="B1579" s="83"/>
      <c r="C1579" s="81"/>
      <c r="D1579" s="83"/>
      <c r="E1579" s="81"/>
      <c r="F1579" s="269"/>
      <c r="G1579" s="48"/>
      <c r="H1579" s="269"/>
      <c r="I1579" s="72"/>
      <c r="J1579" s="330"/>
      <c r="K1579" s="75"/>
      <c r="L1579" s="157"/>
      <c r="M1579" s="341"/>
      <c r="N1579" s="334"/>
      <c r="O1579" s="394"/>
      <c r="P1579" s="392"/>
      <c r="Q1579" s="363"/>
      <c r="T1579" s="110"/>
      <c r="V1579" s="232"/>
      <c r="W1579" s="269"/>
      <c r="X1579" s="201"/>
      <c r="Y1579" s="269"/>
      <c r="Z1579" s="269"/>
      <c r="AA1579" s="134"/>
      <c r="AB1579" s="269"/>
      <c r="AC1579" s="284"/>
      <c r="AD1579" s="284"/>
      <c r="AE1579" s="269"/>
    </row>
    <row r="1580" spans="2:31">
      <c r="B1580" s="83"/>
      <c r="C1580" s="81"/>
      <c r="D1580" s="83"/>
      <c r="E1580" s="81"/>
      <c r="F1580" s="269"/>
      <c r="G1580" s="48"/>
      <c r="H1580" s="269"/>
      <c r="I1580" s="72"/>
      <c r="J1580" s="330"/>
      <c r="K1580" s="75"/>
      <c r="L1580" s="157"/>
      <c r="M1580" s="341"/>
      <c r="N1580" s="334"/>
      <c r="O1580" s="394"/>
      <c r="P1580" s="392"/>
      <c r="Q1580" s="363"/>
      <c r="T1580" s="110"/>
      <c r="V1580" s="232"/>
      <c r="W1580" s="269"/>
      <c r="X1580" s="201"/>
      <c r="Y1580" s="269"/>
      <c r="Z1580" s="269"/>
      <c r="AA1580" s="134"/>
      <c r="AB1580" s="269"/>
      <c r="AC1580" s="284"/>
      <c r="AD1580" s="284"/>
      <c r="AE1580" s="269"/>
    </row>
    <row r="1581" spans="2:31">
      <c r="B1581" s="83"/>
      <c r="C1581" s="81"/>
      <c r="D1581" s="83"/>
      <c r="E1581" s="81"/>
      <c r="F1581" s="269"/>
      <c r="G1581" s="48"/>
      <c r="H1581" s="269"/>
      <c r="I1581" s="72"/>
      <c r="J1581" s="330"/>
      <c r="K1581" s="75"/>
      <c r="L1581" s="157"/>
      <c r="M1581" s="341"/>
      <c r="N1581" s="334"/>
      <c r="O1581" s="394"/>
      <c r="P1581" s="392"/>
      <c r="Q1581" s="363"/>
      <c r="T1581" s="110"/>
      <c r="V1581" s="232"/>
      <c r="W1581" s="269"/>
      <c r="X1581" s="201"/>
      <c r="Y1581" s="269"/>
      <c r="Z1581" s="269"/>
      <c r="AA1581" s="134"/>
      <c r="AB1581" s="269"/>
      <c r="AC1581" s="284"/>
      <c r="AD1581" s="284"/>
      <c r="AE1581" s="269"/>
    </row>
    <row r="1582" spans="2:31">
      <c r="B1582" s="83"/>
      <c r="C1582" s="81"/>
      <c r="D1582" s="83"/>
      <c r="E1582" s="81"/>
      <c r="F1582" s="269"/>
      <c r="G1582" s="48"/>
      <c r="H1582" s="269"/>
      <c r="I1582" s="72"/>
      <c r="J1582" s="330"/>
      <c r="K1582" s="75"/>
      <c r="L1582" s="157"/>
      <c r="M1582" s="341"/>
      <c r="N1582" s="334"/>
      <c r="O1582" s="394"/>
      <c r="P1582" s="392"/>
      <c r="Q1582" s="363"/>
      <c r="T1582" s="110"/>
      <c r="V1582" s="232"/>
      <c r="W1582" s="269"/>
      <c r="X1582" s="201"/>
      <c r="Y1582" s="269"/>
      <c r="Z1582" s="269"/>
      <c r="AA1582" s="134"/>
      <c r="AB1582" s="269"/>
      <c r="AC1582" s="284"/>
      <c r="AD1582" s="284"/>
      <c r="AE1582" s="269"/>
    </row>
    <row r="1583" spans="2:31">
      <c r="B1583" s="83"/>
      <c r="C1583" s="81"/>
      <c r="D1583" s="83"/>
      <c r="E1583" s="81"/>
      <c r="F1583" s="269"/>
      <c r="G1583" s="48"/>
      <c r="H1583" s="269"/>
      <c r="I1583" s="72"/>
      <c r="J1583" s="330"/>
      <c r="K1583" s="75"/>
      <c r="L1583" s="157"/>
      <c r="M1583" s="341"/>
      <c r="N1583" s="334"/>
      <c r="O1583" s="394"/>
      <c r="P1583" s="392"/>
      <c r="Q1583" s="363"/>
      <c r="T1583" s="110"/>
      <c r="V1583" s="232"/>
      <c r="W1583" s="269"/>
      <c r="X1583" s="201"/>
      <c r="Y1583" s="269"/>
      <c r="Z1583" s="269"/>
      <c r="AA1583" s="134"/>
      <c r="AB1583" s="269"/>
      <c r="AC1583" s="284"/>
      <c r="AD1583" s="284"/>
      <c r="AE1583" s="269"/>
    </row>
    <row r="1584" spans="2:31">
      <c r="B1584" s="83"/>
      <c r="C1584" s="81"/>
      <c r="D1584" s="83"/>
      <c r="E1584" s="81"/>
      <c r="F1584" s="269"/>
      <c r="G1584" s="48"/>
      <c r="H1584" s="269"/>
      <c r="I1584" s="72"/>
      <c r="J1584" s="330"/>
      <c r="K1584" s="75"/>
      <c r="L1584" s="157"/>
      <c r="M1584" s="341"/>
      <c r="N1584" s="334"/>
      <c r="O1584" s="394"/>
      <c r="P1584" s="392"/>
      <c r="Q1584" s="363"/>
      <c r="T1584" s="110"/>
      <c r="V1584" s="232"/>
      <c r="W1584" s="269"/>
      <c r="X1584" s="201"/>
      <c r="Y1584" s="269"/>
      <c r="Z1584" s="269"/>
      <c r="AA1584" s="134"/>
      <c r="AB1584" s="269"/>
      <c r="AC1584" s="284"/>
      <c r="AD1584" s="284"/>
      <c r="AE1584" s="269"/>
    </row>
    <row r="1585" spans="2:31">
      <c r="B1585" s="83"/>
      <c r="C1585" s="81"/>
      <c r="D1585" s="83"/>
      <c r="E1585" s="81"/>
      <c r="F1585" s="269"/>
      <c r="G1585" s="48"/>
      <c r="H1585" s="269"/>
      <c r="I1585" s="72"/>
      <c r="J1585" s="330"/>
      <c r="K1585" s="75"/>
      <c r="L1585" s="157"/>
      <c r="M1585" s="341"/>
      <c r="N1585" s="334"/>
      <c r="O1585" s="394"/>
      <c r="P1585" s="392"/>
      <c r="Q1585" s="363"/>
      <c r="T1585" s="110"/>
      <c r="V1585" s="232"/>
      <c r="W1585" s="269"/>
      <c r="X1585" s="201"/>
      <c r="Y1585" s="269"/>
      <c r="Z1585" s="269"/>
      <c r="AA1585" s="134"/>
      <c r="AB1585" s="269"/>
      <c r="AC1585" s="284"/>
      <c r="AD1585" s="284"/>
      <c r="AE1585" s="269"/>
    </row>
    <row r="1586" spans="2:31">
      <c r="B1586" s="83"/>
      <c r="C1586" s="81"/>
      <c r="D1586" s="83"/>
      <c r="E1586" s="81"/>
      <c r="F1586" s="269"/>
      <c r="G1586" s="48"/>
      <c r="H1586" s="269"/>
      <c r="I1586" s="72"/>
      <c r="J1586" s="330"/>
      <c r="K1586" s="75"/>
      <c r="L1586" s="157"/>
      <c r="M1586" s="341"/>
      <c r="N1586" s="334"/>
      <c r="O1586" s="394"/>
      <c r="P1586" s="392"/>
      <c r="Q1586" s="363"/>
      <c r="T1586" s="110"/>
      <c r="V1586" s="232"/>
      <c r="W1586" s="269"/>
      <c r="X1586" s="201"/>
      <c r="Y1586" s="269"/>
      <c r="Z1586" s="269"/>
      <c r="AA1586" s="134"/>
      <c r="AB1586" s="269"/>
      <c r="AC1586" s="284"/>
      <c r="AD1586" s="284"/>
      <c r="AE1586" s="269"/>
    </row>
    <row r="1587" spans="2:31">
      <c r="B1587" s="83"/>
      <c r="C1587" s="81"/>
      <c r="D1587" s="83"/>
      <c r="E1587" s="81"/>
      <c r="F1587" s="269"/>
      <c r="G1587" s="48"/>
      <c r="H1587" s="269"/>
      <c r="I1587" s="72"/>
      <c r="J1587" s="330"/>
      <c r="K1587" s="75"/>
      <c r="L1587" s="157"/>
      <c r="M1587" s="341"/>
      <c r="N1587" s="334"/>
      <c r="O1587" s="394"/>
      <c r="P1587" s="392"/>
      <c r="Q1587" s="363"/>
      <c r="T1587" s="110"/>
      <c r="V1587" s="232"/>
      <c r="W1587" s="269"/>
      <c r="X1587" s="201"/>
      <c r="Y1587" s="269"/>
      <c r="Z1587" s="269"/>
      <c r="AA1587" s="134"/>
      <c r="AB1587" s="269"/>
      <c r="AC1587" s="284"/>
      <c r="AD1587" s="284"/>
      <c r="AE1587" s="269"/>
    </row>
    <row r="1588" spans="2:31">
      <c r="B1588" s="83"/>
      <c r="C1588" s="81"/>
      <c r="D1588" s="83"/>
      <c r="E1588" s="81"/>
      <c r="F1588" s="269"/>
      <c r="G1588" s="48"/>
      <c r="H1588" s="269"/>
      <c r="I1588" s="72"/>
      <c r="J1588" s="330"/>
      <c r="K1588" s="75"/>
      <c r="L1588" s="157"/>
      <c r="M1588" s="341"/>
      <c r="N1588" s="334"/>
      <c r="O1588" s="394"/>
      <c r="P1588" s="392"/>
      <c r="Q1588" s="363"/>
      <c r="T1588" s="110"/>
      <c r="V1588" s="232"/>
      <c r="W1588" s="269"/>
      <c r="X1588" s="201"/>
      <c r="Y1588" s="269"/>
      <c r="Z1588" s="269"/>
      <c r="AA1588" s="134"/>
      <c r="AB1588" s="269"/>
      <c r="AC1588" s="284"/>
      <c r="AD1588" s="284"/>
      <c r="AE1588" s="269"/>
    </row>
    <row r="1589" spans="2:31">
      <c r="B1589" s="83"/>
      <c r="C1589" s="81"/>
      <c r="D1589" s="83"/>
      <c r="E1589" s="81"/>
      <c r="F1589" s="269"/>
      <c r="G1589" s="48"/>
      <c r="H1589" s="269"/>
      <c r="I1589" s="72"/>
      <c r="J1589" s="330"/>
      <c r="K1589" s="75"/>
      <c r="L1589" s="157"/>
      <c r="M1589" s="341"/>
      <c r="N1589" s="334"/>
      <c r="O1589" s="394"/>
      <c r="P1589" s="392"/>
      <c r="Q1589" s="363"/>
      <c r="T1589" s="110"/>
      <c r="V1589" s="232"/>
      <c r="W1589" s="269"/>
      <c r="X1589" s="201"/>
      <c r="Y1589" s="269"/>
      <c r="Z1589" s="269"/>
      <c r="AA1589" s="134"/>
      <c r="AB1589" s="269"/>
      <c r="AC1589" s="284"/>
      <c r="AD1589" s="284"/>
      <c r="AE1589" s="269"/>
    </row>
    <row r="1590" spans="2:31">
      <c r="B1590" s="83"/>
      <c r="C1590" s="81"/>
      <c r="D1590" s="83"/>
      <c r="E1590" s="81"/>
      <c r="F1590" s="269"/>
      <c r="G1590" s="48"/>
      <c r="H1590" s="269"/>
      <c r="I1590" s="72"/>
      <c r="J1590" s="330"/>
      <c r="K1590" s="75"/>
      <c r="L1590" s="157"/>
      <c r="M1590" s="341"/>
      <c r="N1590" s="334"/>
      <c r="O1590" s="394"/>
      <c r="P1590" s="392"/>
      <c r="Q1590" s="363"/>
      <c r="T1590" s="110"/>
      <c r="V1590" s="232"/>
      <c r="W1590" s="269"/>
      <c r="X1590" s="201"/>
      <c r="Y1590" s="269"/>
      <c r="Z1590" s="269"/>
      <c r="AA1590" s="134"/>
      <c r="AB1590" s="269"/>
      <c r="AC1590" s="284"/>
      <c r="AD1590" s="284"/>
      <c r="AE1590" s="269"/>
    </row>
    <row r="1591" spans="2:31">
      <c r="B1591" s="83"/>
      <c r="C1591" s="81"/>
      <c r="D1591" s="83"/>
      <c r="E1591" s="81"/>
      <c r="F1591" s="269"/>
      <c r="G1591" s="48"/>
      <c r="H1591" s="269"/>
      <c r="I1591" s="72"/>
      <c r="J1591" s="330"/>
      <c r="K1591" s="75"/>
      <c r="L1591" s="157"/>
      <c r="M1591" s="341"/>
      <c r="N1591" s="334"/>
      <c r="O1591" s="394"/>
      <c r="P1591" s="392"/>
      <c r="Q1591" s="363"/>
      <c r="T1591" s="110"/>
      <c r="V1591" s="232"/>
      <c r="W1591" s="269"/>
      <c r="X1591" s="201"/>
      <c r="Y1591" s="269"/>
      <c r="Z1591" s="269"/>
      <c r="AA1591" s="134"/>
      <c r="AB1591" s="269"/>
      <c r="AC1591" s="284"/>
      <c r="AD1591" s="284"/>
      <c r="AE1591" s="269"/>
    </row>
    <row r="1592" spans="2:31">
      <c r="B1592" s="83"/>
      <c r="C1592" s="81"/>
      <c r="D1592" s="83"/>
      <c r="E1592" s="81"/>
      <c r="F1592" s="269"/>
      <c r="G1592" s="48"/>
      <c r="H1592" s="269"/>
      <c r="I1592" s="72"/>
      <c r="J1592" s="330"/>
      <c r="K1592" s="75"/>
      <c r="L1592" s="157"/>
      <c r="M1592" s="341"/>
      <c r="N1592" s="334"/>
      <c r="O1592" s="394"/>
      <c r="P1592" s="392"/>
      <c r="Q1592" s="363"/>
      <c r="T1592" s="110"/>
      <c r="V1592" s="232"/>
      <c r="W1592" s="269"/>
      <c r="X1592" s="201"/>
      <c r="Y1592" s="269"/>
      <c r="Z1592" s="269"/>
      <c r="AA1592" s="134"/>
      <c r="AB1592" s="269"/>
      <c r="AC1592" s="284"/>
      <c r="AD1592" s="284"/>
      <c r="AE1592" s="269"/>
    </row>
    <row r="1593" spans="2:31">
      <c r="B1593" s="83"/>
      <c r="C1593" s="81"/>
      <c r="D1593" s="83"/>
      <c r="E1593" s="81"/>
      <c r="F1593" s="269"/>
      <c r="G1593" s="48"/>
      <c r="H1593" s="269"/>
      <c r="I1593" s="72"/>
      <c r="J1593" s="330"/>
      <c r="K1593" s="75"/>
      <c r="L1593" s="157"/>
      <c r="M1593" s="341"/>
      <c r="N1593" s="334"/>
      <c r="O1593" s="394"/>
      <c r="P1593" s="392"/>
      <c r="Q1593" s="363"/>
      <c r="T1593" s="110"/>
      <c r="V1593" s="232"/>
      <c r="W1593" s="269"/>
      <c r="X1593" s="201"/>
      <c r="Y1593" s="269"/>
      <c r="Z1593" s="269"/>
      <c r="AA1593" s="134"/>
      <c r="AB1593" s="269"/>
      <c r="AC1593" s="284"/>
      <c r="AD1593" s="284"/>
      <c r="AE1593" s="269"/>
    </row>
    <row r="1594" spans="2:31">
      <c r="B1594" s="83"/>
      <c r="C1594" s="81"/>
      <c r="D1594" s="83"/>
      <c r="E1594" s="81"/>
      <c r="F1594" s="269"/>
      <c r="G1594" s="48"/>
      <c r="H1594" s="269"/>
      <c r="I1594" s="72"/>
      <c r="J1594" s="330"/>
      <c r="K1594" s="75"/>
      <c r="L1594" s="157"/>
      <c r="M1594" s="341"/>
      <c r="N1594" s="334"/>
      <c r="O1594" s="394"/>
      <c r="P1594" s="392"/>
      <c r="Q1594" s="363"/>
      <c r="T1594" s="110"/>
      <c r="V1594" s="232"/>
      <c r="W1594" s="269"/>
      <c r="X1594" s="201"/>
      <c r="Y1594" s="269"/>
      <c r="Z1594" s="269"/>
      <c r="AA1594" s="134"/>
      <c r="AB1594" s="269"/>
      <c r="AC1594" s="284"/>
      <c r="AD1594" s="284"/>
      <c r="AE1594" s="269"/>
    </row>
    <row r="1595" spans="2:31">
      <c r="B1595" s="83"/>
      <c r="C1595" s="81"/>
      <c r="D1595" s="83"/>
      <c r="E1595" s="81"/>
      <c r="F1595" s="269"/>
      <c r="G1595" s="48"/>
      <c r="H1595" s="269"/>
      <c r="I1595" s="72"/>
      <c r="J1595" s="330"/>
      <c r="K1595" s="75"/>
      <c r="L1595" s="157"/>
      <c r="M1595" s="341"/>
      <c r="N1595" s="334"/>
      <c r="O1595" s="394"/>
      <c r="P1595" s="392"/>
      <c r="Q1595" s="363"/>
      <c r="T1595" s="110"/>
      <c r="V1595" s="232"/>
      <c r="W1595" s="269"/>
      <c r="X1595" s="201"/>
      <c r="Y1595" s="269"/>
      <c r="Z1595" s="269"/>
      <c r="AA1595" s="134"/>
      <c r="AB1595" s="269"/>
      <c r="AC1595" s="284"/>
      <c r="AD1595" s="284"/>
      <c r="AE1595" s="269"/>
    </row>
    <row r="1596" spans="2:31">
      <c r="B1596" s="83"/>
      <c r="C1596" s="81"/>
      <c r="D1596" s="83"/>
      <c r="E1596" s="81"/>
      <c r="F1596" s="269"/>
      <c r="G1596" s="48"/>
      <c r="H1596" s="269"/>
      <c r="I1596" s="72"/>
      <c r="J1596" s="330"/>
      <c r="K1596" s="75"/>
      <c r="L1596" s="157"/>
      <c r="M1596" s="341"/>
      <c r="N1596" s="334"/>
      <c r="O1596" s="394"/>
      <c r="P1596" s="392"/>
      <c r="Q1596" s="363"/>
      <c r="T1596" s="110"/>
      <c r="V1596" s="232"/>
      <c r="W1596" s="269"/>
      <c r="X1596" s="201"/>
      <c r="Y1596" s="269"/>
      <c r="Z1596" s="269"/>
      <c r="AA1596" s="134"/>
      <c r="AB1596" s="269"/>
      <c r="AC1596" s="284"/>
      <c r="AD1596" s="284"/>
      <c r="AE1596" s="269"/>
    </row>
    <row r="1597" spans="2:31">
      <c r="B1597" s="83"/>
      <c r="C1597" s="81"/>
      <c r="D1597" s="83"/>
      <c r="E1597" s="81"/>
      <c r="F1597" s="269"/>
      <c r="G1597" s="48"/>
      <c r="H1597" s="269"/>
      <c r="I1597" s="72"/>
      <c r="J1597" s="330"/>
      <c r="K1597" s="75"/>
      <c r="L1597" s="157"/>
      <c r="M1597" s="341"/>
      <c r="N1597" s="334"/>
      <c r="O1597" s="394"/>
      <c r="P1597" s="392"/>
      <c r="Q1597" s="363"/>
      <c r="T1597" s="110"/>
      <c r="V1597" s="232"/>
      <c r="W1597" s="269"/>
      <c r="X1597" s="201"/>
      <c r="Y1597" s="269"/>
      <c r="Z1597" s="269"/>
      <c r="AA1597" s="134"/>
      <c r="AB1597" s="269"/>
      <c r="AC1597" s="284"/>
      <c r="AD1597" s="284"/>
      <c r="AE1597" s="269"/>
    </row>
    <row r="1598" spans="2:31">
      <c r="B1598" s="83"/>
      <c r="C1598" s="81"/>
      <c r="D1598" s="83"/>
      <c r="E1598" s="81"/>
      <c r="F1598" s="269"/>
      <c r="G1598" s="48"/>
      <c r="H1598" s="269"/>
      <c r="I1598" s="72"/>
      <c r="J1598" s="330"/>
      <c r="K1598" s="75"/>
      <c r="L1598" s="157"/>
      <c r="M1598" s="341"/>
      <c r="N1598" s="334"/>
      <c r="O1598" s="394"/>
      <c r="P1598" s="392"/>
      <c r="Q1598" s="363"/>
      <c r="T1598" s="110"/>
      <c r="V1598" s="232"/>
      <c r="W1598" s="269"/>
      <c r="X1598" s="201"/>
      <c r="Y1598" s="269"/>
      <c r="Z1598" s="269"/>
      <c r="AA1598" s="134"/>
      <c r="AB1598" s="269"/>
      <c r="AC1598" s="284"/>
      <c r="AD1598" s="284"/>
      <c r="AE1598" s="269"/>
    </row>
    <row r="1599" spans="2:31">
      <c r="B1599" s="83"/>
      <c r="C1599" s="81"/>
      <c r="D1599" s="83"/>
      <c r="E1599" s="81"/>
      <c r="F1599" s="269"/>
      <c r="G1599" s="48"/>
      <c r="H1599" s="269"/>
      <c r="I1599" s="72"/>
      <c r="J1599" s="330"/>
      <c r="K1599" s="75"/>
      <c r="L1599" s="157"/>
      <c r="M1599" s="341"/>
      <c r="N1599" s="334"/>
      <c r="O1599" s="394"/>
      <c r="P1599" s="392"/>
      <c r="Q1599" s="363"/>
      <c r="T1599" s="110"/>
      <c r="V1599" s="232"/>
      <c r="W1599" s="269"/>
      <c r="X1599" s="201"/>
      <c r="Y1599" s="269"/>
      <c r="Z1599" s="269"/>
      <c r="AA1599" s="134"/>
      <c r="AB1599" s="269"/>
      <c r="AC1599" s="284"/>
      <c r="AD1599" s="284"/>
      <c r="AE1599" s="269"/>
    </row>
    <row r="1600" spans="2:31">
      <c r="B1600" s="83"/>
      <c r="C1600" s="81"/>
      <c r="D1600" s="83"/>
      <c r="E1600" s="81"/>
      <c r="F1600" s="269"/>
      <c r="G1600" s="48"/>
      <c r="H1600" s="269"/>
      <c r="I1600" s="72"/>
      <c r="J1600" s="330"/>
      <c r="K1600" s="75"/>
      <c r="L1600" s="157"/>
      <c r="M1600" s="341"/>
      <c r="N1600" s="334"/>
      <c r="O1600" s="394"/>
      <c r="P1600" s="392"/>
      <c r="Q1600" s="363"/>
      <c r="T1600" s="110"/>
      <c r="V1600" s="232"/>
      <c r="W1600" s="269"/>
      <c r="X1600" s="201"/>
      <c r="Y1600" s="269"/>
      <c r="Z1600" s="269"/>
      <c r="AA1600" s="134"/>
      <c r="AB1600" s="269"/>
      <c r="AC1600" s="284"/>
      <c r="AD1600" s="284"/>
      <c r="AE1600" s="269"/>
    </row>
    <row r="1601" spans="2:31">
      <c r="B1601" s="83"/>
      <c r="C1601" s="81"/>
      <c r="D1601" s="83"/>
      <c r="E1601" s="81"/>
      <c r="F1601" s="269"/>
      <c r="G1601" s="48"/>
      <c r="H1601" s="269"/>
      <c r="I1601" s="72"/>
      <c r="J1601" s="330"/>
      <c r="K1601" s="75"/>
      <c r="L1601" s="157"/>
      <c r="M1601" s="341"/>
      <c r="N1601" s="334"/>
      <c r="O1601" s="394"/>
      <c r="P1601" s="392"/>
      <c r="Q1601" s="363"/>
      <c r="T1601" s="110"/>
      <c r="V1601" s="232"/>
      <c r="W1601" s="269"/>
      <c r="X1601" s="201"/>
      <c r="Y1601" s="269"/>
      <c r="Z1601" s="269"/>
      <c r="AA1601" s="134"/>
      <c r="AB1601" s="269"/>
      <c r="AC1601" s="284"/>
      <c r="AD1601" s="284"/>
      <c r="AE1601" s="269"/>
    </row>
    <row r="1602" spans="2:31">
      <c r="B1602" s="83"/>
      <c r="C1602" s="81"/>
      <c r="D1602" s="83"/>
      <c r="E1602" s="81"/>
      <c r="F1602" s="269"/>
      <c r="G1602" s="48"/>
      <c r="H1602" s="269"/>
      <c r="I1602" s="72"/>
      <c r="J1602" s="330"/>
      <c r="K1602" s="75"/>
      <c r="L1602" s="157"/>
      <c r="M1602" s="341"/>
      <c r="N1602" s="334"/>
      <c r="O1602" s="394"/>
      <c r="P1602" s="392"/>
      <c r="Q1602" s="363"/>
      <c r="T1602" s="110"/>
      <c r="V1602" s="232"/>
      <c r="W1602" s="269"/>
      <c r="X1602" s="201"/>
      <c r="Y1602" s="269"/>
      <c r="Z1602" s="269"/>
      <c r="AA1602" s="134"/>
      <c r="AB1602" s="269"/>
      <c r="AC1602" s="284"/>
      <c r="AD1602" s="284"/>
      <c r="AE1602" s="269"/>
    </row>
    <row r="1603" spans="2:31">
      <c r="B1603" s="83"/>
      <c r="C1603" s="81"/>
      <c r="D1603" s="83"/>
      <c r="E1603" s="81"/>
      <c r="F1603" s="269"/>
      <c r="G1603" s="48"/>
      <c r="H1603" s="269"/>
      <c r="I1603" s="72"/>
      <c r="J1603" s="330"/>
      <c r="K1603" s="75"/>
      <c r="L1603" s="157"/>
      <c r="M1603" s="341"/>
      <c r="N1603" s="334"/>
      <c r="O1603" s="394"/>
      <c r="P1603" s="392"/>
      <c r="Q1603" s="363"/>
      <c r="T1603" s="110"/>
      <c r="V1603" s="232"/>
      <c r="W1603" s="269"/>
      <c r="X1603" s="201"/>
      <c r="Y1603" s="269"/>
      <c r="Z1603" s="269"/>
      <c r="AA1603" s="134"/>
      <c r="AB1603" s="269"/>
      <c r="AC1603" s="284"/>
      <c r="AD1603" s="284"/>
      <c r="AE1603" s="269"/>
    </row>
    <row r="1604" spans="2:31">
      <c r="B1604" s="83"/>
      <c r="C1604" s="81"/>
      <c r="D1604" s="83"/>
      <c r="E1604" s="81"/>
      <c r="F1604" s="269"/>
      <c r="G1604" s="48"/>
      <c r="H1604" s="269"/>
      <c r="I1604" s="72"/>
      <c r="J1604" s="330"/>
      <c r="K1604" s="75"/>
      <c r="L1604" s="157"/>
      <c r="M1604" s="341"/>
      <c r="N1604" s="334"/>
      <c r="O1604" s="394"/>
      <c r="P1604" s="392"/>
      <c r="Q1604" s="363"/>
      <c r="T1604" s="110"/>
      <c r="V1604" s="232"/>
      <c r="W1604" s="269"/>
      <c r="X1604" s="201"/>
      <c r="Y1604" s="269"/>
      <c r="Z1604" s="269"/>
      <c r="AA1604" s="134"/>
      <c r="AB1604" s="269"/>
      <c r="AC1604" s="284"/>
      <c r="AD1604" s="284"/>
      <c r="AE1604" s="269"/>
    </row>
    <row r="1605" spans="2:31">
      <c r="B1605" s="83"/>
      <c r="C1605" s="81"/>
      <c r="D1605" s="83"/>
      <c r="E1605" s="81"/>
      <c r="F1605" s="269"/>
      <c r="G1605" s="48"/>
      <c r="H1605" s="269"/>
      <c r="I1605" s="72"/>
      <c r="J1605" s="330"/>
      <c r="K1605" s="75"/>
      <c r="L1605" s="157"/>
      <c r="M1605" s="341"/>
      <c r="N1605" s="334"/>
      <c r="O1605" s="394"/>
      <c r="P1605" s="392"/>
      <c r="Q1605" s="363"/>
      <c r="T1605" s="110"/>
      <c r="V1605" s="232"/>
      <c r="W1605" s="269"/>
      <c r="X1605" s="201"/>
      <c r="Y1605" s="269"/>
      <c r="Z1605" s="269"/>
      <c r="AA1605" s="134"/>
      <c r="AB1605" s="269"/>
      <c r="AC1605" s="284"/>
      <c r="AD1605" s="284"/>
      <c r="AE1605" s="269"/>
    </row>
    <row r="1606" spans="2:31">
      <c r="B1606" s="83"/>
      <c r="C1606" s="81"/>
      <c r="D1606" s="83"/>
      <c r="E1606" s="81"/>
      <c r="F1606" s="269"/>
      <c r="G1606" s="48"/>
      <c r="H1606" s="269"/>
      <c r="I1606" s="72"/>
      <c r="J1606" s="330"/>
      <c r="K1606" s="75"/>
      <c r="L1606" s="157"/>
      <c r="M1606" s="341"/>
      <c r="N1606" s="334"/>
      <c r="O1606" s="394"/>
      <c r="P1606" s="392"/>
      <c r="Q1606" s="363"/>
      <c r="T1606" s="110"/>
      <c r="V1606" s="232"/>
      <c r="W1606" s="269"/>
      <c r="X1606" s="201"/>
      <c r="Y1606" s="269"/>
      <c r="Z1606" s="269"/>
      <c r="AA1606" s="134"/>
      <c r="AB1606" s="269"/>
      <c r="AC1606" s="284"/>
      <c r="AD1606" s="284"/>
      <c r="AE1606" s="269"/>
    </row>
    <row r="1607" spans="2:31">
      <c r="B1607" s="83"/>
      <c r="C1607" s="81"/>
      <c r="D1607" s="83"/>
      <c r="E1607" s="81"/>
      <c r="F1607" s="269"/>
      <c r="G1607" s="48"/>
      <c r="H1607" s="269"/>
      <c r="I1607" s="72"/>
      <c r="J1607" s="330"/>
      <c r="K1607" s="75"/>
      <c r="L1607" s="157"/>
      <c r="M1607" s="341"/>
      <c r="N1607" s="334"/>
      <c r="O1607" s="394"/>
      <c r="P1607" s="392"/>
      <c r="Q1607" s="363"/>
      <c r="T1607" s="110"/>
      <c r="V1607" s="232"/>
      <c r="W1607" s="269"/>
      <c r="X1607" s="201"/>
      <c r="Y1607" s="269"/>
      <c r="Z1607" s="269"/>
      <c r="AA1607" s="134"/>
      <c r="AB1607" s="269"/>
      <c r="AC1607" s="284"/>
      <c r="AD1607" s="284"/>
      <c r="AE1607" s="269"/>
    </row>
    <row r="1608" spans="2:31">
      <c r="B1608" s="83"/>
      <c r="C1608" s="81"/>
      <c r="D1608" s="83"/>
      <c r="E1608" s="81"/>
      <c r="F1608" s="269"/>
      <c r="G1608" s="48"/>
      <c r="H1608" s="269"/>
      <c r="I1608" s="72"/>
      <c r="J1608" s="330"/>
      <c r="K1608" s="75"/>
      <c r="L1608" s="157"/>
      <c r="M1608" s="341"/>
      <c r="N1608" s="334"/>
      <c r="O1608" s="394"/>
      <c r="P1608" s="392"/>
      <c r="Q1608" s="363"/>
      <c r="T1608" s="110"/>
      <c r="V1608" s="232"/>
      <c r="W1608" s="269"/>
      <c r="X1608" s="201"/>
      <c r="Y1608" s="269"/>
      <c r="Z1608" s="269"/>
      <c r="AA1608" s="134"/>
      <c r="AB1608" s="269"/>
      <c r="AC1608" s="284"/>
      <c r="AD1608" s="284"/>
      <c r="AE1608" s="269"/>
    </row>
    <row r="1609" spans="2:31">
      <c r="B1609" s="83"/>
      <c r="C1609" s="81"/>
      <c r="D1609" s="83"/>
      <c r="E1609" s="81"/>
      <c r="F1609" s="269"/>
      <c r="G1609" s="48"/>
      <c r="H1609" s="269"/>
      <c r="I1609" s="72"/>
      <c r="J1609" s="330"/>
      <c r="K1609" s="75"/>
      <c r="L1609" s="157"/>
      <c r="M1609" s="341"/>
      <c r="N1609" s="334"/>
      <c r="O1609" s="394"/>
      <c r="P1609" s="392"/>
      <c r="Q1609" s="363"/>
      <c r="T1609" s="110"/>
      <c r="V1609" s="232"/>
      <c r="W1609" s="269"/>
      <c r="X1609" s="201"/>
      <c r="Y1609" s="269"/>
      <c r="Z1609" s="269"/>
      <c r="AA1609" s="134"/>
      <c r="AB1609" s="269"/>
      <c r="AC1609" s="284"/>
      <c r="AD1609" s="284"/>
      <c r="AE1609" s="269"/>
    </row>
    <row r="1610" spans="2:31">
      <c r="B1610" s="83"/>
      <c r="C1610" s="81"/>
      <c r="D1610" s="83"/>
      <c r="E1610" s="81"/>
      <c r="F1610" s="269"/>
      <c r="G1610" s="48"/>
      <c r="H1610" s="269"/>
      <c r="I1610" s="72"/>
      <c r="J1610" s="330"/>
      <c r="K1610" s="75"/>
      <c r="L1610" s="157"/>
      <c r="M1610" s="341"/>
      <c r="N1610" s="334"/>
      <c r="O1610" s="394"/>
      <c r="P1610" s="392"/>
      <c r="Q1610" s="363"/>
      <c r="T1610" s="110"/>
      <c r="V1610" s="232"/>
      <c r="W1610" s="269"/>
      <c r="X1610" s="201"/>
      <c r="Y1610" s="269"/>
      <c r="Z1610" s="269"/>
      <c r="AA1610" s="134"/>
      <c r="AB1610" s="269"/>
      <c r="AC1610" s="284"/>
      <c r="AD1610" s="284"/>
      <c r="AE1610" s="269"/>
    </row>
    <row r="1611" spans="2:31">
      <c r="B1611" s="83"/>
      <c r="C1611" s="81"/>
      <c r="D1611" s="83"/>
      <c r="E1611" s="81"/>
      <c r="F1611" s="269"/>
      <c r="G1611" s="48"/>
      <c r="H1611" s="269"/>
      <c r="I1611" s="72"/>
      <c r="J1611" s="330"/>
      <c r="K1611" s="75"/>
      <c r="L1611" s="157"/>
      <c r="M1611" s="341"/>
      <c r="N1611" s="334"/>
      <c r="O1611" s="394"/>
      <c r="P1611" s="392"/>
      <c r="Q1611" s="363"/>
      <c r="T1611" s="110"/>
      <c r="V1611" s="232"/>
      <c r="W1611" s="269"/>
      <c r="X1611" s="201"/>
      <c r="Y1611" s="269"/>
      <c r="Z1611" s="269"/>
      <c r="AA1611" s="134"/>
      <c r="AB1611" s="269"/>
      <c r="AC1611" s="284"/>
      <c r="AD1611" s="284"/>
      <c r="AE1611" s="269"/>
    </row>
    <row r="1612" spans="2:31">
      <c r="B1612" s="83"/>
      <c r="C1612" s="81"/>
      <c r="D1612" s="83"/>
      <c r="E1612" s="81"/>
      <c r="F1612" s="269"/>
      <c r="G1612" s="48"/>
      <c r="H1612" s="269"/>
      <c r="I1612" s="72"/>
      <c r="J1612" s="330"/>
      <c r="K1612" s="75"/>
      <c r="L1612" s="157"/>
      <c r="M1612" s="341"/>
      <c r="N1612" s="334"/>
      <c r="O1612" s="394"/>
      <c r="P1612" s="392"/>
      <c r="Q1612" s="363"/>
      <c r="T1612" s="110"/>
      <c r="V1612" s="232"/>
      <c r="W1612" s="269"/>
      <c r="X1612" s="201"/>
      <c r="Y1612" s="269"/>
      <c r="Z1612" s="269"/>
      <c r="AA1612" s="134"/>
      <c r="AB1612" s="269"/>
      <c r="AC1612" s="284"/>
      <c r="AD1612" s="284"/>
      <c r="AE1612" s="269"/>
    </row>
    <row r="1613" spans="2:31">
      <c r="B1613" s="83"/>
      <c r="C1613" s="81"/>
      <c r="D1613" s="83"/>
      <c r="E1613" s="81"/>
      <c r="F1613" s="269"/>
      <c r="G1613" s="48"/>
      <c r="H1613" s="269"/>
      <c r="I1613" s="72"/>
      <c r="J1613" s="330"/>
      <c r="K1613" s="75"/>
      <c r="L1613" s="157"/>
      <c r="M1613" s="341"/>
      <c r="N1613" s="334"/>
      <c r="O1613" s="394"/>
      <c r="P1613" s="392"/>
      <c r="Q1613" s="363"/>
      <c r="T1613" s="110"/>
      <c r="V1613" s="232"/>
      <c r="W1613" s="269"/>
      <c r="X1613" s="201"/>
      <c r="Y1613" s="269"/>
      <c r="Z1613" s="269"/>
      <c r="AA1613" s="134"/>
      <c r="AB1613" s="269"/>
      <c r="AC1613" s="284"/>
      <c r="AD1613" s="284"/>
      <c r="AE1613" s="269"/>
    </row>
    <row r="1614" spans="2:31">
      <c r="B1614" s="83"/>
      <c r="C1614" s="81"/>
      <c r="D1614" s="83"/>
      <c r="E1614" s="81"/>
      <c r="F1614" s="269"/>
      <c r="G1614" s="48"/>
      <c r="H1614" s="269"/>
      <c r="I1614" s="72"/>
      <c r="J1614" s="330"/>
      <c r="K1614" s="75"/>
      <c r="L1614" s="157"/>
      <c r="M1614" s="341"/>
      <c r="N1614" s="334"/>
      <c r="O1614" s="394"/>
      <c r="P1614" s="392"/>
      <c r="Q1614" s="363"/>
      <c r="T1614" s="110"/>
      <c r="V1614" s="232"/>
      <c r="W1614" s="269"/>
      <c r="X1614" s="201"/>
      <c r="Y1614" s="269"/>
      <c r="Z1614" s="269"/>
      <c r="AA1614" s="134"/>
      <c r="AB1614" s="269"/>
      <c r="AC1614" s="284"/>
      <c r="AD1614" s="284"/>
      <c r="AE1614" s="269"/>
    </row>
    <row r="1615" spans="2:31">
      <c r="B1615" s="83"/>
      <c r="C1615" s="81"/>
      <c r="D1615" s="83"/>
      <c r="E1615" s="81"/>
      <c r="F1615" s="269"/>
      <c r="G1615" s="48"/>
      <c r="H1615" s="269"/>
      <c r="I1615" s="72"/>
      <c r="J1615" s="330"/>
      <c r="K1615" s="75"/>
      <c r="L1615" s="157"/>
      <c r="M1615" s="341"/>
      <c r="N1615" s="334"/>
      <c r="O1615" s="394"/>
      <c r="P1615" s="392"/>
      <c r="Q1615" s="363"/>
      <c r="T1615" s="110"/>
      <c r="V1615" s="232"/>
      <c r="W1615" s="269"/>
      <c r="X1615" s="201"/>
      <c r="Y1615" s="269"/>
      <c r="Z1615" s="269"/>
      <c r="AA1615" s="134"/>
      <c r="AB1615" s="269"/>
      <c r="AC1615" s="284"/>
      <c r="AD1615" s="284"/>
      <c r="AE1615" s="269"/>
    </row>
    <row r="1616" spans="2:31">
      <c r="B1616" s="83"/>
      <c r="C1616" s="81"/>
      <c r="D1616" s="83"/>
      <c r="E1616" s="81"/>
      <c r="F1616" s="269"/>
      <c r="G1616" s="48"/>
      <c r="H1616" s="269"/>
      <c r="I1616" s="72"/>
      <c r="J1616" s="330"/>
      <c r="K1616" s="75"/>
      <c r="L1616" s="157"/>
      <c r="M1616" s="341"/>
      <c r="N1616" s="334"/>
      <c r="O1616" s="394"/>
      <c r="P1616" s="392"/>
      <c r="Q1616" s="363"/>
      <c r="T1616" s="110"/>
      <c r="V1616" s="232"/>
      <c r="W1616" s="269"/>
      <c r="X1616" s="201"/>
      <c r="Y1616" s="269"/>
      <c r="Z1616" s="269"/>
      <c r="AA1616" s="134"/>
      <c r="AB1616" s="269"/>
      <c r="AC1616" s="284"/>
      <c r="AD1616" s="284"/>
      <c r="AE1616" s="269"/>
    </row>
    <row r="1617" spans="2:31">
      <c r="B1617" s="83"/>
      <c r="C1617" s="81"/>
      <c r="D1617" s="83"/>
      <c r="E1617" s="81"/>
      <c r="F1617" s="269"/>
      <c r="G1617" s="48"/>
      <c r="H1617" s="269"/>
      <c r="I1617" s="72"/>
      <c r="J1617" s="330"/>
      <c r="K1617" s="75"/>
      <c r="L1617" s="157"/>
      <c r="M1617" s="341"/>
      <c r="N1617" s="334"/>
      <c r="O1617" s="394"/>
      <c r="P1617" s="392"/>
      <c r="Q1617" s="363"/>
      <c r="T1617" s="110"/>
      <c r="V1617" s="232"/>
      <c r="W1617" s="269"/>
      <c r="X1617" s="201"/>
      <c r="Y1617" s="269"/>
      <c r="Z1617" s="269"/>
      <c r="AA1617" s="134"/>
      <c r="AB1617" s="269"/>
      <c r="AC1617" s="284"/>
      <c r="AD1617" s="284"/>
      <c r="AE1617" s="269"/>
    </row>
    <row r="1618" spans="2:31">
      <c r="B1618" s="83"/>
      <c r="C1618" s="81"/>
      <c r="D1618" s="83"/>
      <c r="E1618" s="81"/>
      <c r="F1618" s="269"/>
      <c r="G1618" s="48"/>
      <c r="H1618" s="269"/>
      <c r="I1618" s="72"/>
      <c r="J1618" s="330"/>
      <c r="K1618" s="75"/>
      <c r="L1618" s="157"/>
      <c r="M1618" s="341"/>
      <c r="N1618" s="334"/>
      <c r="O1618" s="394"/>
      <c r="P1618" s="392"/>
      <c r="Q1618" s="363"/>
      <c r="T1618" s="110"/>
      <c r="V1618" s="232"/>
      <c r="W1618" s="269"/>
      <c r="X1618" s="201"/>
      <c r="Y1618" s="269"/>
      <c r="Z1618" s="269"/>
      <c r="AA1618" s="134"/>
      <c r="AB1618" s="269"/>
      <c r="AC1618" s="284"/>
      <c r="AD1618" s="284"/>
      <c r="AE1618" s="269"/>
    </row>
    <row r="1619" spans="2:31">
      <c r="B1619" s="83"/>
      <c r="C1619" s="81"/>
      <c r="D1619" s="83"/>
      <c r="E1619" s="81"/>
      <c r="F1619" s="269"/>
      <c r="G1619" s="48"/>
      <c r="H1619" s="269"/>
      <c r="I1619" s="72"/>
      <c r="J1619" s="330"/>
      <c r="K1619" s="75"/>
      <c r="L1619" s="157"/>
      <c r="M1619" s="341"/>
      <c r="N1619" s="334"/>
      <c r="O1619" s="394"/>
      <c r="P1619" s="392"/>
      <c r="Q1619" s="363"/>
      <c r="T1619" s="110"/>
      <c r="V1619" s="232"/>
      <c r="W1619" s="269"/>
      <c r="X1619" s="201"/>
      <c r="Y1619" s="269"/>
      <c r="Z1619" s="269"/>
      <c r="AA1619" s="134"/>
      <c r="AB1619" s="269"/>
      <c r="AC1619" s="284"/>
      <c r="AD1619" s="284"/>
      <c r="AE1619" s="269"/>
    </row>
    <row r="1620" spans="2:31">
      <c r="B1620" s="83"/>
      <c r="C1620" s="81"/>
      <c r="D1620" s="83"/>
      <c r="E1620" s="81"/>
      <c r="F1620" s="269"/>
      <c r="G1620" s="48"/>
      <c r="H1620" s="269"/>
      <c r="I1620" s="72"/>
      <c r="J1620" s="330"/>
      <c r="K1620" s="75"/>
      <c r="L1620" s="157"/>
      <c r="M1620" s="341"/>
      <c r="N1620" s="334"/>
      <c r="O1620" s="394"/>
      <c r="P1620" s="392"/>
      <c r="Q1620" s="363"/>
      <c r="T1620" s="110"/>
      <c r="V1620" s="232"/>
      <c r="W1620" s="269"/>
      <c r="X1620" s="201"/>
      <c r="Y1620" s="269"/>
      <c r="Z1620" s="269"/>
      <c r="AA1620" s="134"/>
      <c r="AB1620" s="269"/>
      <c r="AC1620" s="284"/>
      <c r="AD1620" s="284"/>
      <c r="AE1620" s="269"/>
    </row>
    <row r="1621" spans="2:31">
      <c r="B1621" s="83"/>
      <c r="C1621" s="81"/>
      <c r="D1621" s="83"/>
      <c r="E1621" s="81"/>
      <c r="F1621" s="269"/>
      <c r="G1621" s="48"/>
      <c r="H1621" s="269"/>
      <c r="I1621" s="72"/>
      <c r="J1621" s="330"/>
      <c r="K1621" s="75"/>
      <c r="L1621" s="157"/>
      <c r="M1621" s="341"/>
      <c r="N1621" s="334"/>
      <c r="O1621" s="394"/>
      <c r="P1621" s="392"/>
      <c r="Q1621" s="363"/>
      <c r="T1621" s="110"/>
      <c r="V1621" s="232"/>
      <c r="W1621" s="269"/>
      <c r="X1621" s="201"/>
      <c r="Y1621" s="269"/>
      <c r="Z1621" s="269"/>
      <c r="AA1621" s="134"/>
      <c r="AB1621" s="269"/>
      <c r="AC1621" s="284"/>
      <c r="AD1621" s="284"/>
      <c r="AE1621" s="269"/>
    </row>
    <row r="1622" spans="2:31">
      <c r="B1622" s="83"/>
      <c r="C1622" s="81"/>
      <c r="D1622" s="83"/>
      <c r="E1622" s="81"/>
      <c r="F1622" s="269"/>
      <c r="G1622" s="48"/>
      <c r="H1622" s="269"/>
      <c r="I1622" s="72"/>
      <c r="J1622" s="330"/>
      <c r="K1622" s="75"/>
      <c r="L1622" s="157"/>
      <c r="M1622" s="341"/>
      <c r="N1622" s="334"/>
      <c r="O1622" s="394"/>
      <c r="P1622" s="392"/>
      <c r="Q1622" s="363"/>
      <c r="T1622" s="110"/>
      <c r="V1622" s="232"/>
      <c r="W1622" s="269"/>
      <c r="X1622" s="201"/>
      <c r="Y1622" s="269"/>
      <c r="Z1622" s="269"/>
      <c r="AA1622" s="134"/>
      <c r="AB1622" s="269"/>
      <c r="AC1622" s="284"/>
      <c r="AD1622" s="284"/>
      <c r="AE1622" s="269"/>
    </row>
    <row r="1623" spans="2:31">
      <c r="B1623" s="83"/>
      <c r="C1623" s="81"/>
      <c r="D1623" s="83"/>
      <c r="E1623" s="81"/>
      <c r="F1623" s="269"/>
      <c r="G1623" s="48"/>
      <c r="H1623" s="269"/>
      <c r="I1623" s="72"/>
      <c r="J1623" s="330"/>
      <c r="K1623" s="75"/>
      <c r="L1623" s="157"/>
      <c r="M1623" s="341"/>
      <c r="N1623" s="334"/>
      <c r="O1623" s="394"/>
      <c r="P1623" s="392"/>
      <c r="Q1623" s="363"/>
      <c r="T1623" s="110"/>
      <c r="V1623" s="232"/>
      <c r="W1623" s="269"/>
      <c r="X1623" s="201"/>
      <c r="Y1623" s="269"/>
      <c r="Z1623" s="269"/>
      <c r="AA1623" s="134"/>
      <c r="AB1623" s="269"/>
      <c r="AC1623" s="284"/>
      <c r="AD1623" s="284"/>
      <c r="AE1623" s="269"/>
    </row>
    <row r="1624" spans="2:31">
      <c r="B1624" s="83"/>
      <c r="C1624" s="81"/>
      <c r="D1624" s="83"/>
      <c r="E1624" s="81"/>
      <c r="F1624" s="269"/>
      <c r="G1624" s="48"/>
      <c r="H1624" s="269"/>
      <c r="I1624" s="72"/>
      <c r="J1624" s="330"/>
      <c r="K1624" s="75"/>
      <c r="L1624" s="157"/>
      <c r="M1624" s="341"/>
      <c r="N1624" s="334"/>
      <c r="O1624" s="394"/>
      <c r="P1624" s="392"/>
      <c r="Q1624" s="363"/>
      <c r="T1624" s="110"/>
      <c r="V1624" s="232"/>
      <c r="W1624" s="269"/>
      <c r="X1624" s="201"/>
      <c r="Y1624" s="269"/>
      <c r="Z1624" s="269"/>
      <c r="AA1624" s="134"/>
      <c r="AB1624" s="269"/>
      <c r="AC1624" s="284"/>
      <c r="AD1624" s="284"/>
      <c r="AE1624" s="269"/>
    </row>
    <row r="1625" spans="2:31">
      <c r="B1625" s="83"/>
      <c r="C1625" s="81"/>
      <c r="D1625" s="83"/>
      <c r="E1625" s="81"/>
      <c r="F1625" s="269"/>
      <c r="G1625" s="48"/>
      <c r="H1625" s="269"/>
      <c r="I1625" s="72"/>
      <c r="J1625" s="330"/>
      <c r="K1625" s="75"/>
      <c r="L1625" s="157"/>
      <c r="M1625" s="341"/>
      <c r="N1625" s="334"/>
      <c r="O1625" s="394"/>
      <c r="P1625" s="392"/>
      <c r="Q1625" s="363"/>
      <c r="T1625" s="110"/>
      <c r="V1625" s="232"/>
      <c r="W1625" s="269"/>
      <c r="X1625" s="201"/>
      <c r="Y1625" s="269"/>
      <c r="Z1625" s="269"/>
      <c r="AA1625" s="134"/>
      <c r="AB1625" s="269"/>
      <c r="AC1625" s="284"/>
      <c r="AD1625" s="284"/>
      <c r="AE1625" s="269"/>
    </row>
    <row r="1626" spans="2:31">
      <c r="B1626" s="83"/>
      <c r="C1626" s="81"/>
      <c r="D1626" s="83"/>
      <c r="E1626" s="81"/>
      <c r="F1626" s="269"/>
      <c r="G1626" s="48"/>
      <c r="H1626" s="269"/>
      <c r="I1626" s="72"/>
      <c r="J1626" s="330"/>
      <c r="K1626" s="75"/>
      <c r="L1626" s="157"/>
      <c r="M1626" s="341"/>
      <c r="N1626" s="334"/>
      <c r="O1626" s="394"/>
      <c r="P1626" s="392"/>
      <c r="Q1626" s="363"/>
      <c r="T1626" s="110"/>
      <c r="V1626" s="232"/>
      <c r="W1626" s="269"/>
      <c r="X1626" s="201"/>
      <c r="Y1626" s="269"/>
      <c r="Z1626" s="269"/>
      <c r="AA1626" s="134"/>
      <c r="AB1626" s="269"/>
      <c r="AC1626" s="284"/>
      <c r="AD1626" s="284"/>
      <c r="AE1626" s="269"/>
    </row>
    <row r="1627" spans="2:31">
      <c r="B1627" s="83"/>
      <c r="C1627" s="81"/>
      <c r="D1627" s="83"/>
      <c r="E1627" s="81"/>
      <c r="F1627" s="269"/>
      <c r="G1627" s="48"/>
      <c r="H1627" s="269"/>
      <c r="I1627" s="72"/>
      <c r="J1627" s="330"/>
      <c r="K1627" s="75"/>
      <c r="L1627" s="157"/>
      <c r="M1627" s="341"/>
      <c r="N1627" s="334"/>
      <c r="O1627" s="394"/>
      <c r="P1627" s="392"/>
      <c r="Q1627" s="363"/>
      <c r="T1627" s="110"/>
      <c r="V1627" s="232"/>
      <c r="W1627" s="269"/>
      <c r="X1627" s="201"/>
      <c r="Y1627" s="269"/>
      <c r="Z1627" s="269"/>
      <c r="AA1627" s="134"/>
      <c r="AB1627" s="269"/>
      <c r="AC1627" s="284"/>
      <c r="AD1627" s="284"/>
      <c r="AE1627" s="269"/>
    </row>
    <row r="1628" spans="2:31">
      <c r="B1628" s="83"/>
      <c r="C1628" s="81"/>
      <c r="D1628" s="83"/>
      <c r="E1628" s="81"/>
      <c r="F1628" s="269"/>
      <c r="G1628" s="48"/>
      <c r="H1628" s="269"/>
      <c r="I1628" s="72"/>
      <c r="J1628" s="330"/>
      <c r="K1628" s="75"/>
      <c r="L1628" s="157"/>
      <c r="M1628" s="341"/>
      <c r="N1628" s="334"/>
      <c r="O1628" s="394"/>
      <c r="P1628" s="392"/>
      <c r="Q1628" s="363"/>
      <c r="T1628" s="110"/>
      <c r="V1628" s="232"/>
      <c r="W1628" s="269"/>
      <c r="X1628" s="201"/>
      <c r="Y1628" s="269"/>
      <c r="Z1628" s="269"/>
      <c r="AA1628" s="134"/>
      <c r="AB1628" s="269"/>
      <c r="AC1628" s="284"/>
      <c r="AD1628" s="284"/>
      <c r="AE1628" s="269"/>
    </row>
    <row r="1629" spans="2:31">
      <c r="B1629" s="83"/>
      <c r="C1629" s="81"/>
      <c r="D1629" s="83"/>
      <c r="E1629" s="81"/>
      <c r="F1629" s="269"/>
      <c r="G1629" s="48"/>
      <c r="H1629" s="269"/>
      <c r="I1629" s="72"/>
      <c r="J1629" s="330"/>
      <c r="K1629" s="75"/>
      <c r="L1629" s="157"/>
      <c r="M1629" s="341"/>
      <c r="N1629" s="334"/>
      <c r="O1629" s="394"/>
      <c r="P1629" s="392"/>
      <c r="Q1629" s="363"/>
      <c r="T1629" s="110"/>
      <c r="V1629" s="232"/>
      <c r="W1629" s="269"/>
      <c r="X1629" s="201"/>
      <c r="Y1629" s="269"/>
      <c r="Z1629" s="269"/>
      <c r="AA1629" s="134"/>
      <c r="AB1629" s="269"/>
      <c r="AC1629" s="284"/>
      <c r="AD1629" s="284"/>
      <c r="AE1629" s="269"/>
    </row>
    <row r="1630" spans="2:31">
      <c r="B1630" s="83"/>
      <c r="C1630" s="81"/>
      <c r="D1630" s="83"/>
      <c r="E1630" s="81"/>
      <c r="F1630" s="269"/>
      <c r="G1630" s="48"/>
      <c r="H1630" s="269"/>
      <c r="I1630" s="72"/>
      <c r="J1630" s="330"/>
      <c r="K1630" s="75"/>
      <c r="L1630" s="157"/>
      <c r="M1630" s="341"/>
      <c r="N1630" s="334"/>
      <c r="O1630" s="394"/>
      <c r="P1630" s="392"/>
      <c r="Q1630" s="363"/>
      <c r="T1630" s="110"/>
      <c r="V1630" s="232"/>
      <c r="W1630" s="269"/>
      <c r="X1630" s="201"/>
      <c r="Y1630" s="269"/>
      <c r="Z1630" s="269"/>
      <c r="AA1630" s="134"/>
      <c r="AB1630" s="269"/>
      <c r="AC1630" s="284"/>
      <c r="AD1630" s="284"/>
      <c r="AE1630" s="269"/>
    </row>
    <row r="1631" spans="2:31">
      <c r="B1631" s="83"/>
      <c r="C1631" s="81"/>
      <c r="D1631" s="83"/>
      <c r="E1631" s="81"/>
      <c r="F1631" s="269"/>
      <c r="G1631" s="48"/>
      <c r="H1631" s="269"/>
      <c r="I1631" s="72"/>
      <c r="J1631" s="330"/>
      <c r="K1631" s="75"/>
      <c r="L1631" s="157"/>
      <c r="M1631" s="341"/>
      <c r="N1631" s="334"/>
      <c r="O1631" s="394"/>
      <c r="P1631" s="392"/>
      <c r="Q1631" s="363"/>
      <c r="T1631" s="110"/>
      <c r="V1631" s="232"/>
      <c r="W1631" s="269"/>
      <c r="X1631" s="201"/>
      <c r="Y1631" s="269"/>
      <c r="Z1631" s="269"/>
      <c r="AA1631" s="134"/>
      <c r="AB1631" s="269"/>
      <c r="AC1631" s="284"/>
      <c r="AD1631" s="284"/>
      <c r="AE1631" s="269"/>
    </row>
    <row r="1632" spans="2:31">
      <c r="B1632" s="83"/>
      <c r="C1632" s="81"/>
      <c r="D1632" s="83"/>
      <c r="E1632" s="81"/>
      <c r="F1632" s="269"/>
      <c r="G1632" s="48"/>
      <c r="H1632" s="269"/>
      <c r="I1632" s="72"/>
      <c r="J1632" s="330"/>
      <c r="K1632" s="75"/>
      <c r="L1632" s="157"/>
      <c r="M1632" s="341"/>
      <c r="N1632" s="334"/>
      <c r="O1632" s="394"/>
      <c r="P1632" s="392"/>
      <c r="Q1632" s="363"/>
      <c r="T1632" s="110"/>
      <c r="V1632" s="232"/>
      <c r="W1632" s="269"/>
      <c r="X1632" s="201"/>
      <c r="Y1632" s="269"/>
      <c r="Z1632" s="269"/>
      <c r="AA1632" s="134"/>
      <c r="AB1632" s="269"/>
      <c r="AC1632" s="284"/>
      <c r="AD1632" s="284"/>
      <c r="AE1632" s="269"/>
    </row>
    <row r="1633" spans="2:31">
      <c r="B1633" s="83"/>
      <c r="C1633" s="81"/>
      <c r="D1633" s="83"/>
      <c r="E1633" s="81"/>
      <c r="F1633" s="269"/>
      <c r="G1633" s="48"/>
      <c r="H1633" s="269"/>
      <c r="I1633" s="72"/>
      <c r="J1633" s="330"/>
      <c r="K1633" s="75"/>
      <c r="L1633" s="157"/>
      <c r="M1633" s="341"/>
      <c r="N1633" s="334"/>
      <c r="O1633" s="394"/>
      <c r="P1633" s="392"/>
      <c r="Q1633" s="363"/>
      <c r="T1633" s="110"/>
      <c r="V1633" s="232"/>
      <c r="W1633" s="269"/>
      <c r="X1633" s="201"/>
      <c r="Y1633" s="269"/>
      <c r="Z1633" s="269"/>
      <c r="AA1633" s="134"/>
      <c r="AB1633" s="269"/>
      <c r="AC1633" s="284"/>
      <c r="AD1633" s="284"/>
      <c r="AE1633" s="269"/>
    </row>
    <row r="1634" spans="2:31">
      <c r="B1634" s="83"/>
      <c r="C1634" s="81"/>
      <c r="D1634" s="83"/>
      <c r="E1634" s="81"/>
      <c r="F1634" s="269"/>
      <c r="G1634" s="48"/>
      <c r="H1634" s="269"/>
      <c r="I1634" s="72"/>
      <c r="J1634" s="330"/>
      <c r="K1634" s="75"/>
      <c r="L1634" s="157"/>
      <c r="M1634" s="341"/>
      <c r="N1634" s="334"/>
      <c r="O1634" s="394"/>
      <c r="P1634" s="392"/>
      <c r="Q1634" s="363"/>
      <c r="T1634" s="110"/>
      <c r="V1634" s="232"/>
      <c r="W1634" s="269"/>
      <c r="X1634" s="201"/>
      <c r="Y1634" s="269"/>
      <c r="Z1634" s="269"/>
      <c r="AA1634" s="134"/>
      <c r="AB1634" s="269"/>
      <c r="AC1634" s="284"/>
      <c r="AD1634" s="284"/>
      <c r="AE1634" s="269"/>
    </row>
    <row r="1635" spans="2:31">
      <c r="B1635" s="83"/>
      <c r="C1635" s="81"/>
      <c r="D1635" s="83"/>
      <c r="E1635" s="81"/>
      <c r="F1635" s="269"/>
      <c r="G1635" s="48"/>
      <c r="H1635" s="269"/>
      <c r="I1635" s="72"/>
      <c r="J1635" s="330"/>
      <c r="K1635" s="75"/>
      <c r="L1635" s="157"/>
      <c r="M1635" s="341"/>
      <c r="N1635" s="334"/>
      <c r="O1635" s="394"/>
      <c r="P1635" s="392"/>
      <c r="Q1635" s="363"/>
      <c r="T1635" s="110"/>
      <c r="V1635" s="232"/>
      <c r="W1635" s="269"/>
      <c r="X1635" s="201"/>
      <c r="Y1635" s="269"/>
      <c r="Z1635" s="269"/>
      <c r="AA1635" s="134"/>
      <c r="AB1635" s="269"/>
      <c r="AC1635" s="284"/>
      <c r="AD1635" s="284"/>
      <c r="AE1635" s="269"/>
    </row>
    <row r="1636" spans="2:31">
      <c r="B1636" s="83"/>
      <c r="C1636" s="81"/>
      <c r="D1636" s="83"/>
      <c r="E1636" s="81"/>
      <c r="F1636" s="269"/>
      <c r="G1636" s="48"/>
      <c r="H1636" s="269"/>
      <c r="I1636" s="72"/>
      <c r="J1636" s="330"/>
      <c r="K1636" s="75"/>
      <c r="L1636" s="157"/>
      <c r="M1636" s="341"/>
      <c r="N1636" s="334"/>
      <c r="O1636" s="394"/>
      <c r="P1636" s="392"/>
      <c r="Q1636" s="363"/>
      <c r="T1636" s="110"/>
      <c r="V1636" s="232"/>
      <c r="W1636" s="269"/>
      <c r="X1636" s="201"/>
      <c r="Y1636" s="269"/>
      <c r="Z1636" s="269"/>
      <c r="AA1636" s="134"/>
      <c r="AB1636" s="269"/>
      <c r="AC1636" s="284"/>
      <c r="AD1636" s="284"/>
      <c r="AE1636" s="269"/>
    </row>
    <row r="1637" spans="2:31">
      <c r="B1637" s="83"/>
      <c r="C1637" s="81"/>
      <c r="D1637" s="83"/>
      <c r="E1637" s="81"/>
      <c r="F1637" s="269"/>
      <c r="G1637" s="48"/>
      <c r="H1637" s="269"/>
      <c r="I1637" s="72"/>
      <c r="J1637" s="330"/>
      <c r="K1637" s="75"/>
      <c r="L1637" s="157"/>
      <c r="M1637" s="341"/>
      <c r="N1637" s="334"/>
      <c r="O1637" s="394"/>
      <c r="P1637" s="392"/>
      <c r="Q1637" s="363"/>
      <c r="T1637" s="110"/>
      <c r="V1637" s="232"/>
      <c r="W1637" s="269"/>
      <c r="X1637" s="201"/>
      <c r="Y1637" s="269"/>
      <c r="Z1637" s="269"/>
      <c r="AA1637" s="134"/>
      <c r="AB1637" s="269"/>
      <c r="AC1637" s="284"/>
      <c r="AD1637" s="284"/>
      <c r="AE1637" s="269"/>
    </row>
    <row r="1638" spans="2:31">
      <c r="B1638" s="83"/>
      <c r="C1638" s="81"/>
      <c r="D1638" s="83"/>
      <c r="E1638" s="81"/>
      <c r="F1638" s="269"/>
      <c r="G1638" s="48"/>
      <c r="H1638" s="269"/>
      <c r="I1638" s="72"/>
      <c r="J1638" s="330"/>
      <c r="K1638" s="75"/>
      <c r="L1638" s="157"/>
      <c r="M1638" s="341"/>
      <c r="N1638" s="334"/>
      <c r="O1638" s="394"/>
      <c r="P1638" s="392"/>
      <c r="Q1638" s="363"/>
      <c r="T1638" s="110"/>
      <c r="V1638" s="232"/>
      <c r="W1638" s="269"/>
      <c r="X1638" s="201"/>
      <c r="Y1638" s="269"/>
      <c r="Z1638" s="269"/>
      <c r="AA1638" s="134"/>
      <c r="AB1638" s="269"/>
      <c r="AC1638" s="284"/>
      <c r="AD1638" s="284"/>
      <c r="AE1638" s="269"/>
    </row>
    <row r="1639" spans="2:31">
      <c r="B1639" s="83"/>
      <c r="C1639" s="81"/>
      <c r="D1639" s="83"/>
      <c r="E1639" s="81"/>
      <c r="F1639" s="269"/>
      <c r="G1639" s="48"/>
      <c r="H1639" s="269"/>
      <c r="I1639" s="72"/>
      <c r="J1639" s="330"/>
      <c r="K1639" s="75"/>
      <c r="L1639" s="157"/>
      <c r="M1639" s="341"/>
      <c r="N1639" s="334"/>
      <c r="O1639" s="394"/>
      <c r="P1639" s="392"/>
      <c r="Q1639" s="363"/>
      <c r="T1639" s="110"/>
      <c r="V1639" s="232"/>
      <c r="W1639" s="269"/>
      <c r="X1639" s="201"/>
      <c r="Y1639" s="269"/>
      <c r="Z1639" s="269"/>
      <c r="AA1639" s="134"/>
      <c r="AB1639" s="269"/>
      <c r="AC1639" s="284"/>
      <c r="AD1639" s="284"/>
      <c r="AE1639" s="269"/>
    </row>
    <row r="1640" spans="2:31">
      <c r="B1640" s="83"/>
      <c r="C1640" s="81"/>
      <c r="D1640" s="83"/>
      <c r="E1640" s="81"/>
      <c r="F1640" s="269"/>
      <c r="G1640" s="48"/>
      <c r="H1640" s="269"/>
      <c r="I1640" s="72"/>
      <c r="J1640" s="330"/>
      <c r="K1640" s="75"/>
      <c r="L1640" s="157"/>
      <c r="M1640" s="341"/>
      <c r="N1640" s="334"/>
      <c r="O1640" s="394"/>
      <c r="P1640" s="392"/>
      <c r="Q1640" s="363"/>
      <c r="T1640" s="110"/>
      <c r="V1640" s="232"/>
      <c r="W1640" s="269"/>
      <c r="X1640" s="201"/>
      <c r="Y1640" s="269"/>
      <c r="Z1640" s="269"/>
      <c r="AA1640" s="134"/>
      <c r="AB1640" s="269"/>
      <c r="AC1640" s="284"/>
      <c r="AD1640" s="284"/>
      <c r="AE1640" s="269"/>
    </row>
    <row r="1641" spans="2:31">
      <c r="B1641" s="83"/>
      <c r="C1641" s="81"/>
      <c r="D1641" s="83"/>
      <c r="E1641" s="81"/>
      <c r="F1641" s="269"/>
      <c r="G1641" s="48"/>
      <c r="H1641" s="269"/>
      <c r="I1641" s="72"/>
      <c r="J1641" s="330"/>
      <c r="K1641" s="75"/>
      <c r="L1641" s="157"/>
      <c r="M1641" s="341"/>
      <c r="N1641" s="334"/>
      <c r="O1641" s="394"/>
      <c r="P1641" s="392"/>
      <c r="Q1641" s="363"/>
      <c r="T1641" s="110"/>
      <c r="V1641" s="232"/>
      <c r="W1641" s="269"/>
      <c r="X1641" s="201"/>
      <c r="Y1641" s="269"/>
      <c r="Z1641" s="269"/>
      <c r="AA1641" s="134"/>
      <c r="AB1641" s="269"/>
      <c r="AC1641" s="284"/>
      <c r="AD1641" s="284"/>
      <c r="AE1641" s="269"/>
    </row>
    <row r="1642" spans="2:31">
      <c r="B1642" s="83"/>
      <c r="C1642" s="81"/>
      <c r="D1642" s="83"/>
      <c r="E1642" s="81"/>
      <c r="F1642" s="269"/>
      <c r="G1642" s="48"/>
      <c r="H1642" s="269"/>
      <c r="I1642" s="72"/>
      <c r="J1642" s="330"/>
      <c r="K1642" s="75"/>
      <c r="L1642" s="157"/>
      <c r="M1642" s="341"/>
      <c r="N1642" s="334"/>
      <c r="O1642" s="394"/>
      <c r="P1642" s="392"/>
      <c r="Q1642" s="363"/>
      <c r="T1642" s="110"/>
      <c r="V1642" s="232"/>
      <c r="W1642" s="269"/>
      <c r="X1642" s="201"/>
      <c r="Y1642" s="269"/>
      <c r="Z1642" s="269"/>
      <c r="AA1642" s="134"/>
      <c r="AB1642" s="269"/>
      <c r="AC1642" s="284"/>
      <c r="AD1642" s="284"/>
      <c r="AE1642" s="269"/>
    </row>
    <row r="1643" spans="2:31">
      <c r="B1643" s="83"/>
      <c r="C1643" s="81"/>
      <c r="D1643" s="83"/>
      <c r="E1643" s="81"/>
      <c r="F1643" s="269"/>
      <c r="G1643" s="48"/>
      <c r="H1643" s="269"/>
      <c r="I1643" s="72"/>
      <c r="J1643" s="330"/>
      <c r="K1643" s="75"/>
      <c r="L1643" s="157"/>
      <c r="M1643" s="341"/>
      <c r="N1643" s="334"/>
      <c r="O1643" s="394"/>
      <c r="P1643" s="392"/>
      <c r="Q1643" s="363"/>
      <c r="T1643" s="110"/>
      <c r="V1643" s="232"/>
      <c r="W1643" s="269"/>
      <c r="X1643" s="201"/>
      <c r="Y1643" s="269"/>
      <c r="Z1643" s="269"/>
      <c r="AA1643" s="134"/>
      <c r="AB1643" s="269"/>
      <c r="AC1643" s="284"/>
      <c r="AD1643" s="284"/>
      <c r="AE1643" s="269"/>
    </row>
    <row r="1644" spans="2:31">
      <c r="B1644" s="83"/>
      <c r="C1644" s="81"/>
      <c r="D1644" s="83"/>
      <c r="E1644" s="81"/>
      <c r="F1644" s="269"/>
      <c r="G1644" s="48"/>
      <c r="H1644" s="269"/>
      <c r="I1644" s="72"/>
      <c r="J1644" s="330"/>
      <c r="K1644" s="75"/>
      <c r="L1644" s="157"/>
      <c r="M1644" s="341"/>
      <c r="N1644" s="334"/>
      <c r="O1644" s="394"/>
      <c r="P1644" s="392"/>
      <c r="Q1644" s="363"/>
      <c r="T1644" s="110"/>
      <c r="V1644" s="232"/>
      <c r="W1644" s="269"/>
      <c r="X1644" s="201"/>
      <c r="Y1644" s="269"/>
      <c r="Z1644" s="269"/>
      <c r="AA1644" s="134"/>
      <c r="AB1644" s="269"/>
      <c r="AC1644" s="284"/>
      <c r="AD1644" s="284"/>
      <c r="AE1644" s="269"/>
    </row>
    <row r="1645" spans="2:31">
      <c r="B1645" s="83"/>
      <c r="C1645" s="81"/>
      <c r="D1645" s="83"/>
      <c r="E1645" s="81"/>
      <c r="F1645" s="269"/>
      <c r="G1645" s="48"/>
      <c r="H1645" s="269"/>
      <c r="I1645" s="72"/>
      <c r="J1645" s="330"/>
      <c r="K1645" s="75"/>
      <c r="L1645" s="157"/>
      <c r="M1645" s="341"/>
      <c r="N1645" s="334"/>
      <c r="O1645" s="394"/>
      <c r="P1645" s="392"/>
      <c r="Q1645" s="363"/>
      <c r="T1645" s="110"/>
      <c r="V1645" s="232"/>
      <c r="W1645" s="269"/>
      <c r="X1645" s="201"/>
      <c r="Y1645" s="269"/>
      <c r="Z1645" s="269"/>
      <c r="AA1645" s="134"/>
      <c r="AB1645" s="269"/>
      <c r="AC1645" s="284"/>
      <c r="AD1645" s="284"/>
      <c r="AE1645" s="269"/>
    </row>
    <row r="1646" spans="2:31">
      <c r="B1646" s="83"/>
      <c r="C1646" s="81"/>
      <c r="D1646" s="83"/>
      <c r="E1646" s="81"/>
      <c r="F1646" s="269"/>
      <c r="G1646" s="48"/>
      <c r="H1646" s="269"/>
      <c r="I1646" s="72"/>
      <c r="J1646" s="330"/>
      <c r="K1646" s="75"/>
      <c r="L1646" s="157"/>
      <c r="M1646" s="341"/>
      <c r="N1646" s="334"/>
      <c r="O1646" s="394"/>
      <c r="P1646" s="392"/>
      <c r="Q1646" s="363"/>
      <c r="T1646" s="110"/>
      <c r="V1646" s="232"/>
      <c r="W1646" s="269"/>
      <c r="X1646" s="201"/>
      <c r="Y1646" s="269"/>
      <c r="Z1646" s="269"/>
      <c r="AA1646" s="134"/>
      <c r="AB1646" s="269"/>
      <c r="AC1646" s="284"/>
      <c r="AD1646" s="284"/>
      <c r="AE1646" s="269"/>
    </row>
    <row r="1647" spans="2:31">
      <c r="B1647" s="83"/>
      <c r="C1647" s="81"/>
      <c r="D1647" s="83"/>
      <c r="E1647" s="81"/>
      <c r="F1647" s="269"/>
      <c r="G1647" s="48"/>
      <c r="H1647" s="269"/>
      <c r="I1647" s="72"/>
      <c r="J1647" s="330"/>
      <c r="K1647" s="75"/>
      <c r="L1647" s="157"/>
      <c r="M1647" s="341"/>
      <c r="N1647" s="334"/>
      <c r="O1647" s="394"/>
      <c r="P1647" s="392"/>
      <c r="Q1647" s="363"/>
      <c r="T1647" s="110"/>
      <c r="V1647" s="232"/>
      <c r="W1647" s="269"/>
      <c r="X1647" s="201"/>
      <c r="Y1647" s="269"/>
      <c r="Z1647" s="269"/>
      <c r="AA1647" s="134"/>
      <c r="AB1647" s="269"/>
      <c r="AC1647" s="284"/>
      <c r="AD1647" s="284"/>
      <c r="AE1647" s="269"/>
    </row>
    <row r="1648" spans="2:31">
      <c r="B1648" s="83"/>
      <c r="C1648" s="81"/>
      <c r="D1648" s="83"/>
      <c r="E1648" s="81"/>
      <c r="F1648" s="269"/>
      <c r="G1648" s="48"/>
      <c r="H1648" s="269"/>
      <c r="I1648" s="72"/>
      <c r="J1648" s="330"/>
      <c r="K1648" s="75"/>
      <c r="L1648" s="157"/>
      <c r="M1648" s="341"/>
      <c r="N1648" s="334"/>
      <c r="O1648" s="394"/>
      <c r="P1648" s="392"/>
      <c r="Q1648" s="363"/>
      <c r="T1648" s="110"/>
      <c r="V1648" s="232"/>
      <c r="W1648" s="269"/>
      <c r="X1648" s="201"/>
      <c r="Y1648" s="269"/>
      <c r="Z1648" s="269"/>
      <c r="AA1648" s="134"/>
      <c r="AB1648" s="269"/>
      <c r="AC1648" s="284"/>
      <c r="AD1648" s="284"/>
      <c r="AE1648" s="269"/>
    </row>
    <row r="1649" spans="2:31">
      <c r="B1649" s="83"/>
      <c r="C1649" s="81"/>
      <c r="D1649" s="83"/>
      <c r="E1649" s="81"/>
      <c r="F1649" s="269"/>
      <c r="G1649" s="48"/>
      <c r="H1649" s="269"/>
      <c r="I1649" s="72"/>
      <c r="J1649" s="330"/>
      <c r="K1649" s="75"/>
      <c r="L1649" s="157"/>
      <c r="M1649" s="341"/>
      <c r="N1649" s="334"/>
      <c r="O1649" s="394"/>
      <c r="P1649" s="392"/>
      <c r="Q1649" s="363"/>
      <c r="T1649" s="110"/>
      <c r="V1649" s="232"/>
      <c r="W1649" s="269"/>
      <c r="X1649" s="201"/>
      <c r="Y1649" s="269"/>
      <c r="Z1649" s="269"/>
      <c r="AA1649" s="134"/>
      <c r="AB1649" s="269"/>
      <c r="AC1649" s="284"/>
      <c r="AD1649" s="284"/>
      <c r="AE1649" s="269"/>
    </row>
    <row r="1650" spans="2:31">
      <c r="B1650" s="83"/>
      <c r="C1650" s="81"/>
      <c r="D1650" s="83"/>
      <c r="E1650" s="81"/>
      <c r="F1650" s="269"/>
      <c r="G1650" s="48"/>
      <c r="H1650" s="269"/>
      <c r="I1650" s="72"/>
      <c r="J1650" s="330"/>
      <c r="K1650" s="75"/>
      <c r="L1650" s="157"/>
      <c r="M1650" s="341"/>
      <c r="N1650" s="334"/>
      <c r="O1650" s="394"/>
      <c r="P1650" s="392"/>
      <c r="Q1650" s="363"/>
      <c r="T1650" s="110"/>
      <c r="V1650" s="232"/>
      <c r="W1650" s="269"/>
      <c r="X1650" s="201"/>
      <c r="Y1650" s="269"/>
      <c r="Z1650" s="269"/>
      <c r="AA1650" s="134"/>
      <c r="AB1650" s="269"/>
      <c r="AC1650" s="284"/>
      <c r="AD1650" s="284"/>
      <c r="AE1650" s="269"/>
    </row>
    <row r="1651" spans="2:31">
      <c r="B1651" s="83"/>
      <c r="C1651" s="81"/>
      <c r="D1651" s="83"/>
      <c r="E1651" s="81"/>
      <c r="F1651" s="269"/>
      <c r="G1651" s="48"/>
      <c r="H1651" s="269"/>
      <c r="I1651" s="72"/>
      <c r="J1651" s="330"/>
      <c r="K1651" s="75"/>
      <c r="L1651" s="157"/>
      <c r="M1651" s="341"/>
      <c r="N1651" s="334"/>
      <c r="O1651" s="394"/>
      <c r="P1651" s="392"/>
      <c r="Q1651" s="363"/>
      <c r="T1651" s="110"/>
      <c r="V1651" s="232"/>
      <c r="W1651" s="269"/>
      <c r="X1651" s="201"/>
      <c r="Y1651" s="269"/>
      <c r="Z1651" s="269"/>
      <c r="AA1651" s="134"/>
      <c r="AB1651" s="269"/>
      <c r="AC1651" s="284"/>
      <c r="AD1651" s="284"/>
      <c r="AE1651" s="269"/>
    </row>
    <row r="1652" spans="2:31">
      <c r="B1652" s="83"/>
      <c r="C1652" s="81"/>
      <c r="D1652" s="83"/>
      <c r="E1652" s="81"/>
      <c r="F1652" s="269"/>
      <c r="G1652" s="48"/>
      <c r="H1652" s="269"/>
      <c r="I1652" s="72"/>
      <c r="J1652" s="330"/>
      <c r="K1652" s="75"/>
      <c r="L1652" s="157"/>
      <c r="M1652" s="341"/>
      <c r="N1652" s="334"/>
      <c r="O1652" s="394"/>
      <c r="P1652" s="392"/>
      <c r="Q1652" s="363"/>
      <c r="T1652" s="110"/>
      <c r="V1652" s="232"/>
      <c r="W1652" s="269"/>
      <c r="X1652" s="201"/>
      <c r="Y1652" s="269"/>
      <c r="Z1652" s="269"/>
      <c r="AA1652" s="134"/>
      <c r="AB1652" s="269"/>
      <c r="AC1652" s="284"/>
      <c r="AD1652" s="284"/>
      <c r="AE1652" s="269"/>
    </row>
    <row r="1653" spans="2:31">
      <c r="B1653" s="83"/>
      <c r="C1653" s="81"/>
      <c r="D1653" s="83"/>
      <c r="E1653" s="81"/>
      <c r="F1653" s="269"/>
      <c r="G1653" s="48"/>
      <c r="H1653" s="269"/>
      <c r="I1653" s="72"/>
      <c r="J1653" s="330"/>
      <c r="K1653" s="75"/>
      <c r="L1653" s="157"/>
      <c r="M1653" s="341"/>
      <c r="N1653" s="334"/>
      <c r="O1653" s="394"/>
      <c r="P1653" s="392"/>
      <c r="Q1653" s="363"/>
      <c r="T1653" s="110"/>
      <c r="V1653" s="232"/>
      <c r="W1653" s="269"/>
      <c r="X1653" s="201"/>
      <c r="Y1653" s="269"/>
      <c r="Z1653" s="269"/>
      <c r="AA1653" s="134"/>
      <c r="AB1653" s="269"/>
      <c r="AC1653" s="284"/>
      <c r="AD1653" s="284"/>
      <c r="AE1653" s="269"/>
    </row>
    <row r="1654" spans="2:31">
      <c r="B1654" s="83"/>
      <c r="C1654" s="81"/>
      <c r="D1654" s="83"/>
      <c r="E1654" s="81"/>
      <c r="F1654" s="269"/>
      <c r="G1654" s="48"/>
      <c r="H1654" s="269"/>
      <c r="I1654" s="72"/>
      <c r="J1654" s="330"/>
      <c r="K1654" s="75"/>
      <c r="L1654" s="157"/>
      <c r="M1654" s="341"/>
      <c r="N1654" s="334"/>
      <c r="O1654" s="394"/>
      <c r="P1654" s="392"/>
      <c r="Q1654" s="363"/>
      <c r="T1654" s="110"/>
      <c r="V1654" s="232"/>
      <c r="W1654" s="269"/>
      <c r="X1654" s="201"/>
      <c r="Y1654" s="269"/>
      <c r="Z1654" s="269"/>
      <c r="AA1654" s="134"/>
      <c r="AB1654" s="269"/>
      <c r="AC1654" s="284"/>
      <c r="AD1654" s="284"/>
      <c r="AE1654" s="269"/>
    </row>
    <row r="1655" spans="2:31">
      <c r="B1655" s="83"/>
      <c r="C1655" s="81"/>
      <c r="D1655" s="83"/>
      <c r="E1655" s="81"/>
      <c r="F1655" s="269"/>
      <c r="G1655" s="48"/>
      <c r="H1655" s="269"/>
      <c r="I1655" s="72"/>
      <c r="J1655" s="330"/>
      <c r="K1655" s="75"/>
      <c r="L1655" s="157"/>
      <c r="M1655" s="341"/>
      <c r="N1655" s="334"/>
      <c r="O1655" s="394"/>
      <c r="P1655" s="392"/>
      <c r="Q1655" s="363"/>
      <c r="T1655" s="110"/>
      <c r="V1655" s="232"/>
      <c r="W1655" s="269"/>
      <c r="X1655" s="201"/>
      <c r="Y1655" s="269"/>
      <c r="Z1655" s="269"/>
      <c r="AA1655" s="134"/>
      <c r="AB1655" s="269"/>
      <c r="AC1655" s="284"/>
      <c r="AD1655" s="284"/>
      <c r="AE1655" s="269"/>
    </row>
    <row r="1656" spans="2:31">
      <c r="B1656" s="83"/>
      <c r="C1656" s="81"/>
      <c r="D1656" s="83"/>
      <c r="E1656" s="81"/>
      <c r="F1656" s="269"/>
      <c r="G1656" s="48"/>
      <c r="H1656" s="269"/>
      <c r="I1656" s="72"/>
      <c r="J1656" s="330"/>
      <c r="K1656" s="75"/>
      <c r="L1656" s="157"/>
      <c r="M1656" s="341"/>
      <c r="N1656" s="334"/>
      <c r="O1656" s="394"/>
      <c r="P1656" s="392"/>
      <c r="Q1656" s="363"/>
      <c r="T1656" s="110"/>
      <c r="V1656" s="232"/>
      <c r="W1656" s="269"/>
      <c r="X1656" s="201"/>
      <c r="Y1656" s="269"/>
      <c r="Z1656" s="269"/>
      <c r="AA1656" s="134"/>
      <c r="AB1656" s="269"/>
      <c r="AC1656" s="284"/>
      <c r="AD1656" s="284"/>
      <c r="AE1656" s="269"/>
    </row>
    <row r="1657" spans="2:31">
      <c r="B1657" s="83"/>
      <c r="C1657" s="81"/>
      <c r="D1657" s="83"/>
      <c r="E1657" s="81"/>
      <c r="F1657" s="269"/>
      <c r="G1657" s="48"/>
      <c r="H1657" s="269"/>
      <c r="I1657" s="72"/>
      <c r="J1657" s="330"/>
      <c r="K1657" s="75"/>
      <c r="L1657" s="157"/>
      <c r="M1657" s="341"/>
      <c r="N1657" s="334"/>
      <c r="O1657" s="394"/>
      <c r="P1657" s="392"/>
      <c r="Q1657" s="363"/>
      <c r="T1657" s="110"/>
      <c r="V1657" s="232"/>
      <c r="W1657" s="269"/>
      <c r="X1657" s="201"/>
      <c r="Y1657" s="269"/>
      <c r="Z1657" s="269"/>
      <c r="AA1657" s="134"/>
      <c r="AB1657" s="269"/>
      <c r="AC1657" s="284"/>
      <c r="AD1657" s="284"/>
      <c r="AE1657" s="269"/>
    </row>
    <row r="1658" spans="2:31">
      <c r="B1658" s="83"/>
      <c r="C1658" s="81"/>
      <c r="D1658" s="83"/>
      <c r="E1658" s="81"/>
      <c r="F1658" s="269"/>
      <c r="G1658" s="48"/>
      <c r="H1658" s="269"/>
      <c r="I1658" s="72"/>
      <c r="J1658" s="330"/>
      <c r="K1658" s="75"/>
      <c r="L1658" s="157"/>
      <c r="M1658" s="341"/>
      <c r="N1658" s="334"/>
      <c r="O1658" s="394"/>
      <c r="P1658" s="392"/>
      <c r="Q1658" s="363"/>
      <c r="T1658" s="110"/>
      <c r="V1658" s="232"/>
      <c r="W1658" s="269"/>
      <c r="X1658" s="201"/>
      <c r="Y1658" s="269"/>
      <c r="Z1658" s="269"/>
      <c r="AA1658" s="134"/>
      <c r="AB1658" s="269"/>
      <c r="AC1658" s="284"/>
      <c r="AD1658" s="284"/>
      <c r="AE1658" s="269"/>
    </row>
    <row r="1659" spans="2:31">
      <c r="B1659" s="83"/>
      <c r="C1659" s="81"/>
      <c r="D1659" s="83"/>
      <c r="E1659" s="81"/>
      <c r="F1659" s="269"/>
      <c r="G1659" s="48"/>
      <c r="H1659" s="269"/>
      <c r="I1659" s="72"/>
      <c r="J1659" s="330"/>
      <c r="K1659" s="75"/>
      <c r="L1659" s="157"/>
      <c r="M1659" s="341"/>
      <c r="N1659" s="334"/>
      <c r="O1659" s="394"/>
      <c r="P1659" s="392"/>
      <c r="Q1659" s="363"/>
      <c r="T1659" s="110"/>
      <c r="V1659" s="232"/>
      <c r="W1659" s="269"/>
      <c r="X1659" s="201"/>
      <c r="Y1659" s="269"/>
      <c r="Z1659" s="269"/>
      <c r="AA1659" s="134"/>
      <c r="AB1659" s="269"/>
      <c r="AC1659" s="284"/>
      <c r="AD1659" s="284"/>
      <c r="AE1659" s="269"/>
    </row>
    <row r="1660" spans="2:31">
      <c r="B1660" s="83"/>
      <c r="C1660" s="81"/>
      <c r="D1660" s="83"/>
      <c r="E1660" s="81"/>
      <c r="F1660" s="269"/>
      <c r="G1660" s="48"/>
      <c r="H1660" s="269"/>
      <c r="I1660" s="72"/>
      <c r="J1660" s="330"/>
      <c r="K1660" s="75"/>
      <c r="L1660" s="157"/>
      <c r="M1660" s="341"/>
      <c r="N1660" s="334"/>
      <c r="O1660" s="394"/>
      <c r="P1660" s="392"/>
      <c r="Q1660" s="363"/>
      <c r="T1660" s="110"/>
      <c r="V1660" s="232"/>
      <c r="W1660" s="269"/>
      <c r="X1660" s="201"/>
      <c r="Y1660" s="269"/>
      <c r="Z1660" s="269"/>
      <c r="AA1660" s="134"/>
      <c r="AB1660" s="269"/>
      <c r="AC1660" s="284"/>
      <c r="AD1660" s="284"/>
      <c r="AE1660" s="269"/>
    </row>
    <row r="1661" spans="2:31">
      <c r="B1661" s="83"/>
      <c r="C1661" s="81"/>
      <c r="D1661" s="83"/>
      <c r="E1661" s="81"/>
      <c r="F1661" s="269"/>
      <c r="G1661" s="48"/>
      <c r="H1661" s="269"/>
      <c r="I1661" s="72"/>
      <c r="J1661" s="330"/>
      <c r="K1661" s="75"/>
      <c r="L1661" s="157"/>
      <c r="M1661" s="341"/>
      <c r="N1661" s="334"/>
      <c r="O1661" s="394"/>
      <c r="P1661" s="392"/>
      <c r="Q1661" s="363"/>
      <c r="T1661" s="110"/>
      <c r="V1661" s="232"/>
      <c r="W1661" s="269"/>
      <c r="X1661" s="201"/>
      <c r="Y1661" s="269"/>
      <c r="Z1661" s="269"/>
      <c r="AA1661" s="134"/>
      <c r="AB1661" s="269"/>
      <c r="AC1661" s="284"/>
      <c r="AD1661" s="284"/>
      <c r="AE1661" s="269"/>
    </row>
    <row r="1662" spans="2:31">
      <c r="B1662" s="83"/>
      <c r="C1662" s="81"/>
      <c r="D1662" s="83"/>
      <c r="E1662" s="81"/>
      <c r="F1662" s="269"/>
      <c r="G1662" s="48"/>
      <c r="H1662" s="269"/>
      <c r="I1662" s="72"/>
      <c r="J1662" s="330"/>
      <c r="K1662" s="75"/>
      <c r="L1662" s="157"/>
      <c r="M1662" s="341"/>
      <c r="N1662" s="334"/>
      <c r="O1662" s="394"/>
      <c r="P1662" s="392"/>
      <c r="Q1662" s="363"/>
      <c r="T1662" s="110"/>
      <c r="V1662" s="232"/>
      <c r="W1662" s="269"/>
      <c r="X1662" s="201"/>
      <c r="Y1662" s="269"/>
      <c r="Z1662" s="269"/>
      <c r="AA1662" s="134"/>
      <c r="AB1662" s="269"/>
      <c r="AC1662" s="284"/>
      <c r="AD1662" s="284"/>
      <c r="AE1662" s="269"/>
    </row>
    <row r="1663" spans="2:31">
      <c r="B1663" s="83"/>
      <c r="C1663" s="81"/>
      <c r="D1663" s="83"/>
      <c r="E1663" s="81"/>
      <c r="F1663" s="269"/>
      <c r="G1663" s="48"/>
      <c r="H1663" s="269"/>
      <c r="I1663" s="72"/>
      <c r="J1663" s="330"/>
      <c r="K1663" s="75"/>
      <c r="L1663" s="157"/>
      <c r="M1663" s="341"/>
      <c r="N1663" s="334"/>
      <c r="O1663" s="394"/>
      <c r="P1663" s="392"/>
      <c r="Q1663" s="363"/>
      <c r="T1663" s="110"/>
      <c r="V1663" s="232"/>
      <c r="W1663" s="269"/>
      <c r="X1663" s="201"/>
      <c r="Y1663" s="269"/>
      <c r="Z1663" s="269"/>
      <c r="AA1663" s="134"/>
      <c r="AB1663" s="269"/>
      <c r="AC1663" s="284"/>
      <c r="AD1663" s="284"/>
      <c r="AE1663" s="269"/>
    </row>
    <row r="1664" spans="2:31">
      <c r="B1664" s="83"/>
      <c r="C1664" s="81"/>
      <c r="D1664" s="83"/>
      <c r="E1664" s="81"/>
      <c r="F1664" s="269"/>
      <c r="G1664" s="48"/>
      <c r="H1664" s="269"/>
      <c r="I1664" s="72"/>
      <c r="J1664" s="330"/>
      <c r="K1664" s="75"/>
      <c r="L1664" s="157"/>
      <c r="M1664" s="341"/>
      <c r="N1664" s="334"/>
      <c r="O1664" s="394"/>
      <c r="P1664" s="392"/>
      <c r="Q1664" s="363"/>
      <c r="T1664" s="110"/>
      <c r="V1664" s="232"/>
      <c r="W1664" s="269"/>
      <c r="X1664" s="201"/>
      <c r="Y1664" s="269"/>
      <c r="Z1664" s="269"/>
      <c r="AA1664" s="134"/>
      <c r="AB1664" s="269"/>
      <c r="AC1664" s="284"/>
      <c r="AD1664" s="284"/>
      <c r="AE1664" s="269"/>
    </row>
    <row r="1665" spans="2:31">
      <c r="B1665" s="83"/>
      <c r="C1665" s="81"/>
      <c r="D1665" s="83"/>
      <c r="E1665" s="81"/>
      <c r="F1665" s="269"/>
      <c r="G1665" s="48"/>
      <c r="H1665" s="269"/>
      <c r="I1665" s="72"/>
      <c r="J1665" s="330"/>
      <c r="K1665" s="75"/>
      <c r="L1665" s="157"/>
      <c r="M1665" s="341"/>
      <c r="N1665" s="334"/>
      <c r="O1665" s="394"/>
      <c r="P1665" s="392"/>
      <c r="Q1665" s="363"/>
      <c r="T1665" s="110"/>
      <c r="V1665" s="232"/>
      <c r="W1665" s="269"/>
      <c r="X1665" s="201"/>
      <c r="Y1665" s="269"/>
      <c r="Z1665" s="269"/>
      <c r="AA1665" s="134"/>
      <c r="AB1665" s="269"/>
      <c r="AC1665" s="284"/>
      <c r="AD1665" s="284"/>
      <c r="AE1665" s="269"/>
    </row>
    <row r="1666" spans="2:31">
      <c r="B1666" s="83"/>
      <c r="C1666" s="81"/>
      <c r="D1666" s="83"/>
      <c r="E1666" s="81"/>
      <c r="F1666" s="269"/>
      <c r="G1666" s="48"/>
      <c r="H1666" s="269"/>
      <c r="I1666" s="72"/>
      <c r="J1666" s="330"/>
      <c r="K1666" s="75"/>
      <c r="L1666" s="157"/>
      <c r="M1666" s="341"/>
      <c r="N1666" s="334"/>
      <c r="O1666" s="394"/>
      <c r="P1666" s="392"/>
      <c r="Q1666" s="363"/>
      <c r="T1666" s="110"/>
      <c r="V1666" s="232"/>
      <c r="W1666" s="269"/>
      <c r="X1666" s="201"/>
      <c r="Y1666" s="269"/>
      <c r="Z1666" s="269"/>
      <c r="AA1666" s="134"/>
      <c r="AB1666" s="269"/>
      <c r="AC1666" s="284"/>
      <c r="AD1666" s="284"/>
      <c r="AE1666" s="269"/>
    </row>
    <row r="1667" spans="2:31">
      <c r="B1667" s="83"/>
      <c r="C1667" s="81"/>
      <c r="D1667" s="83"/>
      <c r="E1667" s="81"/>
      <c r="F1667" s="269"/>
      <c r="G1667" s="48"/>
      <c r="H1667" s="269"/>
      <c r="I1667" s="72"/>
      <c r="J1667" s="330"/>
      <c r="K1667" s="75"/>
      <c r="L1667" s="157"/>
      <c r="M1667" s="341"/>
      <c r="N1667" s="334"/>
      <c r="O1667" s="394"/>
      <c r="P1667" s="392"/>
      <c r="Q1667" s="363"/>
      <c r="T1667" s="110"/>
      <c r="V1667" s="232"/>
      <c r="W1667" s="269"/>
      <c r="X1667" s="201"/>
      <c r="Y1667" s="269"/>
      <c r="Z1667" s="269"/>
      <c r="AA1667" s="134"/>
      <c r="AB1667" s="269"/>
      <c r="AC1667" s="284"/>
      <c r="AD1667" s="284"/>
      <c r="AE1667" s="269"/>
    </row>
    <row r="1668" spans="2:31">
      <c r="B1668" s="83"/>
      <c r="C1668" s="81"/>
      <c r="D1668" s="83"/>
      <c r="E1668" s="81"/>
      <c r="F1668" s="269"/>
      <c r="G1668" s="48"/>
      <c r="H1668" s="269"/>
      <c r="I1668" s="72"/>
      <c r="J1668" s="330"/>
      <c r="K1668" s="75"/>
      <c r="L1668" s="157"/>
      <c r="M1668" s="341"/>
      <c r="N1668" s="334"/>
      <c r="O1668" s="394"/>
      <c r="P1668" s="392"/>
      <c r="Q1668" s="363"/>
      <c r="T1668" s="110"/>
      <c r="V1668" s="232"/>
      <c r="W1668" s="269"/>
      <c r="X1668" s="201"/>
      <c r="Y1668" s="269"/>
      <c r="Z1668" s="269"/>
      <c r="AA1668" s="134"/>
      <c r="AB1668" s="269"/>
      <c r="AC1668" s="284"/>
      <c r="AD1668" s="284"/>
      <c r="AE1668" s="269"/>
    </row>
    <row r="1669" spans="2:31">
      <c r="B1669" s="83"/>
      <c r="C1669" s="81"/>
      <c r="D1669" s="83"/>
      <c r="E1669" s="81"/>
      <c r="F1669" s="269"/>
      <c r="G1669" s="48"/>
      <c r="H1669" s="269"/>
      <c r="I1669" s="72"/>
      <c r="J1669" s="330"/>
      <c r="K1669" s="75"/>
      <c r="L1669" s="157"/>
      <c r="M1669" s="341"/>
      <c r="N1669" s="334"/>
      <c r="O1669" s="394"/>
      <c r="P1669" s="392"/>
      <c r="Q1669" s="363"/>
      <c r="T1669" s="110"/>
      <c r="V1669" s="232"/>
      <c r="W1669" s="269"/>
      <c r="X1669" s="201"/>
      <c r="Y1669" s="269"/>
      <c r="Z1669" s="269"/>
      <c r="AA1669" s="134"/>
      <c r="AB1669" s="269"/>
      <c r="AC1669" s="284"/>
      <c r="AD1669" s="284"/>
      <c r="AE1669" s="269"/>
    </row>
    <row r="1670" spans="2:31">
      <c r="B1670" s="83"/>
      <c r="C1670" s="81"/>
      <c r="D1670" s="83"/>
      <c r="E1670" s="81"/>
      <c r="F1670" s="269"/>
      <c r="G1670" s="48"/>
      <c r="H1670" s="269"/>
      <c r="I1670" s="72"/>
      <c r="J1670" s="330"/>
      <c r="K1670" s="75"/>
      <c r="L1670" s="157"/>
      <c r="M1670" s="341"/>
      <c r="N1670" s="334"/>
      <c r="O1670" s="394"/>
      <c r="P1670" s="392"/>
      <c r="Q1670" s="363"/>
      <c r="T1670" s="110"/>
      <c r="V1670" s="232"/>
      <c r="W1670" s="269"/>
      <c r="X1670" s="201"/>
      <c r="Y1670" s="269"/>
      <c r="Z1670" s="269"/>
      <c r="AA1670" s="134"/>
      <c r="AB1670" s="269"/>
      <c r="AC1670" s="284"/>
      <c r="AD1670" s="284"/>
      <c r="AE1670" s="269"/>
    </row>
    <row r="1671" spans="2:31">
      <c r="B1671" s="83"/>
      <c r="C1671" s="81"/>
      <c r="D1671" s="83"/>
      <c r="E1671" s="81"/>
      <c r="F1671" s="269"/>
      <c r="G1671" s="48"/>
      <c r="H1671" s="269"/>
      <c r="I1671" s="72"/>
      <c r="J1671" s="330"/>
      <c r="K1671" s="75"/>
      <c r="L1671" s="157"/>
      <c r="M1671" s="341"/>
      <c r="N1671" s="334"/>
      <c r="O1671" s="394"/>
      <c r="P1671" s="392"/>
      <c r="Q1671" s="363"/>
      <c r="T1671" s="110"/>
      <c r="V1671" s="232"/>
      <c r="W1671" s="269"/>
      <c r="X1671" s="201"/>
      <c r="Y1671" s="269"/>
      <c r="Z1671" s="269"/>
      <c r="AA1671" s="134"/>
      <c r="AB1671" s="269"/>
      <c r="AC1671" s="284"/>
      <c r="AD1671" s="284"/>
      <c r="AE1671" s="269"/>
    </row>
    <row r="1672" spans="2:31">
      <c r="B1672" s="83"/>
      <c r="C1672" s="81"/>
      <c r="D1672" s="83"/>
      <c r="E1672" s="81"/>
      <c r="F1672" s="269"/>
      <c r="G1672" s="48"/>
      <c r="H1672" s="269"/>
      <c r="I1672" s="72"/>
      <c r="J1672" s="330"/>
      <c r="K1672" s="75"/>
      <c r="L1672" s="157"/>
      <c r="M1672" s="341"/>
      <c r="N1672" s="334"/>
      <c r="O1672" s="394"/>
      <c r="P1672" s="392"/>
      <c r="Q1672" s="363"/>
      <c r="T1672" s="110"/>
      <c r="V1672" s="232"/>
      <c r="W1672" s="269"/>
      <c r="X1672" s="201"/>
      <c r="Y1672" s="269"/>
      <c r="Z1672" s="269"/>
      <c r="AA1672" s="134"/>
      <c r="AB1672" s="269"/>
      <c r="AC1672" s="284"/>
      <c r="AD1672" s="284"/>
      <c r="AE1672" s="269"/>
    </row>
    <row r="1673" spans="2:31">
      <c r="B1673" s="83"/>
      <c r="C1673" s="81"/>
      <c r="D1673" s="83"/>
      <c r="E1673" s="81"/>
      <c r="F1673" s="269"/>
      <c r="G1673" s="48"/>
      <c r="H1673" s="269"/>
      <c r="I1673" s="72"/>
      <c r="J1673" s="330"/>
      <c r="K1673" s="75"/>
      <c r="L1673" s="157"/>
      <c r="M1673" s="341"/>
      <c r="N1673" s="334"/>
      <c r="O1673" s="394"/>
      <c r="P1673" s="392"/>
      <c r="Q1673" s="363"/>
      <c r="T1673" s="110"/>
      <c r="V1673" s="232"/>
      <c r="W1673" s="269"/>
      <c r="X1673" s="201"/>
      <c r="Y1673" s="269"/>
      <c r="Z1673" s="269"/>
      <c r="AA1673" s="134"/>
      <c r="AB1673" s="269"/>
      <c r="AC1673" s="284"/>
      <c r="AD1673" s="284"/>
      <c r="AE1673" s="269"/>
    </row>
    <row r="1674" spans="2:31">
      <c r="B1674" s="83"/>
      <c r="C1674" s="81"/>
      <c r="D1674" s="83"/>
      <c r="E1674" s="81"/>
      <c r="F1674" s="269"/>
      <c r="G1674" s="48"/>
      <c r="H1674" s="269"/>
      <c r="I1674" s="72"/>
      <c r="J1674" s="330"/>
      <c r="K1674" s="75"/>
      <c r="L1674" s="157"/>
      <c r="M1674" s="341"/>
      <c r="N1674" s="334"/>
      <c r="O1674" s="394"/>
      <c r="P1674" s="392"/>
      <c r="Q1674" s="363"/>
      <c r="T1674" s="110"/>
      <c r="V1674" s="232"/>
      <c r="W1674" s="269"/>
      <c r="X1674" s="201"/>
      <c r="Y1674" s="269"/>
      <c r="Z1674" s="269"/>
      <c r="AA1674" s="134"/>
      <c r="AB1674" s="269"/>
      <c r="AC1674" s="284"/>
      <c r="AD1674" s="284"/>
      <c r="AE1674" s="269"/>
    </row>
    <row r="1675" spans="2:31">
      <c r="B1675" s="83"/>
      <c r="C1675" s="81"/>
      <c r="D1675" s="83"/>
      <c r="E1675" s="81"/>
      <c r="F1675" s="269"/>
      <c r="G1675" s="48"/>
      <c r="H1675" s="269"/>
      <c r="I1675" s="72"/>
      <c r="J1675" s="330"/>
      <c r="K1675" s="75"/>
      <c r="L1675" s="157"/>
      <c r="M1675" s="341"/>
      <c r="N1675" s="334"/>
      <c r="O1675" s="394"/>
      <c r="P1675" s="392"/>
      <c r="Q1675" s="363"/>
      <c r="T1675" s="110"/>
      <c r="V1675" s="232"/>
      <c r="W1675" s="269"/>
      <c r="X1675" s="201"/>
      <c r="Y1675" s="269"/>
      <c r="Z1675" s="269"/>
      <c r="AA1675" s="134"/>
      <c r="AB1675" s="269"/>
      <c r="AC1675" s="284"/>
      <c r="AD1675" s="284"/>
      <c r="AE1675" s="269"/>
    </row>
    <row r="1676" spans="2:31">
      <c r="B1676" s="83"/>
      <c r="C1676" s="81"/>
      <c r="D1676" s="83"/>
      <c r="E1676" s="81"/>
      <c r="F1676" s="269"/>
      <c r="G1676" s="48"/>
      <c r="H1676" s="269"/>
      <c r="I1676" s="72"/>
      <c r="J1676" s="330"/>
      <c r="K1676" s="75"/>
      <c r="L1676" s="157"/>
      <c r="M1676" s="341"/>
      <c r="N1676" s="334"/>
      <c r="O1676" s="394"/>
      <c r="P1676" s="392"/>
      <c r="Q1676" s="363"/>
      <c r="T1676" s="110"/>
      <c r="V1676" s="232"/>
      <c r="W1676" s="269"/>
      <c r="X1676" s="201"/>
      <c r="Y1676" s="269"/>
      <c r="Z1676" s="269"/>
      <c r="AA1676" s="134"/>
      <c r="AB1676" s="269"/>
      <c r="AC1676" s="284"/>
      <c r="AD1676" s="284"/>
      <c r="AE1676" s="269"/>
    </row>
    <row r="1677" spans="2:31">
      <c r="B1677" s="83"/>
      <c r="C1677" s="81"/>
      <c r="D1677" s="83"/>
      <c r="E1677" s="81"/>
      <c r="F1677" s="269"/>
      <c r="G1677" s="48"/>
      <c r="H1677" s="269"/>
      <c r="I1677" s="72"/>
      <c r="J1677" s="330"/>
      <c r="K1677" s="75"/>
      <c r="L1677" s="157"/>
      <c r="M1677" s="341"/>
      <c r="N1677" s="334"/>
      <c r="O1677" s="394"/>
      <c r="P1677" s="392"/>
      <c r="Q1677" s="363"/>
      <c r="T1677" s="110"/>
      <c r="V1677" s="232"/>
      <c r="W1677" s="269"/>
      <c r="X1677" s="201"/>
      <c r="Y1677" s="269"/>
      <c r="Z1677" s="269"/>
      <c r="AA1677" s="134"/>
      <c r="AB1677" s="269"/>
      <c r="AC1677" s="284"/>
      <c r="AD1677" s="284"/>
      <c r="AE1677" s="269"/>
    </row>
    <row r="1678" spans="2:31">
      <c r="B1678" s="83"/>
      <c r="C1678" s="81"/>
      <c r="D1678" s="83"/>
      <c r="E1678" s="81"/>
      <c r="F1678" s="269"/>
      <c r="G1678" s="48"/>
      <c r="H1678" s="269"/>
      <c r="I1678" s="72"/>
      <c r="J1678" s="330"/>
      <c r="K1678" s="75"/>
      <c r="L1678" s="157"/>
      <c r="M1678" s="341"/>
      <c r="N1678" s="334"/>
      <c r="O1678" s="394"/>
      <c r="P1678" s="392"/>
      <c r="Q1678" s="363"/>
      <c r="T1678" s="110"/>
      <c r="V1678" s="232"/>
      <c r="W1678" s="269"/>
      <c r="X1678" s="201"/>
      <c r="Y1678" s="269"/>
      <c r="Z1678" s="269"/>
      <c r="AA1678" s="134"/>
      <c r="AB1678" s="269"/>
      <c r="AC1678" s="284"/>
      <c r="AD1678" s="284"/>
      <c r="AE1678" s="269"/>
    </row>
    <row r="1679" spans="2:31">
      <c r="B1679" s="83"/>
      <c r="C1679" s="81"/>
      <c r="D1679" s="83"/>
      <c r="E1679" s="81"/>
      <c r="F1679" s="269"/>
      <c r="G1679" s="48"/>
      <c r="H1679" s="269"/>
      <c r="I1679" s="72"/>
      <c r="J1679" s="330"/>
      <c r="K1679" s="75"/>
      <c r="L1679" s="157"/>
      <c r="M1679" s="341"/>
      <c r="N1679" s="334"/>
      <c r="O1679" s="394"/>
      <c r="P1679" s="392"/>
      <c r="Q1679" s="363"/>
      <c r="T1679" s="110"/>
      <c r="V1679" s="232"/>
      <c r="W1679" s="269"/>
      <c r="X1679" s="201"/>
      <c r="Y1679" s="269"/>
      <c r="Z1679" s="269"/>
      <c r="AA1679" s="134"/>
      <c r="AB1679" s="269"/>
      <c r="AC1679" s="284"/>
      <c r="AD1679" s="284"/>
      <c r="AE1679" s="269"/>
    </row>
    <row r="1680" spans="2:31">
      <c r="B1680" s="83"/>
      <c r="C1680" s="81"/>
      <c r="D1680" s="83"/>
      <c r="E1680" s="81"/>
      <c r="F1680" s="269"/>
      <c r="G1680" s="48"/>
      <c r="H1680" s="269"/>
      <c r="I1680" s="72"/>
      <c r="J1680" s="330"/>
      <c r="K1680" s="75"/>
      <c r="L1680" s="157"/>
      <c r="M1680" s="341"/>
      <c r="N1680" s="334"/>
      <c r="O1680" s="394"/>
      <c r="P1680" s="392"/>
      <c r="Q1680" s="363"/>
      <c r="T1680" s="110"/>
      <c r="V1680" s="232"/>
      <c r="W1680" s="269"/>
      <c r="X1680" s="201"/>
      <c r="Y1680" s="269"/>
      <c r="Z1680" s="269"/>
      <c r="AA1680" s="134"/>
      <c r="AB1680" s="269"/>
      <c r="AC1680" s="284"/>
      <c r="AD1680" s="284"/>
      <c r="AE1680" s="269"/>
    </row>
    <row r="1681" spans="2:31">
      <c r="B1681" s="83"/>
      <c r="C1681" s="81"/>
      <c r="D1681" s="83"/>
      <c r="E1681" s="81"/>
      <c r="F1681" s="269"/>
      <c r="G1681" s="48"/>
      <c r="H1681" s="269"/>
      <c r="I1681" s="72"/>
      <c r="J1681" s="330"/>
      <c r="K1681" s="75"/>
      <c r="L1681" s="157"/>
      <c r="M1681" s="341"/>
      <c r="N1681" s="334"/>
      <c r="O1681" s="394"/>
      <c r="P1681" s="392"/>
      <c r="Q1681" s="363"/>
      <c r="T1681" s="110"/>
      <c r="V1681" s="232"/>
      <c r="W1681" s="269"/>
      <c r="X1681" s="201"/>
      <c r="Y1681" s="269"/>
      <c r="Z1681" s="269"/>
      <c r="AA1681" s="134"/>
      <c r="AB1681" s="269"/>
      <c r="AC1681" s="284"/>
      <c r="AD1681" s="284"/>
      <c r="AE1681" s="269"/>
    </row>
    <row r="1682" spans="2:31">
      <c r="B1682" s="83"/>
      <c r="C1682" s="81"/>
      <c r="D1682" s="83"/>
      <c r="E1682" s="81"/>
      <c r="F1682" s="269"/>
      <c r="G1682" s="48"/>
      <c r="H1682" s="269"/>
      <c r="I1682" s="72"/>
      <c r="J1682" s="330"/>
      <c r="K1682" s="75"/>
      <c r="L1682" s="157"/>
      <c r="M1682" s="341"/>
      <c r="N1682" s="334"/>
      <c r="O1682" s="394"/>
      <c r="P1682" s="392"/>
      <c r="Q1682" s="363"/>
      <c r="T1682" s="110"/>
      <c r="V1682" s="232"/>
      <c r="W1682" s="269"/>
      <c r="X1682" s="201"/>
      <c r="Y1682" s="269"/>
      <c r="Z1682" s="269"/>
      <c r="AA1682" s="134"/>
      <c r="AB1682" s="269"/>
      <c r="AC1682" s="284"/>
      <c r="AD1682" s="284"/>
      <c r="AE1682" s="269"/>
    </row>
    <row r="1683" spans="2:31">
      <c r="B1683" s="83"/>
      <c r="C1683" s="81"/>
      <c r="D1683" s="83"/>
      <c r="E1683" s="81"/>
      <c r="F1683" s="269"/>
      <c r="G1683" s="48"/>
      <c r="H1683" s="269"/>
      <c r="I1683" s="72"/>
      <c r="J1683" s="330"/>
      <c r="K1683" s="75"/>
      <c r="L1683" s="157"/>
      <c r="M1683" s="341"/>
      <c r="N1683" s="334"/>
      <c r="O1683" s="394"/>
      <c r="P1683" s="392"/>
      <c r="Q1683" s="363"/>
      <c r="T1683" s="110"/>
      <c r="V1683" s="232"/>
      <c r="W1683" s="269"/>
      <c r="X1683" s="201"/>
      <c r="Y1683" s="269"/>
      <c r="Z1683" s="269"/>
      <c r="AA1683" s="134"/>
      <c r="AB1683" s="269"/>
      <c r="AC1683" s="284"/>
      <c r="AD1683" s="284"/>
      <c r="AE1683" s="269"/>
    </row>
    <row r="1684" spans="2:31">
      <c r="B1684" s="83"/>
      <c r="C1684" s="81"/>
      <c r="D1684" s="83"/>
      <c r="E1684" s="81"/>
      <c r="F1684" s="269"/>
      <c r="G1684" s="48"/>
      <c r="H1684" s="269"/>
      <c r="I1684" s="72"/>
      <c r="J1684" s="330"/>
      <c r="K1684" s="75"/>
      <c r="L1684" s="157"/>
      <c r="M1684" s="341"/>
      <c r="N1684" s="334"/>
      <c r="O1684" s="394"/>
      <c r="P1684" s="392"/>
      <c r="Q1684" s="363"/>
      <c r="T1684" s="110"/>
      <c r="V1684" s="232"/>
      <c r="W1684" s="269"/>
      <c r="X1684" s="201"/>
      <c r="Y1684" s="269"/>
      <c r="Z1684" s="269"/>
      <c r="AA1684" s="134"/>
      <c r="AB1684" s="269"/>
      <c r="AC1684" s="284"/>
      <c r="AD1684" s="284"/>
      <c r="AE1684" s="269"/>
    </row>
    <row r="1685" spans="2:31">
      <c r="B1685" s="83"/>
      <c r="C1685" s="81"/>
      <c r="D1685" s="83"/>
      <c r="E1685" s="81"/>
      <c r="F1685" s="269"/>
      <c r="G1685" s="48"/>
      <c r="H1685" s="269"/>
      <c r="I1685" s="72"/>
      <c r="J1685" s="330"/>
      <c r="K1685" s="75"/>
      <c r="L1685" s="157"/>
      <c r="M1685" s="341"/>
      <c r="N1685" s="334"/>
      <c r="O1685" s="394"/>
      <c r="P1685" s="392"/>
      <c r="Q1685" s="363"/>
      <c r="T1685" s="110"/>
      <c r="V1685" s="232"/>
      <c r="W1685" s="269"/>
      <c r="X1685" s="201"/>
      <c r="Y1685" s="269"/>
      <c r="Z1685" s="269"/>
      <c r="AA1685" s="134"/>
      <c r="AB1685" s="269"/>
      <c r="AC1685" s="284"/>
      <c r="AD1685" s="284"/>
      <c r="AE1685" s="269"/>
    </row>
    <row r="1686" spans="2:31">
      <c r="B1686" s="83"/>
      <c r="C1686" s="81"/>
      <c r="D1686" s="83"/>
      <c r="E1686" s="81"/>
      <c r="F1686" s="269"/>
      <c r="G1686" s="48"/>
      <c r="H1686" s="269"/>
      <c r="I1686" s="72"/>
      <c r="J1686" s="330"/>
      <c r="K1686" s="75"/>
      <c r="L1686" s="157"/>
      <c r="M1686" s="341"/>
      <c r="N1686" s="334"/>
      <c r="O1686" s="394"/>
      <c r="P1686" s="392"/>
      <c r="Q1686" s="363"/>
      <c r="T1686" s="110"/>
      <c r="V1686" s="232"/>
      <c r="W1686" s="269"/>
      <c r="X1686" s="201"/>
      <c r="Y1686" s="269"/>
      <c r="Z1686" s="269"/>
      <c r="AA1686" s="134"/>
      <c r="AB1686" s="269"/>
      <c r="AC1686" s="284"/>
      <c r="AD1686" s="284"/>
      <c r="AE1686" s="269"/>
    </row>
    <row r="1687" spans="2:31">
      <c r="B1687" s="83"/>
      <c r="C1687" s="81"/>
      <c r="D1687" s="83"/>
      <c r="E1687" s="81"/>
      <c r="F1687" s="269"/>
      <c r="G1687" s="48"/>
      <c r="H1687" s="269"/>
      <c r="I1687" s="72"/>
      <c r="J1687" s="330"/>
      <c r="K1687" s="75"/>
      <c r="L1687" s="157"/>
      <c r="M1687" s="341"/>
      <c r="N1687" s="334"/>
      <c r="O1687" s="394"/>
      <c r="P1687" s="392"/>
      <c r="Q1687" s="363"/>
      <c r="T1687" s="110"/>
      <c r="V1687" s="232"/>
      <c r="W1687" s="269"/>
      <c r="X1687" s="201"/>
      <c r="Y1687" s="269"/>
      <c r="Z1687" s="269"/>
      <c r="AA1687" s="134"/>
      <c r="AB1687" s="269"/>
      <c r="AC1687" s="284"/>
      <c r="AD1687" s="284"/>
      <c r="AE1687" s="269"/>
    </row>
    <row r="1688" spans="2:31">
      <c r="B1688" s="83"/>
      <c r="C1688" s="81"/>
      <c r="D1688" s="83"/>
      <c r="E1688" s="81"/>
      <c r="F1688" s="269"/>
      <c r="G1688" s="48"/>
      <c r="H1688" s="269"/>
      <c r="I1688" s="72"/>
      <c r="J1688" s="330"/>
      <c r="K1688" s="75"/>
      <c r="L1688" s="157"/>
      <c r="M1688" s="341"/>
      <c r="N1688" s="334"/>
      <c r="O1688" s="394"/>
      <c r="P1688" s="392"/>
      <c r="Q1688" s="363"/>
      <c r="T1688" s="110"/>
      <c r="V1688" s="232"/>
      <c r="W1688" s="269"/>
      <c r="X1688" s="201"/>
      <c r="Y1688" s="269"/>
      <c r="Z1688" s="269"/>
      <c r="AA1688" s="134"/>
      <c r="AB1688" s="269"/>
      <c r="AC1688" s="284"/>
      <c r="AD1688" s="284"/>
      <c r="AE1688" s="269"/>
    </row>
    <row r="1689" spans="2:31">
      <c r="B1689" s="83"/>
      <c r="C1689" s="81"/>
      <c r="D1689" s="83"/>
      <c r="E1689" s="81"/>
      <c r="F1689" s="269"/>
      <c r="G1689" s="48"/>
      <c r="H1689" s="269"/>
      <c r="I1689" s="72"/>
      <c r="J1689" s="330"/>
      <c r="K1689" s="75"/>
      <c r="L1689" s="157"/>
      <c r="M1689" s="341"/>
      <c r="N1689" s="334"/>
      <c r="O1689" s="394"/>
      <c r="P1689" s="392"/>
      <c r="Q1689" s="363"/>
      <c r="T1689" s="110"/>
      <c r="V1689" s="232"/>
      <c r="W1689" s="269"/>
      <c r="X1689" s="201"/>
      <c r="Y1689" s="269"/>
      <c r="Z1689" s="269"/>
      <c r="AA1689" s="134"/>
      <c r="AB1689" s="269"/>
      <c r="AC1689" s="284"/>
      <c r="AD1689" s="284"/>
      <c r="AE1689" s="269"/>
    </row>
    <row r="1690" spans="2:31">
      <c r="B1690" s="83"/>
      <c r="C1690" s="81"/>
      <c r="D1690" s="83"/>
      <c r="E1690" s="81"/>
      <c r="F1690" s="269"/>
      <c r="G1690" s="48"/>
      <c r="H1690" s="269"/>
      <c r="I1690" s="72"/>
      <c r="J1690" s="330"/>
      <c r="K1690" s="75"/>
      <c r="L1690" s="157"/>
      <c r="M1690" s="341"/>
      <c r="N1690" s="334"/>
      <c r="O1690" s="394"/>
      <c r="P1690" s="392"/>
      <c r="Q1690" s="363"/>
      <c r="T1690" s="110"/>
      <c r="V1690" s="232"/>
      <c r="W1690" s="269"/>
      <c r="X1690" s="201"/>
      <c r="Y1690" s="269"/>
      <c r="Z1690" s="269"/>
      <c r="AA1690" s="134"/>
      <c r="AB1690" s="269"/>
      <c r="AC1690" s="284"/>
      <c r="AD1690" s="284"/>
      <c r="AE1690" s="269"/>
    </row>
    <row r="1691" spans="2:31">
      <c r="B1691" s="83"/>
      <c r="C1691" s="81"/>
      <c r="D1691" s="83"/>
      <c r="E1691" s="81"/>
      <c r="F1691" s="269"/>
      <c r="G1691" s="48"/>
      <c r="H1691" s="269"/>
      <c r="I1691" s="72"/>
      <c r="J1691" s="330"/>
      <c r="K1691" s="75"/>
      <c r="L1691" s="157"/>
      <c r="M1691" s="341"/>
      <c r="N1691" s="334"/>
      <c r="O1691" s="394"/>
      <c r="P1691" s="392"/>
      <c r="Q1691" s="363"/>
      <c r="T1691" s="110"/>
      <c r="V1691" s="232"/>
      <c r="W1691" s="269"/>
      <c r="X1691" s="201"/>
      <c r="Y1691" s="269"/>
      <c r="Z1691" s="269"/>
      <c r="AA1691" s="134"/>
      <c r="AB1691" s="269"/>
      <c r="AC1691" s="284"/>
      <c r="AD1691" s="284"/>
      <c r="AE1691" s="269"/>
    </row>
    <row r="1692" spans="2:31">
      <c r="B1692" s="83"/>
      <c r="C1692" s="81"/>
      <c r="D1692" s="83"/>
      <c r="E1692" s="81"/>
      <c r="F1692" s="269"/>
      <c r="G1692" s="48"/>
      <c r="H1692" s="269"/>
      <c r="I1692" s="72"/>
      <c r="J1692" s="330"/>
      <c r="K1692" s="75"/>
      <c r="L1692" s="157"/>
      <c r="M1692" s="341"/>
      <c r="N1692" s="334"/>
      <c r="O1692" s="394"/>
      <c r="P1692" s="392"/>
      <c r="Q1692" s="363"/>
      <c r="T1692" s="110"/>
      <c r="V1692" s="232"/>
      <c r="W1692" s="269"/>
      <c r="X1692" s="201"/>
      <c r="Y1692" s="269"/>
      <c r="Z1692" s="269"/>
      <c r="AA1692" s="134"/>
      <c r="AB1692" s="269"/>
      <c r="AC1692" s="284"/>
      <c r="AD1692" s="284"/>
      <c r="AE1692" s="269"/>
    </row>
    <row r="1693" spans="2:31">
      <c r="B1693" s="83"/>
      <c r="C1693" s="81"/>
      <c r="D1693" s="83"/>
      <c r="E1693" s="81"/>
      <c r="F1693" s="269"/>
      <c r="G1693" s="48"/>
      <c r="H1693" s="269"/>
      <c r="I1693" s="72"/>
      <c r="J1693" s="330"/>
      <c r="K1693" s="75"/>
      <c r="L1693" s="157"/>
      <c r="M1693" s="341"/>
      <c r="N1693" s="334"/>
      <c r="O1693" s="394"/>
      <c r="P1693" s="392"/>
      <c r="Q1693" s="363"/>
      <c r="T1693" s="110"/>
      <c r="V1693" s="232"/>
      <c r="W1693" s="269"/>
      <c r="X1693" s="201"/>
      <c r="Y1693" s="269"/>
      <c r="Z1693" s="269"/>
      <c r="AA1693" s="134"/>
      <c r="AB1693" s="269"/>
      <c r="AC1693" s="284"/>
      <c r="AD1693" s="284"/>
      <c r="AE1693" s="269"/>
    </row>
    <row r="1694" spans="2:31">
      <c r="B1694" s="83"/>
      <c r="C1694" s="81"/>
      <c r="D1694" s="83"/>
      <c r="E1694" s="81"/>
      <c r="F1694" s="269"/>
      <c r="G1694" s="48"/>
      <c r="H1694" s="269"/>
      <c r="I1694" s="72"/>
      <c r="J1694" s="330"/>
      <c r="K1694" s="75"/>
      <c r="L1694" s="157"/>
      <c r="M1694" s="341"/>
      <c r="N1694" s="334"/>
      <c r="O1694" s="394"/>
      <c r="P1694" s="392"/>
      <c r="Q1694" s="363"/>
      <c r="T1694" s="110"/>
      <c r="V1694" s="232"/>
      <c r="W1694" s="269"/>
      <c r="X1694" s="201"/>
      <c r="Y1694" s="269"/>
      <c r="Z1694" s="269"/>
      <c r="AA1694" s="134"/>
      <c r="AB1694" s="269"/>
      <c r="AC1694" s="284"/>
      <c r="AD1694" s="284"/>
      <c r="AE1694" s="269"/>
    </row>
    <row r="1695" spans="2:31">
      <c r="B1695" s="83"/>
      <c r="C1695" s="81"/>
      <c r="D1695" s="83"/>
      <c r="E1695" s="81"/>
      <c r="F1695" s="269"/>
      <c r="G1695" s="48"/>
      <c r="H1695" s="269"/>
      <c r="I1695" s="72"/>
      <c r="J1695" s="330"/>
      <c r="K1695" s="75"/>
      <c r="L1695" s="157"/>
      <c r="M1695" s="341"/>
      <c r="N1695" s="334"/>
      <c r="O1695" s="394"/>
      <c r="P1695" s="392"/>
      <c r="Q1695" s="363"/>
      <c r="T1695" s="110"/>
      <c r="V1695" s="232"/>
      <c r="W1695" s="269"/>
      <c r="X1695" s="201"/>
      <c r="Y1695" s="269"/>
      <c r="Z1695" s="269"/>
      <c r="AA1695" s="134"/>
      <c r="AB1695" s="269"/>
      <c r="AC1695" s="284"/>
      <c r="AD1695" s="284"/>
      <c r="AE1695" s="269"/>
    </row>
    <row r="1696" spans="2:31">
      <c r="B1696" s="83"/>
      <c r="C1696" s="81"/>
      <c r="D1696" s="83"/>
      <c r="E1696" s="81"/>
      <c r="F1696" s="269"/>
      <c r="G1696" s="48"/>
      <c r="H1696" s="269"/>
      <c r="I1696" s="72"/>
      <c r="J1696" s="330"/>
      <c r="K1696" s="75"/>
      <c r="L1696" s="157"/>
      <c r="M1696" s="341"/>
      <c r="N1696" s="334"/>
      <c r="O1696" s="394"/>
      <c r="P1696" s="392"/>
      <c r="Q1696" s="363"/>
      <c r="T1696" s="110"/>
      <c r="V1696" s="232"/>
      <c r="W1696" s="269"/>
      <c r="X1696" s="201"/>
      <c r="Y1696" s="269"/>
      <c r="Z1696" s="269"/>
      <c r="AA1696" s="134"/>
      <c r="AB1696" s="269"/>
      <c r="AC1696" s="284"/>
      <c r="AD1696" s="284"/>
      <c r="AE1696" s="269"/>
    </row>
    <row r="1697" spans="2:31">
      <c r="B1697" s="83"/>
      <c r="C1697" s="81"/>
      <c r="D1697" s="83"/>
      <c r="E1697" s="81"/>
      <c r="F1697" s="269"/>
      <c r="G1697" s="48"/>
      <c r="H1697" s="269"/>
      <c r="I1697" s="72"/>
      <c r="J1697" s="330"/>
      <c r="K1697" s="75"/>
      <c r="L1697" s="157"/>
      <c r="M1697" s="341"/>
      <c r="N1697" s="334"/>
      <c r="O1697" s="394"/>
      <c r="P1697" s="392"/>
      <c r="Q1697" s="363"/>
      <c r="T1697" s="110"/>
      <c r="V1697" s="232"/>
      <c r="W1697" s="269"/>
      <c r="X1697" s="201"/>
      <c r="Y1697" s="269"/>
      <c r="Z1697" s="269"/>
      <c r="AA1697" s="134"/>
      <c r="AB1697" s="269"/>
      <c r="AC1697" s="284"/>
      <c r="AD1697" s="284"/>
      <c r="AE1697" s="269"/>
    </row>
    <row r="1698" spans="2:31">
      <c r="B1698" s="83"/>
      <c r="C1698" s="81"/>
      <c r="D1698" s="83"/>
      <c r="E1698" s="81"/>
      <c r="F1698" s="269"/>
      <c r="G1698" s="48"/>
      <c r="H1698" s="269"/>
      <c r="I1698" s="72"/>
      <c r="J1698" s="330"/>
      <c r="K1698" s="75"/>
      <c r="L1698" s="157"/>
      <c r="M1698" s="341"/>
      <c r="N1698" s="334"/>
      <c r="O1698" s="394"/>
      <c r="P1698" s="392"/>
      <c r="Q1698" s="363"/>
      <c r="T1698" s="110"/>
      <c r="V1698" s="232"/>
      <c r="W1698" s="269"/>
      <c r="X1698" s="201"/>
      <c r="Y1698" s="269"/>
      <c r="Z1698" s="269"/>
      <c r="AA1698" s="134"/>
      <c r="AB1698" s="269"/>
      <c r="AC1698" s="284"/>
      <c r="AD1698" s="284"/>
      <c r="AE1698" s="269"/>
    </row>
    <row r="1699" spans="2:31">
      <c r="B1699" s="83"/>
      <c r="C1699" s="81"/>
      <c r="D1699" s="83"/>
      <c r="E1699" s="81"/>
      <c r="F1699" s="269"/>
      <c r="G1699" s="48"/>
      <c r="H1699" s="269"/>
      <c r="I1699" s="72"/>
      <c r="J1699" s="330"/>
      <c r="K1699" s="75"/>
      <c r="L1699" s="157"/>
      <c r="M1699" s="341"/>
      <c r="N1699" s="334"/>
      <c r="O1699" s="394"/>
      <c r="P1699" s="392"/>
      <c r="Q1699" s="363"/>
      <c r="T1699" s="110"/>
      <c r="V1699" s="232"/>
      <c r="W1699" s="269"/>
      <c r="X1699" s="201"/>
      <c r="Y1699" s="269"/>
      <c r="Z1699" s="269"/>
      <c r="AA1699" s="134"/>
      <c r="AB1699" s="269"/>
      <c r="AC1699" s="284"/>
      <c r="AD1699" s="284"/>
      <c r="AE1699" s="269"/>
    </row>
    <row r="1700" spans="2:31">
      <c r="B1700" s="83"/>
      <c r="C1700" s="81"/>
      <c r="D1700" s="83"/>
      <c r="E1700" s="81"/>
      <c r="F1700" s="269"/>
      <c r="G1700" s="48"/>
      <c r="H1700" s="269"/>
      <c r="I1700" s="72"/>
      <c r="J1700" s="330"/>
      <c r="K1700" s="75"/>
      <c r="L1700" s="157"/>
      <c r="M1700" s="341"/>
      <c r="N1700" s="334"/>
      <c r="O1700" s="394"/>
      <c r="P1700" s="392"/>
      <c r="Q1700" s="363"/>
      <c r="T1700" s="110"/>
      <c r="V1700" s="232"/>
      <c r="W1700" s="269"/>
      <c r="X1700" s="201"/>
      <c r="Y1700" s="269"/>
      <c r="Z1700" s="269"/>
      <c r="AA1700" s="134"/>
      <c r="AB1700" s="269"/>
      <c r="AC1700" s="284"/>
      <c r="AD1700" s="284"/>
      <c r="AE1700" s="269"/>
    </row>
    <row r="1701" spans="2:31">
      <c r="B1701" s="83"/>
      <c r="C1701" s="81"/>
      <c r="D1701" s="83"/>
      <c r="E1701" s="81"/>
      <c r="F1701" s="269"/>
      <c r="G1701" s="48"/>
      <c r="H1701" s="269"/>
      <c r="I1701" s="72"/>
      <c r="J1701" s="330"/>
      <c r="K1701" s="75"/>
      <c r="L1701" s="157"/>
      <c r="M1701" s="341"/>
      <c r="N1701" s="334"/>
      <c r="O1701" s="394"/>
      <c r="P1701" s="392"/>
      <c r="Q1701" s="363"/>
      <c r="T1701" s="110"/>
      <c r="V1701" s="232"/>
      <c r="W1701" s="269"/>
      <c r="X1701" s="201"/>
      <c r="Y1701" s="269"/>
      <c r="Z1701" s="269"/>
      <c r="AA1701" s="134"/>
      <c r="AB1701" s="269"/>
      <c r="AC1701" s="284"/>
      <c r="AD1701" s="284"/>
      <c r="AE1701" s="269"/>
    </row>
    <row r="1702" spans="2:31">
      <c r="B1702" s="83"/>
      <c r="C1702" s="81"/>
      <c r="D1702" s="83"/>
      <c r="E1702" s="81"/>
      <c r="F1702" s="269"/>
      <c r="G1702" s="48"/>
      <c r="H1702" s="269"/>
      <c r="I1702" s="72"/>
      <c r="J1702" s="330"/>
      <c r="K1702" s="75"/>
      <c r="L1702" s="157"/>
      <c r="M1702" s="341"/>
      <c r="N1702" s="334"/>
      <c r="O1702" s="394"/>
      <c r="P1702" s="392"/>
      <c r="Q1702" s="363"/>
      <c r="T1702" s="110"/>
      <c r="V1702" s="232"/>
      <c r="W1702" s="269"/>
      <c r="X1702" s="201"/>
      <c r="Y1702" s="269"/>
      <c r="Z1702" s="269"/>
      <c r="AA1702" s="134"/>
      <c r="AB1702" s="269"/>
      <c r="AC1702" s="284"/>
      <c r="AD1702" s="284"/>
      <c r="AE1702" s="269"/>
    </row>
    <row r="1703" spans="2:31">
      <c r="B1703" s="83"/>
      <c r="C1703" s="81"/>
      <c r="D1703" s="83"/>
      <c r="E1703" s="81"/>
      <c r="F1703" s="269"/>
      <c r="G1703" s="48"/>
      <c r="H1703" s="269"/>
      <c r="I1703" s="72"/>
      <c r="J1703" s="330"/>
      <c r="K1703" s="75"/>
      <c r="L1703" s="157"/>
      <c r="M1703" s="341"/>
      <c r="N1703" s="334"/>
      <c r="O1703" s="394"/>
      <c r="P1703" s="392"/>
      <c r="Q1703" s="363"/>
      <c r="T1703" s="110"/>
      <c r="V1703" s="232"/>
      <c r="W1703" s="269"/>
      <c r="X1703" s="201"/>
      <c r="Y1703" s="269"/>
      <c r="Z1703" s="269"/>
      <c r="AA1703" s="134"/>
      <c r="AB1703" s="269"/>
      <c r="AC1703" s="284"/>
      <c r="AD1703" s="284"/>
      <c r="AE1703" s="269"/>
    </row>
    <row r="1704" spans="2:31">
      <c r="B1704" s="83"/>
      <c r="C1704" s="81"/>
      <c r="D1704" s="83"/>
      <c r="E1704" s="81"/>
      <c r="F1704" s="269"/>
      <c r="G1704" s="48"/>
      <c r="H1704" s="269"/>
      <c r="I1704" s="72"/>
      <c r="J1704" s="330"/>
      <c r="K1704" s="75"/>
      <c r="L1704" s="157"/>
      <c r="M1704" s="341"/>
      <c r="N1704" s="334"/>
      <c r="O1704" s="394"/>
      <c r="P1704" s="392"/>
      <c r="Q1704" s="363"/>
      <c r="T1704" s="110"/>
      <c r="V1704" s="232"/>
      <c r="W1704" s="269"/>
      <c r="X1704" s="201"/>
      <c r="Y1704" s="269"/>
      <c r="Z1704" s="269"/>
      <c r="AA1704" s="134"/>
      <c r="AB1704" s="269"/>
      <c r="AC1704" s="284"/>
      <c r="AD1704" s="284"/>
      <c r="AE1704" s="269"/>
    </row>
    <row r="1705" spans="2:31">
      <c r="B1705" s="83"/>
      <c r="C1705" s="81"/>
      <c r="D1705" s="83"/>
      <c r="E1705" s="81"/>
      <c r="F1705" s="269"/>
      <c r="G1705" s="48"/>
      <c r="H1705" s="269"/>
      <c r="I1705" s="72"/>
      <c r="J1705" s="330"/>
      <c r="K1705" s="75"/>
      <c r="L1705" s="157"/>
      <c r="M1705" s="341"/>
      <c r="N1705" s="334"/>
      <c r="O1705" s="394"/>
      <c r="P1705" s="392"/>
      <c r="Q1705" s="363"/>
      <c r="T1705" s="110"/>
      <c r="V1705" s="232"/>
      <c r="W1705" s="269"/>
      <c r="X1705" s="201"/>
      <c r="Y1705" s="269"/>
      <c r="Z1705" s="269"/>
      <c r="AA1705" s="134"/>
      <c r="AB1705" s="269"/>
      <c r="AC1705" s="284"/>
      <c r="AD1705" s="284"/>
      <c r="AE1705" s="269"/>
    </row>
    <row r="1706" spans="2:31">
      <c r="B1706" s="83"/>
      <c r="C1706" s="81"/>
      <c r="D1706" s="83"/>
      <c r="E1706" s="81"/>
      <c r="F1706" s="269"/>
      <c r="G1706" s="48"/>
      <c r="H1706" s="269"/>
      <c r="I1706" s="72"/>
      <c r="J1706" s="330"/>
      <c r="K1706" s="75"/>
      <c r="L1706" s="157"/>
      <c r="M1706" s="341"/>
      <c r="N1706" s="334"/>
      <c r="O1706" s="394"/>
      <c r="P1706" s="392"/>
      <c r="Q1706" s="363"/>
      <c r="T1706" s="110"/>
      <c r="V1706" s="232"/>
      <c r="W1706" s="269"/>
      <c r="X1706" s="201"/>
      <c r="Y1706" s="269"/>
      <c r="Z1706" s="269"/>
      <c r="AA1706" s="134"/>
      <c r="AB1706" s="269"/>
      <c r="AC1706" s="284"/>
      <c r="AD1706" s="284"/>
      <c r="AE1706" s="269"/>
    </row>
    <row r="1707" spans="2:31">
      <c r="B1707" s="83"/>
      <c r="C1707" s="81"/>
      <c r="D1707" s="83"/>
      <c r="E1707" s="81"/>
      <c r="F1707" s="269"/>
      <c r="G1707" s="48"/>
      <c r="H1707" s="269"/>
      <c r="I1707" s="72"/>
      <c r="J1707" s="330"/>
      <c r="K1707" s="75"/>
      <c r="L1707" s="157"/>
      <c r="M1707" s="341"/>
      <c r="N1707" s="334"/>
      <c r="O1707" s="394"/>
      <c r="P1707" s="392"/>
      <c r="Q1707" s="363"/>
      <c r="T1707" s="110"/>
      <c r="V1707" s="232"/>
      <c r="W1707" s="269"/>
      <c r="X1707" s="201"/>
      <c r="Y1707" s="269"/>
      <c r="Z1707" s="269"/>
      <c r="AA1707" s="134"/>
      <c r="AB1707" s="269"/>
      <c r="AC1707" s="284"/>
      <c r="AD1707" s="284"/>
      <c r="AE1707" s="269"/>
    </row>
    <row r="1708" spans="2:31">
      <c r="B1708" s="83"/>
      <c r="C1708" s="81"/>
      <c r="D1708" s="83"/>
      <c r="E1708" s="81"/>
      <c r="F1708" s="269"/>
      <c r="G1708" s="48"/>
      <c r="H1708" s="269"/>
      <c r="I1708" s="72"/>
      <c r="J1708" s="330"/>
      <c r="K1708" s="75"/>
      <c r="L1708" s="157"/>
      <c r="M1708" s="341"/>
      <c r="N1708" s="334"/>
      <c r="O1708" s="394"/>
      <c r="P1708" s="392"/>
      <c r="Q1708" s="363"/>
      <c r="T1708" s="110"/>
      <c r="V1708" s="232"/>
      <c r="W1708" s="269"/>
      <c r="X1708" s="201"/>
      <c r="Y1708" s="269"/>
      <c r="Z1708" s="269"/>
      <c r="AA1708" s="134"/>
      <c r="AB1708" s="269"/>
      <c r="AC1708" s="284"/>
      <c r="AD1708" s="284"/>
      <c r="AE1708" s="269"/>
    </row>
    <row r="1709" spans="2:31">
      <c r="B1709" s="83"/>
      <c r="C1709" s="81"/>
      <c r="D1709" s="83"/>
      <c r="E1709" s="81"/>
      <c r="F1709" s="269"/>
      <c r="G1709" s="48"/>
      <c r="H1709" s="269"/>
      <c r="I1709" s="72"/>
      <c r="J1709" s="330"/>
      <c r="K1709" s="75"/>
      <c r="L1709" s="157"/>
      <c r="M1709" s="341"/>
      <c r="N1709" s="334"/>
      <c r="O1709" s="394"/>
      <c r="P1709" s="392"/>
      <c r="Q1709" s="363"/>
      <c r="T1709" s="110"/>
      <c r="V1709" s="232"/>
      <c r="W1709" s="269"/>
      <c r="X1709" s="201"/>
      <c r="Y1709" s="269"/>
      <c r="Z1709" s="269"/>
      <c r="AA1709" s="134"/>
      <c r="AB1709" s="269"/>
      <c r="AC1709" s="284"/>
      <c r="AD1709" s="284"/>
      <c r="AE1709" s="269"/>
    </row>
    <row r="1710" spans="2:31">
      <c r="B1710" s="83"/>
      <c r="C1710" s="81"/>
      <c r="D1710" s="83"/>
      <c r="E1710" s="81"/>
      <c r="F1710" s="269"/>
      <c r="G1710" s="48"/>
      <c r="H1710" s="269"/>
      <c r="I1710" s="72"/>
      <c r="J1710" s="330"/>
      <c r="K1710" s="75"/>
      <c r="L1710" s="157"/>
      <c r="M1710" s="341"/>
      <c r="N1710" s="334"/>
      <c r="O1710" s="394"/>
      <c r="P1710" s="392"/>
      <c r="Q1710" s="363"/>
      <c r="T1710" s="110"/>
      <c r="V1710" s="232"/>
      <c r="W1710" s="269"/>
      <c r="X1710" s="201"/>
      <c r="Y1710" s="269"/>
      <c r="Z1710" s="269"/>
      <c r="AA1710" s="134"/>
      <c r="AB1710" s="269"/>
      <c r="AC1710" s="284"/>
      <c r="AD1710" s="284"/>
      <c r="AE1710" s="269"/>
    </row>
    <row r="1711" spans="2:31">
      <c r="B1711" s="83"/>
      <c r="C1711" s="81"/>
      <c r="D1711" s="83"/>
      <c r="E1711" s="81"/>
      <c r="F1711" s="269"/>
      <c r="G1711" s="48"/>
      <c r="H1711" s="269"/>
      <c r="I1711" s="72"/>
      <c r="J1711" s="330"/>
      <c r="K1711" s="75"/>
      <c r="L1711" s="157"/>
      <c r="M1711" s="341"/>
      <c r="N1711" s="334"/>
      <c r="O1711" s="394"/>
      <c r="P1711" s="392"/>
      <c r="Q1711" s="363"/>
      <c r="T1711" s="110"/>
      <c r="V1711" s="232"/>
      <c r="W1711" s="269"/>
      <c r="X1711" s="201"/>
      <c r="Y1711" s="269"/>
      <c r="Z1711" s="269"/>
      <c r="AA1711" s="134"/>
      <c r="AB1711" s="269"/>
      <c r="AC1711" s="284"/>
      <c r="AD1711" s="284"/>
      <c r="AE1711" s="269"/>
    </row>
    <row r="1712" spans="2:31">
      <c r="B1712" s="83"/>
      <c r="C1712" s="81"/>
      <c r="D1712" s="83"/>
      <c r="E1712" s="81"/>
      <c r="F1712" s="269"/>
      <c r="G1712" s="48"/>
      <c r="H1712" s="269"/>
      <c r="I1712" s="72"/>
      <c r="J1712" s="330"/>
      <c r="K1712" s="75"/>
      <c r="L1712" s="157"/>
      <c r="M1712" s="341"/>
      <c r="N1712" s="334"/>
      <c r="O1712" s="394"/>
      <c r="P1712" s="392"/>
      <c r="Q1712" s="363"/>
      <c r="T1712" s="110"/>
      <c r="V1712" s="232"/>
      <c r="W1712" s="269"/>
      <c r="X1712" s="201"/>
      <c r="Y1712" s="269"/>
      <c r="Z1712" s="269"/>
      <c r="AA1712" s="134"/>
      <c r="AB1712" s="269"/>
      <c r="AC1712" s="284"/>
      <c r="AD1712" s="284"/>
      <c r="AE1712" s="269"/>
    </row>
    <row r="1713" spans="2:31">
      <c r="B1713" s="83"/>
      <c r="C1713" s="81"/>
      <c r="D1713" s="83"/>
      <c r="E1713" s="81"/>
      <c r="F1713" s="269"/>
      <c r="G1713" s="48"/>
      <c r="H1713" s="269"/>
      <c r="I1713" s="72"/>
      <c r="J1713" s="330"/>
      <c r="K1713" s="75"/>
      <c r="L1713" s="157"/>
      <c r="M1713" s="341"/>
      <c r="N1713" s="334"/>
      <c r="O1713" s="394"/>
      <c r="P1713" s="392"/>
      <c r="Q1713" s="363"/>
      <c r="T1713" s="110"/>
      <c r="V1713" s="232"/>
      <c r="W1713" s="269"/>
      <c r="X1713" s="201"/>
      <c r="Y1713" s="269"/>
      <c r="Z1713" s="269"/>
      <c r="AA1713" s="134"/>
      <c r="AB1713" s="269"/>
      <c r="AC1713" s="284"/>
      <c r="AD1713" s="284"/>
      <c r="AE1713" s="269"/>
    </row>
    <row r="1714" spans="2:31">
      <c r="B1714" s="83"/>
      <c r="C1714" s="81"/>
      <c r="D1714" s="83"/>
      <c r="E1714" s="81"/>
      <c r="F1714" s="269"/>
      <c r="G1714" s="48"/>
      <c r="H1714" s="269"/>
      <c r="I1714" s="72"/>
      <c r="J1714" s="330"/>
      <c r="K1714" s="75"/>
      <c r="L1714" s="157"/>
      <c r="M1714" s="341"/>
      <c r="N1714" s="334"/>
      <c r="O1714" s="394"/>
      <c r="P1714" s="392"/>
      <c r="Q1714" s="363"/>
      <c r="T1714" s="110"/>
      <c r="V1714" s="232"/>
      <c r="W1714" s="269"/>
      <c r="X1714" s="201"/>
      <c r="Y1714" s="269"/>
      <c r="Z1714" s="269"/>
      <c r="AA1714" s="134"/>
      <c r="AB1714" s="269"/>
      <c r="AC1714" s="284"/>
      <c r="AD1714" s="284"/>
      <c r="AE1714" s="269"/>
    </row>
    <row r="1715" spans="2:31">
      <c r="B1715" s="83"/>
      <c r="C1715" s="81"/>
      <c r="D1715" s="83"/>
      <c r="E1715" s="81"/>
      <c r="F1715" s="269"/>
      <c r="G1715" s="48"/>
      <c r="H1715" s="269"/>
      <c r="I1715" s="72"/>
      <c r="J1715" s="330"/>
      <c r="K1715" s="75"/>
      <c r="L1715" s="157"/>
      <c r="M1715" s="341"/>
      <c r="N1715" s="334"/>
      <c r="O1715" s="394"/>
      <c r="P1715" s="392"/>
      <c r="Q1715" s="363"/>
      <c r="T1715" s="110"/>
      <c r="V1715" s="232"/>
      <c r="W1715" s="269"/>
      <c r="X1715" s="201"/>
      <c r="Y1715" s="269"/>
      <c r="Z1715" s="269"/>
      <c r="AA1715" s="134"/>
      <c r="AB1715" s="269"/>
      <c r="AC1715" s="284"/>
      <c r="AD1715" s="284"/>
      <c r="AE1715" s="269"/>
    </row>
    <row r="1716" spans="2:31">
      <c r="B1716" s="83"/>
      <c r="C1716" s="81"/>
      <c r="D1716" s="83"/>
      <c r="E1716" s="81"/>
      <c r="F1716" s="269"/>
      <c r="G1716" s="48"/>
      <c r="H1716" s="269"/>
      <c r="I1716" s="72"/>
      <c r="J1716" s="330"/>
      <c r="K1716" s="75"/>
      <c r="L1716" s="157"/>
      <c r="M1716" s="341"/>
      <c r="N1716" s="334"/>
      <c r="O1716" s="394"/>
      <c r="P1716" s="392"/>
      <c r="Q1716" s="363"/>
      <c r="T1716" s="110"/>
      <c r="V1716" s="232"/>
      <c r="W1716" s="269"/>
      <c r="X1716" s="201"/>
      <c r="Y1716" s="269"/>
      <c r="Z1716" s="269"/>
      <c r="AA1716" s="134"/>
      <c r="AB1716" s="269"/>
      <c r="AC1716" s="284"/>
      <c r="AD1716" s="284"/>
      <c r="AE1716" s="269"/>
    </row>
    <row r="1717" spans="2:31">
      <c r="B1717" s="83"/>
      <c r="C1717" s="81"/>
      <c r="D1717" s="83"/>
      <c r="E1717" s="81"/>
      <c r="F1717" s="269"/>
      <c r="G1717" s="48"/>
      <c r="H1717" s="269"/>
      <c r="I1717" s="72"/>
      <c r="J1717" s="330"/>
      <c r="K1717" s="75"/>
      <c r="L1717" s="157"/>
      <c r="M1717" s="341"/>
      <c r="N1717" s="334"/>
      <c r="O1717" s="394"/>
      <c r="P1717" s="392"/>
      <c r="Q1717" s="363"/>
      <c r="T1717" s="110"/>
      <c r="V1717" s="232"/>
      <c r="W1717" s="269"/>
      <c r="X1717" s="201"/>
      <c r="Y1717" s="269"/>
      <c r="Z1717" s="269"/>
      <c r="AA1717" s="134"/>
      <c r="AB1717" s="269"/>
      <c r="AC1717" s="284"/>
      <c r="AD1717" s="284"/>
      <c r="AE1717" s="269"/>
    </row>
    <row r="1718" spans="2:31">
      <c r="B1718" s="83"/>
      <c r="C1718" s="81"/>
      <c r="D1718" s="83"/>
      <c r="E1718" s="81"/>
      <c r="F1718" s="269"/>
      <c r="G1718" s="48"/>
      <c r="H1718" s="269"/>
      <c r="I1718" s="72"/>
      <c r="J1718" s="330"/>
      <c r="K1718" s="75"/>
      <c r="L1718" s="157"/>
      <c r="M1718" s="341"/>
      <c r="N1718" s="334"/>
      <c r="O1718" s="394"/>
      <c r="P1718" s="392"/>
      <c r="Q1718" s="363"/>
      <c r="T1718" s="110"/>
      <c r="V1718" s="232"/>
      <c r="W1718" s="269"/>
      <c r="X1718" s="201"/>
      <c r="Y1718" s="269"/>
      <c r="Z1718" s="269"/>
      <c r="AA1718" s="134"/>
      <c r="AB1718" s="269"/>
      <c r="AC1718" s="284"/>
      <c r="AD1718" s="284"/>
      <c r="AE1718" s="269"/>
    </row>
    <row r="1719" spans="2:31">
      <c r="B1719" s="83"/>
      <c r="C1719" s="81"/>
      <c r="D1719" s="83"/>
      <c r="E1719" s="81"/>
      <c r="F1719" s="269"/>
      <c r="G1719" s="48"/>
      <c r="H1719" s="269"/>
      <c r="I1719" s="72"/>
      <c r="J1719" s="330"/>
      <c r="K1719" s="75"/>
      <c r="L1719" s="157"/>
      <c r="M1719" s="341"/>
      <c r="N1719" s="334"/>
      <c r="O1719" s="394"/>
      <c r="P1719" s="392"/>
      <c r="Q1719" s="363"/>
      <c r="T1719" s="110"/>
      <c r="V1719" s="232"/>
      <c r="W1719" s="269"/>
      <c r="X1719" s="201"/>
      <c r="Y1719" s="269"/>
      <c r="Z1719" s="269"/>
      <c r="AA1719" s="134"/>
      <c r="AB1719" s="269"/>
      <c r="AC1719" s="284"/>
      <c r="AD1719" s="284"/>
      <c r="AE1719" s="269"/>
    </row>
    <row r="1720" spans="2:31">
      <c r="B1720" s="83"/>
      <c r="C1720" s="81"/>
      <c r="D1720" s="83"/>
      <c r="E1720" s="81"/>
      <c r="F1720" s="269"/>
      <c r="G1720" s="48"/>
      <c r="H1720" s="269"/>
      <c r="I1720" s="72"/>
      <c r="J1720" s="330"/>
      <c r="K1720" s="75"/>
      <c r="L1720" s="157"/>
      <c r="M1720" s="341"/>
      <c r="N1720" s="334"/>
      <c r="O1720" s="394"/>
      <c r="P1720" s="392"/>
      <c r="Q1720" s="363"/>
      <c r="T1720" s="110"/>
      <c r="V1720" s="232"/>
      <c r="W1720" s="269"/>
      <c r="X1720" s="201"/>
      <c r="Y1720" s="269"/>
      <c r="Z1720" s="269"/>
      <c r="AA1720" s="134"/>
      <c r="AB1720" s="269"/>
      <c r="AC1720" s="284"/>
      <c r="AD1720" s="284"/>
      <c r="AE1720" s="269"/>
    </row>
    <row r="1721" spans="2:31">
      <c r="B1721" s="83"/>
      <c r="C1721" s="81"/>
      <c r="D1721" s="83"/>
      <c r="E1721" s="81"/>
      <c r="F1721" s="269"/>
      <c r="G1721" s="48"/>
      <c r="H1721" s="269"/>
      <c r="I1721" s="72"/>
      <c r="J1721" s="330"/>
      <c r="K1721" s="75"/>
      <c r="L1721" s="157"/>
      <c r="M1721" s="341"/>
      <c r="N1721" s="334"/>
      <c r="O1721" s="394"/>
      <c r="P1721" s="392"/>
      <c r="Q1721" s="363"/>
      <c r="T1721" s="110"/>
      <c r="V1721" s="232"/>
      <c r="W1721" s="269"/>
      <c r="X1721" s="201"/>
      <c r="Y1721" s="269"/>
      <c r="Z1721" s="269"/>
      <c r="AA1721" s="134"/>
      <c r="AB1721" s="269"/>
      <c r="AC1721" s="284"/>
      <c r="AD1721" s="284"/>
      <c r="AE1721" s="269"/>
    </row>
    <row r="1722" spans="2:31">
      <c r="B1722" s="83"/>
      <c r="C1722" s="81"/>
      <c r="D1722" s="83"/>
      <c r="E1722" s="81"/>
      <c r="F1722" s="269"/>
      <c r="G1722" s="48"/>
      <c r="H1722" s="269"/>
      <c r="I1722" s="72"/>
      <c r="J1722" s="330"/>
      <c r="K1722" s="75"/>
      <c r="L1722" s="157"/>
      <c r="M1722" s="341"/>
      <c r="N1722" s="334"/>
      <c r="O1722" s="394"/>
      <c r="P1722" s="392"/>
      <c r="Q1722" s="363"/>
      <c r="T1722" s="110"/>
      <c r="V1722" s="232"/>
      <c r="W1722" s="269"/>
      <c r="X1722" s="201"/>
      <c r="Y1722" s="269"/>
      <c r="Z1722" s="269"/>
      <c r="AA1722" s="134"/>
      <c r="AB1722" s="269"/>
      <c r="AC1722" s="284"/>
      <c r="AD1722" s="284"/>
      <c r="AE1722" s="269"/>
    </row>
    <row r="1723" spans="2:31">
      <c r="B1723" s="83"/>
      <c r="C1723" s="81"/>
      <c r="D1723" s="83"/>
      <c r="E1723" s="81"/>
      <c r="F1723" s="269"/>
      <c r="G1723" s="48"/>
      <c r="H1723" s="269"/>
      <c r="I1723" s="72"/>
      <c r="J1723" s="330"/>
      <c r="K1723" s="75"/>
      <c r="L1723" s="157"/>
      <c r="M1723" s="341"/>
      <c r="N1723" s="334"/>
      <c r="O1723" s="394"/>
      <c r="P1723" s="392"/>
      <c r="Q1723" s="363"/>
      <c r="T1723" s="110"/>
      <c r="V1723" s="232"/>
      <c r="W1723" s="269"/>
      <c r="X1723" s="201"/>
      <c r="Y1723" s="269"/>
      <c r="Z1723" s="269"/>
      <c r="AA1723" s="134"/>
      <c r="AB1723" s="269"/>
      <c r="AC1723" s="284"/>
      <c r="AD1723" s="284"/>
      <c r="AE1723" s="269"/>
    </row>
    <row r="1724" spans="2:31">
      <c r="B1724" s="83"/>
      <c r="C1724" s="81"/>
      <c r="D1724" s="83"/>
      <c r="E1724" s="81"/>
      <c r="F1724" s="269"/>
      <c r="G1724" s="48"/>
      <c r="H1724" s="269"/>
      <c r="I1724" s="72"/>
      <c r="J1724" s="330"/>
      <c r="K1724" s="75"/>
      <c r="L1724" s="157"/>
      <c r="M1724" s="341"/>
      <c r="N1724" s="334"/>
      <c r="O1724" s="394"/>
      <c r="P1724" s="392"/>
      <c r="Q1724" s="363"/>
      <c r="T1724" s="110"/>
      <c r="V1724" s="232"/>
      <c r="W1724" s="269"/>
      <c r="X1724" s="201"/>
      <c r="Y1724" s="269"/>
      <c r="Z1724" s="269"/>
      <c r="AA1724" s="134"/>
      <c r="AB1724" s="269"/>
      <c r="AC1724" s="284"/>
      <c r="AD1724" s="284"/>
      <c r="AE1724" s="269"/>
    </row>
    <row r="1725" spans="2:31">
      <c r="B1725" s="83"/>
      <c r="C1725" s="81"/>
      <c r="D1725" s="83"/>
      <c r="E1725" s="81"/>
      <c r="F1725" s="269"/>
      <c r="G1725" s="48"/>
      <c r="H1725" s="269"/>
      <c r="I1725" s="72"/>
      <c r="J1725" s="330"/>
      <c r="K1725" s="75"/>
      <c r="L1725" s="157"/>
      <c r="M1725" s="341"/>
      <c r="N1725" s="334"/>
      <c r="O1725" s="394"/>
      <c r="P1725" s="392"/>
      <c r="Q1725" s="363"/>
      <c r="T1725" s="110"/>
      <c r="V1725" s="232"/>
      <c r="W1725" s="269"/>
      <c r="X1725" s="201"/>
      <c r="Y1725" s="269"/>
      <c r="Z1725" s="269"/>
      <c r="AA1725" s="134"/>
      <c r="AB1725" s="269"/>
      <c r="AC1725" s="284"/>
      <c r="AD1725" s="284"/>
      <c r="AE1725" s="269"/>
    </row>
    <row r="1726" spans="2:31">
      <c r="B1726" s="83"/>
      <c r="C1726" s="81"/>
      <c r="D1726" s="83"/>
      <c r="E1726" s="81"/>
      <c r="F1726" s="269"/>
      <c r="G1726" s="48"/>
      <c r="H1726" s="269"/>
      <c r="I1726" s="72"/>
      <c r="J1726" s="330"/>
      <c r="K1726" s="75"/>
      <c r="L1726" s="157"/>
      <c r="M1726" s="341"/>
      <c r="N1726" s="334"/>
      <c r="O1726" s="394"/>
      <c r="P1726" s="392"/>
      <c r="Q1726" s="363"/>
      <c r="T1726" s="110"/>
      <c r="V1726" s="232"/>
      <c r="W1726" s="269"/>
      <c r="X1726" s="201"/>
      <c r="Y1726" s="269"/>
      <c r="Z1726" s="269"/>
      <c r="AA1726" s="134"/>
      <c r="AB1726" s="269"/>
      <c r="AC1726" s="284"/>
      <c r="AD1726" s="284"/>
      <c r="AE1726" s="269"/>
    </row>
    <row r="1727" spans="2:31">
      <c r="B1727" s="83"/>
      <c r="C1727" s="81"/>
      <c r="D1727" s="83"/>
      <c r="E1727" s="81"/>
      <c r="F1727" s="269"/>
      <c r="G1727" s="48"/>
      <c r="H1727" s="269"/>
      <c r="I1727" s="72"/>
      <c r="J1727" s="330"/>
      <c r="K1727" s="75"/>
      <c r="L1727" s="157"/>
      <c r="M1727" s="341"/>
      <c r="N1727" s="334"/>
      <c r="O1727" s="394"/>
      <c r="P1727" s="392"/>
      <c r="Q1727" s="363"/>
      <c r="T1727" s="110"/>
      <c r="V1727" s="232"/>
      <c r="W1727" s="269"/>
      <c r="X1727" s="201"/>
      <c r="Y1727" s="269"/>
      <c r="Z1727" s="269"/>
      <c r="AA1727" s="134"/>
      <c r="AB1727" s="269"/>
      <c r="AC1727" s="284"/>
      <c r="AD1727" s="284"/>
      <c r="AE1727" s="269"/>
    </row>
    <row r="1728" spans="2:31">
      <c r="B1728" s="83"/>
      <c r="C1728" s="81"/>
      <c r="D1728" s="83"/>
      <c r="E1728" s="81"/>
      <c r="F1728" s="269"/>
      <c r="G1728" s="48"/>
      <c r="H1728" s="269"/>
      <c r="I1728" s="72"/>
      <c r="J1728" s="330"/>
      <c r="K1728" s="75"/>
      <c r="L1728" s="157"/>
      <c r="M1728" s="341"/>
      <c r="N1728" s="334"/>
      <c r="O1728" s="394"/>
      <c r="P1728" s="392"/>
      <c r="Q1728" s="363"/>
      <c r="T1728" s="110"/>
      <c r="V1728" s="232"/>
      <c r="W1728" s="269"/>
      <c r="X1728" s="201"/>
      <c r="Y1728" s="269"/>
      <c r="Z1728" s="269"/>
      <c r="AA1728" s="134"/>
      <c r="AB1728" s="269"/>
      <c r="AC1728" s="284"/>
      <c r="AD1728" s="284"/>
      <c r="AE1728" s="269"/>
    </row>
    <row r="1729" spans="2:31">
      <c r="B1729" s="83"/>
      <c r="C1729" s="81"/>
      <c r="D1729" s="83"/>
      <c r="E1729" s="81"/>
      <c r="F1729" s="269"/>
      <c r="G1729" s="48"/>
      <c r="H1729" s="269"/>
      <c r="I1729" s="72"/>
      <c r="J1729" s="330"/>
      <c r="K1729" s="75"/>
      <c r="L1729" s="157"/>
      <c r="M1729" s="341"/>
      <c r="N1729" s="334"/>
      <c r="O1729" s="394"/>
      <c r="P1729" s="392"/>
      <c r="Q1729" s="363"/>
      <c r="T1729" s="110"/>
      <c r="V1729" s="232"/>
      <c r="W1729" s="269"/>
      <c r="X1729" s="201"/>
      <c r="Y1729" s="269"/>
      <c r="Z1729" s="269"/>
      <c r="AA1729" s="134"/>
      <c r="AB1729" s="269"/>
      <c r="AC1729" s="284"/>
      <c r="AD1729" s="284"/>
      <c r="AE1729" s="269"/>
    </row>
    <row r="1730" spans="2:31">
      <c r="B1730" s="83"/>
      <c r="C1730" s="81"/>
      <c r="D1730" s="83"/>
      <c r="E1730" s="81"/>
      <c r="F1730" s="269"/>
      <c r="G1730" s="48"/>
      <c r="H1730" s="269"/>
      <c r="I1730" s="72"/>
      <c r="J1730" s="330"/>
      <c r="K1730" s="75"/>
      <c r="L1730" s="157"/>
      <c r="M1730" s="341"/>
      <c r="N1730" s="334"/>
      <c r="O1730" s="394"/>
      <c r="P1730" s="392"/>
      <c r="Q1730" s="363"/>
      <c r="T1730" s="110"/>
      <c r="V1730" s="232"/>
      <c r="W1730" s="269"/>
      <c r="X1730" s="201"/>
      <c r="Y1730" s="269"/>
      <c r="Z1730" s="269"/>
      <c r="AA1730" s="134"/>
      <c r="AB1730" s="269"/>
      <c r="AC1730" s="284"/>
      <c r="AD1730" s="284"/>
      <c r="AE1730" s="269"/>
    </row>
    <row r="1731" spans="2:31">
      <c r="B1731" s="83"/>
      <c r="C1731" s="81"/>
      <c r="D1731" s="83"/>
      <c r="E1731" s="81"/>
      <c r="F1731" s="269"/>
      <c r="G1731" s="48"/>
      <c r="H1731" s="269"/>
      <c r="I1731" s="72"/>
      <c r="J1731" s="330"/>
      <c r="K1731" s="75"/>
      <c r="L1731" s="157"/>
      <c r="M1731" s="341"/>
      <c r="N1731" s="334"/>
      <c r="O1731" s="394"/>
      <c r="P1731" s="392"/>
      <c r="Q1731" s="363"/>
      <c r="T1731" s="110"/>
      <c r="V1731" s="232"/>
      <c r="W1731" s="269"/>
      <c r="X1731" s="201"/>
      <c r="Y1731" s="269"/>
      <c r="Z1731" s="269"/>
      <c r="AA1731" s="134"/>
      <c r="AB1731" s="269"/>
      <c r="AC1731" s="284"/>
      <c r="AD1731" s="284"/>
      <c r="AE1731" s="269"/>
    </row>
    <row r="1732" spans="2:31">
      <c r="B1732" s="83"/>
      <c r="C1732" s="81"/>
      <c r="D1732" s="83"/>
      <c r="E1732" s="81"/>
      <c r="F1732" s="269"/>
      <c r="G1732" s="48"/>
      <c r="H1732" s="269"/>
      <c r="I1732" s="72"/>
      <c r="J1732" s="330"/>
      <c r="K1732" s="75"/>
      <c r="L1732" s="157"/>
      <c r="M1732" s="341"/>
      <c r="N1732" s="334"/>
      <c r="O1732" s="394"/>
      <c r="P1732" s="392"/>
      <c r="Q1732" s="363"/>
      <c r="T1732" s="110"/>
      <c r="V1732" s="232"/>
      <c r="W1732" s="269"/>
      <c r="X1732" s="201"/>
      <c r="Y1732" s="269"/>
      <c r="Z1732" s="269"/>
      <c r="AA1732" s="134"/>
      <c r="AB1732" s="269"/>
      <c r="AC1732" s="284"/>
      <c r="AD1732" s="284"/>
      <c r="AE1732" s="269"/>
    </row>
    <row r="1733" spans="2:31">
      <c r="B1733" s="83"/>
      <c r="C1733" s="81"/>
      <c r="D1733" s="83"/>
      <c r="E1733" s="81"/>
      <c r="F1733" s="269"/>
      <c r="G1733" s="48"/>
      <c r="H1733" s="269"/>
      <c r="I1733" s="72"/>
      <c r="J1733" s="330"/>
      <c r="K1733" s="75"/>
      <c r="L1733" s="157"/>
      <c r="M1733" s="341"/>
      <c r="N1733" s="334"/>
      <c r="O1733" s="394"/>
      <c r="P1733" s="392"/>
      <c r="Q1733" s="363"/>
      <c r="T1733" s="110"/>
      <c r="V1733" s="232"/>
      <c r="W1733" s="269"/>
      <c r="X1733" s="201"/>
      <c r="Y1733" s="269"/>
      <c r="Z1733" s="269"/>
      <c r="AA1733" s="134"/>
      <c r="AB1733" s="269"/>
      <c r="AC1733" s="284"/>
      <c r="AD1733" s="284"/>
      <c r="AE1733" s="269"/>
    </row>
    <row r="1734" spans="2:31">
      <c r="B1734" s="83"/>
      <c r="C1734" s="81"/>
      <c r="D1734" s="83"/>
      <c r="E1734" s="81"/>
      <c r="F1734" s="269"/>
      <c r="G1734" s="48"/>
      <c r="H1734" s="269"/>
      <c r="I1734" s="72"/>
      <c r="J1734" s="330"/>
      <c r="K1734" s="75"/>
      <c r="L1734" s="157"/>
      <c r="M1734" s="341"/>
      <c r="N1734" s="334"/>
      <c r="O1734" s="394"/>
      <c r="P1734" s="392"/>
      <c r="Q1734" s="363"/>
      <c r="T1734" s="110"/>
      <c r="V1734" s="232"/>
      <c r="W1734" s="269"/>
      <c r="X1734" s="201"/>
      <c r="Y1734" s="269"/>
      <c r="Z1734" s="269"/>
      <c r="AA1734" s="134"/>
      <c r="AB1734" s="269"/>
      <c r="AC1734" s="284"/>
      <c r="AD1734" s="284"/>
      <c r="AE1734" s="269"/>
    </row>
    <row r="1735" spans="2:31">
      <c r="B1735" s="83"/>
      <c r="C1735" s="81"/>
      <c r="D1735" s="83"/>
      <c r="E1735" s="81"/>
      <c r="F1735" s="269"/>
      <c r="G1735" s="48"/>
      <c r="H1735" s="269"/>
      <c r="I1735" s="72"/>
      <c r="J1735" s="330"/>
      <c r="K1735" s="75"/>
      <c r="L1735" s="157"/>
      <c r="M1735" s="341"/>
      <c r="N1735" s="334"/>
      <c r="O1735" s="394"/>
      <c r="P1735" s="392"/>
      <c r="Q1735" s="363"/>
      <c r="T1735" s="110"/>
      <c r="V1735" s="232"/>
      <c r="W1735" s="269"/>
      <c r="X1735" s="201"/>
      <c r="Y1735" s="269"/>
      <c r="Z1735" s="269"/>
      <c r="AA1735" s="134"/>
      <c r="AB1735" s="269"/>
      <c r="AC1735" s="284"/>
      <c r="AD1735" s="284"/>
      <c r="AE1735" s="269"/>
    </row>
    <row r="1736" spans="2:31">
      <c r="B1736" s="83"/>
      <c r="C1736" s="81"/>
      <c r="D1736" s="83"/>
      <c r="E1736" s="81"/>
      <c r="F1736" s="269"/>
      <c r="G1736" s="48"/>
      <c r="H1736" s="269"/>
      <c r="I1736" s="72"/>
      <c r="J1736" s="330"/>
      <c r="K1736" s="75"/>
      <c r="L1736" s="157"/>
      <c r="M1736" s="341"/>
      <c r="N1736" s="334"/>
      <c r="O1736" s="394"/>
      <c r="P1736" s="392"/>
      <c r="Q1736" s="363"/>
      <c r="T1736" s="110"/>
      <c r="V1736" s="232"/>
      <c r="W1736" s="269"/>
      <c r="X1736" s="201"/>
      <c r="Y1736" s="269"/>
      <c r="Z1736" s="269"/>
      <c r="AA1736" s="134"/>
      <c r="AB1736" s="269"/>
      <c r="AC1736" s="284"/>
      <c r="AD1736" s="284"/>
      <c r="AE1736" s="269"/>
    </row>
    <row r="1737" spans="2:31">
      <c r="B1737" s="83"/>
      <c r="C1737" s="81"/>
      <c r="D1737" s="83"/>
      <c r="E1737" s="81"/>
      <c r="F1737" s="269"/>
      <c r="G1737" s="48"/>
      <c r="H1737" s="269"/>
      <c r="I1737" s="72"/>
      <c r="J1737" s="330"/>
      <c r="K1737" s="75"/>
      <c r="L1737" s="157"/>
      <c r="M1737" s="341"/>
      <c r="N1737" s="334"/>
      <c r="O1737" s="394"/>
      <c r="P1737" s="392"/>
      <c r="Q1737" s="363"/>
      <c r="T1737" s="110"/>
      <c r="V1737" s="232"/>
      <c r="W1737" s="269"/>
      <c r="X1737" s="201"/>
      <c r="Y1737" s="269"/>
      <c r="Z1737" s="269"/>
      <c r="AA1737" s="134"/>
      <c r="AB1737" s="269"/>
      <c r="AC1737" s="284"/>
      <c r="AD1737" s="284"/>
      <c r="AE1737" s="269"/>
    </row>
    <row r="1738" spans="2:31">
      <c r="B1738" s="83"/>
      <c r="C1738" s="81"/>
      <c r="D1738" s="83"/>
      <c r="E1738" s="81"/>
      <c r="F1738" s="269"/>
      <c r="G1738" s="48"/>
      <c r="H1738" s="269"/>
      <c r="I1738" s="72"/>
      <c r="J1738" s="330"/>
      <c r="K1738" s="75"/>
      <c r="L1738" s="157"/>
      <c r="M1738" s="341"/>
      <c r="N1738" s="334"/>
      <c r="O1738" s="394"/>
      <c r="P1738" s="392"/>
      <c r="Q1738" s="363"/>
      <c r="T1738" s="110"/>
      <c r="V1738" s="232"/>
      <c r="W1738" s="269"/>
      <c r="X1738" s="201"/>
      <c r="Y1738" s="269"/>
      <c r="Z1738" s="269"/>
      <c r="AA1738" s="134"/>
      <c r="AB1738" s="269"/>
      <c r="AC1738" s="284"/>
      <c r="AD1738" s="284"/>
      <c r="AE1738" s="269"/>
    </row>
    <row r="1739" spans="2:31">
      <c r="B1739" s="83"/>
      <c r="C1739" s="81"/>
      <c r="D1739" s="83"/>
      <c r="E1739" s="81"/>
      <c r="F1739" s="269"/>
      <c r="G1739" s="48"/>
      <c r="H1739" s="269"/>
      <c r="I1739" s="72"/>
      <c r="J1739" s="330"/>
      <c r="K1739" s="75"/>
      <c r="L1739" s="157"/>
      <c r="M1739" s="341"/>
      <c r="N1739" s="334"/>
      <c r="O1739" s="394"/>
      <c r="P1739" s="392"/>
      <c r="Q1739" s="363"/>
      <c r="T1739" s="110"/>
      <c r="V1739" s="232"/>
      <c r="W1739" s="269"/>
      <c r="X1739" s="201"/>
      <c r="Y1739" s="269"/>
      <c r="Z1739" s="269"/>
      <c r="AA1739" s="134"/>
      <c r="AB1739" s="269"/>
      <c r="AC1739" s="284"/>
      <c r="AD1739" s="284"/>
      <c r="AE1739" s="269"/>
    </row>
    <row r="1740" spans="2:31">
      <c r="B1740" s="83"/>
      <c r="C1740" s="81"/>
      <c r="D1740" s="83"/>
      <c r="E1740" s="81"/>
      <c r="F1740" s="269"/>
      <c r="G1740" s="48"/>
      <c r="H1740" s="269"/>
      <c r="I1740" s="72"/>
      <c r="J1740" s="330"/>
      <c r="K1740" s="75"/>
      <c r="L1740" s="157"/>
      <c r="M1740" s="341"/>
      <c r="N1740" s="334"/>
      <c r="O1740" s="394"/>
      <c r="P1740" s="392"/>
      <c r="Q1740" s="363"/>
      <c r="T1740" s="110"/>
      <c r="V1740" s="232"/>
      <c r="W1740" s="269"/>
      <c r="X1740" s="201"/>
      <c r="Y1740" s="269"/>
      <c r="Z1740" s="269"/>
      <c r="AA1740" s="134"/>
      <c r="AB1740" s="269"/>
      <c r="AC1740" s="284"/>
      <c r="AD1740" s="284"/>
      <c r="AE1740" s="269"/>
    </row>
    <row r="1741" spans="2:31">
      <c r="B1741" s="83"/>
      <c r="C1741" s="81"/>
      <c r="D1741" s="83"/>
      <c r="E1741" s="81"/>
      <c r="F1741" s="269"/>
      <c r="G1741" s="48"/>
      <c r="H1741" s="269"/>
      <c r="I1741" s="72"/>
      <c r="J1741" s="330"/>
      <c r="K1741" s="75"/>
      <c r="L1741" s="157"/>
      <c r="M1741" s="341"/>
      <c r="N1741" s="334"/>
      <c r="O1741" s="394"/>
      <c r="P1741" s="392"/>
      <c r="Q1741" s="363"/>
      <c r="T1741" s="110"/>
      <c r="V1741" s="232"/>
      <c r="W1741" s="269"/>
      <c r="X1741" s="201"/>
      <c r="Y1741" s="269"/>
      <c r="Z1741" s="269"/>
      <c r="AA1741" s="134"/>
      <c r="AB1741" s="269"/>
      <c r="AC1741" s="284"/>
      <c r="AD1741" s="284"/>
      <c r="AE1741" s="269"/>
    </row>
    <row r="1742" spans="2:31">
      <c r="B1742" s="83"/>
      <c r="C1742" s="81"/>
      <c r="D1742" s="83"/>
      <c r="E1742" s="81"/>
      <c r="F1742" s="269"/>
      <c r="G1742" s="48"/>
      <c r="H1742" s="269"/>
      <c r="I1742" s="72"/>
      <c r="J1742" s="330"/>
      <c r="K1742" s="75"/>
      <c r="L1742" s="157"/>
      <c r="M1742" s="341"/>
      <c r="N1742" s="334"/>
      <c r="O1742" s="394"/>
      <c r="P1742" s="392"/>
      <c r="Q1742" s="363"/>
      <c r="T1742" s="110"/>
      <c r="V1742" s="232"/>
      <c r="W1742" s="269"/>
      <c r="X1742" s="201"/>
      <c r="Y1742" s="269"/>
      <c r="Z1742" s="269"/>
      <c r="AA1742" s="134"/>
      <c r="AB1742" s="269"/>
      <c r="AC1742" s="284"/>
      <c r="AD1742" s="284"/>
      <c r="AE1742" s="269"/>
    </row>
    <row r="1743" spans="2:31">
      <c r="B1743" s="83"/>
      <c r="C1743" s="81"/>
      <c r="D1743" s="83"/>
      <c r="E1743" s="81"/>
      <c r="F1743" s="269"/>
      <c r="G1743" s="48"/>
      <c r="H1743" s="269"/>
      <c r="I1743" s="72"/>
      <c r="J1743" s="330"/>
      <c r="K1743" s="75"/>
      <c r="L1743" s="157"/>
      <c r="M1743" s="341"/>
      <c r="N1743" s="334"/>
      <c r="O1743" s="394"/>
      <c r="P1743" s="392"/>
      <c r="Q1743" s="363"/>
      <c r="T1743" s="110"/>
      <c r="V1743" s="232"/>
      <c r="W1743" s="269"/>
      <c r="X1743" s="201"/>
      <c r="Y1743" s="269"/>
      <c r="Z1743" s="269"/>
      <c r="AA1743" s="134"/>
      <c r="AB1743" s="269"/>
      <c r="AC1743" s="284"/>
      <c r="AD1743" s="284"/>
      <c r="AE1743" s="269"/>
    </row>
    <row r="1744" spans="2:31">
      <c r="B1744" s="83"/>
      <c r="C1744" s="81"/>
      <c r="D1744" s="83"/>
      <c r="E1744" s="81"/>
      <c r="F1744" s="269"/>
      <c r="G1744" s="48"/>
      <c r="H1744" s="269"/>
      <c r="I1744" s="72"/>
      <c r="J1744" s="330"/>
      <c r="K1744" s="75"/>
      <c r="L1744" s="157"/>
      <c r="M1744" s="341"/>
      <c r="N1744" s="334"/>
      <c r="O1744" s="394"/>
      <c r="P1744" s="392"/>
      <c r="Q1744" s="363"/>
      <c r="T1744" s="110"/>
      <c r="V1744" s="232"/>
      <c r="W1744" s="269"/>
      <c r="X1744" s="201"/>
      <c r="Y1744" s="269"/>
      <c r="Z1744" s="269"/>
      <c r="AA1744" s="134"/>
      <c r="AB1744" s="269"/>
      <c r="AC1744" s="284"/>
      <c r="AD1744" s="284"/>
      <c r="AE1744" s="269"/>
    </row>
    <row r="1745" spans="2:31">
      <c r="B1745" s="83"/>
      <c r="C1745" s="81"/>
      <c r="D1745" s="83"/>
      <c r="E1745" s="81"/>
      <c r="F1745" s="269"/>
      <c r="G1745" s="48"/>
      <c r="H1745" s="269"/>
      <c r="I1745" s="72"/>
      <c r="J1745" s="330"/>
      <c r="K1745" s="75"/>
      <c r="L1745" s="157"/>
      <c r="M1745" s="341"/>
      <c r="N1745" s="334"/>
      <c r="O1745" s="394"/>
      <c r="P1745" s="392"/>
      <c r="Q1745" s="363"/>
      <c r="T1745" s="110"/>
      <c r="V1745" s="232"/>
      <c r="W1745" s="269"/>
      <c r="X1745" s="201"/>
      <c r="Y1745" s="269"/>
      <c r="Z1745" s="269"/>
      <c r="AA1745" s="134"/>
      <c r="AB1745" s="269"/>
      <c r="AC1745" s="284"/>
      <c r="AD1745" s="284"/>
      <c r="AE1745" s="269"/>
    </row>
    <row r="1746" spans="2:31">
      <c r="B1746" s="83"/>
      <c r="C1746" s="81"/>
      <c r="D1746" s="83"/>
      <c r="E1746" s="81"/>
      <c r="F1746" s="269"/>
      <c r="G1746" s="48"/>
      <c r="H1746" s="269"/>
      <c r="I1746" s="72"/>
      <c r="J1746" s="330"/>
      <c r="K1746" s="75"/>
      <c r="L1746" s="157"/>
      <c r="M1746" s="341"/>
      <c r="N1746" s="334"/>
      <c r="O1746" s="394"/>
      <c r="P1746" s="392"/>
      <c r="Q1746" s="363"/>
      <c r="T1746" s="110"/>
      <c r="V1746" s="232"/>
      <c r="W1746" s="269"/>
      <c r="X1746" s="201"/>
      <c r="Y1746" s="269"/>
      <c r="Z1746" s="269"/>
      <c r="AA1746" s="134"/>
      <c r="AB1746" s="269"/>
      <c r="AC1746" s="284"/>
      <c r="AD1746" s="284"/>
      <c r="AE1746" s="269"/>
    </row>
    <row r="1747" spans="2:31">
      <c r="B1747" s="83"/>
      <c r="C1747" s="81"/>
      <c r="D1747" s="83"/>
      <c r="E1747" s="81"/>
      <c r="F1747" s="269"/>
      <c r="G1747" s="48"/>
      <c r="H1747" s="269"/>
      <c r="I1747" s="72"/>
      <c r="J1747" s="330"/>
      <c r="K1747" s="75"/>
      <c r="L1747" s="157"/>
      <c r="M1747" s="341"/>
      <c r="N1747" s="334"/>
      <c r="O1747" s="394"/>
      <c r="P1747" s="392"/>
      <c r="Q1747" s="363"/>
      <c r="T1747" s="110"/>
      <c r="V1747" s="232"/>
      <c r="W1747" s="269"/>
      <c r="X1747" s="201"/>
      <c r="Y1747" s="269"/>
      <c r="Z1747" s="269"/>
      <c r="AA1747" s="134"/>
      <c r="AB1747" s="269"/>
      <c r="AC1747" s="284"/>
      <c r="AD1747" s="284"/>
      <c r="AE1747" s="269"/>
    </row>
    <row r="1748" spans="2:31">
      <c r="B1748" s="83"/>
      <c r="C1748" s="81"/>
      <c r="D1748" s="83"/>
      <c r="E1748" s="81"/>
      <c r="F1748" s="269"/>
      <c r="G1748" s="48"/>
      <c r="H1748" s="269"/>
      <c r="I1748" s="72"/>
      <c r="J1748" s="330"/>
      <c r="K1748" s="75"/>
      <c r="L1748" s="157"/>
      <c r="M1748" s="341"/>
      <c r="N1748" s="334"/>
      <c r="O1748" s="394"/>
      <c r="P1748" s="392"/>
      <c r="Q1748" s="363"/>
      <c r="T1748" s="110"/>
      <c r="V1748" s="232"/>
      <c r="W1748" s="269"/>
      <c r="X1748" s="201"/>
      <c r="Y1748" s="269"/>
      <c r="Z1748" s="269"/>
      <c r="AA1748" s="134"/>
      <c r="AB1748" s="269"/>
      <c r="AC1748" s="284"/>
      <c r="AD1748" s="284"/>
      <c r="AE1748" s="269"/>
    </row>
    <row r="1749" spans="2:31">
      <c r="B1749" s="83"/>
      <c r="C1749" s="81"/>
      <c r="D1749" s="83"/>
      <c r="E1749" s="81"/>
      <c r="F1749" s="269"/>
      <c r="G1749" s="48"/>
      <c r="H1749" s="269"/>
      <c r="I1749" s="72"/>
      <c r="J1749" s="330"/>
      <c r="K1749" s="75"/>
      <c r="L1749" s="157"/>
      <c r="M1749" s="341"/>
      <c r="N1749" s="334"/>
      <c r="O1749" s="394"/>
      <c r="P1749" s="392"/>
      <c r="Q1749" s="363"/>
      <c r="T1749" s="110"/>
      <c r="V1749" s="232"/>
      <c r="W1749" s="269"/>
      <c r="X1749" s="201"/>
      <c r="Y1749" s="269"/>
      <c r="Z1749" s="269"/>
      <c r="AA1749" s="134"/>
      <c r="AB1749" s="269"/>
      <c r="AC1749" s="284"/>
      <c r="AD1749" s="284"/>
      <c r="AE1749" s="269"/>
    </row>
    <row r="1750" spans="2:31">
      <c r="B1750" s="83"/>
      <c r="C1750" s="81"/>
      <c r="D1750" s="83"/>
      <c r="E1750" s="81"/>
      <c r="F1750" s="269"/>
      <c r="G1750" s="48"/>
      <c r="H1750" s="269"/>
      <c r="I1750" s="72"/>
      <c r="J1750" s="330"/>
      <c r="K1750" s="75"/>
      <c r="L1750" s="157"/>
      <c r="M1750" s="341"/>
      <c r="N1750" s="334"/>
      <c r="O1750" s="394"/>
      <c r="P1750" s="392"/>
      <c r="Q1750" s="363"/>
      <c r="T1750" s="110"/>
      <c r="V1750" s="232"/>
      <c r="W1750" s="269"/>
      <c r="X1750" s="201"/>
      <c r="Y1750" s="269"/>
      <c r="Z1750" s="269"/>
      <c r="AA1750" s="134"/>
      <c r="AB1750" s="269"/>
      <c r="AC1750" s="284"/>
      <c r="AD1750" s="284"/>
      <c r="AE1750" s="269"/>
    </row>
    <row r="1751" spans="2:31">
      <c r="B1751" s="83"/>
      <c r="C1751" s="81"/>
      <c r="D1751" s="83"/>
      <c r="E1751" s="81"/>
      <c r="F1751" s="269"/>
      <c r="G1751" s="48"/>
      <c r="H1751" s="269"/>
      <c r="I1751" s="72"/>
      <c r="J1751" s="330"/>
      <c r="K1751" s="75"/>
      <c r="L1751" s="157"/>
      <c r="M1751" s="341"/>
      <c r="N1751" s="334"/>
      <c r="O1751" s="394"/>
      <c r="P1751" s="392"/>
      <c r="Q1751" s="363"/>
      <c r="T1751" s="110"/>
      <c r="V1751" s="232"/>
      <c r="W1751" s="269"/>
      <c r="X1751" s="201"/>
      <c r="Y1751" s="269"/>
      <c r="Z1751" s="269"/>
      <c r="AA1751" s="134"/>
      <c r="AB1751" s="269"/>
      <c r="AC1751" s="284"/>
      <c r="AD1751" s="284"/>
      <c r="AE1751" s="269"/>
    </row>
    <row r="1752" spans="2:31">
      <c r="B1752" s="83"/>
      <c r="C1752" s="81"/>
      <c r="D1752" s="83"/>
      <c r="E1752" s="81"/>
      <c r="F1752" s="269"/>
      <c r="G1752" s="48"/>
      <c r="H1752" s="269"/>
      <c r="I1752" s="72"/>
      <c r="J1752" s="330"/>
      <c r="K1752" s="75"/>
      <c r="L1752" s="157"/>
      <c r="M1752" s="341"/>
      <c r="N1752" s="334"/>
      <c r="O1752" s="394"/>
      <c r="P1752" s="392"/>
      <c r="Q1752" s="363"/>
      <c r="T1752" s="110"/>
      <c r="V1752" s="232"/>
      <c r="W1752" s="269"/>
      <c r="X1752" s="201"/>
      <c r="Y1752" s="269"/>
      <c r="Z1752" s="269"/>
      <c r="AA1752" s="134"/>
      <c r="AB1752" s="269"/>
      <c r="AC1752" s="284"/>
      <c r="AD1752" s="284"/>
      <c r="AE1752" s="269"/>
    </row>
    <row r="1753" spans="2:31">
      <c r="B1753" s="83"/>
      <c r="C1753" s="81"/>
      <c r="D1753" s="83"/>
      <c r="E1753" s="81"/>
      <c r="F1753" s="269"/>
      <c r="G1753" s="48"/>
      <c r="H1753" s="269"/>
      <c r="I1753" s="72"/>
      <c r="J1753" s="330"/>
      <c r="K1753" s="75"/>
      <c r="L1753" s="157"/>
      <c r="M1753" s="341"/>
      <c r="N1753" s="334"/>
      <c r="O1753" s="394"/>
      <c r="P1753" s="392"/>
      <c r="Q1753" s="363"/>
      <c r="T1753" s="110"/>
      <c r="V1753" s="232"/>
      <c r="W1753" s="269"/>
      <c r="X1753" s="201"/>
      <c r="Y1753" s="269"/>
      <c r="Z1753" s="269"/>
      <c r="AA1753" s="134"/>
      <c r="AB1753" s="269"/>
      <c r="AC1753" s="284"/>
      <c r="AD1753" s="284"/>
      <c r="AE1753" s="269"/>
    </row>
    <row r="1754" spans="2:31">
      <c r="B1754" s="83"/>
      <c r="C1754" s="81"/>
      <c r="D1754" s="83"/>
      <c r="E1754" s="81"/>
      <c r="F1754" s="269"/>
      <c r="G1754" s="48"/>
      <c r="H1754" s="269"/>
      <c r="I1754" s="72"/>
      <c r="J1754" s="330"/>
      <c r="K1754" s="75"/>
      <c r="L1754" s="157"/>
      <c r="M1754" s="341"/>
      <c r="N1754" s="334"/>
      <c r="O1754" s="394"/>
      <c r="P1754" s="392"/>
      <c r="Q1754" s="363"/>
      <c r="T1754" s="110"/>
      <c r="V1754" s="232"/>
      <c r="W1754" s="269"/>
      <c r="X1754" s="201"/>
      <c r="Y1754" s="269"/>
      <c r="Z1754" s="269"/>
      <c r="AA1754" s="134"/>
      <c r="AB1754" s="269"/>
      <c r="AC1754" s="284"/>
      <c r="AD1754" s="284"/>
      <c r="AE1754" s="269"/>
    </row>
    <row r="1755" spans="2:31">
      <c r="B1755" s="83"/>
      <c r="C1755" s="81"/>
      <c r="D1755" s="83"/>
      <c r="E1755" s="81"/>
      <c r="F1755" s="269"/>
      <c r="G1755" s="48"/>
      <c r="H1755" s="269"/>
      <c r="I1755" s="72"/>
      <c r="J1755" s="330"/>
      <c r="K1755" s="75"/>
      <c r="L1755" s="157"/>
      <c r="M1755" s="341"/>
      <c r="N1755" s="334"/>
      <c r="O1755" s="394"/>
      <c r="P1755" s="392"/>
      <c r="Q1755" s="363"/>
      <c r="T1755" s="110"/>
      <c r="V1755" s="232"/>
      <c r="W1755" s="269"/>
      <c r="X1755" s="201"/>
      <c r="Y1755" s="269"/>
      <c r="Z1755" s="269"/>
      <c r="AA1755" s="134"/>
      <c r="AB1755" s="269"/>
      <c r="AC1755" s="284"/>
      <c r="AD1755" s="284"/>
      <c r="AE1755" s="269"/>
    </row>
    <row r="1756" spans="2:31">
      <c r="B1756" s="83"/>
      <c r="C1756" s="81"/>
      <c r="D1756" s="83"/>
      <c r="E1756" s="81"/>
      <c r="F1756" s="269"/>
      <c r="G1756" s="48"/>
      <c r="H1756" s="269"/>
      <c r="I1756" s="72"/>
      <c r="J1756" s="330"/>
      <c r="K1756" s="75"/>
      <c r="L1756" s="157"/>
      <c r="M1756" s="341"/>
      <c r="N1756" s="334"/>
      <c r="O1756" s="394"/>
      <c r="P1756" s="392"/>
      <c r="Q1756" s="363"/>
      <c r="T1756" s="110"/>
      <c r="V1756" s="232"/>
      <c r="W1756" s="269"/>
      <c r="X1756" s="201"/>
      <c r="Y1756" s="269"/>
      <c r="Z1756" s="269"/>
      <c r="AA1756" s="134"/>
      <c r="AB1756" s="269"/>
      <c r="AC1756" s="284"/>
      <c r="AD1756" s="284"/>
      <c r="AE1756" s="269"/>
    </row>
    <row r="1757" spans="2:31">
      <c r="B1757" s="83"/>
      <c r="C1757" s="81"/>
      <c r="D1757" s="83"/>
      <c r="E1757" s="81"/>
      <c r="F1757" s="269"/>
      <c r="G1757" s="48"/>
      <c r="H1757" s="269"/>
      <c r="I1757" s="72"/>
      <c r="J1757" s="330"/>
      <c r="K1757" s="75"/>
      <c r="L1757" s="157"/>
      <c r="M1757" s="341"/>
      <c r="N1757" s="334"/>
      <c r="O1757" s="394"/>
      <c r="P1757" s="392"/>
      <c r="Q1757" s="363"/>
      <c r="T1757" s="110"/>
      <c r="V1757" s="232"/>
      <c r="W1757" s="269"/>
      <c r="X1757" s="201"/>
      <c r="Y1757" s="269"/>
      <c r="Z1757" s="269"/>
      <c r="AA1757" s="134"/>
      <c r="AB1757" s="269"/>
      <c r="AC1757" s="284"/>
      <c r="AD1757" s="284"/>
      <c r="AE1757" s="269"/>
    </row>
    <row r="1758" spans="2:31">
      <c r="B1758" s="83"/>
      <c r="C1758" s="81"/>
      <c r="D1758" s="83"/>
      <c r="E1758" s="81"/>
      <c r="F1758" s="269"/>
      <c r="G1758" s="48"/>
      <c r="H1758" s="269"/>
      <c r="I1758" s="72"/>
      <c r="J1758" s="330"/>
      <c r="K1758" s="75"/>
      <c r="L1758" s="157"/>
      <c r="M1758" s="341"/>
      <c r="N1758" s="334"/>
      <c r="O1758" s="394"/>
      <c r="P1758" s="392"/>
      <c r="Q1758" s="363"/>
      <c r="T1758" s="110"/>
      <c r="V1758" s="232"/>
      <c r="W1758" s="269"/>
      <c r="X1758" s="201"/>
      <c r="Y1758" s="269"/>
      <c r="Z1758" s="269"/>
      <c r="AA1758" s="134"/>
      <c r="AB1758" s="269"/>
      <c r="AC1758" s="284"/>
      <c r="AD1758" s="284"/>
      <c r="AE1758" s="269"/>
    </row>
    <row r="1759" spans="2:31">
      <c r="B1759" s="83"/>
      <c r="C1759" s="81"/>
      <c r="D1759" s="83"/>
      <c r="E1759" s="81"/>
      <c r="F1759" s="269"/>
      <c r="G1759" s="48"/>
      <c r="H1759" s="269"/>
      <c r="I1759" s="72"/>
      <c r="J1759" s="330"/>
      <c r="K1759" s="75"/>
      <c r="L1759" s="157"/>
      <c r="M1759" s="341"/>
      <c r="N1759" s="334"/>
      <c r="O1759" s="394"/>
      <c r="P1759" s="392"/>
      <c r="Q1759" s="363"/>
      <c r="T1759" s="110"/>
      <c r="V1759" s="232"/>
      <c r="W1759" s="269"/>
      <c r="X1759" s="201"/>
      <c r="Y1759" s="269"/>
      <c r="Z1759" s="269"/>
      <c r="AA1759" s="134"/>
      <c r="AB1759" s="269"/>
      <c r="AC1759" s="284"/>
      <c r="AD1759" s="284"/>
      <c r="AE1759" s="269"/>
    </row>
    <row r="1760" spans="2:31">
      <c r="B1760" s="83"/>
      <c r="C1760" s="81"/>
      <c r="D1760" s="83"/>
      <c r="E1760" s="81"/>
      <c r="F1760" s="269"/>
      <c r="G1760" s="48"/>
      <c r="H1760" s="269"/>
      <c r="I1760" s="72"/>
      <c r="J1760" s="330"/>
      <c r="K1760" s="75"/>
      <c r="L1760" s="157"/>
      <c r="M1760" s="341"/>
      <c r="N1760" s="334"/>
      <c r="O1760" s="394"/>
      <c r="P1760" s="392"/>
      <c r="Q1760" s="363"/>
      <c r="T1760" s="110"/>
      <c r="V1760" s="232"/>
      <c r="W1760" s="269"/>
      <c r="X1760" s="201"/>
      <c r="Y1760" s="269"/>
      <c r="Z1760" s="269"/>
      <c r="AA1760" s="134"/>
      <c r="AB1760" s="269"/>
      <c r="AC1760" s="284"/>
      <c r="AD1760" s="284"/>
      <c r="AE1760" s="269"/>
    </row>
    <row r="1761" spans="2:31">
      <c r="B1761" s="83"/>
      <c r="C1761" s="81"/>
      <c r="D1761" s="83"/>
      <c r="E1761" s="81"/>
      <c r="F1761" s="269"/>
      <c r="G1761" s="48"/>
      <c r="H1761" s="269"/>
      <c r="I1761" s="72"/>
      <c r="J1761" s="330"/>
      <c r="K1761" s="75"/>
      <c r="L1761" s="157"/>
      <c r="M1761" s="341"/>
      <c r="N1761" s="334"/>
      <c r="O1761" s="394"/>
      <c r="P1761" s="392"/>
      <c r="Q1761" s="363"/>
      <c r="T1761" s="110"/>
      <c r="V1761" s="232"/>
      <c r="W1761" s="269"/>
      <c r="X1761" s="201"/>
      <c r="Y1761" s="269"/>
      <c r="Z1761" s="269"/>
      <c r="AA1761" s="134"/>
      <c r="AB1761" s="269"/>
      <c r="AC1761" s="284"/>
      <c r="AD1761" s="284"/>
      <c r="AE1761" s="269"/>
    </row>
    <row r="1762" spans="2:31">
      <c r="B1762" s="83"/>
      <c r="C1762" s="81"/>
      <c r="D1762" s="83"/>
      <c r="E1762" s="81"/>
      <c r="F1762" s="269"/>
      <c r="G1762" s="48"/>
      <c r="H1762" s="269"/>
      <c r="I1762" s="72"/>
      <c r="J1762" s="330"/>
      <c r="K1762" s="75"/>
      <c r="L1762" s="157"/>
      <c r="M1762" s="341"/>
      <c r="N1762" s="334"/>
      <c r="O1762" s="394"/>
      <c r="P1762" s="392"/>
      <c r="Q1762" s="363"/>
      <c r="T1762" s="110"/>
      <c r="V1762" s="232"/>
      <c r="W1762" s="269"/>
      <c r="X1762" s="201"/>
      <c r="Y1762" s="269"/>
      <c r="Z1762" s="269"/>
      <c r="AA1762" s="134"/>
      <c r="AB1762" s="269"/>
      <c r="AC1762" s="284"/>
      <c r="AD1762" s="284"/>
      <c r="AE1762" s="269"/>
    </row>
    <row r="1763" spans="2:31">
      <c r="B1763" s="83"/>
      <c r="C1763" s="81"/>
      <c r="D1763" s="83"/>
      <c r="E1763" s="81"/>
      <c r="F1763" s="269"/>
      <c r="G1763" s="48"/>
      <c r="H1763" s="269"/>
      <c r="I1763" s="72"/>
      <c r="J1763" s="330"/>
      <c r="K1763" s="75"/>
      <c r="L1763" s="157"/>
      <c r="M1763" s="341"/>
      <c r="N1763" s="334"/>
      <c r="O1763" s="394"/>
      <c r="P1763" s="392"/>
      <c r="Q1763" s="363"/>
      <c r="T1763" s="110"/>
      <c r="V1763" s="232"/>
      <c r="W1763" s="269"/>
      <c r="X1763" s="201"/>
      <c r="Y1763" s="269"/>
      <c r="Z1763" s="269"/>
      <c r="AA1763" s="134"/>
      <c r="AB1763" s="269"/>
      <c r="AC1763" s="284"/>
      <c r="AD1763" s="284"/>
      <c r="AE1763" s="269"/>
    </row>
    <row r="1764" spans="2:31">
      <c r="B1764" s="83"/>
      <c r="C1764" s="81"/>
      <c r="D1764" s="83"/>
      <c r="E1764" s="81"/>
      <c r="F1764" s="269"/>
      <c r="G1764" s="48"/>
      <c r="H1764" s="269"/>
      <c r="I1764" s="72"/>
      <c r="J1764" s="330"/>
      <c r="K1764" s="75"/>
      <c r="L1764" s="157"/>
      <c r="M1764" s="341"/>
      <c r="N1764" s="334"/>
      <c r="O1764" s="394"/>
      <c r="P1764" s="392"/>
      <c r="Q1764" s="363"/>
      <c r="T1764" s="110"/>
      <c r="V1764" s="232"/>
      <c r="W1764" s="269"/>
      <c r="X1764" s="201"/>
      <c r="Y1764" s="269"/>
      <c r="Z1764" s="269"/>
      <c r="AA1764" s="134"/>
      <c r="AB1764" s="269"/>
      <c r="AC1764" s="284"/>
      <c r="AD1764" s="284"/>
      <c r="AE1764" s="269"/>
    </row>
    <row r="1765" spans="2:31">
      <c r="B1765" s="83"/>
      <c r="C1765" s="81"/>
      <c r="D1765" s="83"/>
      <c r="E1765" s="81"/>
      <c r="F1765" s="269"/>
      <c r="G1765" s="48"/>
      <c r="H1765" s="269"/>
      <c r="I1765" s="72"/>
      <c r="J1765" s="330"/>
      <c r="K1765" s="75"/>
      <c r="L1765" s="157"/>
      <c r="M1765" s="341"/>
      <c r="N1765" s="334"/>
      <c r="O1765" s="394"/>
      <c r="P1765" s="392"/>
      <c r="Q1765" s="363"/>
      <c r="T1765" s="110"/>
      <c r="V1765" s="232"/>
      <c r="W1765" s="269"/>
      <c r="X1765" s="201"/>
      <c r="Y1765" s="269"/>
      <c r="Z1765" s="269"/>
      <c r="AA1765" s="134"/>
      <c r="AB1765" s="269"/>
      <c r="AC1765" s="284"/>
      <c r="AD1765" s="284"/>
      <c r="AE1765" s="269"/>
    </row>
    <row r="1766" spans="2:31">
      <c r="B1766" s="83"/>
      <c r="C1766" s="81"/>
      <c r="D1766" s="83"/>
      <c r="E1766" s="81"/>
      <c r="F1766" s="269"/>
      <c r="G1766" s="48"/>
      <c r="H1766" s="269"/>
      <c r="I1766" s="72"/>
      <c r="J1766" s="330"/>
      <c r="K1766" s="75"/>
      <c r="L1766" s="157"/>
      <c r="M1766" s="341"/>
      <c r="N1766" s="334"/>
      <c r="O1766" s="394"/>
      <c r="P1766" s="392"/>
      <c r="Q1766" s="363"/>
      <c r="T1766" s="110"/>
      <c r="V1766" s="232"/>
      <c r="W1766" s="269"/>
      <c r="X1766" s="201"/>
      <c r="Y1766" s="269"/>
      <c r="Z1766" s="269"/>
      <c r="AA1766" s="134"/>
      <c r="AB1766" s="269"/>
      <c r="AC1766" s="284"/>
      <c r="AD1766" s="284"/>
      <c r="AE1766" s="269"/>
    </row>
    <row r="1767" spans="2:31">
      <c r="B1767" s="83"/>
      <c r="C1767" s="81"/>
      <c r="D1767" s="83"/>
      <c r="E1767" s="81"/>
      <c r="F1767" s="269"/>
      <c r="G1767" s="48"/>
      <c r="H1767" s="269"/>
      <c r="I1767" s="72"/>
      <c r="J1767" s="330"/>
      <c r="K1767" s="75"/>
      <c r="L1767" s="157"/>
      <c r="M1767" s="341"/>
      <c r="N1767" s="334"/>
      <c r="O1767" s="394"/>
      <c r="P1767" s="392"/>
      <c r="Q1767" s="363"/>
      <c r="T1767" s="110"/>
      <c r="V1767" s="232"/>
      <c r="W1767" s="269"/>
      <c r="X1767" s="201"/>
      <c r="Y1767" s="269"/>
      <c r="Z1767" s="269"/>
      <c r="AA1767" s="134"/>
      <c r="AB1767" s="269"/>
      <c r="AC1767" s="284"/>
      <c r="AD1767" s="284"/>
      <c r="AE1767" s="269"/>
    </row>
    <row r="1768" spans="2:31">
      <c r="B1768" s="83"/>
      <c r="C1768" s="81"/>
      <c r="D1768" s="83"/>
      <c r="E1768" s="81"/>
      <c r="F1768" s="269"/>
      <c r="G1768" s="48"/>
      <c r="H1768" s="269"/>
      <c r="I1768" s="72"/>
      <c r="J1768" s="330"/>
      <c r="K1768" s="75"/>
      <c r="L1768" s="157"/>
      <c r="M1768" s="341"/>
      <c r="N1768" s="334"/>
      <c r="O1768" s="394"/>
      <c r="P1768" s="392"/>
      <c r="Q1768" s="363"/>
      <c r="T1768" s="110"/>
      <c r="V1768" s="232"/>
      <c r="W1768" s="269"/>
      <c r="X1768" s="201"/>
      <c r="Y1768" s="269"/>
      <c r="Z1768" s="269"/>
      <c r="AA1768" s="134"/>
      <c r="AB1768" s="269"/>
      <c r="AC1768" s="284"/>
      <c r="AD1768" s="284"/>
      <c r="AE1768" s="269"/>
    </row>
    <row r="1769" spans="2:31">
      <c r="B1769" s="83"/>
      <c r="C1769" s="81"/>
      <c r="D1769" s="83"/>
      <c r="E1769" s="81"/>
      <c r="F1769" s="269"/>
      <c r="G1769" s="48"/>
      <c r="H1769" s="269"/>
      <c r="I1769" s="72"/>
      <c r="J1769" s="330"/>
      <c r="K1769" s="75"/>
      <c r="L1769" s="157"/>
      <c r="M1769" s="341"/>
      <c r="N1769" s="334"/>
      <c r="O1769" s="394"/>
      <c r="P1769" s="392"/>
      <c r="Q1769" s="363"/>
      <c r="T1769" s="110"/>
      <c r="V1769" s="232"/>
      <c r="W1769" s="269"/>
      <c r="X1769" s="201"/>
      <c r="Y1769" s="269"/>
      <c r="Z1769" s="269"/>
      <c r="AA1769" s="134"/>
      <c r="AB1769" s="269"/>
      <c r="AC1769" s="284"/>
      <c r="AD1769" s="284"/>
      <c r="AE1769" s="269"/>
    </row>
    <row r="1770" spans="2:31">
      <c r="B1770" s="83"/>
      <c r="C1770" s="81"/>
      <c r="D1770" s="83"/>
      <c r="E1770" s="81"/>
      <c r="F1770" s="269"/>
      <c r="G1770" s="48"/>
      <c r="H1770" s="269"/>
      <c r="I1770" s="72"/>
      <c r="J1770" s="330"/>
      <c r="K1770" s="75"/>
      <c r="L1770" s="157"/>
      <c r="M1770" s="341"/>
      <c r="N1770" s="334"/>
      <c r="O1770" s="394"/>
      <c r="P1770" s="392"/>
      <c r="Q1770" s="363"/>
      <c r="T1770" s="110"/>
      <c r="V1770" s="232"/>
      <c r="W1770" s="269"/>
      <c r="X1770" s="201"/>
      <c r="Y1770" s="269"/>
      <c r="Z1770" s="269"/>
      <c r="AA1770" s="134"/>
      <c r="AB1770" s="269"/>
      <c r="AC1770" s="284"/>
      <c r="AD1770" s="284"/>
      <c r="AE1770" s="269"/>
    </row>
    <row r="1771" spans="2:31">
      <c r="B1771" s="83"/>
      <c r="C1771" s="81"/>
      <c r="D1771" s="83"/>
      <c r="E1771" s="81"/>
      <c r="F1771" s="269"/>
      <c r="G1771" s="48"/>
      <c r="H1771" s="269"/>
      <c r="I1771" s="72"/>
      <c r="J1771" s="330"/>
      <c r="K1771" s="75"/>
      <c r="L1771" s="157"/>
      <c r="M1771" s="341"/>
      <c r="N1771" s="334"/>
      <c r="O1771" s="394"/>
      <c r="P1771" s="392"/>
      <c r="Q1771" s="363"/>
      <c r="T1771" s="110"/>
      <c r="V1771" s="232"/>
      <c r="W1771" s="269"/>
      <c r="X1771" s="201"/>
      <c r="Y1771" s="269"/>
      <c r="Z1771" s="269"/>
      <c r="AA1771" s="134"/>
      <c r="AB1771" s="269"/>
      <c r="AC1771" s="284"/>
      <c r="AD1771" s="284"/>
      <c r="AE1771" s="269"/>
    </row>
    <row r="1772" spans="2:31">
      <c r="B1772" s="83"/>
      <c r="C1772" s="81"/>
      <c r="D1772" s="83"/>
      <c r="E1772" s="81"/>
      <c r="F1772" s="269"/>
      <c r="G1772" s="48"/>
      <c r="H1772" s="269"/>
      <c r="I1772" s="72"/>
      <c r="J1772" s="330"/>
      <c r="K1772" s="75"/>
      <c r="L1772" s="157"/>
      <c r="M1772" s="341"/>
      <c r="N1772" s="334"/>
      <c r="O1772" s="394"/>
      <c r="P1772" s="392"/>
      <c r="Q1772" s="363"/>
      <c r="T1772" s="110"/>
      <c r="V1772" s="232"/>
      <c r="W1772" s="269"/>
      <c r="X1772" s="201"/>
      <c r="Y1772" s="269"/>
      <c r="Z1772" s="269"/>
      <c r="AA1772" s="134"/>
      <c r="AB1772" s="269"/>
      <c r="AC1772" s="284"/>
      <c r="AD1772" s="284"/>
      <c r="AE1772" s="269"/>
    </row>
    <row r="1773" spans="2:31">
      <c r="B1773" s="83"/>
      <c r="C1773" s="81"/>
      <c r="D1773" s="83"/>
      <c r="E1773" s="81"/>
      <c r="F1773" s="269"/>
      <c r="G1773" s="48"/>
      <c r="H1773" s="269"/>
      <c r="I1773" s="72"/>
      <c r="J1773" s="330"/>
      <c r="K1773" s="75"/>
      <c r="L1773" s="157"/>
      <c r="M1773" s="341"/>
      <c r="N1773" s="334"/>
      <c r="O1773" s="394"/>
      <c r="P1773" s="392"/>
      <c r="Q1773" s="363"/>
      <c r="T1773" s="110"/>
      <c r="V1773" s="232"/>
      <c r="W1773" s="269"/>
      <c r="X1773" s="201"/>
      <c r="Y1773" s="269"/>
      <c r="Z1773" s="269"/>
      <c r="AA1773" s="134"/>
      <c r="AB1773" s="269"/>
      <c r="AC1773" s="284"/>
      <c r="AD1773" s="284"/>
      <c r="AE1773" s="269"/>
    </row>
    <row r="1774" spans="2:31">
      <c r="B1774" s="83"/>
      <c r="C1774" s="81"/>
      <c r="D1774" s="83"/>
      <c r="E1774" s="81"/>
      <c r="F1774" s="269"/>
      <c r="G1774" s="48"/>
      <c r="H1774" s="269"/>
      <c r="I1774" s="72"/>
      <c r="J1774" s="330"/>
      <c r="K1774" s="75"/>
      <c r="L1774" s="157"/>
      <c r="M1774" s="341"/>
      <c r="N1774" s="334"/>
      <c r="O1774" s="394"/>
      <c r="P1774" s="392"/>
      <c r="Q1774" s="363"/>
      <c r="T1774" s="110"/>
      <c r="V1774" s="232"/>
      <c r="W1774" s="269"/>
      <c r="X1774" s="201"/>
      <c r="Y1774" s="269"/>
      <c r="Z1774" s="269"/>
      <c r="AA1774" s="134"/>
      <c r="AB1774" s="269"/>
      <c r="AC1774" s="284"/>
      <c r="AD1774" s="284"/>
      <c r="AE1774" s="269"/>
    </row>
    <row r="1775" spans="2:31">
      <c r="B1775" s="83"/>
      <c r="C1775" s="81"/>
      <c r="D1775" s="83"/>
      <c r="E1775" s="81"/>
      <c r="F1775" s="269"/>
      <c r="G1775" s="48"/>
      <c r="H1775" s="269"/>
      <c r="I1775" s="72"/>
      <c r="J1775" s="330"/>
      <c r="K1775" s="75"/>
      <c r="L1775" s="157"/>
      <c r="M1775" s="341"/>
      <c r="N1775" s="334"/>
      <c r="O1775" s="394"/>
      <c r="P1775" s="392"/>
      <c r="Q1775" s="363"/>
      <c r="T1775" s="110"/>
      <c r="V1775" s="232"/>
      <c r="W1775" s="269"/>
      <c r="X1775" s="201"/>
      <c r="Y1775" s="269"/>
      <c r="Z1775" s="269"/>
      <c r="AA1775" s="134"/>
      <c r="AB1775" s="269"/>
      <c r="AC1775" s="284"/>
      <c r="AD1775" s="284"/>
      <c r="AE1775" s="269"/>
    </row>
    <row r="1776" spans="2:31">
      <c r="B1776" s="83"/>
      <c r="C1776" s="81"/>
      <c r="D1776" s="83"/>
      <c r="E1776" s="81"/>
      <c r="F1776" s="269"/>
      <c r="G1776" s="48"/>
      <c r="H1776" s="269"/>
      <c r="I1776" s="72"/>
      <c r="J1776" s="330"/>
      <c r="K1776" s="75"/>
      <c r="L1776" s="157"/>
      <c r="M1776" s="341"/>
      <c r="N1776" s="334"/>
      <c r="O1776" s="394"/>
      <c r="P1776" s="392"/>
      <c r="Q1776" s="363"/>
      <c r="T1776" s="110"/>
      <c r="V1776" s="232"/>
      <c r="W1776" s="269"/>
      <c r="X1776" s="201"/>
      <c r="Y1776" s="269"/>
      <c r="Z1776" s="269"/>
      <c r="AA1776" s="134"/>
      <c r="AB1776" s="269"/>
      <c r="AC1776" s="284"/>
      <c r="AD1776" s="284"/>
      <c r="AE1776" s="269"/>
    </row>
    <row r="1777" spans="2:31">
      <c r="B1777" s="83"/>
      <c r="C1777" s="81"/>
      <c r="D1777" s="83"/>
      <c r="E1777" s="81"/>
      <c r="F1777" s="269"/>
      <c r="G1777" s="48"/>
      <c r="H1777" s="269"/>
      <c r="I1777" s="72"/>
      <c r="J1777" s="330"/>
      <c r="K1777" s="75"/>
      <c r="L1777" s="157"/>
      <c r="M1777" s="341"/>
      <c r="N1777" s="334"/>
      <c r="O1777" s="394"/>
      <c r="P1777" s="392"/>
      <c r="Q1777" s="363"/>
      <c r="T1777" s="110"/>
      <c r="V1777" s="232"/>
      <c r="W1777" s="269"/>
      <c r="X1777" s="201"/>
      <c r="Y1777" s="269"/>
      <c r="Z1777" s="269"/>
      <c r="AA1777" s="134"/>
      <c r="AB1777" s="269"/>
      <c r="AC1777" s="284"/>
      <c r="AD1777" s="284"/>
      <c r="AE1777" s="269"/>
    </row>
    <row r="1778" spans="2:31">
      <c r="B1778" s="83"/>
      <c r="C1778" s="81"/>
      <c r="D1778" s="83"/>
      <c r="E1778" s="81"/>
      <c r="F1778" s="269"/>
      <c r="G1778" s="48"/>
      <c r="H1778" s="269"/>
      <c r="I1778" s="72"/>
      <c r="J1778" s="330"/>
      <c r="K1778" s="75"/>
      <c r="L1778" s="157"/>
      <c r="M1778" s="341"/>
      <c r="N1778" s="334"/>
      <c r="O1778" s="394"/>
      <c r="P1778" s="392"/>
      <c r="Q1778" s="363"/>
      <c r="T1778" s="110"/>
      <c r="V1778" s="232"/>
      <c r="W1778" s="269"/>
      <c r="X1778" s="201"/>
      <c r="Y1778" s="269"/>
      <c r="Z1778" s="269"/>
      <c r="AA1778" s="134"/>
      <c r="AB1778" s="269"/>
      <c r="AC1778" s="284"/>
      <c r="AD1778" s="284"/>
      <c r="AE1778" s="269"/>
    </row>
    <row r="1779" spans="2:31">
      <c r="B1779" s="83"/>
      <c r="C1779" s="81"/>
      <c r="D1779" s="83"/>
      <c r="E1779" s="81"/>
      <c r="F1779" s="269"/>
      <c r="G1779" s="48"/>
      <c r="H1779" s="269"/>
      <c r="I1779" s="72"/>
      <c r="J1779" s="330"/>
      <c r="K1779" s="75"/>
      <c r="L1779" s="157"/>
      <c r="M1779" s="341"/>
      <c r="N1779" s="334"/>
      <c r="O1779" s="394"/>
      <c r="P1779" s="392"/>
      <c r="Q1779" s="363"/>
      <c r="T1779" s="110"/>
      <c r="V1779" s="232"/>
      <c r="W1779" s="269"/>
      <c r="X1779" s="201"/>
      <c r="Y1779" s="269"/>
      <c r="Z1779" s="269"/>
      <c r="AA1779" s="134"/>
      <c r="AB1779" s="269"/>
      <c r="AC1779" s="284"/>
      <c r="AD1779" s="284"/>
      <c r="AE1779" s="269"/>
    </row>
    <row r="1780" spans="2:31">
      <c r="B1780" s="83"/>
      <c r="C1780" s="81"/>
      <c r="D1780" s="83"/>
      <c r="E1780" s="81"/>
      <c r="F1780" s="269"/>
      <c r="G1780" s="48"/>
      <c r="H1780" s="269"/>
      <c r="I1780" s="72"/>
      <c r="J1780" s="330"/>
      <c r="K1780" s="75"/>
      <c r="L1780" s="157"/>
      <c r="M1780" s="341"/>
      <c r="N1780" s="334"/>
      <c r="O1780" s="394"/>
      <c r="P1780" s="392"/>
      <c r="Q1780" s="363"/>
      <c r="T1780" s="110"/>
      <c r="V1780" s="232"/>
      <c r="W1780" s="269"/>
      <c r="X1780" s="201"/>
      <c r="Y1780" s="269"/>
      <c r="Z1780" s="269"/>
      <c r="AA1780" s="134"/>
      <c r="AB1780" s="269"/>
      <c r="AC1780" s="284"/>
      <c r="AD1780" s="284"/>
      <c r="AE1780" s="269"/>
    </row>
    <row r="1781" spans="2:31">
      <c r="B1781" s="83"/>
      <c r="C1781" s="81"/>
      <c r="D1781" s="83"/>
      <c r="E1781" s="81"/>
      <c r="F1781" s="269"/>
      <c r="G1781" s="48"/>
      <c r="H1781" s="269"/>
      <c r="I1781" s="72"/>
      <c r="J1781" s="330"/>
      <c r="K1781" s="75"/>
      <c r="L1781" s="157"/>
      <c r="M1781" s="341"/>
      <c r="N1781" s="334"/>
      <c r="O1781" s="394"/>
      <c r="P1781" s="392"/>
      <c r="Q1781" s="363"/>
      <c r="T1781" s="110"/>
      <c r="V1781" s="232"/>
      <c r="W1781" s="269"/>
      <c r="X1781" s="201"/>
      <c r="Y1781" s="269"/>
      <c r="Z1781" s="269"/>
      <c r="AA1781" s="134"/>
      <c r="AB1781" s="269"/>
      <c r="AC1781" s="284"/>
      <c r="AD1781" s="284"/>
      <c r="AE1781" s="269"/>
    </row>
    <row r="1782" spans="2:31">
      <c r="B1782" s="83"/>
      <c r="C1782" s="81"/>
      <c r="D1782" s="83"/>
      <c r="E1782" s="81"/>
      <c r="F1782" s="269"/>
      <c r="G1782" s="48"/>
      <c r="H1782" s="269"/>
      <c r="I1782" s="72"/>
      <c r="J1782" s="330"/>
      <c r="K1782" s="75"/>
      <c r="L1782" s="157"/>
      <c r="M1782" s="341"/>
      <c r="N1782" s="334"/>
      <c r="O1782" s="394"/>
      <c r="P1782" s="392"/>
      <c r="Q1782" s="363"/>
      <c r="T1782" s="110"/>
      <c r="V1782" s="232"/>
      <c r="W1782" s="269"/>
      <c r="X1782" s="201"/>
      <c r="Y1782" s="269"/>
      <c r="Z1782" s="269"/>
      <c r="AA1782" s="134"/>
      <c r="AB1782" s="269"/>
      <c r="AC1782" s="284"/>
      <c r="AD1782" s="284"/>
      <c r="AE1782" s="269"/>
    </row>
    <row r="1783" spans="2:31">
      <c r="B1783" s="83"/>
      <c r="C1783" s="81"/>
      <c r="D1783" s="83"/>
      <c r="E1783" s="81"/>
      <c r="F1783" s="269"/>
      <c r="G1783" s="48"/>
      <c r="H1783" s="269"/>
      <c r="I1783" s="72"/>
      <c r="J1783" s="330"/>
      <c r="K1783" s="75"/>
      <c r="L1783" s="157"/>
      <c r="M1783" s="341"/>
      <c r="N1783" s="334"/>
      <c r="O1783" s="394"/>
      <c r="P1783" s="392"/>
      <c r="Q1783" s="363"/>
      <c r="T1783" s="110"/>
      <c r="V1783" s="232"/>
      <c r="W1783" s="269"/>
      <c r="X1783" s="201"/>
      <c r="Y1783" s="269"/>
      <c r="Z1783" s="269"/>
      <c r="AA1783" s="134"/>
      <c r="AB1783" s="269"/>
      <c r="AC1783" s="284"/>
      <c r="AD1783" s="284"/>
      <c r="AE1783" s="269"/>
    </row>
    <row r="1784" spans="2:31">
      <c r="B1784" s="83"/>
      <c r="C1784" s="81"/>
      <c r="D1784" s="83"/>
      <c r="E1784" s="81"/>
      <c r="F1784" s="269"/>
      <c r="G1784" s="48"/>
      <c r="H1784" s="269"/>
      <c r="I1784" s="72"/>
      <c r="J1784" s="330"/>
      <c r="K1784" s="75"/>
      <c r="L1784" s="157"/>
      <c r="M1784" s="341"/>
      <c r="N1784" s="334"/>
      <c r="O1784" s="394"/>
      <c r="P1784" s="392"/>
      <c r="Q1784" s="363"/>
      <c r="T1784" s="110"/>
      <c r="V1784" s="232"/>
      <c r="W1784" s="269"/>
      <c r="X1784" s="201"/>
      <c r="Y1784" s="269"/>
      <c r="Z1784" s="269"/>
      <c r="AA1784" s="134"/>
      <c r="AB1784" s="269"/>
      <c r="AC1784" s="284"/>
      <c r="AD1784" s="284"/>
      <c r="AE1784" s="269"/>
    </row>
    <row r="1785" spans="2:31">
      <c r="B1785" s="83"/>
      <c r="C1785" s="81"/>
      <c r="D1785" s="83"/>
      <c r="E1785" s="81"/>
      <c r="F1785" s="269"/>
      <c r="G1785" s="48"/>
      <c r="H1785" s="269"/>
      <c r="I1785" s="72"/>
      <c r="J1785" s="330"/>
      <c r="K1785" s="75"/>
      <c r="L1785" s="157"/>
      <c r="M1785" s="341"/>
      <c r="N1785" s="334"/>
      <c r="O1785" s="394"/>
      <c r="P1785" s="392"/>
      <c r="Q1785" s="363"/>
      <c r="T1785" s="110"/>
      <c r="V1785" s="232"/>
      <c r="W1785" s="269"/>
      <c r="X1785" s="201"/>
      <c r="Y1785" s="269"/>
      <c r="Z1785" s="269"/>
      <c r="AA1785" s="134"/>
      <c r="AB1785" s="269"/>
      <c r="AC1785" s="284"/>
      <c r="AD1785" s="284"/>
      <c r="AE1785" s="269"/>
    </row>
    <row r="1786" spans="2:31">
      <c r="B1786" s="83"/>
      <c r="C1786" s="81"/>
      <c r="D1786" s="83"/>
      <c r="E1786" s="81"/>
      <c r="F1786" s="269"/>
      <c r="G1786" s="48"/>
      <c r="H1786" s="269"/>
      <c r="I1786" s="72"/>
      <c r="J1786" s="330"/>
      <c r="K1786" s="75"/>
      <c r="L1786" s="157"/>
      <c r="M1786" s="341"/>
      <c r="N1786" s="334"/>
      <c r="O1786" s="394"/>
      <c r="P1786" s="392"/>
      <c r="Q1786" s="363"/>
      <c r="T1786" s="110"/>
      <c r="V1786" s="232"/>
      <c r="W1786" s="269"/>
      <c r="X1786" s="201"/>
      <c r="Y1786" s="269"/>
      <c r="Z1786" s="269"/>
      <c r="AA1786" s="134"/>
      <c r="AB1786" s="269"/>
      <c r="AC1786" s="284"/>
      <c r="AD1786" s="284"/>
      <c r="AE1786" s="269"/>
    </row>
    <row r="1787" spans="2:31">
      <c r="B1787" s="83"/>
      <c r="C1787" s="81"/>
      <c r="D1787" s="83"/>
      <c r="E1787" s="81"/>
      <c r="F1787" s="269"/>
      <c r="G1787" s="48"/>
      <c r="H1787" s="269"/>
      <c r="I1787" s="72"/>
      <c r="J1787" s="330"/>
      <c r="K1787" s="75"/>
      <c r="L1787" s="157"/>
      <c r="M1787" s="341"/>
      <c r="N1787" s="334"/>
      <c r="O1787" s="394"/>
      <c r="P1787" s="392"/>
      <c r="Q1787" s="363"/>
      <c r="T1787" s="110"/>
      <c r="V1787" s="232"/>
      <c r="W1787" s="269"/>
      <c r="X1787" s="201"/>
      <c r="Y1787" s="269"/>
      <c r="Z1787" s="269"/>
      <c r="AA1787" s="134"/>
      <c r="AB1787" s="269"/>
      <c r="AC1787" s="284"/>
      <c r="AD1787" s="284"/>
      <c r="AE1787" s="269"/>
    </row>
    <row r="1788" spans="2:31">
      <c r="B1788" s="83"/>
      <c r="C1788" s="81"/>
      <c r="D1788" s="83"/>
      <c r="E1788" s="81"/>
      <c r="F1788" s="269"/>
      <c r="G1788" s="48"/>
      <c r="H1788" s="269"/>
      <c r="I1788" s="72"/>
      <c r="J1788" s="330"/>
      <c r="K1788" s="75"/>
      <c r="L1788" s="157"/>
      <c r="M1788" s="341"/>
      <c r="N1788" s="334"/>
      <c r="O1788" s="394"/>
      <c r="P1788" s="392"/>
      <c r="Q1788" s="363"/>
      <c r="T1788" s="110"/>
      <c r="V1788" s="232"/>
      <c r="W1788" s="269"/>
      <c r="X1788" s="201"/>
      <c r="Y1788" s="269"/>
      <c r="Z1788" s="269"/>
      <c r="AA1788" s="134"/>
      <c r="AB1788" s="269"/>
      <c r="AC1788" s="284"/>
      <c r="AD1788" s="284"/>
      <c r="AE1788" s="269"/>
    </row>
    <row r="1789" spans="2:31">
      <c r="B1789" s="83"/>
      <c r="C1789" s="81"/>
      <c r="D1789" s="83"/>
      <c r="E1789" s="81"/>
      <c r="F1789" s="269"/>
      <c r="G1789" s="48"/>
      <c r="H1789" s="269"/>
      <c r="I1789" s="72"/>
      <c r="J1789" s="330"/>
      <c r="K1789" s="75"/>
      <c r="L1789" s="157"/>
      <c r="M1789" s="341"/>
      <c r="N1789" s="334"/>
      <c r="O1789" s="394"/>
      <c r="P1789" s="392"/>
      <c r="Q1789" s="363"/>
      <c r="T1789" s="110"/>
      <c r="V1789" s="232"/>
      <c r="W1789" s="269"/>
      <c r="X1789" s="201"/>
      <c r="Y1789" s="269"/>
      <c r="Z1789" s="269"/>
      <c r="AA1789" s="134"/>
      <c r="AB1789" s="269"/>
      <c r="AC1789" s="284"/>
      <c r="AD1789" s="284"/>
      <c r="AE1789" s="269"/>
    </row>
    <row r="1790" spans="2:31">
      <c r="B1790" s="83"/>
      <c r="C1790" s="81"/>
      <c r="D1790" s="83"/>
      <c r="E1790" s="81"/>
      <c r="F1790" s="269"/>
      <c r="G1790" s="48"/>
      <c r="H1790" s="269"/>
      <c r="I1790" s="72"/>
      <c r="J1790" s="330"/>
      <c r="K1790" s="75"/>
      <c r="L1790" s="157"/>
      <c r="M1790" s="341"/>
      <c r="N1790" s="334"/>
      <c r="O1790" s="394"/>
      <c r="P1790" s="392"/>
      <c r="Q1790" s="363"/>
      <c r="T1790" s="110"/>
      <c r="V1790" s="232"/>
      <c r="W1790" s="269"/>
      <c r="X1790" s="201"/>
      <c r="Y1790" s="269"/>
      <c r="Z1790" s="269"/>
      <c r="AA1790" s="134"/>
      <c r="AB1790" s="269"/>
      <c r="AC1790" s="284"/>
      <c r="AD1790" s="284"/>
      <c r="AE1790" s="269"/>
    </row>
    <row r="1791" spans="2:31">
      <c r="B1791" s="83"/>
      <c r="C1791" s="81"/>
      <c r="D1791" s="83"/>
      <c r="E1791" s="81"/>
      <c r="F1791" s="269"/>
      <c r="G1791" s="48"/>
      <c r="H1791" s="269"/>
      <c r="I1791" s="72"/>
      <c r="J1791" s="330"/>
      <c r="K1791" s="75"/>
      <c r="L1791" s="157"/>
      <c r="M1791" s="341"/>
      <c r="N1791" s="334"/>
      <c r="O1791" s="394"/>
      <c r="P1791" s="392"/>
      <c r="Q1791" s="363"/>
      <c r="T1791" s="110"/>
      <c r="V1791" s="232"/>
      <c r="W1791" s="269"/>
      <c r="X1791" s="201"/>
      <c r="Y1791" s="269"/>
      <c r="Z1791" s="269"/>
      <c r="AA1791" s="134"/>
      <c r="AB1791" s="269"/>
      <c r="AC1791" s="284"/>
      <c r="AD1791" s="284"/>
      <c r="AE1791" s="269"/>
    </row>
    <row r="1792" spans="2:31">
      <c r="B1792" s="83"/>
      <c r="C1792" s="81"/>
      <c r="D1792" s="83"/>
      <c r="E1792" s="81"/>
      <c r="F1792" s="269"/>
      <c r="G1792" s="48"/>
      <c r="H1792" s="269"/>
      <c r="I1792" s="72"/>
      <c r="J1792" s="330"/>
      <c r="K1792" s="75"/>
      <c r="L1792" s="157"/>
      <c r="M1792" s="341"/>
      <c r="N1792" s="334"/>
      <c r="O1792" s="394"/>
      <c r="P1792" s="392"/>
      <c r="Q1792" s="363"/>
      <c r="T1792" s="110"/>
      <c r="V1792" s="232"/>
      <c r="W1792" s="269"/>
      <c r="X1792" s="201"/>
      <c r="Y1792" s="269"/>
      <c r="Z1792" s="269"/>
      <c r="AA1792" s="134"/>
      <c r="AB1792" s="269"/>
      <c r="AC1792" s="284"/>
      <c r="AD1792" s="284"/>
      <c r="AE1792" s="269"/>
    </row>
    <row r="1793" spans="2:31">
      <c r="B1793" s="83"/>
      <c r="C1793" s="81"/>
      <c r="D1793" s="83"/>
      <c r="E1793" s="81"/>
      <c r="F1793" s="269"/>
      <c r="G1793" s="48"/>
      <c r="H1793" s="269"/>
      <c r="I1793" s="72"/>
      <c r="J1793" s="330"/>
      <c r="K1793" s="75"/>
      <c r="L1793" s="157"/>
      <c r="M1793" s="341"/>
      <c r="N1793" s="334"/>
      <c r="O1793" s="394"/>
      <c r="P1793" s="392"/>
      <c r="Q1793" s="363"/>
      <c r="T1793" s="110"/>
      <c r="V1793" s="232"/>
      <c r="W1793" s="269"/>
      <c r="X1793" s="201"/>
      <c r="Y1793" s="269"/>
      <c r="Z1793" s="269"/>
      <c r="AA1793" s="134"/>
      <c r="AB1793" s="269"/>
      <c r="AC1793" s="284"/>
      <c r="AD1793" s="284"/>
      <c r="AE1793" s="269"/>
    </row>
    <row r="1794" spans="2:31">
      <c r="B1794" s="83"/>
      <c r="C1794" s="81"/>
      <c r="D1794" s="83"/>
      <c r="E1794" s="81"/>
      <c r="F1794" s="269"/>
      <c r="G1794" s="48"/>
      <c r="H1794" s="269"/>
      <c r="I1794" s="72"/>
      <c r="J1794" s="330"/>
      <c r="K1794" s="75"/>
      <c r="L1794" s="157"/>
      <c r="M1794" s="341"/>
      <c r="N1794" s="334"/>
      <c r="O1794" s="394"/>
      <c r="P1794" s="392"/>
      <c r="Q1794" s="363"/>
      <c r="T1794" s="110"/>
      <c r="V1794" s="232"/>
      <c r="W1794" s="269"/>
      <c r="X1794" s="201"/>
      <c r="Y1794" s="269"/>
      <c r="Z1794" s="269"/>
      <c r="AA1794" s="134"/>
      <c r="AB1794" s="269"/>
      <c r="AC1794" s="284"/>
      <c r="AD1794" s="284"/>
      <c r="AE1794" s="269"/>
    </row>
    <row r="1795" spans="2:31">
      <c r="B1795" s="83"/>
      <c r="C1795" s="81"/>
      <c r="D1795" s="83"/>
      <c r="E1795" s="81"/>
      <c r="F1795" s="269"/>
      <c r="G1795" s="48"/>
      <c r="H1795" s="269"/>
      <c r="I1795" s="72"/>
      <c r="J1795" s="330"/>
      <c r="K1795" s="75"/>
      <c r="L1795" s="157"/>
      <c r="M1795" s="341"/>
      <c r="N1795" s="334"/>
      <c r="O1795" s="394"/>
      <c r="P1795" s="392"/>
      <c r="Q1795" s="363"/>
      <c r="T1795" s="110"/>
      <c r="V1795" s="232"/>
      <c r="W1795" s="269"/>
      <c r="X1795" s="201"/>
      <c r="Y1795" s="269"/>
      <c r="Z1795" s="269"/>
      <c r="AA1795" s="134"/>
      <c r="AB1795" s="269"/>
      <c r="AC1795" s="284"/>
      <c r="AD1795" s="284"/>
      <c r="AE1795" s="269"/>
    </row>
    <row r="1796" spans="2:31">
      <c r="B1796" s="83"/>
      <c r="C1796" s="81"/>
      <c r="D1796" s="83"/>
      <c r="E1796" s="81"/>
      <c r="F1796" s="269"/>
      <c r="G1796" s="48"/>
      <c r="H1796" s="269"/>
      <c r="I1796" s="72"/>
      <c r="J1796" s="330"/>
      <c r="K1796" s="75"/>
      <c r="L1796" s="157"/>
      <c r="M1796" s="341"/>
      <c r="N1796" s="334"/>
      <c r="O1796" s="394"/>
      <c r="P1796" s="392"/>
      <c r="Q1796" s="363"/>
      <c r="T1796" s="110"/>
      <c r="V1796" s="232"/>
      <c r="W1796" s="269"/>
      <c r="X1796" s="201"/>
      <c r="Y1796" s="269"/>
      <c r="Z1796" s="269"/>
      <c r="AA1796" s="134"/>
      <c r="AB1796" s="269"/>
      <c r="AC1796" s="284"/>
      <c r="AD1796" s="284"/>
      <c r="AE1796" s="269"/>
    </row>
    <row r="1797" spans="2:31">
      <c r="B1797" s="83"/>
      <c r="C1797" s="81"/>
      <c r="D1797" s="83"/>
      <c r="E1797" s="81"/>
      <c r="F1797" s="269"/>
      <c r="G1797" s="48"/>
      <c r="H1797" s="269"/>
      <c r="I1797" s="72"/>
      <c r="J1797" s="330"/>
      <c r="K1797" s="75"/>
      <c r="L1797" s="157"/>
      <c r="M1797" s="341"/>
      <c r="N1797" s="334"/>
      <c r="O1797" s="394"/>
      <c r="P1797" s="392"/>
      <c r="Q1797" s="363"/>
      <c r="T1797" s="110"/>
      <c r="V1797" s="232"/>
      <c r="W1797" s="269"/>
      <c r="X1797" s="201"/>
      <c r="Y1797" s="269"/>
      <c r="Z1797" s="269"/>
      <c r="AA1797" s="134"/>
      <c r="AB1797" s="269"/>
      <c r="AC1797" s="284"/>
      <c r="AD1797" s="284"/>
      <c r="AE1797" s="269"/>
    </row>
    <row r="1798" spans="2:31">
      <c r="B1798" s="83"/>
      <c r="C1798" s="81"/>
      <c r="D1798" s="83"/>
      <c r="E1798" s="81"/>
      <c r="F1798" s="269"/>
      <c r="G1798" s="48"/>
      <c r="H1798" s="269"/>
      <c r="I1798" s="72"/>
      <c r="J1798" s="330"/>
      <c r="K1798" s="75"/>
      <c r="L1798" s="157"/>
      <c r="M1798" s="341"/>
      <c r="N1798" s="334"/>
      <c r="O1798" s="394"/>
      <c r="P1798" s="392"/>
      <c r="Q1798" s="363"/>
      <c r="T1798" s="110"/>
      <c r="V1798" s="232"/>
      <c r="W1798" s="269"/>
      <c r="X1798" s="201"/>
      <c r="Y1798" s="269"/>
      <c r="Z1798" s="269"/>
      <c r="AA1798" s="134"/>
      <c r="AB1798" s="269"/>
      <c r="AC1798" s="284"/>
      <c r="AD1798" s="284"/>
      <c r="AE1798" s="269"/>
    </row>
    <row r="1799" spans="2:31">
      <c r="B1799" s="83"/>
      <c r="C1799" s="81"/>
      <c r="D1799" s="83"/>
      <c r="E1799" s="81"/>
      <c r="F1799" s="269"/>
      <c r="G1799" s="48"/>
      <c r="H1799" s="269"/>
      <c r="I1799" s="72"/>
      <c r="J1799" s="330"/>
      <c r="K1799" s="75"/>
      <c r="L1799" s="157"/>
      <c r="M1799" s="341"/>
      <c r="N1799" s="334"/>
      <c r="O1799" s="394"/>
      <c r="P1799" s="392"/>
      <c r="Q1799" s="363"/>
      <c r="T1799" s="110"/>
      <c r="V1799" s="232"/>
      <c r="W1799" s="269"/>
      <c r="X1799" s="201"/>
      <c r="Y1799" s="269"/>
      <c r="Z1799" s="269"/>
      <c r="AA1799" s="134"/>
      <c r="AB1799" s="269"/>
      <c r="AC1799" s="284"/>
      <c r="AD1799" s="284"/>
      <c r="AE1799" s="269"/>
    </row>
    <row r="1800" spans="2:31">
      <c r="B1800" s="83"/>
      <c r="C1800" s="81"/>
      <c r="D1800" s="83"/>
      <c r="E1800" s="81"/>
      <c r="F1800" s="269"/>
      <c r="G1800" s="48"/>
      <c r="H1800" s="269"/>
      <c r="I1800" s="72"/>
      <c r="J1800" s="330"/>
      <c r="K1800" s="75"/>
      <c r="L1800" s="157"/>
      <c r="M1800" s="341"/>
      <c r="N1800" s="334"/>
      <c r="O1800" s="394"/>
      <c r="P1800" s="392"/>
      <c r="Q1800" s="363"/>
      <c r="T1800" s="110"/>
      <c r="V1800" s="232"/>
      <c r="W1800" s="269"/>
      <c r="X1800" s="201"/>
      <c r="Y1800" s="269"/>
      <c r="Z1800" s="269"/>
      <c r="AA1800" s="134"/>
      <c r="AB1800" s="269"/>
      <c r="AC1800" s="284"/>
      <c r="AD1800" s="284"/>
      <c r="AE1800" s="269"/>
    </row>
    <row r="1801" spans="2:31">
      <c r="B1801" s="83"/>
      <c r="C1801" s="81"/>
      <c r="D1801" s="83"/>
      <c r="E1801" s="81"/>
      <c r="F1801" s="269"/>
      <c r="G1801" s="48"/>
      <c r="H1801" s="269"/>
      <c r="I1801" s="72"/>
      <c r="J1801" s="330"/>
      <c r="K1801" s="75"/>
      <c r="L1801" s="157"/>
      <c r="M1801" s="341"/>
      <c r="N1801" s="334"/>
      <c r="O1801" s="394"/>
      <c r="P1801" s="392"/>
      <c r="Q1801" s="363"/>
      <c r="T1801" s="110"/>
      <c r="V1801" s="232"/>
      <c r="W1801" s="269"/>
      <c r="X1801" s="201"/>
      <c r="Y1801" s="269"/>
      <c r="Z1801" s="269"/>
      <c r="AA1801" s="134"/>
      <c r="AB1801" s="269"/>
      <c r="AC1801" s="284"/>
      <c r="AD1801" s="284"/>
      <c r="AE1801" s="269"/>
    </row>
    <row r="1802" spans="2:31">
      <c r="B1802" s="83"/>
      <c r="C1802" s="81"/>
      <c r="D1802" s="83"/>
      <c r="E1802" s="81"/>
      <c r="F1802" s="269"/>
      <c r="G1802" s="48"/>
      <c r="H1802" s="269"/>
      <c r="I1802" s="72"/>
      <c r="J1802" s="330"/>
      <c r="K1802" s="75"/>
      <c r="L1802" s="157"/>
      <c r="M1802" s="341"/>
      <c r="N1802" s="334"/>
      <c r="O1802" s="394"/>
      <c r="P1802" s="392"/>
      <c r="Q1802" s="363"/>
      <c r="T1802" s="110"/>
      <c r="V1802" s="232"/>
      <c r="W1802" s="269"/>
      <c r="X1802" s="201"/>
      <c r="Y1802" s="269"/>
      <c r="Z1802" s="269"/>
      <c r="AA1802" s="134"/>
      <c r="AB1802" s="269"/>
      <c r="AC1802" s="284"/>
      <c r="AD1802" s="284"/>
      <c r="AE1802" s="269"/>
    </row>
    <row r="1803" spans="2:31">
      <c r="B1803" s="83"/>
      <c r="C1803" s="81"/>
      <c r="D1803" s="83"/>
      <c r="E1803" s="81"/>
      <c r="F1803" s="269"/>
      <c r="G1803" s="48"/>
      <c r="H1803" s="269"/>
      <c r="I1803" s="72"/>
      <c r="J1803" s="330"/>
      <c r="K1803" s="75"/>
      <c r="L1803" s="157"/>
      <c r="M1803" s="341"/>
      <c r="N1803" s="334"/>
      <c r="O1803" s="394"/>
      <c r="P1803" s="392"/>
      <c r="Q1803" s="363"/>
      <c r="T1803" s="110"/>
      <c r="V1803" s="232"/>
      <c r="W1803" s="269"/>
      <c r="X1803" s="201"/>
      <c r="Y1803" s="269"/>
      <c r="Z1803" s="269"/>
      <c r="AA1803" s="134"/>
      <c r="AB1803" s="269"/>
      <c r="AC1803" s="284"/>
      <c r="AD1803" s="284"/>
      <c r="AE1803" s="269"/>
    </row>
    <row r="1804" spans="2:31">
      <c r="B1804" s="83"/>
      <c r="C1804" s="81"/>
      <c r="D1804" s="83"/>
      <c r="E1804" s="81"/>
      <c r="F1804" s="269"/>
      <c r="G1804" s="48"/>
      <c r="H1804" s="269"/>
      <c r="I1804" s="72"/>
      <c r="J1804" s="330"/>
      <c r="K1804" s="75"/>
      <c r="L1804" s="157"/>
      <c r="M1804" s="341"/>
      <c r="N1804" s="334"/>
      <c r="O1804" s="394"/>
      <c r="P1804" s="392"/>
      <c r="Q1804" s="363"/>
      <c r="T1804" s="110"/>
      <c r="V1804" s="232"/>
      <c r="W1804" s="269"/>
      <c r="X1804" s="201"/>
      <c r="Y1804" s="269"/>
      <c r="Z1804" s="269"/>
      <c r="AA1804" s="134"/>
      <c r="AB1804" s="269"/>
      <c r="AC1804" s="284"/>
      <c r="AD1804" s="284"/>
      <c r="AE1804" s="269"/>
    </row>
    <row r="1805" spans="2:31">
      <c r="B1805" s="83"/>
      <c r="C1805" s="81"/>
      <c r="D1805" s="83"/>
      <c r="E1805" s="81"/>
      <c r="F1805" s="269"/>
      <c r="G1805" s="48"/>
      <c r="H1805" s="269"/>
      <c r="I1805" s="72"/>
      <c r="J1805" s="330"/>
      <c r="K1805" s="75"/>
      <c r="L1805" s="157"/>
      <c r="M1805" s="341"/>
      <c r="N1805" s="334"/>
      <c r="O1805" s="394"/>
      <c r="P1805" s="392"/>
      <c r="Q1805" s="363"/>
      <c r="T1805" s="110"/>
      <c r="V1805" s="232"/>
      <c r="W1805" s="269"/>
      <c r="X1805" s="201"/>
      <c r="Y1805" s="269"/>
      <c r="Z1805" s="269"/>
      <c r="AA1805" s="134"/>
      <c r="AB1805" s="269"/>
      <c r="AC1805" s="284"/>
      <c r="AD1805" s="284"/>
      <c r="AE1805" s="269"/>
    </row>
    <row r="1806" spans="2:31">
      <c r="B1806" s="83"/>
      <c r="C1806" s="81"/>
      <c r="D1806" s="83"/>
      <c r="E1806" s="81"/>
      <c r="F1806" s="269"/>
      <c r="G1806" s="48"/>
      <c r="H1806" s="269"/>
      <c r="I1806" s="72"/>
      <c r="J1806" s="330"/>
      <c r="K1806" s="75"/>
      <c r="L1806" s="157"/>
      <c r="M1806" s="341"/>
      <c r="N1806" s="334"/>
      <c r="O1806" s="394"/>
      <c r="P1806" s="392"/>
      <c r="Q1806" s="363"/>
      <c r="T1806" s="110"/>
      <c r="V1806" s="232"/>
      <c r="W1806" s="269"/>
      <c r="X1806" s="201"/>
      <c r="Y1806" s="269"/>
      <c r="Z1806" s="269"/>
      <c r="AA1806" s="134"/>
      <c r="AB1806" s="269"/>
      <c r="AC1806" s="284"/>
      <c r="AD1806" s="284"/>
      <c r="AE1806" s="269"/>
    </row>
    <row r="1807" spans="2:31">
      <c r="B1807" s="83"/>
      <c r="C1807" s="81"/>
      <c r="D1807" s="83"/>
      <c r="E1807" s="81"/>
      <c r="F1807" s="269"/>
      <c r="G1807" s="48"/>
      <c r="H1807" s="269"/>
      <c r="I1807" s="72"/>
      <c r="J1807" s="330"/>
      <c r="K1807" s="75"/>
      <c r="L1807" s="157"/>
      <c r="M1807" s="341"/>
      <c r="N1807" s="334"/>
      <c r="O1807" s="394"/>
      <c r="P1807" s="392"/>
      <c r="Q1807" s="363"/>
      <c r="T1807" s="110"/>
      <c r="V1807" s="232"/>
      <c r="W1807" s="269"/>
      <c r="X1807" s="201"/>
      <c r="Y1807" s="269"/>
      <c r="Z1807" s="269"/>
      <c r="AA1807" s="134"/>
      <c r="AB1807" s="269"/>
      <c r="AC1807" s="284"/>
      <c r="AD1807" s="284"/>
      <c r="AE1807" s="269"/>
    </row>
    <row r="1808" spans="2:31">
      <c r="B1808" s="83"/>
      <c r="C1808" s="81"/>
      <c r="D1808" s="83"/>
      <c r="E1808" s="81"/>
      <c r="F1808" s="269"/>
      <c r="G1808" s="48"/>
      <c r="H1808" s="269"/>
      <c r="I1808" s="72"/>
      <c r="J1808" s="330"/>
      <c r="K1808" s="75"/>
      <c r="L1808" s="157"/>
      <c r="M1808" s="341"/>
      <c r="N1808" s="334"/>
      <c r="O1808" s="394"/>
      <c r="P1808" s="392"/>
      <c r="Q1808" s="363"/>
      <c r="T1808" s="110"/>
      <c r="V1808" s="232"/>
      <c r="W1808" s="269"/>
      <c r="X1808" s="201"/>
      <c r="Y1808" s="269"/>
      <c r="Z1808" s="269"/>
      <c r="AA1808" s="134"/>
      <c r="AB1808" s="269"/>
      <c r="AC1808" s="284"/>
      <c r="AD1808" s="284"/>
      <c r="AE1808" s="269"/>
    </row>
    <row r="1809" spans="2:31">
      <c r="B1809" s="83"/>
      <c r="C1809" s="81"/>
      <c r="D1809" s="83"/>
      <c r="E1809" s="81"/>
      <c r="F1809" s="269"/>
      <c r="G1809" s="48"/>
      <c r="H1809" s="269"/>
      <c r="I1809" s="72"/>
      <c r="J1809" s="330"/>
      <c r="K1809" s="75"/>
      <c r="L1809" s="157"/>
      <c r="M1809" s="341"/>
      <c r="N1809" s="334"/>
      <c r="O1809" s="394"/>
      <c r="P1809" s="392"/>
      <c r="Q1809" s="363"/>
      <c r="T1809" s="110"/>
      <c r="V1809" s="232"/>
      <c r="W1809" s="269"/>
      <c r="X1809" s="201"/>
      <c r="Y1809" s="269"/>
      <c r="Z1809" s="269"/>
      <c r="AA1809" s="134"/>
      <c r="AB1809" s="269"/>
      <c r="AC1809" s="284"/>
      <c r="AD1809" s="284"/>
      <c r="AE1809" s="269"/>
    </row>
    <row r="1810" spans="2:31">
      <c r="B1810" s="83"/>
      <c r="C1810" s="81"/>
      <c r="D1810" s="83"/>
      <c r="E1810" s="81"/>
      <c r="F1810" s="269"/>
      <c r="G1810" s="48"/>
      <c r="H1810" s="269"/>
      <c r="I1810" s="72"/>
      <c r="J1810" s="330"/>
      <c r="K1810" s="75"/>
      <c r="L1810" s="157"/>
      <c r="M1810" s="341"/>
      <c r="N1810" s="334"/>
      <c r="O1810" s="394"/>
      <c r="P1810" s="392"/>
      <c r="Q1810" s="363"/>
      <c r="T1810" s="110"/>
      <c r="V1810" s="232"/>
      <c r="W1810" s="269"/>
      <c r="X1810" s="201"/>
      <c r="Y1810" s="269"/>
      <c r="Z1810" s="269"/>
      <c r="AA1810" s="134"/>
      <c r="AB1810" s="269"/>
      <c r="AC1810" s="284"/>
      <c r="AD1810" s="284"/>
      <c r="AE1810" s="269"/>
    </row>
    <row r="1811" spans="2:31">
      <c r="B1811" s="83"/>
      <c r="C1811" s="81"/>
      <c r="D1811" s="83"/>
      <c r="E1811" s="81"/>
      <c r="F1811" s="269"/>
      <c r="G1811" s="48"/>
      <c r="H1811" s="269"/>
      <c r="I1811" s="72"/>
      <c r="J1811" s="330"/>
      <c r="K1811" s="75"/>
      <c r="L1811" s="157"/>
      <c r="M1811" s="341"/>
      <c r="N1811" s="334"/>
      <c r="O1811" s="394"/>
      <c r="P1811" s="392"/>
      <c r="Q1811" s="363"/>
      <c r="T1811" s="110"/>
      <c r="V1811" s="232"/>
      <c r="W1811" s="269"/>
      <c r="X1811" s="201"/>
      <c r="Y1811" s="269"/>
      <c r="Z1811" s="269"/>
      <c r="AA1811" s="134"/>
      <c r="AB1811" s="269"/>
      <c r="AC1811" s="284"/>
      <c r="AD1811" s="284"/>
      <c r="AE1811" s="269"/>
    </row>
    <row r="1812" spans="2:31">
      <c r="B1812" s="83"/>
      <c r="C1812" s="81"/>
      <c r="D1812" s="83"/>
      <c r="E1812" s="81"/>
      <c r="F1812" s="269"/>
      <c r="G1812" s="48"/>
      <c r="H1812" s="269"/>
      <c r="I1812" s="72"/>
      <c r="J1812" s="330"/>
      <c r="K1812" s="75"/>
      <c r="L1812" s="157"/>
      <c r="M1812" s="341"/>
      <c r="N1812" s="334"/>
      <c r="O1812" s="394"/>
      <c r="P1812" s="392"/>
      <c r="Q1812" s="363"/>
      <c r="T1812" s="110"/>
      <c r="V1812" s="232"/>
      <c r="W1812" s="269"/>
      <c r="X1812" s="201"/>
      <c r="Y1812" s="269"/>
      <c r="Z1812" s="269"/>
      <c r="AA1812" s="134"/>
      <c r="AB1812" s="269"/>
      <c r="AC1812" s="284"/>
      <c r="AD1812" s="284"/>
      <c r="AE1812" s="269"/>
    </row>
    <row r="1813" spans="2:31">
      <c r="B1813" s="83"/>
      <c r="C1813" s="81"/>
      <c r="D1813" s="83"/>
      <c r="E1813" s="81"/>
      <c r="F1813" s="269"/>
      <c r="G1813" s="48"/>
      <c r="H1813" s="269"/>
      <c r="I1813" s="72"/>
      <c r="J1813" s="330"/>
      <c r="K1813" s="75"/>
      <c r="L1813" s="157"/>
      <c r="M1813" s="341"/>
      <c r="N1813" s="334"/>
      <c r="O1813" s="394"/>
      <c r="P1813" s="392"/>
      <c r="Q1813" s="363"/>
      <c r="T1813" s="110"/>
      <c r="V1813" s="232"/>
      <c r="W1813" s="269"/>
      <c r="X1813" s="201"/>
      <c r="Y1813" s="269"/>
      <c r="Z1813" s="269"/>
      <c r="AA1813" s="134"/>
      <c r="AB1813" s="269"/>
      <c r="AC1813" s="284"/>
      <c r="AD1813" s="284"/>
      <c r="AE1813" s="269"/>
    </row>
    <row r="1814" spans="2:31">
      <c r="B1814" s="83"/>
      <c r="C1814" s="81"/>
      <c r="D1814" s="83"/>
      <c r="E1814" s="81"/>
      <c r="F1814" s="269"/>
      <c r="G1814" s="48"/>
      <c r="H1814" s="269"/>
      <c r="I1814" s="72"/>
      <c r="J1814" s="330"/>
      <c r="K1814" s="75"/>
      <c r="L1814" s="157"/>
      <c r="M1814" s="341"/>
      <c r="N1814" s="334"/>
      <c r="O1814" s="394"/>
      <c r="P1814" s="392"/>
      <c r="Q1814" s="363"/>
      <c r="T1814" s="110"/>
      <c r="V1814" s="232"/>
      <c r="W1814" s="269"/>
      <c r="X1814" s="201"/>
      <c r="Y1814" s="269"/>
      <c r="Z1814" s="269"/>
      <c r="AA1814" s="134"/>
      <c r="AB1814" s="269"/>
      <c r="AC1814" s="284"/>
      <c r="AD1814" s="284"/>
      <c r="AE1814" s="269"/>
    </row>
    <row r="1815" spans="2:31">
      <c r="B1815" s="83"/>
      <c r="C1815" s="81"/>
      <c r="D1815" s="83"/>
      <c r="E1815" s="81"/>
      <c r="F1815" s="269"/>
      <c r="G1815" s="48"/>
      <c r="H1815" s="269"/>
      <c r="I1815" s="72"/>
      <c r="J1815" s="330"/>
      <c r="K1815" s="75"/>
      <c r="L1815" s="157"/>
      <c r="M1815" s="341"/>
      <c r="N1815" s="334"/>
      <c r="O1815" s="394"/>
      <c r="P1815" s="392"/>
      <c r="Q1815" s="363"/>
      <c r="T1815" s="110"/>
      <c r="V1815" s="232"/>
      <c r="W1815" s="269"/>
      <c r="X1815" s="201"/>
      <c r="Y1815" s="269"/>
      <c r="Z1815" s="269"/>
      <c r="AA1815" s="134"/>
      <c r="AB1815" s="269"/>
      <c r="AC1815" s="284"/>
      <c r="AD1815" s="284"/>
      <c r="AE1815" s="269"/>
    </row>
    <row r="1816" spans="2:31">
      <c r="B1816" s="83"/>
      <c r="C1816" s="81"/>
      <c r="D1816" s="83"/>
      <c r="E1816" s="81"/>
      <c r="F1816" s="269"/>
      <c r="G1816" s="48"/>
      <c r="H1816" s="269"/>
      <c r="I1816" s="72"/>
      <c r="J1816" s="330"/>
      <c r="K1816" s="75"/>
      <c r="L1816" s="157"/>
      <c r="M1816" s="341"/>
      <c r="N1816" s="334"/>
      <c r="O1816" s="394"/>
      <c r="P1816" s="392"/>
      <c r="Q1816" s="363"/>
      <c r="T1816" s="110"/>
      <c r="V1816" s="232"/>
      <c r="W1816" s="269"/>
      <c r="X1816" s="201"/>
      <c r="Y1816" s="269"/>
      <c r="Z1816" s="269"/>
      <c r="AA1816" s="134"/>
      <c r="AB1816" s="269"/>
      <c r="AC1816" s="284"/>
      <c r="AD1816" s="284"/>
      <c r="AE1816" s="269"/>
    </row>
    <row r="1817" spans="2:31">
      <c r="B1817" s="83"/>
      <c r="C1817" s="81"/>
      <c r="D1817" s="83"/>
      <c r="E1817" s="81"/>
      <c r="F1817" s="269"/>
      <c r="G1817" s="48"/>
      <c r="H1817" s="269"/>
      <c r="I1817" s="72"/>
      <c r="J1817" s="330"/>
      <c r="K1817" s="75"/>
      <c r="L1817" s="157"/>
      <c r="M1817" s="341"/>
      <c r="N1817" s="334"/>
      <c r="O1817" s="394"/>
      <c r="P1817" s="392"/>
      <c r="Q1817" s="363"/>
      <c r="T1817" s="110"/>
      <c r="V1817" s="232"/>
      <c r="W1817" s="269"/>
      <c r="X1817" s="201"/>
      <c r="Y1817" s="269"/>
      <c r="Z1817" s="269"/>
      <c r="AA1817" s="134"/>
      <c r="AB1817" s="269"/>
      <c r="AC1817" s="284"/>
      <c r="AD1817" s="284"/>
      <c r="AE1817" s="269"/>
    </row>
    <row r="1818" spans="2:31">
      <c r="B1818" s="83"/>
      <c r="C1818" s="81"/>
      <c r="D1818" s="83"/>
      <c r="E1818" s="81"/>
      <c r="F1818" s="269"/>
      <c r="G1818" s="48"/>
      <c r="H1818" s="269"/>
      <c r="I1818" s="72"/>
      <c r="J1818" s="330"/>
      <c r="K1818" s="75"/>
      <c r="L1818" s="157"/>
      <c r="M1818" s="341"/>
      <c r="N1818" s="334"/>
      <c r="O1818" s="394"/>
      <c r="P1818" s="392"/>
      <c r="Q1818" s="363"/>
      <c r="T1818" s="110"/>
      <c r="V1818" s="232"/>
      <c r="W1818" s="269"/>
      <c r="X1818" s="201"/>
      <c r="Y1818" s="269"/>
      <c r="Z1818" s="269"/>
      <c r="AA1818" s="134"/>
      <c r="AB1818" s="269"/>
      <c r="AC1818" s="284"/>
      <c r="AD1818" s="284"/>
      <c r="AE1818" s="269"/>
    </row>
    <row r="1819" spans="2:31">
      <c r="B1819" s="83"/>
      <c r="C1819" s="81"/>
      <c r="D1819" s="83"/>
      <c r="E1819" s="81"/>
      <c r="F1819" s="269"/>
      <c r="G1819" s="48"/>
      <c r="H1819" s="269"/>
      <c r="I1819" s="72"/>
      <c r="J1819" s="330"/>
      <c r="K1819" s="75"/>
      <c r="L1819" s="157"/>
      <c r="M1819" s="341"/>
      <c r="N1819" s="334"/>
      <c r="O1819" s="394"/>
      <c r="P1819" s="392"/>
      <c r="Q1819" s="363"/>
      <c r="T1819" s="110"/>
      <c r="V1819" s="232"/>
      <c r="W1819" s="269"/>
      <c r="X1819" s="201"/>
      <c r="Y1819" s="269"/>
      <c r="Z1819" s="269"/>
      <c r="AA1819" s="134"/>
      <c r="AB1819" s="269"/>
      <c r="AC1819" s="284"/>
      <c r="AD1819" s="284"/>
      <c r="AE1819" s="269"/>
    </row>
    <row r="1820" spans="2:31">
      <c r="B1820" s="83"/>
      <c r="C1820" s="81"/>
      <c r="D1820" s="83"/>
      <c r="E1820" s="81"/>
      <c r="F1820" s="269"/>
      <c r="G1820" s="48"/>
      <c r="H1820" s="269"/>
      <c r="I1820" s="72"/>
      <c r="J1820" s="330"/>
      <c r="K1820" s="75"/>
      <c r="L1820" s="157"/>
      <c r="M1820" s="341"/>
      <c r="N1820" s="334"/>
      <c r="O1820" s="394"/>
      <c r="P1820" s="392"/>
      <c r="Q1820" s="363"/>
      <c r="T1820" s="110"/>
      <c r="V1820" s="232"/>
      <c r="W1820" s="269"/>
      <c r="X1820" s="201"/>
      <c r="Y1820" s="269"/>
      <c r="Z1820" s="269"/>
      <c r="AA1820" s="134"/>
      <c r="AB1820" s="269"/>
      <c r="AC1820" s="284"/>
      <c r="AD1820" s="284"/>
      <c r="AE1820" s="269"/>
    </row>
    <row r="1821" spans="2:31">
      <c r="B1821" s="83"/>
      <c r="C1821" s="81"/>
      <c r="D1821" s="83"/>
      <c r="E1821" s="81"/>
      <c r="F1821" s="269"/>
      <c r="G1821" s="48"/>
      <c r="H1821" s="269"/>
      <c r="I1821" s="72"/>
      <c r="J1821" s="330"/>
      <c r="K1821" s="75"/>
      <c r="L1821" s="157"/>
      <c r="M1821" s="341"/>
      <c r="N1821" s="334"/>
      <c r="O1821" s="394"/>
      <c r="P1821" s="392"/>
      <c r="Q1821" s="363"/>
      <c r="T1821" s="110"/>
      <c r="V1821" s="232"/>
      <c r="W1821" s="269"/>
      <c r="X1821" s="201"/>
      <c r="Y1821" s="269"/>
      <c r="Z1821" s="269"/>
      <c r="AA1821" s="134"/>
      <c r="AB1821" s="269"/>
      <c r="AC1821" s="284"/>
      <c r="AD1821" s="284"/>
      <c r="AE1821" s="269"/>
    </row>
    <row r="1822" spans="2:31">
      <c r="B1822" s="83"/>
      <c r="C1822" s="81"/>
      <c r="D1822" s="83"/>
      <c r="E1822" s="81"/>
      <c r="F1822" s="269"/>
      <c r="G1822" s="48"/>
      <c r="H1822" s="269"/>
      <c r="I1822" s="72"/>
      <c r="J1822" s="330"/>
      <c r="K1822" s="75"/>
      <c r="L1822" s="157"/>
      <c r="M1822" s="341"/>
      <c r="N1822" s="334"/>
      <c r="O1822" s="394"/>
      <c r="P1822" s="392"/>
      <c r="Q1822" s="363"/>
      <c r="T1822" s="110"/>
      <c r="V1822" s="232"/>
      <c r="W1822" s="269"/>
      <c r="X1822" s="201"/>
      <c r="Y1822" s="269"/>
      <c r="Z1822" s="269"/>
      <c r="AA1822" s="134"/>
      <c r="AB1822" s="269"/>
      <c r="AC1822" s="284"/>
      <c r="AD1822" s="284"/>
      <c r="AE1822" s="269"/>
    </row>
    <row r="1823" spans="2:31">
      <c r="B1823" s="83"/>
      <c r="C1823" s="81"/>
      <c r="D1823" s="83"/>
      <c r="E1823" s="81"/>
      <c r="F1823" s="269"/>
      <c r="G1823" s="48"/>
      <c r="H1823" s="269"/>
      <c r="I1823" s="72"/>
      <c r="J1823" s="330"/>
      <c r="K1823" s="75"/>
      <c r="L1823" s="157"/>
      <c r="M1823" s="341"/>
      <c r="N1823" s="334"/>
      <c r="O1823" s="394"/>
      <c r="P1823" s="392"/>
      <c r="Q1823" s="363"/>
      <c r="T1823" s="110"/>
      <c r="V1823" s="232"/>
      <c r="W1823" s="269"/>
      <c r="X1823" s="201"/>
      <c r="Y1823" s="269"/>
      <c r="Z1823" s="269"/>
      <c r="AA1823" s="134"/>
      <c r="AB1823" s="269"/>
      <c r="AC1823" s="284"/>
      <c r="AD1823" s="284"/>
      <c r="AE1823" s="269"/>
    </row>
    <row r="1824" spans="2:31">
      <c r="B1824" s="83"/>
      <c r="C1824" s="81"/>
      <c r="D1824" s="83"/>
      <c r="E1824" s="81"/>
      <c r="F1824" s="269"/>
      <c r="G1824" s="48"/>
      <c r="H1824" s="269"/>
      <c r="I1824" s="72"/>
      <c r="J1824" s="330"/>
      <c r="K1824" s="75"/>
      <c r="L1824" s="157"/>
      <c r="M1824" s="341"/>
      <c r="N1824" s="334"/>
      <c r="O1824" s="394"/>
      <c r="P1824" s="392"/>
      <c r="Q1824" s="363"/>
      <c r="T1824" s="110"/>
      <c r="V1824" s="232"/>
      <c r="W1824" s="269"/>
      <c r="X1824" s="201"/>
      <c r="Y1824" s="269"/>
      <c r="Z1824" s="269"/>
      <c r="AA1824" s="134"/>
      <c r="AB1824" s="269"/>
      <c r="AC1824" s="284"/>
      <c r="AD1824" s="284"/>
      <c r="AE1824" s="269"/>
    </row>
    <row r="1825" spans="2:31">
      <c r="B1825" s="83"/>
      <c r="C1825" s="81"/>
      <c r="D1825" s="83"/>
      <c r="E1825" s="81"/>
      <c r="F1825" s="269"/>
      <c r="G1825" s="48"/>
      <c r="H1825" s="269"/>
      <c r="I1825" s="72"/>
      <c r="J1825" s="330"/>
      <c r="K1825" s="75"/>
      <c r="L1825" s="157"/>
      <c r="M1825" s="341"/>
      <c r="N1825" s="334"/>
      <c r="O1825" s="394"/>
      <c r="P1825" s="392"/>
      <c r="Q1825" s="363"/>
      <c r="T1825" s="110"/>
      <c r="V1825" s="232"/>
      <c r="W1825" s="269"/>
      <c r="X1825" s="201"/>
      <c r="Y1825" s="269"/>
      <c r="Z1825" s="269"/>
      <c r="AA1825" s="134"/>
      <c r="AB1825" s="269"/>
      <c r="AC1825" s="284"/>
      <c r="AD1825" s="284"/>
      <c r="AE1825" s="269"/>
    </row>
    <row r="1826" spans="2:31">
      <c r="B1826" s="83"/>
      <c r="C1826" s="81"/>
      <c r="D1826" s="83"/>
      <c r="E1826" s="81"/>
      <c r="F1826" s="269"/>
      <c r="G1826" s="48"/>
      <c r="H1826" s="269"/>
      <c r="I1826" s="72"/>
      <c r="J1826" s="330"/>
      <c r="K1826" s="75"/>
      <c r="L1826" s="157"/>
      <c r="M1826" s="341"/>
      <c r="N1826" s="334"/>
      <c r="O1826" s="394"/>
      <c r="P1826" s="392"/>
      <c r="Q1826" s="363"/>
      <c r="T1826" s="110"/>
      <c r="V1826" s="232"/>
      <c r="W1826" s="269"/>
      <c r="X1826" s="201"/>
      <c r="Y1826" s="269"/>
      <c r="Z1826" s="269"/>
      <c r="AA1826" s="134"/>
      <c r="AB1826" s="269"/>
      <c r="AC1826" s="284"/>
      <c r="AD1826" s="284"/>
      <c r="AE1826" s="269"/>
    </row>
    <row r="1827" spans="2:31">
      <c r="B1827" s="83"/>
      <c r="C1827" s="81"/>
      <c r="D1827" s="83"/>
      <c r="E1827" s="81"/>
      <c r="F1827" s="269"/>
      <c r="G1827" s="48"/>
      <c r="H1827" s="269"/>
      <c r="I1827" s="72"/>
      <c r="J1827" s="330"/>
      <c r="K1827" s="75"/>
      <c r="L1827" s="157"/>
      <c r="M1827" s="341"/>
      <c r="N1827" s="334"/>
      <c r="O1827" s="394"/>
      <c r="P1827" s="392"/>
      <c r="Q1827" s="363"/>
      <c r="T1827" s="110"/>
      <c r="V1827" s="232"/>
      <c r="W1827" s="269"/>
      <c r="X1827" s="201"/>
      <c r="Y1827" s="269"/>
      <c r="Z1827" s="269"/>
      <c r="AA1827" s="134"/>
      <c r="AB1827" s="269"/>
      <c r="AC1827" s="284"/>
      <c r="AD1827" s="284"/>
      <c r="AE1827" s="269"/>
    </row>
    <row r="1828" spans="2:31">
      <c r="B1828" s="83"/>
      <c r="C1828" s="81"/>
      <c r="D1828" s="83"/>
      <c r="E1828" s="81"/>
      <c r="F1828" s="269"/>
      <c r="G1828" s="48"/>
      <c r="H1828" s="269"/>
      <c r="I1828" s="72"/>
      <c r="J1828" s="330"/>
      <c r="K1828" s="75"/>
      <c r="L1828" s="157"/>
      <c r="M1828" s="341"/>
      <c r="N1828" s="334"/>
      <c r="O1828" s="394"/>
      <c r="P1828" s="392"/>
      <c r="Q1828" s="363"/>
      <c r="T1828" s="110"/>
      <c r="V1828" s="232"/>
      <c r="W1828" s="269"/>
      <c r="X1828" s="201"/>
      <c r="Y1828" s="269"/>
      <c r="Z1828" s="269"/>
      <c r="AA1828" s="134"/>
      <c r="AB1828" s="269"/>
      <c r="AC1828" s="284"/>
      <c r="AD1828" s="284"/>
      <c r="AE1828" s="269"/>
    </row>
    <row r="1829" spans="2:31">
      <c r="B1829" s="83"/>
      <c r="C1829" s="81"/>
      <c r="D1829" s="83"/>
      <c r="E1829" s="81"/>
      <c r="F1829" s="269"/>
      <c r="G1829" s="48"/>
      <c r="H1829" s="269"/>
      <c r="I1829" s="72"/>
      <c r="J1829" s="330"/>
      <c r="K1829" s="75"/>
      <c r="L1829" s="157"/>
      <c r="M1829" s="341"/>
      <c r="N1829" s="334"/>
      <c r="O1829" s="394"/>
      <c r="P1829" s="392"/>
      <c r="Q1829" s="363"/>
      <c r="T1829" s="110"/>
      <c r="V1829" s="232"/>
      <c r="W1829" s="269"/>
      <c r="X1829" s="201"/>
      <c r="Y1829" s="269"/>
      <c r="Z1829" s="269"/>
      <c r="AA1829" s="134"/>
      <c r="AB1829" s="269"/>
      <c r="AC1829" s="284"/>
      <c r="AD1829" s="284"/>
      <c r="AE1829" s="269"/>
    </row>
    <row r="1830" spans="2:31">
      <c r="B1830" s="83"/>
      <c r="C1830" s="81"/>
      <c r="D1830" s="83"/>
      <c r="E1830" s="81"/>
      <c r="F1830" s="269"/>
      <c r="G1830" s="48"/>
      <c r="H1830" s="269"/>
      <c r="I1830" s="72"/>
      <c r="J1830" s="330"/>
      <c r="K1830" s="75"/>
      <c r="L1830" s="157"/>
      <c r="M1830" s="341"/>
      <c r="N1830" s="334"/>
      <c r="O1830" s="394"/>
      <c r="P1830" s="392"/>
      <c r="Q1830" s="363"/>
      <c r="T1830" s="110"/>
      <c r="V1830" s="232"/>
      <c r="W1830" s="269"/>
      <c r="X1830" s="201"/>
      <c r="Y1830" s="269"/>
      <c r="Z1830" s="269"/>
      <c r="AA1830" s="134"/>
      <c r="AB1830" s="269"/>
      <c r="AC1830" s="284"/>
      <c r="AD1830" s="284"/>
      <c r="AE1830" s="269"/>
    </row>
    <row r="1831" spans="2:31">
      <c r="B1831" s="83"/>
      <c r="C1831" s="81"/>
      <c r="D1831" s="83"/>
      <c r="E1831" s="81"/>
      <c r="F1831" s="269"/>
      <c r="G1831" s="48"/>
      <c r="H1831" s="269"/>
      <c r="I1831" s="72"/>
      <c r="J1831" s="330"/>
      <c r="K1831" s="75"/>
      <c r="L1831" s="157"/>
      <c r="M1831" s="341"/>
      <c r="N1831" s="334"/>
      <c r="O1831" s="394"/>
      <c r="P1831" s="392"/>
      <c r="Q1831" s="363"/>
      <c r="T1831" s="110"/>
      <c r="V1831" s="232"/>
      <c r="W1831" s="269"/>
      <c r="X1831" s="201"/>
      <c r="Y1831" s="269"/>
      <c r="Z1831" s="269"/>
      <c r="AA1831" s="134"/>
      <c r="AB1831" s="269"/>
      <c r="AC1831" s="284"/>
      <c r="AD1831" s="284"/>
      <c r="AE1831" s="269"/>
    </row>
    <row r="1832" spans="2:31">
      <c r="B1832" s="83"/>
      <c r="C1832" s="81"/>
      <c r="D1832" s="83"/>
      <c r="E1832" s="81"/>
      <c r="F1832" s="269"/>
      <c r="G1832" s="48"/>
      <c r="H1832" s="269"/>
      <c r="I1832" s="72"/>
      <c r="J1832" s="330"/>
      <c r="K1832" s="75"/>
      <c r="L1832" s="157"/>
      <c r="M1832" s="341"/>
      <c r="N1832" s="334"/>
      <c r="O1832" s="394"/>
      <c r="P1832" s="392"/>
      <c r="Q1832" s="363"/>
      <c r="T1832" s="110"/>
      <c r="V1832" s="232"/>
      <c r="W1832" s="269"/>
      <c r="X1832" s="201"/>
      <c r="Y1832" s="269"/>
      <c r="Z1832" s="269"/>
      <c r="AA1832" s="134"/>
      <c r="AB1832" s="269"/>
      <c r="AC1832" s="284"/>
      <c r="AD1832" s="284"/>
      <c r="AE1832" s="269"/>
    </row>
    <row r="1833" spans="2:31">
      <c r="B1833" s="83"/>
      <c r="C1833" s="81"/>
      <c r="D1833" s="83"/>
      <c r="E1833" s="81"/>
      <c r="F1833" s="269"/>
      <c r="G1833" s="48"/>
      <c r="H1833" s="269"/>
      <c r="I1833" s="72"/>
      <c r="J1833" s="330"/>
      <c r="K1833" s="75"/>
      <c r="L1833" s="157"/>
      <c r="M1833" s="341"/>
      <c r="N1833" s="334"/>
      <c r="O1833" s="394"/>
      <c r="P1833" s="392"/>
      <c r="Q1833" s="363"/>
      <c r="T1833" s="110"/>
      <c r="V1833" s="232"/>
      <c r="W1833" s="269"/>
      <c r="X1833" s="201"/>
      <c r="Y1833" s="269"/>
      <c r="Z1833" s="269"/>
      <c r="AA1833" s="134"/>
      <c r="AB1833" s="269"/>
      <c r="AC1833" s="284"/>
      <c r="AD1833" s="284"/>
      <c r="AE1833" s="269"/>
    </row>
    <row r="1834" spans="2:31">
      <c r="B1834" s="83"/>
      <c r="C1834" s="81"/>
      <c r="D1834" s="83"/>
      <c r="E1834" s="81"/>
      <c r="F1834" s="269"/>
      <c r="G1834" s="48"/>
      <c r="H1834" s="269"/>
      <c r="I1834" s="72"/>
      <c r="J1834" s="330"/>
      <c r="K1834" s="75"/>
      <c r="L1834" s="157"/>
      <c r="M1834" s="341"/>
      <c r="N1834" s="334"/>
      <c r="O1834" s="394"/>
      <c r="P1834" s="392"/>
      <c r="Q1834" s="363"/>
      <c r="T1834" s="110"/>
      <c r="V1834" s="232"/>
      <c r="W1834" s="269"/>
      <c r="X1834" s="201"/>
      <c r="Y1834" s="269"/>
      <c r="Z1834" s="269"/>
      <c r="AA1834" s="134"/>
      <c r="AB1834" s="269"/>
      <c r="AC1834" s="284"/>
      <c r="AD1834" s="284"/>
      <c r="AE1834" s="269"/>
    </row>
    <row r="1835" spans="2:31">
      <c r="B1835" s="83"/>
      <c r="C1835" s="81"/>
      <c r="D1835" s="83"/>
      <c r="E1835" s="81"/>
      <c r="F1835" s="269"/>
      <c r="G1835" s="48"/>
      <c r="H1835" s="269"/>
      <c r="I1835" s="72"/>
      <c r="J1835" s="330"/>
      <c r="K1835" s="75"/>
      <c r="L1835" s="157"/>
      <c r="M1835" s="341"/>
      <c r="N1835" s="334"/>
      <c r="O1835" s="394"/>
      <c r="P1835" s="392"/>
      <c r="Q1835" s="363"/>
      <c r="T1835" s="110"/>
      <c r="V1835" s="232"/>
      <c r="W1835" s="269"/>
      <c r="X1835" s="201"/>
      <c r="Y1835" s="269"/>
      <c r="Z1835" s="269"/>
      <c r="AA1835" s="134"/>
      <c r="AB1835" s="269"/>
      <c r="AC1835" s="284"/>
      <c r="AD1835" s="284"/>
      <c r="AE1835" s="269"/>
    </row>
    <row r="1836" spans="2:31">
      <c r="B1836" s="83"/>
      <c r="C1836" s="81"/>
      <c r="D1836" s="83"/>
      <c r="E1836" s="81"/>
      <c r="F1836" s="269"/>
      <c r="G1836" s="48"/>
      <c r="H1836" s="269"/>
      <c r="I1836" s="72"/>
      <c r="J1836" s="330"/>
      <c r="K1836" s="75"/>
      <c r="L1836" s="157"/>
      <c r="M1836" s="341"/>
      <c r="N1836" s="334"/>
      <c r="O1836" s="394"/>
      <c r="P1836" s="392"/>
      <c r="Q1836" s="363"/>
      <c r="T1836" s="110"/>
      <c r="V1836" s="232"/>
      <c r="W1836" s="269"/>
      <c r="X1836" s="201"/>
      <c r="Y1836" s="269"/>
      <c r="Z1836" s="269"/>
      <c r="AA1836" s="134"/>
      <c r="AB1836" s="269"/>
      <c r="AC1836" s="284"/>
      <c r="AD1836" s="284"/>
      <c r="AE1836" s="269"/>
    </row>
    <row r="1837" spans="2:31">
      <c r="B1837" s="83"/>
      <c r="C1837" s="81"/>
      <c r="D1837" s="83"/>
      <c r="E1837" s="81"/>
      <c r="F1837" s="269"/>
      <c r="G1837" s="48"/>
      <c r="H1837" s="269"/>
      <c r="I1837" s="72"/>
      <c r="J1837" s="330"/>
      <c r="K1837" s="75"/>
      <c r="L1837" s="157"/>
      <c r="M1837" s="341"/>
      <c r="N1837" s="334"/>
      <c r="O1837" s="394"/>
      <c r="P1837" s="392"/>
      <c r="Q1837" s="363"/>
      <c r="T1837" s="110"/>
      <c r="V1837" s="232"/>
      <c r="W1837" s="269"/>
      <c r="X1837" s="201"/>
      <c r="Y1837" s="269"/>
      <c r="Z1837" s="269"/>
      <c r="AA1837" s="134"/>
      <c r="AB1837" s="269"/>
      <c r="AC1837" s="284"/>
      <c r="AD1837" s="284"/>
      <c r="AE1837" s="269"/>
    </row>
    <row r="1838" spans="2:31">
      <c r="B1838" s="83"/>
      <c r="C1838" s="81"/>
      <c r="D1838" s="83"/>
      <c r="E1838" s="81"/>
      <c r="F1838" s="269"/>
      <c r="G1838" s="48"/>
      <c r="H1838" s="269"/>
      <c r="I1838" s="72"/>
      <c r="J1838" s="330"/>
      <c r="K1838" s="75"/>
      <c r="L1838" s="157"/>
      <c r="M1838" s="341"/>
      <c r="N1838" s="334"/>
      <c r="O1838" s="394"/>
      <c r="P1838" s="392"/>
      <c r="Q1838" s="363"/>
      <c r="T1838" s="110"/>
      <c r="V1838" s="232"/>
      <c r="W1838" s="269"/>
      <c r="X1838" s="201"/>
      <c r="Y1838" s="269"/>
      <c r="Z1838" s="269"/>
      <c r="AA1838" s="134"/>
      <c r="AB1838" s="269"/>
      <c r="AC1838" s="284"/>
      <c r="AD1838" s="284"/>
      <c r="AE1838" s="269"/>
    </row>
    <row r="1839" spans="2:31">
      <c r="B1839" s="83"/>
      <c r="C1839" s="81"/>
      <c r="D1839" s="83"/>
      <c r="E1839" s="81"/>
      <c r="F1839" s="269"/>
      <c r="G1839" s="48"/>
      <c r="H1839" s="269"/>
      <c r="I1839" s="72"/>
      <c r="J1839" s="330"/>
      <c r="K1839" s="75"/>
      <c r="L1839" s="157"/>
      <c r="M1839" s="341"/>
      <c r="N1839" s="334"/>
      <c r="O1839" s="394"/>
      <c r="P1839" s="392"/>
      <c r="Q1839" s="363"/>
      <c r="T1839" s="110"/>
      <c r="V1839" s="232"/>
      <c r="W1839" s="269"/>
      <c r="X1839" s="201"/>
      <c r="Y1839" s="269"/>
      <c r="Z1839" s="269"/>
      <c r="AA1839" s="134"/>
      <c r="AB1839" s="269"/>
      <c r="AC1839" s="284"/>
      <c r="AD1839" s="284"/>
      <c r="AE1839" s="269"/>
    </row>
    <row r="1840" spans="2:31">
      <c r="B1840" s="83"/>
      <c r="C1840" s="81"/>
      <c r="D1840" s="83"/>
      <c r="E1840" s="81"/>
      <c r="F1840" s="269"/>
      <c r="G1840" s="48"/>
      <c r="H1840" s="269"/>
      <c r="I1840" s="72"/>
      <c r="J1840" s="330"/>
      <c r="K1840" s="75"/>
      <c r="L1840" s="157"/>
      <c r="M1840" s="341"/>
      <c r="N1840" s="334"/>
      <c r="O1840" s="394"/>
      <c r="P1840" s="392"/>
      <c r="Q1840" s="363"/>
      <c r="T1840" s="110"/>
      <c r="V1840" s="232"/>
      <c r="W1840" s="269"/>
      <c r="X1840" s="201"/>
      <c r="Y1840" s="269"/>
      <c r="Z1840" s="269"/>
      <c r="AA1840" s="134"/>
      <c r="AB1840" s="269"/>
      <c r="AC1840" s="284"/>
      <c r="AD1840" s="284"/>
      <c r="AE1840" s="269"/>
    </row>
    <row r="1841" spans="2:31">
      <c r="B1841" s="83"/>
      <c r="C1841" s="81"/>
      <c r="D1841" s="83"/>
      <c r="E1841" s="81"/>
      <c r="F1841" s="269"/>
      <c r="G1841" s="48"/>
      <c r="H1841" s="269"/>
      <c r="I1841" s="72"/>
      <c r="J1841" s="330"/>
      <c r="K1841" s="75"/>
      <c r="L1841" s="157"/>
      <c r="M1841" s="341"/>
      <c r="N1841" s="334"/>
      <c r="O1841" s="394"/>
      <c r="P1841" s="392"/>
      <c r="Q1841" s="363"/>
      <c r="T1841" s="110"/>
      <c r="V1841" s="232"/>
      <c r="W1841" s="269"/>
      <c r="X1841" s="201"/>
      <c r="Y1841" s="269"/>
      <c r="Z1841" s="269"/>
      <c r="AA1841" s="134"/>
      <c r="AB1841" s="269"/>
      <c r="AC1841" s="284"/>
      <c r="AD1841" s="284"/>
      <c r="AE1841" s="269"/>
    </row>
    <row r="1842" spans="2:31">
      <c r="B1842" s="83"/>
      <c r="C1842" s="81"/>
      <c r="D1842" s="83"/>
      <c r="E1842" s="81"/>
      <c r="F1842" s="269"/>
      <c r="G1842" s="48"/>
      <c r="H1842" s="269"/>
      <c r="I1842" s="72"/>
      <c r="J1842" s="330"/>
      <c r="K1842" s="75"/>
      <c r="L1842" s="157"/>
      <c r="M1842" s="341"/>
      <c r="N1842" s="334"/>
      <c r="O1842" s="394"/>
      <c r="P1842" s="392"/>
      <c r="Q1842" s="363"/>
      <c r="T1842" s="110"/>
      <c r="V1842" s="232"/>
      <c r="W1842" s="269"/>
      <c r="X1842" s="201"/>
      <c r="Y1842" s="269"/>
      <c r="Z1842" s="269"/>
      <c r="AA1842" s="134"/>
      <c r="AB1842" s="269"/>
      <c r="AC1842" s="284"/>
      <c r="AD1842" s="284"/>
      <c r="AE1842" s="269"/>
    </row>
    <row r="1843" spans="2:31">
      <c r="B1843" s="83"/>
      <c r="C1843" s="81"/>
      <c r="D1843" s="83"/>
      <c r="E1843" s="81"/>
      <c r="F1843" s="269"/>
      <c r="G1843" s="48"/>
      <c r="H1843" s="269"/>
      <c r="I1843" s="72"/>
      <c r="J1843" s="330"/>
      <c r="K1843" s="75"/>
      <c r="L1843" s="157"/>
      <c r="M1843" s="341"/>
      <c r="N1843" s="334"/>
      <c r="O1843" s="394"/>
      <c r="P1843" s="392"/>
      <c r="Q1843" s="363"/>
      <c r="T1843" s="110"/>
      <c r="V1843" s="232"/>
      <c r="W1843" s="269"/>
      <c r="X1843" s="201"/>
      <c r="Y1843" s="269"/>
      <c r="Z1843" s="269"/>
      <c r="AA1843" s="134"/>
      <c r="AB1843" s="269"/>
      <c r="AC1843" s="284"/>
      <c r="AD1843" s="284"/>
      <c r="AE1843" s="269"/>
    </row>
    <row r="1844" spans="2:31">
      <c r="B1844" s="83"/>
      <c r="C1844" s="81"/>
      <c r="D1844" s="83"/>
      <c r="E1844" s="81"/>
      <c r="F1844" s="269"/>
      <c r="G1844" s="48"/>
      <c r="H1844" s="269"/>
      <c r="I1844" s="72"/>
      <c r="J1844" s="330"/>
      <c r="K1844" s="75"/>
      <c r="L1844" s="157"/>
      <c r="M1844" s="341"/>
      <c r="N1844" s="334"/>
      <c r="O1844" s="394"/>
      <c r="P1844" s="392"/>
      <c r="Q1844" s="363"/>
      <c r="T1844" s="110"/>
      <c r="V1844" s="232"/>
      <c r="W1844" s="269"/>
      <c r="X1844" s="201"/>
      <c r="Y1844" s="269"/>
      <c r="Z1844" s="269"/>
      <c r="AA1844" s="134"/>
      <c r="AB1844" s="269"/>
      <c r="AC1844" s="284"/>
      <c r="AD1844" s="284"/>
      <c r="AE1844" s="269"/>
    </row>
    <row r="1845" spans="2:31">
      <c r="B1845" s="83"/>
      <c r="C1845" s="81"/>
      <c r="D1845" s="83"/>
      <c r="E1845" s="81"/>
      <c r="F1845" s="269"/>
      <c r="G1845" s="48"/>
      <c r="H1845" s="269"/>
      <c r="I1845" s="72"/>
      <c r="J1845" s="330"/>
      <c r="K1845" s="75"/>
      <c r="L1845" s="157"/>
      <c r="M1845" s="341"/>
      <c r="N1845" s="334"/>
      <c r="O1845" s="394"/>
      <c r="P1845" s="392"/>
      <c r="Q1845" s="363"/>
      <c r="T1845" s="110"/>
      <c r="V1845" s="232"/>
      <c r="W1845" s="269"/>
      <c r="X1845" s="201"/>
      <c r="Y1845" s="269"/>
      <c r="Z1845" s="269"/>
      <c r="AA1845" s="134"/>
      <c r="AB1845" s="269"/>
      <c r="AC1845" s="284"/>
      <c r="AD1845" s="284"/>
      <c r="AE1845" s="269"/>
    </row>
    <row r="1846" spans="2:31">
      <c r="B1846" s="83"/>
      <c r="C1846" s="81"/>
      <c r="D1846" s="83"/>
      <c r="E1846" s="81"/>
      <c r="F1846" s="269"/>
      <c r="G1846" s="48"/>
      <c r="H1846" s="269"/>
      <c r="I1846" s="72"/>
      <c r="J1846" s="330"/>
      <c r="K1846" s="75"/>
      <c r="L1846" s="157"/>
      <c r="M1846" s="341"/>
      <c r="N1846" s="334"/>
      <c r="O1846" s="394"/>
      <c r="P1846" s="392"/>
      <c r="Q1846" s="363"/>
      <c r="T1846" s="110"/>
      <c r="V1846" s="232"/>
      <c r="W1846" s="269"/>
      <c r="X1846" s="201"/>
      <c r="Y1846" s="269"/>
      <c r="Z1846" s="269"/>
      <c r="AA1846" s="134"/>
      <c r="AB1846" s="269"/>
      <c r="AC1846" s="284"/>
      <c r="AD1846" s="284"/>
      <c r="AE1846" s="269"/>
    </row>
    <row r="1847" spans="2:31">
      <c r="B1847" s="83"/>
      <c r="C1847" s="81"/>
      <c r="D1847" s="83"/>
      <c r="E1847" s="81"/>
      <c r="F1847" s="269"/>
      <c r="G1847" s="48"/>
      <c r="H1847" s="269"/>
      <c r="I1847" s="72"/>
      <c r="J1847" s="330"/>
      <c r="K1847" s="75"/>
      <c r="L1847" s="157"/>
      <c r="M1847" s="341"/>
      <c r="N1847" s="334"/>
      <c r="O1847" s="394"/>
      <c r="P1847" s="392"/>
      <c r="Q1847" s="363"/>
      <c r="T1847" s="110"/>
      <c r="V1847" s="232"/>
      <c r="W1847" s="269"/>
      <c r="X1847" s="201"/>
      <c r="Y1847" s="269"/>
      <c r="Z1847" s="269"/>
      <c r="AA1847" s="134"/>
      <c r="AB1847" s="269"/>
      <c r="AC1847" s="284"/>
      <c r="AD1847" s="284"/>
      <c r="AE1847" s="269"/>
    </row>
    <row r="1848" spans="2:31">
      <c r="B1848" s="83"/>
      <c r="C1848" s="81"/>
      <c r="D1848" s="83"/>
      <c r="E1848" s="81"/>
      <c r="F1848" s="269"/>
      <c r="G1848" s="48"/>
      <c r="H1848" s="269"/>
      <c r="I1848" s="72"/>
      <c r="J1848" s="330"/>
      <c r="K1848" s="75"/>
      <c r="L1848" s="157"/>
      <c r="M1848" s="341"/>
      <c r="N1848" s="334"/>
      <c r="O1848" s="394"/>
      <c r="P1848" s="392"/>
      <c r="Q1848" s="363"/>
      <c r="T1848" s="110"/>
      <c r="V1848" s="232"/>
      <c r="W1848" s="269"/>
      <c r="X1848" s="201"/>
      <c r="Y1848" s="269"/>
      <c r="Z1848" s="269"/>
      <c r="AA1848" s="134"/>
      <c r="AB1848" s="269"/>
      <c r="AC1848" s="284"/>
      <c r="AD1848" s="284"/>
      <c r="AE1848" s="269"/>
    </row>
    <row r="1849" spans="2:31">
      <c r="B1849" s="83"/>
      <c r="C1849" s="81"/>
      <c r="D1849" s="83"/>
      <c r="E1849" s="81"/>
      <c r="F1849" s="269"/>
      <c r="G1849" s="48"/>
      <c r="H1849" s="269"/>
      <c r="I1849" s="72"/>
      <c r="J1849" s="330"/>
      <c r="K1849" s="75"/>
      <c r="L1849" s="157"/>
      <c r="M1849" s="341"/>
      <c r="N1849" s="334"/>
      <c r="O1849" s="394"/>
      <c r="P1849" s="392"/>
      <c r="Q1849" s="363"/>
      <c r="T1849" s="110"/>
      <c r="V1849" s="232"/>
      <c r="W1849" s="269"/>
      <c r="X1849" s="201"/>
      <c r="Y1849" s="269"/>
      <c r="Z1849" s="269"/>
      <c r="AA1849" s="134"/>
      <c r="AB1849" s="269"/>
      <c r="AC1849" s="284"/>
      <c r="AD1849" s="284"/>
      <c r="AE1849" s="269"/>
    </row>
    <row r="1850" spans="2:31">
      <c r="B1850" s="83"/>
      <c r="C1850" s="81"/>
      <c r="D1850" s="83"/>
      <c r="E1850" s="81"/>
      <c r="F1850" s="269"/>
      <c r="G1850" s="48"/>
      <c r="H1850" s="269"/>
      <c r="I1850" s="72"/>
      <c r="J1850" s="330"/>
      <c r="K1850" s="75"/>
      <c r="L1850" s="157"/>
      <c r="M1850" s="341"/>
      <c r="N1850" s="334"/>
      <c r="O1850" s="394"/>
      <c r="P1850" s="392"/>
      <c r="Q1850" s="363"/>
      <c r="T1850" s="110"/>
      <c r="V1850" s="232"/>
      <c r="W1850" s="269"/>
      <c r="X1850" s="201"/>
      <c r="Y1850" s="269"/>
      <c r="Z1850" s="269"/>
      <c r="AA1850" s="134"/>
      <c r="AB1850" s="269"/>
      <c r="AC1850" s="284"/>
      <c r="AD1850" s="284"/>
      <c r="AE1850" s="269"/>
    </row>
    <row r="1851" spans="2:31">
      <c r="B1851" s="83"/>
      <c r="C1851" s="81"/>
      <c r="D1851" s="83"/>
      <c r="E1851" s="81"/>
      <c r="F1851" s="269"/>
      <c r="G1851" s="48"/>
      <c r="H1851" s="269"/>
      <c r="I1851" s="72"/>
      <c r="J1851" s="330"/>
      <c r="K1851" s="75"/>
      <c r="L1851" s="157"/>
      <c r="M1851" s="341"/>
      <c r="N1851" s="334"/>
      <c r="O1851" s="394"/>
      <c r="P1851" s="392"/>
      <c r="Q1851" s="363"/>
      <c r="T1851" s="110"/>
      <c r="V1851" s="232"/>
      <c r="W1851" s="269"/>
      <c r="X1851" s="201"/>
      <c r="Y1851" s="269"/>
      <c r="Z1851" s="269"/>
      <c r="AA1851" s="134"/>
      <c r="AB1851" s="269"/>
      <c r="AC1851" s="284"/>
      <c r="AD1851" s="284"/>
      <c r="AE1851" s="269"/>
    </row>
    <row r="1852" spans="2:31">
      <c r="B1852" s="83"/>
      <c r="C1852" s="81"/>
      <c r="D1852" s="83"/>
      <c r="E1852" s="81"/>
      <c r="F1852" s="269"/>
      <c r="G1852" s="48"/>
      <c r="H1852" s="269"/>
      <c r="I1852" s="72"/>
      <c r="J1852" s="330"/>
      <c r="K1852" s="75"/>
      <c r="L1852" s="157"/>
      <c r="M1852" s="341"/>
      <c r="N1852" s="334"/>
      <c r="O1852" s="394"/>
      <c r="P1852" s="392"/>
      <c r="Q1852" s="363"/>
      <c r="T1852" s="110"/>
      <c r="V1852" s="232"/>
      <c r="W1852" s="269"/>
      <c r="X1852" s="201"/>
      <c r="Y1852" s="269"/>
      <c r="Z1852" s="269"/>
      <c r="AA1852" s="134"/>
      <c r="AB1852" s="269"/>
      <c r="AC1852" s="284"/>
      <c r="AD1852" s="284"/>
      <c r="AE1852" s="269"/>
    </row>
    <row r="1853" spans="2:31">
      <c r="B1853" s="83"/>
      <c r="C1853" s="81"/>
      <c r="D1853" s="83"/>
      <c r="E1853" s="81"/>
      <c r="F1853" s="269"/>
      <c r="G1853" s="48"/>
      <c r="H1853" s="269"/>
      <c r="I1853" s="72"/>
      <c r="J1853" s="330"/>
      <c r="K1853" s="75"/>
      <c r="L1853" s="157"/>
      <c r="M1853" s="341"/>
      <c r="N1853" s="334"/>
      <c r="O1853" s="394"/>
      <c r="P1853" s="392"/>
      <c r="Q1853" s="363"/>
      <c r="T1853" s="110"/>
      <c r="V1853" s="232"/>
      <c r="W1853" s="269"/>
      <c r="X1853" s="201"/>
      <c r="Y1853" s="269"/>
      <c r="Z1853" s="269"/>
      <c r="AA1853" s="134"/>
      <c r="AB1853" s="269"/>
      <c r="AC1853" s="284"/>
      <c r="AD1853" s="284"/>
      <c r="AE1853" s="269"/>
    </row>
    <row r="1854" spans="2:31">
      <c r="B1854" s="83"/>
      <c r="C1854" s="81"/>
      <c r="D1854" s="83"/>
      <c r="E1854" s="81"/>
      <c r="F1854" s="269"/>
      <c r="G1854" s="48"/>
      <c r="H1854" s="269"/>
      <c r="I1854" s="72"/>
      <c r="J1854" s="330"/>
      <c r="K1854" s="75"/>
      <c r="L1854" s="157"/>
      <c r="M1854" s="341"/>
      <c r="N1854" s="334"/>
      <c r="O1854" s="394"/>
      <c r="P1854" s="392"/>
      <c r="Q1854" s="363"/>
      <c r="T1854" s="110"/>
      <c r="V1854" s="232"/>
      <c r="W1854" s="269"/>
      <c r="X1854" s="201"/>
      <c r="Y1854" s="269"/>
      <c r="Z1854" s="269"/>
      <c r="AA1854" s="134"/>
      <c r="AB1854" s="269"/>
      <c r="AC1854" s="284"/>
      <c r="AD1854" s="284"/>
      <c r="AE1854" s="269"/>
    </row>
    <row r="1855" spans="2:31">
      <c r="B1855" s="83"/>
      <c r="C1855" s="81"/>
      <c r="D1855" s="83"/>
      <c r="E1855" s="81"/>
      <c r="F1855" s="269"/>
      <c r="G1855" s="48"/>
      <c r="H1855" s="269"/>
      <c r="I1855" s="72"/>
      <c r="J1855" s="330"/>
      <c r="K1855" s="75"/>
      <c r="L1855" s="157"/>
      <c r="M1855" s="341"/>
      <c r="N1855" s="334"/>
      <c r="O1855" s="394"/>
      <c r="P1855" s="392"/>
      <c r="Q1855" s="363"/>
      <c r="T1855" s="110"/>
      <c r="V1855" s="232"/>
      <c r="W1855" s="269"/>
      <c r="X1855" s="201"/>
      <c r="Y1855" s="269"/>
      <c r="Z1855" s="269"/>
      <c r="AA1855" s="134"/>
      <c r="AB1855" s="269"/>
      <c r="AC1855" s="284"/>
      <c r="AD1855" s="284"/>
      <c r="AE1855" s="269"/>
    </row>
    <row r="1856" spans="2:31">
      <c r="B1856" s="83"/>
      <c r="C1856" s="81"/>
      <c r="D1856" s="83"/>
      <c r="E1856" s="81"/>
      <c r="F1856" s="269"/>
      <c r="G1856" s="48"/>
      <c r="H1856" s="269"/>
      <c r="I1856" s="72"/>
      <c r="J1856" s="330"/>
      <c r="K1856" s="75"/>
      <c r="L1856" s="157"/>
      <c r="M1856" s="341"/>
      <c r="N1856" s="334"/>
      <c r="O1856" s="394"/>
      <c r="P1856" s="392"/>
      <c r="Q1856" s="363"/>
      <c r="T1856" s="110"/>
      <c r="V1856" s="232"/>
      <c r="W1856" s="269"/>
      <c r="X1856" s="201"/>
      <c r="Y1856" s="269"/>
      <c r="Z1856" s="269"/>
      <c r="AA1856" s="134"/>
      <c r="AB1856" s="269"/>
      <c r="AC1856" s="284"/>
      <c r="AD1856" s="284"/>
      <c r="AE1856" s="269"/>
    </row>
    <row r="1857" spans="2:31">
      <c r="B1857" s="83"/>
      <c r="C1857" s="81"/>
      <c r="D1857" s="83"/>
      <c r="E1857" s="81"/>
      <c r="F1857" s="269"/>
      <c r="G1857" s="48"/>
      <c r="H1857" s="269"/>
      <c r="I1857" s="72"/>
      <c r="J1857" s="330"/>
      <c r="K1857" s="75"/>
      <c r="L1857" s="157"/>
      <c r="M1857" s="341"/>
      <c r="N1857" s="334"/>
      <c r="O1857" s="394"/>
      <c r="P1857" s="392"/>
      <c r="Q1857" s="363"/>
      <c r="T1857" s="110"/>
      <c r="V1857" s="232"/>
      <c r="W1857" s="269"/>
      <c r="X1857" s="201"/>
      <c r="Y1857" s="269"/>
      <c r="Z1857" s="269"/>
      <c r="AA1857" s="134"/>
      <c r="AB1857" s="269"/>
      <c r="AC1857" s="284"/>
      <c r="AD1857" s="284"/>
      <c r="AE1857" s="269"/>
    </row>
    <row r="1858" spans="2:31">
      <c r="B1858" s="83"/>
      <c r="C1858" s="81"/>
      <c r="D1858" s="83"/>
      <c r="E1858" s="81"/>
      <c r="F1858" s="269"/>
      <c r="G1858" s="48"/>
      <c r="H1858" s="269"/>
      <c r="I1858" s="72"/>
      <c r="J1858" s="330"/>
      <c r="K1858" s="75"/>
      <c r="L1858" s="157"/>
      <c r="M1858" s="341"/>
      <c r="N1858" s="334"/>
      <c r="O1858" s="394"/>
      <c r="P1858" s="392"/>
      <c r="Q1858" s="363"/>
      <c r="T1858" s="110"/>
      <c r="V1858" s="232"/>
      <c r="W1858" s="269"/>
      <c r="X1858" s="201"/>
      <c r="Y1858" s="269"/>
      <c r="Z1858" s="269"/>
      <c r="AA1858" s="134"/>
      <c r="AB1858" s="269"/>
      <c r="AC1858" s="284"/>
      <c r="AD1858" s="284"/>
      <c r="AE1858" s="269"/>
    </row>
    <row r="1859" spans="2:31">
      <c r="B1859" s="83"/>
      <c r="C1859" s="81"/>
      <c r="D1859" s="83"/>
      <c r="E1859" s="81"/>
      <c r="F1859" s="269"/>
      <c r="G1859" s="48"/>
      <c r="H1859" s="269"/>
      <c r="I1859" s="72"/>
      <c r="J1859" s="330"/>
      <c r="K1859" s="75"/>
      <c r="L1859" s="157"/>
      <c r="M1859" s="341"/>
      <c r="N1859" s="334"/>
      <c r="O1859" s="394"/>
      <c r="P1859" s="392"/>
      <c r="Q1859" s="363"/>
      <c r="T1859" s="110"/>
      <c r="V1859" s="232"/>
      <c r="W1859" s="269"/>
      <c r="X1859" s="201"/>
      <c r="Y1859" s="269"/>
      <c r="Z1859" s="269"/>
      <c r="AA1859" s="134"/>
      <c r="AB1859" s="269"/>
      <c r="AC1859" s="284"/>
      <c r="AD1859" s="284"/>
      <c r="AE1859" s="269"/>
    </row>
    <row r="1860" spans="2:31">
      <c r="B1860" s="83"/>
      <c r="C1860" s="81"/>
      <c r="D1860" s="83"/>
      <c r="E1860" s="81"/>
      <c r="F1860" s="269"/>
      <c r="G1860" s="48"/>
      <c r="H1860" s="269"/>
      <c r="I1860" s="72"/>
      <c r="J1860" s="330"/>
      <c r="K1860" s="75"/>
      <c r="L1860" s="157"/>
      <c r="M1860" s="341"/>
      <c r="N1860" s="334"/>
      <c r="O1860" s="394"/>
      <c r="P1860" s="392"/>
      <c r="Q1860" s="363"/>
      <c r="T1860" s="110"/>
      <c r="V1860" s="232"/>
      <c r="W1860" s="269"/>
      <c r="X1860" s="201"/>
      <c r="Y1860" s="269"/>
      <c r="Z1860" s="269"/>
      <c r="AA1860" s="134"/>
      <c r="AB1860" s="269"/>
      <c r="AC1860" s="284"/>
      <c r="AD1860" s="284"/>
      <c r="AE1860" s="269"/>
    </row>
    <row r="1861" spans="2:31">
      <c r="B1861" s="83"/>
      <c r="C1861" s="81"/>
      <c r="D1861" s="83"/>
      <c r="E1861" s="81"/>
      <c r="F1861" s="269"/>
      <c r="G1861" s="48"/>
      <c r="H1861" s="269"/>
      <c r="I1861" s="72"/>
      <c r="J1861" s="330"/>
      <c r="K1861" s="75"/>
      <c r="L1861" s="157"/>
      <c r="M1861" s="341"/>
      <c r="N1861" s="334"/>
      <c r="O1861" s="394"/>
      <c r="P1861" s="392"/>
      <c r="Q1861" s="363"/>
      <c r="T1861" s="110"/>
      <c r="V1861" s="232"/>
      <c r="W1861" s="269"/>
      <c r="X1861" s="201"/>
      <c r="Y1861" s="269"/>
      <c r="Z1861" s="269"/>
      <c r="AA1861" s="134"/>
      <c r="AB1861" s="269"/>
      <c r="AC1861" s="284"/>
      <c r="AD1861" s="284"/>
      <c r="AE1861" s="269"/>
    </row>
    <row r="1862" spans="2:31">
      <c r="B1862" s="83"/>
      <c r="C1862" s="81"/>
      <c r="D1862" s="83"/>
      <c r="E1862" s="81"/>
      <c r="F1862" s="269"/>
      <c r="G1862" s="48"/>
      <c r="H1862" s="269"/>
      <c r="I1862" s="72"/>
      <c r="J1862" s="330"/>
      <c r="K1862" s="75"/>
      <c r="L1862" s="157"/>
      <c r="M1862" s="341"/>
      <c r="N1862" s="334"/>
      <c r="O1862" s="394"/>
      <c r="P1862" s="392"/>
      <c r="Q1862" s="363"/>
      <c r="T1862" s="110"/>
      <c r="V1862" s="232"/>
      <c r="W1862" s="269"/>
      <c r="X1862" s="201"/>
      <c r="Y1862" s="269"/>
      <c r="Z1862" s="269"/>
      <c r="AA1862" s="134"/>
      <c r="AB1862" s="269"/>
      <c r="AC1862" s="284"/>
      <c r="AD1862" s="284"/>
      <c r="AE1862" s="269"/>
    </row>
    <row r="1863" spans="2:31">
      <c r="B1863" s="83"/>
      <c r="C1863" s="81"/>
      <c r="D1863" s="83"/>
      <c r="E1863" s="81"/>
      <c r="F1863" s="269"/>
      <c r="G1863" s="48"/>
      <c r="H1863" s="269"/>
      <c r="I1863" s="72"/>
      <c r="J1863" s="330"/>
      <c r="K1863" s="75"/>
      <c r="L1863" s="157"/>
      <c r="M1863" s="341"/>
      <c r="N1863" s="334"/>
      <c r="O1863" s="394"/>
      <c r="P1863" s="392"/>
      <c r="Q1863" s="363"/>
      <c r="T1863" s="110"/>
      <c r="V1863" s="232"/>
      <c r="W1863" s="269"/>
      <c r="X1863" s="201"/>
      <c r="Y1863" s="269"/>
      <c r="Z1863" s="269"/>
      <c r="AA1863" s="134"/>
      <c r="AB1863" s="269"/>
      <c r="AC1863" s="284"/>
      <c r="AD1863" s="284"/>
      <c r="AE1863" s="269"/>
    </row>
    <row r="1864" spans="2:31">
      <c r="B1864" s="83"/>
      <c r="C1864" s="81"/>
      <c r="D1864" s="83"/>
      <c r="E1864" s="81"/>
      <c r="F1864" s="269"/>
      <c r="G1864" s="48"/>
      <c r="H1864" s="269"/>
      <c r="I1864" s="72"/>
      <c r="J1864" s="330"/>
      <c r="K1864" s="75"/>
      <c r="L1864" s="157"/>
      <c r="M1864" s="341"/>
      <c r="N1864" s="334"/>
      <c r="O1864" s="394"/>
      <c r="P1864" s="392"/>
      <c r="Q1864" s="363"/>
      <c r="T1864" s="110"/>
      <c r="V1864" s="232"/>
      <c r="W1864" s="269"/>
      <c r="X1864" s="201"/>
      <c r="Y1864" s="269"/>
      <c r="Z1864" s="269"/>
      <c r="AA1864" s="134"/>
      <c r="AB1864" s="269"/>
      <c r="AC1864" s="284"/>
      <c r="AD1864" s="284"/>
      <c r="AE1864" s="269"/>
    </row>
    <row r="1865" spans="2:31">
      <c r="B1865" s="83"/>
      <c r="C1865" s="81"/>
      <c r="D1865" s="83"/>
      <c r="E1865" s="81"/>
      <c r="F1865" s="269"/>
      <c r="G1865" s="48"/>
      <c r="H1865" s="269"/>
      <c r="I1865" s="72"/>
      <c r="J1865" s="330"/>
      <c r="K1865" s="75"/>
      <c r="L1865" s="157"/>
      <c r="M1865" s="341"/>
      <c r="N1865" s="334"/>
      <c r="O1865" s="394"/>
      <c r="P1865" s="392"/>
      <c r="Q1865" s="363"/>
      <c r="T1865" s="110"/>
      <c r="V1865" s="232"/>
      <c r="W1865" s="269"/>
      <c r="X1865" s="201"/>
      <c r="Y1865" s="269"/>
      <c r="Z1865" s="269"/>
      <c r="AA1865" s="134"/>
      <c r="AB1865" s="269"/>
      <c r="AC1865" s="284"/>
      <c r="AD1865" s="284"/>
      <c r="AE1865" s="269"/>
    </row>
    <row r="1866" spans="2:31">
      <c r="B1866" s="83"/>
      <c r="C1866" s="81"/>
      <c r="D1866" s="83"/>
      <c r="E1866" s="81"/>
      <c r="F1866" s="269"/>
      <c r="G1866" s="48"/>
      <c r="H1866" s="269"/>
      <c r="I1866" s="72"/>
      <c r="J1866" s="330"/>
      <c r="K1866" s="75"/>
      <c r="L1866" s="157"/>
      <c r="M1866" s="341"/>
      <c r="N1866" s="334"/>
      <c r="O1866" s="394"/>
      <c r="P1866" s="392"/>
      <c r="Q1866" s="363"/>
      <c r="T1866" s="110"/>
      <c r="V1866" s="232"/>
      <c r="W1866" s="269"/>
      <c r="X1866" s="201"/>
      <c r="Y1866" s="269"/>
      <c r="Z1866" s="269"/>
      <c r="AA1866" s="134"/>
      <c r="AB1866" s="269"/>
      <c r="AC1866" s="284"/>
      <c r="AD1866" s="284"/>
      <c r="AE1866" s="269"/>
    </row>
    <row r="1867" spans="2:31">
      <c r="B1867" s="83"/>
      <c r="C1867" s="81"/>
      <c r="D1867" s="83"/>
      <c r="E1867" s="81"/>
      <c r="F1867" s="269"/>
      <c r="G1867" s="48"/>
      <c r="H1867" s="269"/>
      <c r="I1867" s="72"/>
      <c r="J1867" s="330"/>
      <c r="K1867" s="75"/>
      <c r="L1867" s="157"/>
      <c r="M1867" s="341"/>
      <c r="N1867" s="334"/>
      <c r="O1867" s="394"/>
      <c r="P1867" s="392"/>
      <c r="Q1867" s="363"/>
      <c r="T1867" s="110"/>
      <c r="V1867" s="232"/>
      <c r="W1867" s="269"/>
      <c r="X1867" s="201"/>
      <c r="Y1867" s="269"/>
      <c r="Z1867" s="269"/>
      <c r="AA1867" s="134"/>
      <c r="AB1867" s="269"/>
      <c r="AC1867" s="284"/>
      <c r="AD1867" s="284"/>
      <c r="AE1867" s="269"/>
    </row>
    <row r="1868" spans="2:31">
      <c r="B1868" s="83"/>
      <c r="C1868" s="81"/>
      <c r="D1868" s="83"/>
      <c r="E1868" s="81"/>
      <c r="F1868" s="269"/>
      <c r="G1868" s="48"/>
      <c r="H1868" s="269"/>
      <c r="I1868" s="72"/>
      <c r="J1868" s="330"/>
      <c r="K1868" s="75"/>
      <c r="L1868" s="157"/>
      <c r="M1868" s="341"/>
      <c r="N1868" s="334"/>
      <c r="O1868" s="394"/>
      <c r="P1868" s="392"/>
      <c r="Q1868" s="363"/>
      <c r="T1868" s="110"/>
      <c r="V1868" s="232"/>
      <c r="W1868" s="269"/>
      <c r="X1868" s="201"/>
      <c r="Y1868" s="269"/>
      <c r="Z1868" s="269"/>
      <c r="AA1868" s="134"/>
      <c r="AB1868" s="269"/>
      <c r="AC1868" s="284"/>
      <c r="AD1868" s="284"/>
      <c r="AE1868" s="269"/>
    </row>
    <row r="1869" spans="2:31">
      <c r="B1869" s="83"/>
      <c r="C1869" s="81"/>
      <c r="D1869" s="83"/>
      <c r="E1869" s="81"/>
      <c r="F1869" s="269"/>
      <c r="G1869" s="48"/>
      <c r="H1869" s="269"/>
      <c r="I1869" s="72"/>
      <c r="J1869" s="330"/>
      <c r="K1869" s="75"/>
      <c r="L1869" s="157"/>
      <c r="M1869" s="341"/>
      <c r="N1869" s="334"/>
      <c r="O1869" s="394"/>
      <c r="P1869" s="392"/>
      <c r="Q1869" s="363"/>
      <c r="T1869" s="110"/>
      <c r="V1869" s="232"/>
      <c r="W1869" s="269"/>
      <c r="X1869" s="201"/>
      <c r="Y1869" s="269"/>
      <c r="Z1869" s="269"/>
      <c r="AA1869" s="134"/>
      <c r="AB1869" s="269"/>
      <c r="AC1869" s="284"/>
      <c r="AD1869" s="284"/>
      <c r="AE1869" s="269"/>
    </row>
    <row r="1870" spans="2:31">
      <c r="B1870" s="83"/>
      <c r="C1870" s="81"/>
      <c r="D1870" s="83"/>
      <c r="E1870" s="81"/>
      <c r="F1870" s="269"/>
      <c r="G1870" s="48"/>
      <c r="H1870" s="269"/>
      <c r="I1870" s="72"/>
      <c r="J1870" s="330"/>
      <c r="K1870" s="75"/>
      <c r="L1870" s="157"/>
      <c r="M1870" s="341"/>
      <c r="N1870" s="334"/>
      <c r="O1870" s="394"/>
      <c r="P1870" s="392"/>
      <c r="Q1870" s="363"/>
      <c r="T1870" s="110"/>
      <c r="V1870" s="232"/>
      <c r="W1870" s="269"/>
      <c r="X1870" s="201"/>
      <c r="Y1870" s="269"/>
      <c r="Z1870" s="269"/>
      <c r="AA1870" s="134"/>
      <c r="AB1870" s="269"/>
      <c r="AC1870" s="284"/>
      <c r="AD1870" s="284"/>
      <c r="AE1870" s="269"/>
    </row>
    <row r="1871" spans="2:31">
      <c r="B1871" s="83"/>
      <c r="C1871" s="81"/>
      <c r="D1871" s="83"/>
      <c r="E1871" s="81"/>
      <c r="F1871" s="269"/>
      <c r="G1871" s="48"/>
      <c r="H1871" s="269"/>
      <c r="I1871" s="72"/>
      <c r="J1871" s="330"/>
      <c r="K1871" s="75"/>
      <c r="L1871" s="157"/>
      <c r="M1871" s="341"/>
      <c r="N1871" s="334"/>
      <c r="O1871" s="394"/>
      <c r="P1871" s="392"/>
      <c r="Q1871" s="363"/>
      <c r="T1871" s="110"/>
      <c r="V1871" s="232"/>
      <c r="W1871" s="269"/>
      <c r="X1871" s="201"/>
      <c r="Y1871" s="269"/>
      <c r="Z1871" s="269"/>
      <c r="AA1871" s="134"/>
      <c r="AB1871" s="269"/>
      <c r="AC1871" s="284"/>
      <c r="AD1871" s="284"/>
      <c r="AE1871" s="269"/>
    </row>
    <row r="1872" spans="2:31">
      <c r="B1872" s="83"/>
      <c r="C1872" s="81"/>
      <c r="D1872" s="83"/>
      <c r="E1872" s="81"/>
      <c r="F1872" s="269"/>
      <c r="G1872" s="48"/>
      <c r="H1872" s="269"/>
      <c r="I1872" s="72"/>
      <c r="J1872" s="330"/>
      <c r="K1872" s="75"/>
      <c r="L1872" s="157"/>
      <c r="M1872" s="341"/>
      <c r="N1872" s="334"/>
      <c r="O1872" s="394"/>
      <c r="P1872" s="392"/>
      <c r="Q1872" s="363"/>
      <c r="T1872" s="110"/>
      <c r="V1872" s="232"/>
      <c r="W1872" s="269"/>
      <c r="X1872" s="201"/>
      <c r="Y1872" s="269"/>
      <c r="Z1872" s="269"/>
      <c r="AA1872" s="134"/>
      <c r="AB1872" s="269"/>
      <c r="AC1872" s="284"/>
      <c r="AD1872" s="284"/>
      <c r="AE1872" s="269"/>
    </row>
    <row r="1873" spans="2:31">
      <c r="B1873" s="83"/>
      <c r="C1873" s="81"/>
      <c r="D1873" s="83"/>
      <c r="E1873" s="81"/>
      <c r="F1873" s="269"/>
      <c r="G1873" s="48"/>
      <c r="H1873" s="269"/>
      <c r="I1873" s="72"/>
      <c r="J1873" s="330"/>
      <c r="K1873" s="75"/>
      <c r="L1873" s="157"/>
      <c r="M1873" s="341"/>
      <c r="N1873" s="334"/>
      <c r="O1873" s="394"/>
      <c r="P1873" s="392"/>
      <c r="Q1873" s="363"/>
      <c r="T1873" s="110"/>
      <c r="V1873" s="232"/>
      <c r="W1873" s="269"/>
      <c r="X1873" s="201"/>
      <c r="Y1873" s="269"/>
      <c r="Z1873" s="269"/>
      <c r="AA1873" s="134"/>
      <c r="AB1873" s="269"/>
      <c r="AC1873" s="284"/>
      <c r="AD1873" s="284"/>
      <c r="AE1873" s="269"/>
    </row>
    <row r="1874" spans="2:31">
      <c r="B1874" s="83"/>
      <c r="C1874" s="81"/>
      <c r="D1874" s="83"/>
      <c r="E1874" s="81"/>
      <c r="F1874" s="269"/>
      <c r="G1874" s="48"/>
      <c r="H1874" s="269"/>
      <c r="I1874" s="72"/>
      <c r="J1874" s="330"/>
      <c r="K1874" s="75"/>
      <c r="L1874" s="157"/>
      <c r="M1874" s="341"/>
      <c r="N1874" s="334"/>
      <c r="O1874" s="394"/>
      <c r="P1874" s="392"/>
      <c r="Q1874" s="363"/>
      <c r="T1874" s="110"/>
      <c r="V1874" s="232"/>
      <c r="W1874" s="269"/>
      <c r="X1874" s="201"/>
      <c r="Y1874" s="269"/>
      <c r="Z1874" s="269"/>
      <c r="AA1874" s="134"/>
      <c r="AB1874" s="269"/>
      <c r="AC1874" s="284"/>
      <c r="AD1874" s="284"/>
      <c r="AE1874" s="269"/>
    </row>
    <row r="1875" spans="2:31">
      <c r="B1875" s="83"/>
      <c r="C1875" s="81"/>
      <c r="D1875" s="83"/>
      <c r="E1875" s="81"/>
      <c r="F1875" s="269"/>
      <c r="G1875" s="48"/>
      <c r="H1875" s="269"/>
      <c r="I1875" s="72"/>
      <c r="J1875" s="330"/>
      <c r="K1875" s="75"/>
      <c r="L1875" s="157"/>
      <c r="M1875" s="341"/>
      <c r="N1875" s="334"/>
      <c r="O1875" s="394"/>
      <c r="P1875" s="392"/>
      <c r="Q1875" s="363"/>
      <c r="T1875" s="110"/>
      <c r="V1875" s="232"/>
      <c r="W1875" s="269"/>
      <c r="X1875" s="201"/>
      <c r="Y1875" s="269"/>
      <c r="Z1875" s="269"/>
      <c r="AA1875" s="134"/>
      <c r="AB1875" s="269"/>
      <c r="AC1875" s="284"/>
      <c r="AD1875" s="284"/>
      <c r="AE1875" s="269"/>
    </row>
    <row r="1876" spans="2:31">
      <c r="B1876" s="83"/>
      <c r="C1876" s="81"/>
      <c r="D1876" s="83"/>
      <c r="E1876" s="81"/>
      <c r="F1876" s="269"/>
      <c r="G1876" s="48"/>
      <c r="H1876" s="269"/>
      <c r="I1876" s="72"/>
      <c r="J1876" s="330"/>
      <c r="K1876" s="75"/>
      <c r="L1876" s="157"/>
      <c r="M1876" s="341"/>
      <c r="N1876" s="334"/>
      <c r="O1876" s="394"/>
      <c r="P1876" s="392"/>
      <c r="Q1876" s="363"/>
      <c r="T1876" s="110"/>
      <c r="V1876" s="232"/>
      <c r="W1876" s="269"/>
      <c r="X1876" s="201"/>
      <c r="Y1876" s="269"/>
      <c r="Z1876" s="269"/>
      <c r="AA1876" s="134"/>
      <c r="AB1876" s="269"/>
      <c r="AC1876" s="284"/>
      <c r="AD1876" s="284"/>
      <c r="AE1876" s="269"/>
    </row>
    <row r="1877" spans="2:31">
      <c r="B1877" s="83"/>
      <c r="C1877" s="81"/>
      <c r="D1877" s="83"/>
      <c r="E1877" s="81"/>
      <c r="F1877" s="269"/>
      <c r="G1877" s="48"/>
      <c r="H1877" s="269"/>
      <c r="I1877" s="72"/>
      <c r="J1877" s="330"/>
      <c r="K1877" s="75"/>
      <c r="L1877" s="157"/>
      <c r="M1877" s="341"/>
      <c r="N1877" s="334"/>
      <c r="O1877" s="394"/>
      <c r="P1877" s="392"/>
      <c r="Q1877" s="363"/>
      <c r="T1877" s="110"/>
      <c r="V1877" s="232"/>
      <c r="W1877" s="269"/>
      <c r="X1877" s="201"/>
      <c r="Y1877" s="269"/>
      <c r="Z1877" s="269"/>
      <c r="AA1877" s="134"/>
      <c r="AB1877" s="269"/>
      <c r="AC1877" s="284"/>
      <c r="AD1877" s="284"/>
      <c r="AE1877" s="269"/>
    </row>
    <row r="1878" spans="2:31">
      <c r="B1878" s="83"/>
      <c r="C1878" s="81"/>
      <c r="D1878" s="83"/>
      <c r="E1878" s="81"/>
      <c r="F1878" s="269"/>
      <c r="G1878" s="48"/>
      <c r="H1878" s="269"/>
      <c r="I1878" s="72"/>
      <c r="J1878" s="330"/>
      <c r="K1878" s="75"/>
      <c r="L1878" s="157"/>
      <c r="M1878" s="341"/>
      <c r="N1878" s="334"/>
      <c r="O1878" s="394"/>
      <c r="P1878" s="392"/>
      <c r="Q1878" s="363"/>
      <c r="T1878" s="110"/>
      <c r="V1878" s="232"/>
      <c r="W1878" s="269"/>
      <c r="X1878" s="201"/>
      <c r="Y1878" s="269"/>
      <c r="Z1878" s="269"/>
      <c r="AA1878" s="134"/>
      <c r="AB1878" s="269"/>
      <c r="AC1878" s="284"/>
      <c r="AD1878" s="284"/>
      <c r="AE1878" s="269"/>
    </row>
    <row r="1879" spans="2:31">
      <c r="B1879" s="83"/>
      <c r="C1879" s="81"/>
      <c r="D1879" s="83"/>
      <c r="E1879" s="81"/>
      <c r="F1879" s="269"/>
      <c r="G1879" s="48"/>
      <c r="H1879" s="269"/>
      <c r="I1879" s="72"/>
      <c r="J1879" s="330"/>
      <c r="K1879" s="75"/>
      <c r="L1879" s="157"/>
      <c r="M1879" s="341"/>
      <c r="N1879" s="334"/>
      <c r="O1879" s="394"/>
      <c r="P1879" s="392"/>
      <c r="Q1879" s="363"/>
      <c r="T1879" s="110"/>
      <c r="V1879" s="232"/>
      <c r="W1879" s="269"/>
      <c r="X1879" s="201"/>
      <c r="Y1879" s="269"/>
      <c r="Z1879" s="269"/>
      <c r="AA1879" s="134"/>
      <c r="AB1879" s="269"/>
      <c r="AC1879" s="284"/>
      <c r="AD1879" s="284"/>
      <c r="AE1879" s="269"/>
    </row>
    <row r="1880" spans="2:31">
      <c r="B1880" s="83"/>
      <c r="C1880" s="81"/>
      <c r="D1880" s="83"/>
      <c r="E1880" s="81"/>
      <c r="F1880" s="269"/>
      <c r="G1880" s="48"/>
      <c r="H1880" s="269"/>
      <c r="I1880" s="72"/>
      <c r="J1880" s="330"/>
      <c r="K1880" s="75"/>
      <c r="L1880" s="157"/>
      <c r="M1880" s="341"/>
      <c r="N1880" s="334"/>
      <c r="O1880" s="394"/>
      <c r="P1880" s="392"/>
      <c r="Q1880" s="363"/>
      <c r="T1880" s="110"/>
      <c r="V1880" s="232"/>
      <c r="W1880" s="269"/>
      <c r="X1880" s="201"/>
      <c r="Y1880" s="269"/>
      <c r="Z1880" s="269"/>
      <c r="AA1880" s="134"/>
      <c r="AB1880" s="269"/>
      <c r="AC1880" s="284"/>
      <c r="AD1880" s="284"/>
      <c r="AE1880" s="269"/>
    </row>
    <row r="1881" spans="2:31">
      <c r="B1881" s="83"/>
      <c r="C1881" s="81"/>
      <c r="D1881" s="83"/>
      <c r="E1881" s="81"/>
      <c r="F1881" s="269"/>
      <c r="G1881" s="48"/>
      <c r="H1881" s="269"/>
      <c r="I1881" s="72"/>
      <c r="J1881" s="330"/>
      <c r="K1881" s="75"/>
      <c r="L1881" s="157"/>
      <c r="M1881" s="341"/>
      <c r="N1881" s="334"/>
      <c r="O1881" s="394"/>
      <c r="P1881" s="392"/>
      <c r="Q1881" s="363"/>
      <c r="T1881" s="110"/>
      <c r="V1881" s="232"/>
      <c r="W1881" s="269"/>
      <c r="X1881" s="201"/>
      <c r="Y1881" s="269"/>
      <c r="Z1881" s="269"/>
      <c r="AA1881" s="134"/>
      <c r="AB1881" s="269"/>
      <c r="AC1881" s="284"/>
      <c r="AD1881" s="284"/>
      <c r="AE1881" s="269"/>
    </row>
    <row r="1882" spans="2:31">
      <c r="B1882" s="83"/>
      <c r="C1882" s="81"/>
      <c r="D1882" s="83"/>
      <c r="E1882" s="81"/>
      <c r="F1882" s="269"/>
      <c r="G1882" s="48"/>
      <c r="H1882" s="269"/>
      <c r="I1882" s="72"/>
      <c r="J1882" s="330"/>
      <c r="K1882" s="75"/>
      <c r="L1882" s="157"/>
      <c r="M1882" s="341"/>
      <c r="N1882" s="334"/>
      <c r="O1882" s="394"/>
      <c r="P1882" s="392"/>
      <c r="Q1882" s="363"/>
      <c r="T1882" s="110"/>
      <c r="V1882" s="232"/>
      <c r="W1882" s="269"/>
      <c r="X1882" s="201"/>
      <c r="Y1882" s="269"/>
      <c r="Z1882" s="269"/>
      <c r="AA1882" s="134"/>
      <c r="AB1882" s="269"/>
      <c r="AC1882" s="284"/>
      <c r="AD1882" s="284"/>
      <c r="AE1882" s="269"/>
    </row>
    <row r="1883" spans="2:31">
      <c r="B1883" s="83"/>
      <c r="C1883" s="81"/>
      <c r="D1883" s="83"/>
      <c r="E1883" s="81"/>
      <c r="F1883" s="269"/>
      <c r="G1883" s="48"/>
      <c r="H1883" s="269"/>
      <c r="I1883" s="72"/>
      <c r="J1883" s="330"/>
      <c r="K1883" s="75"/>
      <c r="L1883" s="157"/>
      <c r="M1883" s="341"/>
      <c r="N1883" s="334"/>
      <c r="O1883" s="394"/>
      <c r="P1883" s="392"/>
      <c r="Q1883" s="363"/>
      <c r="T1883" s="110"/>
      <c r="V1883" s="232"/>
      <c r="W1883" s="269"/>
      <c r="X1883" s="201"/>
      <c r="Y1883" s="269"/>
      <c r="Z1883" s="269"/>
      <c r="AA1883" s="134"/>
      <c r="AB1883" s="269"/>
      <c r="AC1883" s="284"/>
      <c r="AD1883" s="284"/>
      <c r="AE1883" s="269"/>
    </row>
    <row r="1884" spans="2:31">
      <c r="B1884" s="83"/>
      <c r="C1884" s="81"/>
      <c r="D1884" s="83"/>
      <c r="E1884" s="81"/>
      <c r="F1884" s="269"/>
      <c r="G1884" s="48"/>
      <c r="H1884" s="269"/>
      <c r="I1884" s="72"/>
      <c r="J1884" s="330"/>
      <c r="K1884" s="75"/>
      <c r="L1884" s="157"/>
      <c r="M1884" s="341"/>
      <c r="N1884" s="334"/>
      <c r="O1884" s="394"/>
      <c r="P1884" s="392"/>
      <c r="Q1884" s="363"/>
      <c r="T1884" s="110"/>
      <c r="V1884" s="232"/>
      <c r="W1884" s="269"/>
      <c r="X1884" s="201"/>
      <c r="Y1884" s="269"/>
      <c r="Z1884" s="269"/>
      <c r="AA1884" s="134"/>
      <c r="AB1884" s="269"/>
      <c r="AC1884" s="284"/>
      <c r="AD1884" s="284"/>
      <c r="AE1884" s="269"/>
    </row>
    <row r="1885" spans="2:31">
      <c r="B1885" s="83"/>
      <c r="C1885" s="81"/>
      <c r="D1885" s="83"/>
      <c r="E1885" s="81"/>
      <c r="F1885" s="269"/>
      <c r="G1885" s="48"/>
      <c r="H1885" s="269"/>
      <c r="I1885" s="72"/>
      <c r="J1885" s="330"/>
      <c r="K1885" s="75"/>
      <c r="L1885" s="157"/>
      <c r="M1885" s="341"/>
      <c r="N1885" s="334"/>
      <c r="O1885" s="394"/>
      <c r="P1885" s="392"/>
      <c r="Q1885" s="363"/>
      <c r="T1885" s="110"/>
      <c r="V1885" s="232"/>
      <c r="W1885" s="269"/>
      <c r="X1885" s="201"/>
      <c r="Y1885" s="269"/>
      <c r="Z1885" s="269"/>
      <c r="AA1885" s="134"/>
      <c r="AB1885" s="269"/>
      <c r="AC1885" s="284"/>
      <c r="AD1885" s="284"/>
      <c r="AE1885" s="269"/>
    </row>
    <row r="1886" spans="2:31">
      <c r="B1886" s="83"/>
      <c r="C1886" s="81"/>
      <c r="D1886" s="83"/>
      <c r="E1886" s="81"/>
      <c r="F1886" s="269"/>
      <c r="G1886" s="48"/>
      <c r="H1886" s="269"/>
      <c r="I1886" s="72"/>
      <c r="J1886" s="330"/>
      <c r="K1886" s="75"/>
      <c r="L1886" s="157"/>
      <c r="M1886" s="341"/>
      <c r="N1886" s="334"/>
      <c r="O1886" s="394"/>
      <c r="P1886" s="392"/>
      <c r="Q1886" s="363"/>
      <c r="T1886" s="110"/>
      <c r="V1886" s="232"/>
      <c r="W1886" s="269"/>
      <c r="X1886" s="201"/>
      <c r="Y1886" s="269"/>
      <c r="Z1886" s="269"/>
      <c r="AA1886" s="134"/>
      <c r="AB1886" s="269"/>
      <c r="AC1886" s="284"/>
      <c r="AD1886" s="284"/>
      <c r="AE1886" s="269"/>
    </row>
    <row r="1887" spans="2:31">
      <c r="B1887" s="83"/>
      <c r="C1887" s="81"/>
      <c r="D1887" s="83"/>
      <c r="E1887" s="81"/>
      <c r="F1887" s="269"/>
      <c r="G1887" s="48"/>
      <c r="H1887" s="269"/>
      <c r="I1887" s="72"/>
      <c r="J1887" s="330"/>
      <c r="K1887" s="75"/>
      <c r="L1887" s="157"/>
      <c r="M1887" s="341"/>
      <c r="N1887" s="334"/>
      <c r="O1887" s="394"/>
      <c r="P1887" s="392"/>
      <c r="Q1887" s="363"/>
      <c r="T1887" s="110"/>
      <c r="V1887" s="232"/>
      <c r="W1887" s="269"/>
      <c r="X1887" s="201"/>
      <c r="Y1887" s="269"/>
      <c r="Z1887" s="269"/>
      <c r="AA1887" s="134"/>
      <c r="AB1887" s="269"/>
      <c r="AC1887" s="284"/>
      <c r="AD1887" s="284"/>
      <c r="AE1887" s="269"/>
    </row>
    <row r="1888" spans="2:31">
      <c r="B1888" s="83"/>
      <c r="C1888" s="81"/>
      <c r="D1888" s="83"/>
      <c r="E1888" s="81"/>
      <c r="F1888" s="269"/>
      <c r="G1888" s="48"/>
      <c r="H1888" s="269"/>
      <c r="I1888" s="72"/>
      <c r="J1888" s="330"/>
      <c r="K1888" s="75"/>
      <c r="L1888" s="157"/>
      <c r="M1888" s="341"/>
      <c r="N1888" s="334"/>
      <c r="O1888" s="394"/>
      <c r="P1888" s="392"/>
      <c r="Q1888" s="363"/>
      <c r="T1888" s="110"/>
      <c r="V1888" s="232"/>
      <c r="W1888" s="269"/>
      <c r="X1888" s="201"/>
      <c r="Y1888" s="269"/>
      <c r="Z1888" s="269"/>
      <c r="AA1888" s="134"/>
      <c r="AB1888" s="269"/>
      <c r="AC1888" s="284"/>
      <c r="AD1888" s="284"/>
      <c r="AE1888" s="269"/>
    </row>
    <row r="1889" spans="2:31">
      <c r="B1889" s="83"/>
      <c r="C1889" s="81"/>
      <c r="D1889" s="83"/>
      <c r="E1889" s="81"/>
      <c r="F1889" s="269"/>
      <c r="G1889" s="48"/>
      <c r="H1889" s="269"/>
      <c r="I1889" s="72"/>
      <c r="J1889" s="330"/>
      <c r="K1889" s="75"/>
      <c r="L1889" s="157"/>
      <c r="M1889" s="341"/>
      <c r="N1889" s="334"/>
      <c r="O1889" s="394"/>
      <c r="P1889" s="392"/>
      <c r="Q1889" s="363"/>
      <c r="T1889" s="110"/>
      <c r="V1889" s="232"/>
      <c r="W1889" s="269"/>
      <c r="X1889" s="201"/>
      <c r="Y1889" s="269"/>
      <c r="Z1889" s="269"/>
      <c r="AA1889" s="134"/>
      <c r="AB1889" s="269"/>
      <c r="AC1889" s="284"/>
      <c r="AD1889" s="284"/>
      <c r="AE1889" s="269"/>
    </row>
    <row r="1890" spans="2:31">
      <c r="B1890" s="83"/>
      <c r="C1890" s="81"/>
      <c r="D1890" s="83"/>
      <c r="E1890" s="81"/>
      <c r="F1890" s="269"/>
      <c r="G1890" s="48"/>
      <c r="H1890" s="269"/>
      <c r="I1890" s="72"/>
      <c r="J1890" s="330"/>
      <c r="K1890" s="75"/>
      <c r="L1890" s="157"/>
      <c r="M1890" s="341"/>
      <c r="N1890" s="334"/>
      <c r="O1890" s="394"/>
      <c r="P1890" s="392"/>
      <c r="Q1890" s="363"/>
      <c r="T1890" s="110"/>
      <c r="V1890" s="232"/>
      <c r="W1890" s="269"/>
      <c r="X1890" s="201"/>
      <c r="Y1890" s="269"/>
      <c r="Z1890" s="269"/>
      <c r="AA1890" s="134"/>
      <c r="AB1890" s="269"/>
      <c r="AC1890" s="284"/>
      <c r="AD1890" s="284"/>
      <c r="AE1890" s="269"/>
    </row>
    <row r="1891" spans="2:31">
      <c r="B1891" s="83"/>
      <c r="C1891" s="81"/>
      <c r="D1891" s="83"/>
      <c r="E1891" s="81"/>
      <c r="F1891" s="269"/>
      <c r="G1891" s="48"/>
      <c r="H1891" s="269"/>
      <c r="I1891" s="72"/>
      <c r="J1891" s="330"/>
      <c r="K1891" s="75"/>
      <c r="L1891" s="157"/>
      <c r="M1891" s="341"/>
      <c r="N1891" s="334"/>
      <c r="O1891" s="394"/>
      <c r="P1891" s="392"/>
      <c r="Q1891" s="363"/>
      <c r="T1891" s="110"/>
      <c r="V1891" s="232"/>
      <c r="W1891" s="269"/>
      <c r="X1891" s="201"/>
      <c r="Y1891" s="269"/>
      <c r="Z1891" s="269"/>
      <c r="AA1891" s="134"/>
      <c r="AB1891" s="269"/>
      <c r="AC1891" s="284"/>
      <c r="AD1891" s="284"/>
      <c r="AE1891" s="269"/>
    </row>
    <row r="1892" spans="2:31">
      <c r="B1892" s="83"/>
      <c r="C1892" s="81"/>
      <c r="D1892" s="83"/>
      <c r="E1892" s="81"/>
      <c r="F1892" s="269"/>
      <c r="G1892" s="48"/>
      <c r="H1892" s="269"/>
      <c r="I1892" s="72"/>
      <c r="J1892" s="330"/>
      <c r="K1892" s="75"/>
      <c r="L1892" s="157"/>
      <c r="M1892" s="341"/>
      <c r="N1892" s="334"/>
      <c r="O1892" s="394"/>
      <c r="P1892" s="392"/>
      <c r="Q1892" s="363"/>
      <c r="T1892" s="110"/>
      <c r="V1892" s="232"/>
      <c r="W1892" s="269"/>
      <c r="X1892" s="201"/>
      <c r="Y1892" s="269"/>
      <c r="Z1892" s="269"/>
      <c r="AA1892" s="134"/>
      <c r="AB1892" s="269"/>
      <c r="AC1892" s="284"/>
      <c r="AD1892" s="284"/>
      <c r="AE1892" s="269"/>
    </row>
    <row r="1893" spans="2:31">
      <c r="B1893" s="83"/>
      <c r="C1893" s="81"/>
      <c r="D1893" s="83"/>
      <c r="E1893" s="81"/>
      <c r="F1893" s="269"/>
      <c r="G1893" s="48"/>
      <c r="H1893" s="269"/>
      <c r="I1893" s="72"/>
      <c r="J1893" s="330"/>
      <c r="K1893" s="75"/>
      <c r="L1893" s="157"/>
      <c r="M1893" s="341"/>
      <c r="N1893" s="334"/>
      <c r="O1893" s="394"/>
      <c r="P1893" s="392"/>
      <c r="Q1893" s="363"/>
      <c r="T1893" s="110"/>
      <c r="V1893" s="232"/>
      <c r="W1893" s="269"/>
      <c r="X1893" s="201"/>
      <c r="Y1893" s="269"/>
      <c r="Z1893" s="269"/>
      <c r="AA1893" s="134"/>
      <c r="AB1893" s="269"/>
      <c r="AC1893" s="284"/>
      <c r="AD1893" s="284"/>
      <c r="AE1893" s="269"/>
    </row>
    <row r="1894" spans="2:31">
      <c r="B1894" s="83"/>
      <c r="C1894" s="81"/>
      <c r="D1894" s="83"/>
      <c r="E1894" s="81"/>
      <c r="F1894" s="269"/>
      <c r="G1894" s="48"/>
      <c r="H1894" s="269"/>
      <c r="I1894" s="72"/>
      <c r="J1894" s="330"/>
      <c r="K1894" s="75"/>
      <c r="L1894" s="157"/>
      <c r="M1894" s="341"/>
      <c r="N1894" s="334"/>
      <c r="O1894" s="394"/>
      <c r="P1894" s="392"/>
      <c r="Q1894" s="363"/>
      <c r="T1894" s="110"/>
      <c r="V1894" s="232"/>
      <c r="W1894" s="269"/>
      <c r="X1894" s="201"/>
      <c r="Y1894" s="269"/>
      <c r="Z1894" s="269"/>
      <c r="AA1894" s="134"/>
      <c r="AB1894" s="269"/>
      <c r="AC1894" s="284"/>
      <c r="AD1894" s="284"/>
      <c r="AE1894" s="269"/>
    </row>
    <row r="1895" spans="2:31">
      <c r="B1895" s="83"/>
      <c r="C1895" s="81"/>
      <c r="D1895" s="83"/>
      <c r="E1895" s="81"/>
      <c r="F1895" s="269"/>
      <c r="G1895" s="48"/>
      <c r="H1895" s="269"/>
      <c r="I1895" s="72"/>
      <c r="J1895" s="330"/>
      <c r="K1895" s="75"/>
      <c r="L1895" s="157"/>
      <c r="M1895" s="341"/>
      <c r="N1895" s="334"/>
      <c r="O1895" s="394"/>
      <c r="P1895" s="392"/>
      <c r="Q1895" s="363"/>
      <c r="T1895" s="110"/>
      <c r="V1895" s="232"/>
      <c r="W1895" s="269"/>
      <c r="X1895" s="201"/>
      <c r="Y1895" s="269"/>
      <c r="Z1895" s="269"/>
      <c r="AA1895" s="134"/>
      <c r="AB1895" s="269"/>
      <c r="AC1895" s="284"/>
      <c r="AD1895" s="284"/>
      <c r="AE1895" s="269"/>
    </row>
    <row r="1896" spans="2:31">
      <c r="B1896" s="83"/>
      <c r="C1896" s="81"/>
      <c r="D1896" s="83"/>
      <c r="E1896" s="81"/>
      <c r="F1896" s="269"/>
      <c r="G1896" s="48"/>
      <c r="H1896" s="269"/>
      <c r="I1896" s="72"/>
      <c r="J1896" s="330"/>
      <c r="K1896" s="75"/>
      <c r="L1896" s="157"/>
      <c r="M1896" s="341"/>
      <c r="N1896" s="334"/>
      <c r="O1896" s="394"/>
      <c r="P1896" s="392"/>
      <c r="Q1896" s="363"/>
      <c r="T1896" s="110"/>
      <c r="V1896" s="232"/>
      <c r="W1896" s="269"/>
      <c r="X1896" s="201"/>
      <c r="Y1896" s="269"/>
      <c r="Z1896" s="269"/>
      <c r="AA1896" s="134"/>
      <c r="AB1896" s="269"/>
      <c r="AC1896" s="284"/>
      <c r="AD1896" s="284"/>
      <c r="AE1896" s="269"/>
    </row>
    <row r="1897" spans="2:31">
      <c r="B1897" s="83"/>
      <c r="C1897" s="81"/>
      <c r="D1897" s="83"/>
      <c r="E1897" s="81"/>
      <c r="F1897" s="269"/>
      <c r="G1897" s="48"/>
      <c r="H1897" s="269"/>
      <c r="I1897" s="72"/>
      <c r="J1897" s="330"/>
      <c r="K1897" s="75"/>
      <c r="L1897" s="157"/>
      <c r="M1897" s="341"/>
      <c r="N1897" s="334"/>
      <c r="O1897" s="394"/>
      <c r="P1897" s="392"/>
      <c r="Q1897" s="363"/>
      <c r="T1897" s="110"/>
      <c r="V1897" s="232"/>
      <c r="W1897" s="269"/>
      <c r="X1897" s="201"/>
      <c r="Y1897" s="269"/>
      <c r="Z1897" s="269"/>
      <c r="AA1897" s="134"/>
      <c r="AB1897" s="269"/>
      <c r="AC1897" s="284"/>
      <c r="AD1897" s="284"/>
      <c r="AE1897" s="269"/>
    </row>
    <row r="1898" spans="2:31">
      <c r="B1898" s="83"/>
      <c r="C1898" s="81"/>
      <c r="D1898" s="83"/>
      <c r="E1898" s="81"/>
      <c r="F1898" s="269"/>
      <c r="G1898" s="48"/>
      <c r="H1898" s="269"/>
      <c r="I1898" s="72"/>
      <c r="J1898" s="330"/>
      <c r="K1898" s="75"/>
      <c r="L1898" s="157"/>
      <c r="M1898" s="341"/>
      <c r="N1898" s="334"/>
      <c r="O1898" s="394"/>
      <c r="P1898" s="392"/>
      <c r="Q1898" s="363"/>
      <c r="T1898" s="110"/>
      <c r="V1898" s="232"/>
      <c r="W1898" s="269"/>
      <c r="X1898" s="201"/>
      <c r="Y1898" s="269"/>
      <c r="Z1898" s="269"/>
      <c r="AA1898" s="134"/>
      <c r="AB1898" s="269"/>
      <c r="AC1898" s="284"/>
      <c r="AD1898" s="284"/>
      <c r="AE1898" s="269"/>
    </row>
    <row r="1899" spans="2:31">
      <c r="B1899" s="83"/>
      <c r="C1899" s="81"/>
      <c r="D1899" s="83"/>
      <c r="E1899" s="81"/>
      <c r="F1899" s="269"/>
      <c r="G1899" s="48"/>
      <c r="H1899" s="269"/>
      <c r="I1899" s="72"/>
      <c r="J1899" s="330"/>
      <c r="K1899" s="75"/>
      <c r="L1899" s="157"/>
      <c r="M1899" s="341"/>
      <c r="N1899" s="334"/>
      <c r="O1899" s="394"/>
      <c r="P1899" s="392"/>
      <c r="Q1899" s="363"/>
      <c r="T1899" s="110"/>
      <c r="V1899" s="232"/>
      <c r="W1899" s="269"/>
      <c r="X1899" s="201"/>
      <c r="Y1899" s="269"/>
      <c r="Z1899" s="269"/>
      <c r="AA1899" s="134"/>
      <c r="AB1899" s="269"/>
      <c r="AC1899" s="284"/>
      <c r="AD1899" s="284"/>
      <c r="AE1899" s="269"/>
    </row>
    <row r="1900" spans="2:31">
      <c r="B1900" s="83"/>
      <c r="C1900" s="81"/>
      <c r="D1900" s="83"/>
      <c r="E1900" s="81"/>
      <c r="F1900" s="269"/>
      <c r="G1900" s="48"/>
      <c r="H1900" s="269"/>
      <c r="I1900" s="72"/>
      <c r="J1900" s="330"/>
      <c r="K1900" s="75"/>
      <c r="L1900" s="157"/>
      <c r="M1900" s="341"/>
      <c r="N1900" s="334"/>
      <c r="O1900" s="394"/>
      <c r="P1900" s="392"/>
      <c r="Q1900" s="363"/>
      <c r="T1900" s="110"/>
      <c r="V1900" s="232"/>
      <c r="W1900" s="269"/>
      <c r="X1900" s="201"/>
      <c r="Y1900" s="269"/>
      <c r="Z1900" s="269"/>
      <c r="AA1900" s="134"/>
      <c r="AB1900" s="269"/>
      <c r="AC1900" s="284"/>
      <c r="AD1900" s="284"/>
      <c r="AE1900" s="269"/>
    </row>
    <row r="1901" spans="2:31">
      <c r="B1901" s="83"/>
      <c r="C1901" s="81"/>
      <c r="D1901" s="83"/>
      <c r="E1901" s="81"/>
      <c r="F1901" s="269"/>
      <c r="G1901" s="48"/>
      <c r="H1901" s="269"/>
      <c r="I1901" s="72"/>
      <c r="J1901" s="330"/>
      <c r="K1901" s="75"/>
      <c r="L1901" s="157"/>
      <c r="M1901" s="341"/>
      <c r="N1901" s="334"/>
      <c r="O1901" s="394"/>
      <c r="P1901" s="392"/>
      <c r="Q1901" s="363"/>
      <c r="T1901" s="110"/>
      <c r="V1901" s="232"/>
      <c r="W1901" s="269"/>
      <c r="X1901" s="201"/>
      <c r="Y1901" s="269"/>
      <c r="Z1901" s="269"/>
      <c r="AA1901" s="134"/>
      <c r="AB1901" s="269"/>
      <c r="AC1901" s="284"/>
      <c r="AD1901" s="284"/>
      <c r="AE1901" s="269"/>
    </row>
    <row r="1902" spans="2:31">
      <c r="B1902" s="83"/>
      <c r="C1902" s="81"/>
      <c r="D1902" s="83"/>
      <c r="E1902" s="81"/>
      <c r="F1902" s="269"/>
      <c r="G1902" s="48"/>
      <c r="H1902" s="269"/>
      <c r="I1902" s="72"/>
      <c r="J1902" s="330"/>
      <c r="K1902" s="75"/>
      <c r="L1902" s="157"/>
      <c r="M1902" s="341"/>
      <c r="N1902" s="334"/>
      <c r="O1902" s="394"/>
      <c r="P1902" s="392"/>
      <c r="Q1902" s="363"/>
      <c r="T1902" s="110"/>
      <c r="V1902" s="232"/>
      <c r="W1902" s="269"/>
      <c r="X1902" s="201"/>
      <c r="Y1902" s="269"/>
      <c r="Z1902" s="269"/>
      <c r="AA1902" s="134"/>
      <c r="AB1902" s="269"/>
      <c r="AC1902" s="284"/>
      <c r="AD1902" s="284"/>
      <c r="AE1902" s="269"/>
    </row>
    <row r="1903" spans="2:31">
      <c r="B1903" s="83"/>
      <c r="C1903" s="81"/>
      <c r="D1903" s="83"/>
      <c r="E1903" s="81"/>
      <c r="F1903" s="269"/>
      <c r="G1903" s="48"/>
      <c r="H1903" s="269"/>
      <c r="I1903" s="72"/>
      <c r="J1903" s="330"/>
      <c r="K1903" s="75"/>
      <c r="L1903" s="157"/>
      <c r="M1903" s="341"/>
      <c r="N1903" s="334"/>
      <c r="O1903" s="394"/>
      <c r="P1903" s="392"/>
      <c r="Q1903" s="363"/>
      <c r="T1903" s="110"/>
      <c r="V1903" s="232"/>
      <c r="W1903" s="269"/>
      <c r="X1903" s="201"/>
      <c r="Y1903" s="269"/>
      <c r="Z1903" s="269"/>
      <c r="AA1903" s="134"/>
      <c r="AB1903" s="269"/>
      <c r="AC1903" s="284"/>
      <c r="AD1903" s="284"/>
      <c r="AE1903" s="269"/>
    </row>
    <row r="1904" spans="2:31">
      <c r="B1904" s="83"/>
      <c r="C1904" s="81"/>
      <c r="D1904" s="83"/>
      <c r="E1904" s="81"/>
      <c r="F1904" s="269"/>
      <c r="G1904" s="48"/>
      <c r="H1904" s="269"/>
      <c r="I1904" s="72"/>
      <c r="J1904" s="330"/>
      <c r="K1904" s="75"/>
      <c r="L1904" s="157"/>
      <c r="M1904" s="341"/>
      <c r="N1904" s="334"/>
      <c r="O1904" s="394"/>
      <c r="P1904" s="392"/>
      <c r="Q1904" s="363"/>
      <c r="T1904" s="110"/>
      <c r="V1904" s="232"/>
      <c r="W1904" s="269"/>
      <c r="X1904" s="201"/>
      <c r="Y1904" s="269"/>
      <c r="Z1904" s="269"/>
      <c r="AA1904" s="134"/>
      <c r="AB1904" s="269"/>
      <c r="AC1904" s="284"/>
      <c r="AD1904" s="284"/>
      <c r="AE1904" s="269"/>
    </row>
    <row r="1905" spans="2:31">
      <c r="B1905" s="83"/>
      <c r="C1905" s="81"/>
      <c r="D1905" s="83"/>
      <c r="E1905" s="81"/>
      <c r="F1905" s="269"/>
      <c r="G1905" s="48"/>
      <c r="H1905" s="269"/>
      <c r="I1905" s="72"/>
      <c r="J1905" s="330"/>
      <c r="K1905" s="75"/>
      <c r="L1905" s="157"/>
      <c r="M1905" s="341"/>
      <c r="N1905" s="334"/>
      <c r="O1905" s="394"/>
      <c r="P1905" s="392"/>
      <c r="Q1905" s="363"/>
      <c r="T1905" s="110"/>
      <c r="V1905" s="232"/>
      <c r="W1905" s="269"/>
      <c r="X1905" s="201"/>
      <c r="Y1905" s="269"/>
      <c r="Z1905" s="269"/>
      <c r="AA1905" s="134"/>
      <c r="AB1905" s="269"/>
      <c r="AC1905" s="284"/>
      <c r="AD1905" s="284"/>
      <c r="AE1905" s="269"/>
    </row>
    <row r="1906" spans="2:31">
      <c r="B1906" s="83"/>
      <c r="C1906" s="81"/>
      <c r="D1906" s="83"/>
      <c r="E1906" s="81"/>
      <c r="F1906" s="269"/>
      <c r="G1906" s="48"/>
      <c r="H1906" s="269"/>
      <c r="I1906" s="72"/>
      <c r="J1906" s="330"/>
      <c r="K1906" s="75"/>
      <c r="L1906" s="157"/>
      <c r="M1906" s="341"/>
      <c r="N1906" s="334"/>
      <c r="O1906" s="394"/>
      <c r="P1906" s="392"/>
      <c r="Q1906" s="363"/>
      <c r="T1906" s="110"/>
      <c r="V1906" s="232"/>
      <c r="W1906" s="269"/>
      <c r="X1906" s="201"/>
      <c r="Y1906" s="269"/>
      <c r="Z1906" s="269"/>
      <c r="AA1906" s="134"/>
      <c r="AB1906" s="269"/>
      <c r="AC1906" s="284"/>
      <c r="AD1906" s="284"/>
      <c r="AE1906" s="269"/>
    </row>
    <row r="1907" spans="2:31">
      <c r="B1907" s="83"/>
      <c r="C1907" s="81"/>
      <c r="D1907" s="83"/>
      <c r="E1907" s="81"/>
      <c r="F1907" s="269"/>
      <c r="G1907" s="48"/>
      <c r="H1907" s="269"/>
      <c r="I1907" s="72"/>
      <c r="J1907" s="330"/>
      <c r="K1907" s="75"/>
      <c r="L1907" s="157"/>
      <c r="M1907" s="341"/>
      <c r="N1907" s="334"/>
      <c r="O1907" s="394"/>
      <c r="P1907" s="392"/>
      <c r="Q1907" s="363"/>
      <c r="T1907" s="110"/>
      <c r="V1907" s="232"/>
      <c r="W1907" s="269"/>
      <c r="X1907" s="201"/>
      <c r="Y1907" s="269"/>
      <c r="Z1907" s="269"/>
      <c r="AA1907" s="134"/>
      <c r="AB1907" s="269"/>
      <c r="AC1907" s="284"/>
      <c r="AD1907" s="284"/>
      <c r="AE1907" s="269"/>
    </row>
    <row r="1908" spans="2:31">
      <c r="B1908" s="83"/>
      <c r="C1908" s="81"/>
      <c r="D1908" s="83"/>
      <c r="E1908" s="81"/>
      <c r="F1908" s="269"/>
      <c r="G1908" s="48"/>
      <c r="H1908" s="269"/>
      <c r="I1908" s="72"/>
      <c r="J1908" s="330"/>
      <c r="K1908" s="75"/>
      <c r="L1908" s="157"/>
      <c r="M1908" s="341"/>
      <c r="N1908" s="334"/>
      <c r="O1908" s="394"/>
      <c r="P1908" s="392"/>
      <c r="Q1908" s="363"/>
      <c r="T1908" s="110"/>
      <c r="V1908" s="232"/>
      <c r="W1908" s="269"/>
      <c r="X1908" s="201"/>
      <c r="Y1908" s="269"/>
      <c r="Z1908" s="269"/>
      <c r="AA1908" s="134"/>
      <c r="AB1908" s="269"/>
      <c r="AC1908" s="284"/>
      <c r="AD1908" s="284"/>
      <c r="AE1908" s="269"/>
    </row>
    <row r="1909" spans="2:31">
      <c r="B1909" s="83"/>
      <c r="C1909" s="81"/>
      <c r="D1909" s="83"/>
      <c r="E1909" s="81"/>
      <c r="F1909" s="269"/>
      <c r="G1909" s="48"/>
      <c r="H1909" s="269"/>
      <c r="I1909" s="72"/>
      <c r="J1909" s="330"/>
      <c r="K1909" s="75"/>
      <c r="L1909" s="157"/>
      <c r="M1909" s="341"/>
      <c r="N1909" s="334"/>
      <c r="O1909" s="394"/>
      <c r="P1909" s="392"/>
      <c r="Q1909" s="363"/>
      <c r="T1909" s="110"/>
      <c r="V1909" s="232"/>
      <c r="W1909" s="269"/>
      <c r="X1909" s="201"/>
      <c r="Y1909" s="269"/>
      <c r="Z1909" s="269"/>
      <c r="AA1909" s="134"/>
      <c r="AB1909" s="269"/>
      <c r="AC1909" s="284"/>
      <c r="AD1909" s="284"/>
      <c r="AE1909" s="269"/>
    </row>
    <row r="1910" spans="2:31">
      <c r="B1910" s="83"/>
      <c r="C1910" s="81"/>
      <c r="D1910" s="83"/>
      <c r="E1910" s="81"/>
      <c r="F1910" s="269"/>
      <c r="G1910" s="48"/>
      <c r="H1910" s="269"/>
      <c r="I1910" s="72"/>
      <c r="J1910" s="330"/>
      <c r="K1910" s="75"/>
      <c r="L1910" s="157"/>
      <c r="M1910" s="341"/>
      <c r="N1910" s="334"/>
      <c r="O1910" s="394"/>
      <c r="P1910" s="392"/>
      <c r="Q1910" s="363"/>
      <c r="T1910" s="110"/>
      <c r="V1910" s="232"/>
      <c r="W1910" s="269"/>
      <c r="X1910" s="201"/>
      <c r="Y1910" s="269"/>
      <c r="Z1910" s="269"/>
      <c r="AA1910" s="134"/>
      <c r="AB1910" s="269"/>
      <c r="AC1910" s="284"/>
      <c r="AD1910" s="284"/>
      <c r="AE1910" s="269"/>
    </row>
    <row r="1911" spans="2:31">
      <c r="B1911" s="83"/>
      <c r="C1911" s="81"/>
      <c r="D1911" s="83"/>
      <c r="E1911" s="81"/>
      <c r="F1911" s="269"/>
      <c r="G1911" s="48"/>
      <c r="H1911" s="269"/>
      <c r="I1911" s="72"/>
      <c r="J1911" s="330"/>
      <c r="K1911" s="75"/>
      <c r="L1911" s="157"/>
      <c r="M1911" s="341"/>
      <c r="N1911" s="334"/>
      <c r="O1911" s="394"/>
      <c r="P1911" s="392"/>
      <c r="Q1911" s="363"/>
      <c r="T1911" s="110"/>
      <c r="V1911" s="232"/>
      <c r="W1911" s="269"/>
      <c r="X1911" s="201"/>
      <c r="Y1911" s="269"/>
      <c r="Z1911" s="269"/>
      <c r="AA1911" s="134"/>
      <c r="AB1911" s="269"/>
      <c r="AC1911" s="284"/>
      <c r="AD1911" s="284"/>
      <c r="AE1911" s="269"/>
    </row>
    <row r="1912" spans="2:31">
      <c r="B1912" s="83"/>
      <c r="C1912" s="81"/>
      <c r="D1912" s="83"/>
      <c r="E1912" s="81"/>
      <c r="F1912" s="269"/>
      <c r="G1912" s="48"/>
      <c r="H1912" s="269"/>
      <c r="I1912" s="72"/>
      <c r="J1912" s="330"/>
      <c r="K1912" s="75"/>
      <c r="L1912" s="157"/>
      <c r="M1912" s="341"/>
      <c r="N1912" s="334"/>
      <c r="O1912" s="394"/>
      <c r="P1912" s="392"/>
      <c r="Q1912" s="363"/>
      <c r="T1912" s="110"/>
      <c r="V1912" s="232"/>
      <c r="W1912" s="269"/>
      <c r="X1912" s="201"/>
      <c r="Y1912" s="269"/>
      <c r="Z1912" s="269"/>
      <c r="AA1912" s="134"/>
      <c r="AB1912" s="269"/>
      <c r="AC1912" s="284"/>
      <c r="AD1912" s="284"/>
      <c r="AE1912" s="269"/>
    </row>
    <row r="1913" spans="2:31">
      <c r="B1913" s="83"/>
      <c r="C1913" s="81"/>
      <c r="D1913" s="83"/>
      <c r="E1913" s="81"/>
      <c r="F1913" s="269"/>
      <c r="G1913" s="48"/>
      <c r="H1913" s="269"/>
      <c r="I1913" s="72"/>
      <c r="J1913" s="330"/>
      <c r="K1913" s="75"/>
      <c r="L1913" s="157"/>
      <c r="M1913" s="341"/>
      <c r="N1913" s="334"/>
      <c r="O1913" s="394"/>
      <c r="P1913" s="392"/>
      <c r="Q1913" s="363"/>
      <c r="T1913" s="110"/>
      <c r="V1913" s="232"/>
      <c r="W1913" s="269"/>
      <c r="X1913" s="201"/>
      <c r="Y1913" s="269"/>
      <c r="Z1913" s="269"/>
      <c r="AA1913" s="134"/>
      <c r="AB1913" s="269"/>
      <c r="AC1913" s="284"/>
      <c r="AD1913" s="284"/>
      <c r="AE1913" s="269"/>
    </row>
    <row r="1914" spans="2:31">
      <c r="B1914" s="83"/>
      <c r="C1914" s="81"/>
      <c r="D1914" s="83"/>
      <c r="E1914" s="81"/>
      <c r="F1914" s="269"/>
      <c r="G1914" s="48"/>
      <c r="H1914" s="269"/>
      <c r="I1914" s="72"/>
      <c r="J1914" s="330"/>
      <c r="K1914" s="75"/>
      <c r="L1914" s="157"/>
      <c r="M1914" s="341"/>
      <c r="N1914" s="334"/>
      <c r="O1914" s="394"/>
      <c r="P1914" s="392"/>
      <c r="Q1914" s="363"/>
      <c r="T1914" s="110"/>
      <c r="V1914" s="232"/>
      <c r="W1914" s="269"/>
      <c r="X1914" s="201"/>
      <c r="Y1914" s="269"/>
      <c r="Z1914" s="269"/>
      <c r="AA1914" s="134"/>
      <c r="AB1914" s="269"/>
      <c r="AC1914" s="284"/>
      <c r="AD1914" s="284"/>
      <c r="AE1914" s="269"/>
    </row>
    <row r="1915" spans="2:31">
      <c r="B1915" s="83"/>
      <c r="C1915" s="81"/>
      <c r="D1915" s="83"/>
      <c r="E1915" s="81"/>
      <c r="F1915" s="269"/>
      <c r="G1915" s="48"/>
      <c r="H1915" s="269"/>
      <c r="I1915" s="72"/>
      <c r="J1915" s="330"/>
      <c r="K1915" s="75"/>
      <c r="L1915" s="157"/>
      <c r="M1915" s="341"/>
      <c r="N1915" s="334"/>
      <c r="O1915" s="394"/>
      <c r="P1915" s="392"/>
      <c r="Q1915" s="363"/>
      <c r="T1915" s="110"/>
      <c r="V1915" s="232"/>
      <c r="W1915" s="269"/>
      <c r="X1915" s="201"/>
      <c r="Y1915" s="269"/>
      <c r="Z1915" s="269"/>
      <c r="AA1915" s="134"/>
      <c r="AB1915" s="269"/>
      <c r="AC1915" s="284"/>
      <c r="AD1915" s="284"/>
      <c r="AE1915" s="269"/>
    </row>
    <row r="1916" spans="2:31">
      <c r="B1916" s="83"/>
      <c r="C1916" s="81"/>
      <c r="D1916" s="83"/>
      <c r="E1916" s="81"/>
      <c r="F1916" s="269"/>
      <c r="G1916" s="48"/>
      <c r="H1916" s="269"/>
      <c r="I1916" s="72"/>
      <c r="J1916" s="330"/>
      <c r="K1916" s="75"/>
      <c r="L1916" s="157"/>
      <c r="M1916" s="341"/>
      <c r="N1916" s="334"/>
      <c r="O1916" s="394"/>
      <c r="P1916" s="392"/>
      <c r="Q1916" s="363"/>
      <c r="T1916" s="110"/>
      <c r="V1916" s="232"/>
      <c r="W1916" s="269"/>
      <c r="X1916" s="201"/>
      <c r="Y1916" s="269"/>
      <c r="Z1916" s="269"/>
      <c r="AA1916" s="134"/>
      <c r="AB1916" s="269"/>
      <c r="AC1916" s="284"/>
      <c r="AD1916" s="284"/>
      <c r="AE1916" s="269"/>
    </row>
    <row r="1917" spans="2:31">
      <c r="B1917" s="83"/>
      <c r="C1917" s="81"/>
      <c r="D1917" s="83"/>
      <c r="E1917" s="81"/>
      <c r="F1917" s="269"/>
      <c r="G1917" s="48"/>
      <c r="H1917" s="269"/>
      <c r="I1917" s="72"/>
      <c r="J1917" s="330"/>
      <c r="K1917" s="75"/>
      <c r="L1917" s="157"/>
      <c r="M1917" s="341"/>
      <c r="N1917" s="334"/>
      <c r="O1917" s="394"/>
      <c r="P1917" s="392"/>
      <c r="Q1917" s="363"/>
      <c r="T1917" s="110"/>
      <c r="V1917" s="232"/>
      <c r="W1917" s="269"/>
      <c r="X1917" s="201"/>
      <c r="Y1917" s="269"/>
      <c r="Z1917" s="269"/>
      <c r="AA1917" s="134"/>
      <c r="AB1917" s="269"/>
      <c r="AC1917" s="284"/>
      <c r="AD1917" s="284"/>
      <c r="AE1917" s="269"/>
    </row>
    <row r="1918" spans="2:31">
      <c r="B1918" s="83"/>
      <c r="C1918" s="81"/>
      <c r="D1918" s="83"/>
      <c r="E1918" s="81"/>
      <c r="F1918" s="269"/>
      <c r="G1918" s="48"/>
      <c r="H1918" s="269"/>
      <c r="I1918" s="72"/>
      <c r="J1918" s="330"/>
      <c r="K1918" s="75"/>
      <c r="L1918" s="157"/>
      <c r="M1918" s="341"/>
      <c r="N1918" s="334"/>
      <c r="O1918" s="394"/>
      <c r="P1918" s="392"/>
      <c r="Q1918" s="363"/>
      <c r="T1918" s="110"/>
      <c r="V1918" s="232"/>
      <c r="W1918" s="269"/>
      <c r="X1918" s="201"/>
      <c r="Y1918" s="269"/>
      <c r="Z1918" s="269"/>
      <c r="AA1918" s="134"/>
      <c r="AB1918" s="269"/>
      <c r="AC1918" s="284"/>
      <c r="AD1918" s="284"/>
      <c r="AE1918" s="269"/>
    </row>
    <row r="1919" spans="2:31">
      <c r="B1919" s="83"/>
      <c r="C1919" s="81"/>
      <c r="D1919" s="83"/>
      <c r="E1919" s="81"/>
      <c r="F1919" s="269"/>
      <c r="G1919" s="48"/>
      <c r="H1919" s="269"/>
      <c r="I1919" s="72"/>
      <c r="J1919" s="330"/>
      <c r="K1919" s="75"/>
      <c r="L1919" s="157"/>
      <c r="M1919" s="341"/>
      <c r="N1919" s="334"/>
      <c r="O1919" s="394"/>
      <c r="P1919" s="392"/>
      <c r="Q1919" s="363"/>
      <c r="T1919" s="110"/>
      <c r="V1919" s="232"/>
      <c r="W1919" s="269"/>
      <c r="X1919" s="201"/>
      <c r="Y1919" s="269"/>
      <c r="Z1919" s="269"/>
      <c r="AA1919" s="134"/>
      <c r="AB1919" s="269"/>
      <c r="AC1919" s="284"/>
      <c r="AD1919" s="284"/>
      <c r="AE1919" s="269"/>
    </row>
    <row r="1920" spans="2:31">
      <c r="B1920" s="83"/>
      <c r="C1920" s="81"/>
      <c r="D1920" s="83"/>
      <c r="E1920" s="81"/>
      <c r="F1920" s="269"/>
      <c r="G1920" s="48"/>
      <c r="H1920" s="269"/>
      <c r="I1920" s="72"/>
      <c r="J1920" s="330"/>
      <c r="K1920" s="75"/>
      <c r="L1920" s="157"/>
      <c r="M1920" s="341"/>
      <c r="N1920" s="334"/>
      <c r="O1920" s="394"/>
      <c r="P1920" s="392"/>
      <c r="Q1920" s="363"/>
      <c r="T1920" s="110"/>
      <c r="V1920" s="232"/>
      <c r="W1920" s="269"/>
      <c r="X1920" s="201"/>
      <c r="Y1920" s="269"/>
      <c r="Z1920" s="269"/>
      <c r="AA1920" s="134"/>
      <c r="AB1920" s="269"/>
      <c r="AC1920" s="284"/>
      <c r="AD1920" s="284"/>
      <c r="AE1920" s="269"/>
    </row>
    <row r="1921" spans="2:31">
      <c r="B1921" s="83"/>
      <c r="C1921" s="81"/>
      <c r="D1921" s="83"/>
      <c r="E1921" s="81"/>
      <c r="F1921" s="269"/>
      <c r="G1921" s="48"/>
      <c r="H1921" s="269"/>
      <c r="I1921" s="72"/>
      <c r="J1921" s="330"/>
      <c r="K1921" s="75"/>
      <c r="L1921" s="157"/>
      <c r="M1921" s="341"/>
      <c r="N1921" s="334"/>
      <c r="O1921" s="394"/>
      <c r="P1921" s="392"/>
      <c r="Q1921" s="363"/>
      <c r="T1921" s="110"/>
      <c r="V1921" s="232"/>
      <c r="W1921" s="269"/>
      <c r="X1921" s="201"/>
      <c r="Y1921" s="269"/>
      <c r="Z1921" s="269"/>
      <c r="AA1921" s="134"/>
      <c r="AB1921" s="269"/>
      <c r="AC1921" s="284"/>
      <c r="AD1921" s="284"/>
      <c r="AE1921" s="269"/>
    </row>
    <row r="1922" spans="2:31">
      <c r="B1922" s="83"/>
      <c r="C1922" s="81"/>
      <c r="D1922" s="83"/>
      <c r="E1922" s="81"/>
      <c r="F1922" s="269"/>
      <c r="G1922" s="48"/>
      <c r="H1922" s="269"/>
      <c r="I1922" s="72"/>
      <c r="J1922" s="330"/>
      <c r="K1922" s="75"/>
      <c r="L1922" s="157"/>
      <c r="M1922" s="341"/>
      <c r="N1922" s="334"/>
      <c r="O1922" s="394"/>
      <c r="P1922" s="392"/>
      <c r="Q1922" s="363"/>
      <c r="T1922" s="110"/>
      <c r="V1922" s="232"/>
      <c r="W1922" s="269"/>
      <c r="X1922" s="201"/>
      <c r="Y1922" s="269"/>
      <c r="Z1922" s="269"/>
      <c r="AA1922" s="134"/>
      <c r="AB1922" s="269"/>
      <c r="AC1922" s="284"/>
      <c r="AD1922" s="284"/>
      <c r="AE1922" s="269"/>
    </row>
    <row r="1923" spans="2:31">
      <c r="B1923" s="83"/>
      <c r="C1923" s="81"/>
      <c r="D1923" s="83"/>
      <c r="E1923" s="81"/>
      <c r="F1923" s="269"/>
      <c r="G1923" s="48"/>
      <c r="H1923" s="269"/>
      <c r="I1923" s="72"/>
      <c r="J1923" s="330"/>
      <c r="K1923" s="75"/>
      <c r="L1923" s="157"/>
      <c r="M1923" s="341"/>
      <c r="N1923" s="334"/>
      <c r="O1923" s="394"/>
      <c r="P1923" s="392"/>
      <c r="Q1923" s="363"/>
      <c r="T1923" s="110"/>
      <c r="V1923" s="232"/>
      <c r="W1923" s="269"/>
      <c r="X1923" s="201"/>
      <c r="Y1923" s="269"/>
      <c r="Z1923" s="269"/>
      <c r="AA1923" s="134"/>
      <c r="AB1923" s="269"/>
      <c r="AC1923" s="284"/>
      <c r="AD1923" s="284"/>
      <c r="AE1923" s="269"/>
    </row>
    <row r="1924" spans="2:31">
      <c r="B1924" s="83"/>
      <c r="C1924" s="81"/>
      <c r="D1924" s="83"/>
      <c r="E1924" s="81"/>
      <c r="F1924" s="269"/>
      <c r="G1924" s="48"/>
      <c r="H1924" s="269"/>
      <c r="I1924" s="72"/>
      <c r="J1924" s="330"/>
      <c r="K1924" s="75"/>
      <c r="L1924" s="157"/>
      <c r="M1924" s="341"/>
      <c r="N1924" s="334"/>
      <c r="O1924" s="394"/>
      <c r="P1924" s="392"/>
      <c r="Q1924" s="363"/>
      <c r="T1924" s="110"/>
      <c r="V1924" s="232"/>
      <c r="W1924" s="269"/>
      <c r="X1924" s="201"/>
      <c r="Y1924" s="269"/>
      <c r="Z1924" s="269"/>
      <c r="AA1924" s="134"/>
      <c r="AB1924" s="269"/>
      <c r="AC1924" s="284"/>
      <c r="AD1924" s="284"/>
      <c r="AE1924" s="269"/>
    </row>
    <row r="1925" spans="2:31">
      <c r="B1925" s="83"/>
      <c r="C1925" s="81"/>
      <c r="D1925" s="83"/>
      <c r="E1925" s="81"/>
      <c r="F1925" s="269"/>
      <c r="G1925" s="48"/>
      <c r="H1925" s="269"/>
      <c r="I1925" s="72"/>
      <c r="J1925" s="330"/>
      <c r="K1925" s="75"/>
      <c r="L1925" s="157"/>
      <c r="M1925" s="341"/>
      <c r="N1925" s="334"/>
      <c r="O1925" s="394"/>
      <c r="P1925" s="392"/>
      <c r="Q1925" s="363"/>
      <c r="T1925" s="110"/>
      <c r="V1925" s="232"/>
      <c r="W1925" s="269"/>
      <c r="X1925" s="201"/>
      <c r="Y1925" s="269"/>
      <c r="Z1925" s="269"/>
      <c r="AA1925" s="134"/>
      <c r="AB1925" s="269"/>
      <c r="AC1925" s="284"/>
      <c r="AD1925" s="284"/>
      <c r="AE1925" s="269"/>
    </row>
    <row r="1926" spans="2:31">
      <c r="B1926" s="83"/>
      <c r="C1926" s="81"/>
      <c r="D1926" s="83"/>
      <c r="E1926" s="81"/>
      <c r="F1926" s="269"/>
      <c r="G1926" s="48"/>
      <c r="H1926" s="269"/>
      <c r="I1926" s="72"/>
      <c r="J1926" s="330"/>
      <c r="K1926" s="75"/>
      <c r="L1926" s="157"/>
      <c r="M1926" s="341"/>
      <c r="N1926" s="334"/>
      <c r="O1926" s="394"/>
      <c r="P1926" s="392"/>
      <c r="Q1926" s="363"/>
      <c r="T1926" s="110"/>
      <c r="V1926" s="232"/>
      <c r="W1926" s="269"/>
      <c r="X1926" s="201"/>
      <c r="Y1926" s="269"/>
      <c r="Z1926" s="269"/>
      <c r="AA1926" s="134"/>
      <c r="AB1926" s="269"/>
      <c r="AC1926" s="284"/>
      <c r="AD1926" s="284"/>
      <c r="AE1926" s="269"/>
    </row>
    <row r="1927" spans="2:31">
      <c r="B1927" s="83"/>
      <c r="C1927" s="81"/>
      <c r="D1927" s="83"/>
      <c r="E1927" s="81"/>
      <c r="F1927" s="269"/>
      <c r="G1927" s="48"/>
      <c r="H1927" s="269"/>
      <c r="I1927" s="72"/>
      <c r="J1927" s="330"/>
      <c r="K1927" s="75"/>
      <c r="L1927" s="157"/>
      <c r="M1927" s="341"/>
      <c r="N1927" s="334"/>
      <c r="O1927" s="394"/>
      <c r="P1927" s="392"/>
      <c r="Q1927" s="363"/>
      <c r="T1927" s="110"/>
      <c r="V1927" s="232"/>
      <c r="W1927" s="269"/>
      <c r="X1927" s="201"/>
      <c r="Y1927" s="269"/>
      <c r="Z1927" s="269"/>
      <c r="AA1927" s="134"/>
      <c r="AB1927" s="269"/>
      <c r="AC1927" s="284"/>
      <c r="AD1927" s="284"/>
      <c r="AE1927" s="269"/>
    </row>
    <row r="1928" spans="2:31">
      <c r="B1928" s="83"/>
      <c r="C1928" s="81"/>
      <c r="D1928" s="83"/>
      <c r="E1928" s="81"/>
      <c r="F1928" s="269"/>
      <c r="G1928" s="48"/>
      <c r="H1928" s="269"/>
      <c r="I1928" s="72"/>
      <c r="J1928" s="330"/>
      <c r="K1928" s="75"/>
      <c r="L1928" s="157"/>
      <c r="M1928" s="341"/>
      <c r="N1928" s="334"/>
      <c r="O1928" s="394"/>
      <c r="P1928" s="392"/>
      <c r="Q1928" s="363"/>
      <c r="T1928" s="110"/>
      <c r="V1928" s="232"/>
      <c r="W1928" s="269"/>
      <c r="X1928" s="201"/>
      <c r="Y1928" s="269"/>
      <c r="Z1928" s="269"/>
      <c r="AA1928" s="134"/>
      <c r="AB1928" s="269"/>
      <c r="AC1928" s="284"/>
      <c r="AD1928" s="284"/>
      <c r="AE1928" s="269"/>
    </row>
    <row r="1929" spans="2:31">
      <c r="B1929" s="83"/>
      <c r="C1929" s="81"/>
      <c r="D1929" s="83"/>
      <c r="E1929" s="81"/>
      <c r="F1929" s="269"/>
      <c r="G1929" s="48"/>
      <c r="H1929" s="269"/>
      <c r="I1929" s="72"/>
      <c r="J1929" s="330"/>
      <c r="K1929" s="75"/>
      <c r="L1929" s="157"/>
      <c r="M1929" s="341"/>
      <c r="N1929" s="334"/>
      <c r="O1929" s="394"/>
      <c r="P1929" s="392"/>
      <c r="Q1929" s="363"/>
      <c r="T1929" s="110"/>
      <c r="V1929" s="232"/>
      <c r="W1929" s="269"/>
      <c r="X1929" s="201"/>
      <c r="Y1929" s="269"/>
      <c r="Z1929" s="269"/>
      <c r="AA1929" s="134"/>
      <c r="AB1929" s="269"/>
      <c r="AC1929" s="284"/>
      <c r="AD1929" s="284"/>
      <c r="AE1929" s="269"/>
    </row>
    <row r="1930" spans="2:31">
      <c r="B1930" s="83"/>
      <c r="C1930" s="81"/>
      <c r="D1930" s="83"/>
      <c r="E1930" s="81"/>
      <c r="F1930" s="269"/>
      <c r="G1930" s="48"/>
      <c r="H1930" s="269"/>
      <c r="I1930" s="72"/>
      <c r="J1930" s="330"/>
      <c r="K1930" s="75"/>
      <c r="L1930" s="157"/>
      <c r="M1930" s="341"/>
      <c r="N1930" s="334"/>
      <c r="O1930" s="394"/>
      <c r="P1930" s="392"/>
      <c r="Q1930" s="363"/>
      <c r="T1930" s="110"/>
      <c r="V1930" s="232"/>
      <c r="W1930" s="269"/>
      <c r="X1930" s="201"/>
      <c r="Y1930" s="269"/>
      <c r="Z1930" s="269"/>
      <c r="AA1930" s="134"/>
      <c r="AB1930" s="269"/>
      <c r="AC1930" s="284"/>
      <c r="AD1930" s="284"/>
      <c r="AE1930" s="269"/>
    </row>
    <row r="1931" spans="2:31">
      <c r="B1931" s="83"/>
      <c r="C1931" s="81"/>
      <c r="D1931" s="83"/>
      <c r="E1931" s="81"/>
      <c r="F1931" s="269"/>
      <c r="G1931" s="48"/>
      <c r="H1931" s="269"/>
      <c r="I1931" s="72"/>
      <c r="J1931" s="330"/>
      <c r="K1931" s="75"/>
      <c r="L1931" s="157"/>
      <c r="M1931" s="341"/>
      <c r="N1931" s="334"/>
      <c r="O1931" s="394"/>
      <c r="P1931" s="392"/>
      <c r="Q1931" s="363"/>
      <c r="T1931" s="110"/>
      <c r="V1931" s="232"/>
      <c r="W1931" s="269"/>
      <c r="X1931" s="201"/>
      <c r="Y1931" s="269"/>
      <c r="Z1931" s="269"/>
      <c r="AA1931" s="134"/>
      <c r="AB1931" s="269"/>
      <c r="AC1931" s="284"/>
      <c r="AD1931" s="284"/>
      <c r="AE1931" s="269"/>
    </row>
    <row r="1932" spans="2:31">
      <c r="B1932" s="83"/>
      <c r="C1932" s="81"/>
      <c r="D1932" s="83"/>
      <c r="E1932" s="81"/>
      <c r="F1932" s="269"/>
      <c r="G1932" s="48"/>
      <c r="H1932" s="269"/>
      <c r="I1932" s="72"/>
      <c r="J1932" s="330"/>
      <c r="K1932" s="75"/>
      <c r="L1932" s="157"/>
      <c r="M1932" s="341"/>
      <c r="N1932" s="334"/>
      <c r="O1932" s="394"/>
      <c r="P1932" s="392"/>
      <c r="Q1932" s="363"/>
      <c r="T1932" s="110"/>
      <c r="V1932" s="232"/>
      <c r="W1932" s="269"/>
      <c r="X1932" s="201"/>
      <c r="Y1932" s="269"/>
      <c r="Z1932" s="269"/>
      <c r="AA1932" s="134"/>
      <c r="AB1932" s="269"/>
      <c r="AC1932" s="284"/>
      <c r="AD1932" s="284"/>
      <c r="AE1932" s="269"/>
    </row>
    <row r="1933" spans="2:31">
      <c r="B1933" s="83"/>
      <c r="C1933" s="81"/>
      <c r="D1933" s="83"/>
      <c r="E1933" s="81"/>
      <c r="F1933" s="269"/>
      <c r="G1933" s="48"/>
      <c r="H1933" s="269"/>
      <c r="I1933" s="72"/>
      <c r="J1933" s="330"/>
      <c r="K1933" s="75"/>
      <c r="L1933" s="157"/>
      <c r="M1933" s="341"/>
      <c r="N1933" s="334"/>
      <c r="O1933" s="394"/>
      <c r="P1933" s="392"/>
      <c r="Q1933" s="363"/>
      <c r="T1933" s="110"/>
      <c r="V1933" s="232"/>
      <c r="W1933" s="269"/>
      <c r="X1933" s="201"/>
      <c r="Y1933" s="269"/>
      <c r="Z1933" s="269"/>
      <c r="AA1933" s="134"/>
      <c r="AB1933" s="269"/>
      <c r="AC1933" s="284"/>
      <c r="AD1933" s="284"/>
      <c r="AE1933" s="269"/>
    </row>
    <row r="1934" spans="2:31">
      <c r="B1934" s="83"/>
      <c r="C1934" s="81"/>
      <c r="D1934" s="83"/>
      <c r="E1934" s="81"/>
      <c r="F1934" s="269"/>
      <c r="G1934" s="48"/>
      <c r="H1934" s="269"/>
      <c r="I1934" s="72"/>
      <c r="J1934" s="330"/>
      <c r="K1934" s="75"/>
      <c r="L1934" s="157"/>
      <c r="M1934" s="341"/>
      <c r="N1934" s="334"/>
      <c r="O1934" s="394"/>
      <c r="P1934" s="392"/>
      <c r="Q1934" s="363"/>
      <c r="T1934" s="110"/>
      <c r="V1934" s="232"/>
      <c r="W1934" s="269"/>
      <c r="X1934" s="201"/>
      <c r="Y1934" s="269"/>
      <c r="Z1934" s="269"/>
      <c r="AA1934" s="134"/>
      <c r="AB1934" s="269"/>
      <c r="AC1934" s="284"/>
      <c r="AD1934" s="284"/>
      <c r="AE1934" s="269"/>
    </row>
    <row r="1935" spans="2:31">
      <c r="B1935" s="83"/>
      <c r="C1935" s="81"/>
      <c r="D1935" s="83"/>
      <c r="E1935" s="81"/>
      <c r="F1935" s="269"/>
      <c r="G1935" s="48"/>
      <c r="H1935" s="269"/>
      <c r="I1935" s="72"/>
      <c r="J1935" s="330"/>
      <c r="K1935" s="75"/>
      <c r="L1935" s="157"/>
      <c r="M1935" s="341"/>
      <c r="N1935" s="334"/>
      <c r="O1935" s="394"/>
      <c r="P1935" s="392"/>
      <c r="Q1935" s="363"/>
      <c r="T1935" s="110"/>
      <c r="V1935" s="232"/>
      <c r="W1935" s="269"/>
      <c r="X1935" s="201"/>
      <c r="Y1935" s="269"/>
      <c r="Z1935" s="269"/>
      <c r="AA1935" s="134"/>
      <c r="AB1935" s="269"/>
      <c r="AC1935" s="284"/>
      <c r="AD1935" s="284"/>
      <c r="AE1935" s="269"/>
    </row>
    <row r="1936" spans="2:31">
      <c r="B1936" s="83"/>
      <c r="C1936" s="81"/>
      <c r="D1936" s="83"/>
      <c r="E1936" s="81"/>
      <c r="F1936" s="269"/>
      <c r="G1936" s="48"/>
      <c r="H1936" s="269"/>
      <c r="I1936" s="72"/>
      <c r="J1936" s="330"/>
      <c r="K1936" s="75"/>
      <c r="L1936" s="157"/>
      <c r="M1936" s="341"/>
      <c r="N1936" s="334"/>
      <c r="O1936" s="394"/>
      <c r="P1936" s="392"/>
      <c r="Q1936" s="363"/>
      <c r="T1936" s="110"/>
      <c r="V1936" s="232"/>
      <c r="W1936" s="269"/>
      <c r="X1936" s="201"/>
      <c r="Y1936" s="269"/>
      <c r="Z1936" s="269"/>
      <c r="AA1936" s="134"/>
      <c r="AB1936" s="269"/>
      <c r="AC1936" s="284"/>
      <c r="AD1936" s="284"/>
      <c r="AE1936" s="269"/>
    </row>
    <row r="1937" spans="2:31">
      <c r="B1937" s="83"/>
      <c r="C1937" s="81"/>
      <c r="D1937" s="83"/>
      <c r="E1937" s="81"/>
      <c r="F1937" s="269"/>
      <c r="G1937" s="48"/>
      <c r="H1937" s="269"/>
      <c r="I1937" s="72"/>
      <c r="J1937" s="330"/>
      <c r="K1937" s="75"/>
      <c r="L1937" s="157"/>
      <c r="M1937" s="341"/>
      <c r="N1937" s="334"/>
      <c r="O1937" s="394"/>
      <c r="P1937" s="392"/>
      <c r="Q1937" s="363"/>
      <c r="T1937" s="110"/>
      <c r="V1937" s="232"/>
      <c r="W1937" s="269"/>
      <c r="X1937" s="201"/>
      <c r="Y1937" s="269"/>
      <c r="Z1937" s="269"/>
      <c r="AA1937" s="134"/>
      <c r="AB1937" s="269"/>
      <c r="AC1937" s="284"/>
      <c r="AD1937" s="284"/>
      <c r="AE1937" s="269"/>
    </row>
    <row r="1938" spans="2:31">
      <c r="B1938" s="83"/>
      <c r="C1938" s="81"/>
      <c r="D1938" s="83"/>
      <c r="E1938" s="81"/>
      <c r="F1938" s="269"/>
      <c r="G1938" s="48"/>
      <c r="H1938" s="269"/>
      <c r="I1938" s="72"/>
      <c r="J1938" s="330"/>
      <c r="K1938" s="75"/>
      <c r="L1938" s="157"/>
      <c r="M1938" s="341"/>
      <c r="N1938" s="334"/>
      <c r="O1938" s="394"/>
      <c r="P1938" s="392"/>
      <c r="Q1938" s="363"/>
      <c r="T1938" s="110"/>
      <c r="V1938" s="232"/>
      <c r="W1938" s="269"/>
      <c r="X1938" s="201"/>
      <c r="Y1938" s="269"/>
      <c r="Z1938" s="269"/>
      <c r="AA1938" s="134"/>
      <c r="AB1938" s="269"/>
      <c r="AC1938" s="284"/>
      <c r="AD1938" s="284"/>
      <c r="AE1938" s="269"/>
    </row>
    <row r="1939" spans="2:31">
      <c r="B1939" s="83"/>
      <c r="C1939" s="81"/>
      <c r="D1939" s="83"/>
      <c r="E1939" s="81"/>
      <c r="F1939" s="269"/>
      <c r="G1939" s="48"/>
      <c r="H1939" s="269"/>
      <c r="I1939" s="72"/>
      <c r="J1939" s="330"/>
      <c r="K1939" s="75"/>
      <c r="L1939" s="157"/>
      <c r="M1939" s="341"/>
      <c r="N1939" s="334"/>
      <c r="O1939" s="394"/>
      <c r="P1939" s="392"/>
      <c r="Q1939" s="363"/>
      <c r="T1939" s="110"/>
      <c r="V1939" s="232"/>
      <c r="W1939" s="269"/>
      <c r="X1939" s="201"/>
      <c r="Y1939" s="269"/>
      <c r="Z1939" s="269"/>
      <c r="AA1939" s="134"/>
      <c r="AB1939" s="269"/>
      <c r="AC1939" s="284"/>
      <c r="AD1939" s="284"/>
      <c r="AE1939" s="269"/>
    </row>
    <row r="1940" spans="2:31">
      <c r="B1940" s="83"/>
      <c r="C1940" s="81"/>
      <c r="D1940" s="83"/>
      <c r="E1940" s="81"/>
      <c r="F1940" s="269"/>
      <c r="G1940" s="48"/>
      <c r="H1940" s="269"/>
      <c r="I1940" s="72"/>
      <c r="J1940" s="330"/>
      <c r="K1940" s="75"/>
      <c r="L1940" s="157"/>
      <c r="M1940" s="341"/>
      <c r="N1940" s="334"/>
      <c r="O1940" s="394"/>
      <c r="P1940" s="392"/>
      <c r="Q1940" s="363"/>
      <c r="T1940" s="110"/>
      <c r="V1940" s="232"/>
      <c r="W1940" s="269"/>
      <c r="X1940" s="201"/>
      <c r="Y1940" s="269"/>
      <c r="Z1940" s="269"/>
      <c r="AA1940" s="134"/>
      <c r="AB1940" s="269"/>
      <c r="AC1940" s="284"/>
      <c r="AD1940" s="284"/>
      <c r="AE1940" s="269"/>
    </row>
    <row r="1941" spans="2:31">
      <c r="B1941" s="83"/>
      <c r="C1941" s="81"/>
      <c r="D1941" s="83"/>
      <c r="E1941" s="81"/>
      <c r="F1941" s="269"/>
      <c r="G1941" s="48"/>
      <c r="H1941" s="269"/>
      <c r="I1941" s="72"/>
      <c r="J1941" s="330"/>
      <c r="K1941" s="75"/>
      <c r="L1941" s="157"/>
      <c r="M1941" s="341"/>
      <c r="N1941" s="334"/>
      <c r="O1941" s="394"/>
      <c r="P1941" s="392"/>
      <c r="Q1941" s="363"/>
      <c r="T1941" s="110"/>
      <c r="V1941" s="232"/>
      <c r="W1941" s="269"/>
      <c r="X1941" s="201"/>
      <c r="Y1941" s="269"/>
      <c r="Z1941" s="269"/>
      <c r="AA1941" s="134"/>
      <c r="AB1941" s="269"/>
      <c r="AC1941" s="284"/>
      <c r="AD1941" s="284"/>
      <c r="AE1941" s="269"/>
    </row>
    <row r="1942" spans="2:31">
      <c r="B1942" s="83"/>
      <c r="C1942" s="81"/>
      <c r="D1942" s="83"/>
      <c r="E1942" s="81"/>
      <c r="F1942" s="269"/>
      <c r="G1942" s="48"/>
      <c r="H1942" s="269"/>
      <c r="I1942" s="72"/>
      <c r="J1942" s="330"/>
      <c r="K1942" s="75"/>
      <c r="L1942" s="157"/>
      <c r="M1942" s="341"/>
      <c r="N1942" s="334"/>
      <c r="O1942" s="394"/>
      <c r="P1942" s="392"/>
      <c r="Q1942" s="363"/>
      <c r="T1942" s="110"/>
      <c r="V1942" s="232"/>
      <c r="W1942" s="269"/>
      <c r="X1942" s="201"/>
      <c r="Y1942" s="269"/>
      <c r="Z1942" s="269"/>
      <c r="AA1942" s="134"/>
      <c r="AB1942" s="269"/>
      <c r="AC1942" s="284"/>
      <c r="AD1942" s="284"/>
      <c r="AE1942" s="269"/>
    </row>
    <row r="1943" spans="2:31">
      <c r="B1943" s="83"/>
      <c r="C1943" s="81"/>
      <c r="D1943" s="83"/>
      <c r="E1943" s="81"/>
      <c r="F1943" s="269"/>
      <c r="G1943" s="48"/>
      <c r="H1943" s="269"/>
      <c r="I1943" s="72"/>
      <c r="J1943" s="330"/>
      <c r="K1943" s="75"/>
      <c r="L1943" s="157"/>
      <c r="M1943" s="341"/>
      <c r="N1943" s="334"/>
      <c r="O1943" s="394"/>
      <c r="P1943" s="392"/>
      <c r="Q1943" s="363"/>
      <c r="T1943" s="110"/>
      <c r="V1943" s="232"/>
      <c r="W1943" s="269"/>
      <c r="X1943" s="201"/>
      <c r="Y1943" s="269"/>
      <c r="Z1943" s="269"/>
      <c r="AA1943" s="134"/>
      <c r="AB1943" s="269"/>
      <c r="AC1943" s="284"/>
      <c r="AD1943" s="284"/>
      <c r="AE1943" s="269"/>
    </row>
    <row r="1944" spans="2:31">
      <c r="B1944" s="83"/>
      <c r="C1944" s="81"/>
      <c r="D1944" s="83"/>
      <c r="E1944" s="81"/>
      <c r="F1944" s="269"/>
      <c r="G1944" s="48"/>
      <c r="H1944" s="269"/>
      <c r="I1944" s="72"/>
      <c r="J1944" s="330"/>
      <c r="K1944" s="75"/>
      <c r="L1944" s="157"/>
      <c r="M1944" s="341"/>
      <c r="N1944" s="334"/>
      <c r="O1944" s="394"/>
      <c r="P1944" s="392"/>
      <c r="Q1944" s="363"/>
      <c r="T1944" s="110"/>
      <c r="V1944" s="232"/>
      <c r="W1944" s="269"/>
      <c r="X1944" s="201"/>
      <c r="Y1944" s="269"/>
      <c r="Z1944" s="269"/>
      <c r="AA1944" s="134"/>
      <c r="AB1944" s="269"/>
      <c r="AC1944" s="284"/>
      <c r="AD1944" s="284"/>
      <c r="AE1944" s="269"/>
    </row>
    <row r="1945" spans="2:31">
      <c r="B1945" s="83"/>
      <c r="C1945" s="81"/>
      <c r="D1945" s="83"/>
      <c r="E1945" s="81"/>
      <c r="F1945" s="269"/>
      <c r="G1945" s="48"/>
      <c r="H1945" s="269"/>
      <c r="I1945" s="72"/>
      <c r="J1945" s="330"/>
      <c r="K1945" s="75"/>
      <c r="L1945" s="157"/>
      <c r="M1945" s="341"/>
      <c r="N1945" s="334"/>
      <c r="O1945" s="394"/>
      <c r="P1945" s="392"/>
      <c r="Q1945" s="363"/>
      <c r="T1945" s="110"/>
      <c r="V1945" s="232"/>
      <c r="W1945" s="269"/>
      <c r="X1945" s="201"/>
      <c r="Y1945" s="269"/>
      <c r="Z1945" s="269"/>
      <c r="AA1945" s="134"/>
      <c r="AB1945" s="269"/>
      <c r="AC1945" s="284"/>
      <c r="AD1945" s="284"/>
      <c r="AE1945" s="269"/>
    </row>
    <row r="1946" spans="2:31">
      <c r="B1946" s="83"/>
      <c r="C1946" s="81"/>
      <c r="D1946" s="83"/>
      <c r="E1946" s="81"/>
      <c r="F1946" s="269"/>
      <c r="G1946" s="48"/>
      <c r="H1946" s="269"/>
      <c r="I1946" s="72"/>
      <c r="J1946" s="330"/>
      <c r="K1946" s="75"/>
      <c r="L1946" s="157"/>
      <c r="M1946" s="341"/>
      <c r="N1946" s="334"/>
      <c r="O1946" s="394"/>
      <c r="P1946" s="392"/>
      <c r="Q1946" s="363"/>
      <c r="T1946" s="110"/>
      <c r="V1946" s="232"/>
      <c r="W1946" s="269"/>
      <c r="X1946" s="201"/>
      <c r="Y1946" s="269"/>
      <c r="Z1946" s="269"/>
      <c r="AA1946" s="134"/>
      <c r="AB1946" s="269"/>
      <c r="AC1946" s="284"/>
      <c r="AD1946" s="284"/>
      <c r="AE1946" s="269"/>
    </row>
    <row r="1947" spans="2:31">
      <c r="B1947" s="83"/>
      <c r="C1947" s="81"/>
      <c r="D1947" s="83"/>
      <c r="E1947" s="81"/>
      <c r="F1947" s="269"/>
      <c r="G1947" s="48"/>
      <c r="H1947" s="269"/>
      <c r="I1947" s="72"/>
      <c r="J1947" s="330"/>
      <c r="K1947" s="75"/>
      <c r="L1947" s="157"/>
      <c r="M1947" s="341"/>
      <c r="N1947" s="334"/>
      <c r="O1947" s="394"/>
      <c r="P1947" s="392"/>
      <c r="Q1947" s="363"/>
      <c r="T1947" s="110"/>
      <c r="V1947" s="232"/>
      <c r="W1947" s="269"/>
      <c r="X1947" s="201"/>
      <c r="Y1947" s="269"/>
      <c r="Z1947" s="269"/>
      <c r="AA1947" s="134"/>
      <c r="AB1947" s="269"/>
      <c r="AC1947" s="284"/>
      <c r="AD1947" s="284"/>
      <c r="AE1947" s="269"/>
    </row>
    <row r="1948" spans="2:31">
      <c r="B1948" s="83"/>
      <c r="C1948" s="81"/>
      <c r="D1948" s="83"/>
      <c r="E1948" s="81"/>
      <c r="F1948" s="269"/>
      <c r="G1948" s="48"/>
      <c r="H1948" s="269"/>
      <c r="I1948" s="72"/>
      <c r="J1948" s="330"/>
      <c r="K1948" s="75"/>
      <c r="L1948" s="157"/>
      <c r="M1948" s="341"/>
      <c r="N1948" s="334"/>
      <c r="O1948" s="394"/>
      <c r="P1948" s="392"/>
      <c r="Q1948" s="363"/>
      <c r="T1948" s="110"/>
      <c r="V1948" s="232"/>
      <c r="W1948" s="269"/>
      <c r="X1948" s="201"/>
      <c r="Y1948" s="269"/>
      <c r="Z1948" s="269"/>
      <c r="AA1948" s="134"/>
      <c r="AB1948" s="269"/>
      <c r="AC1948" s="284"/>
      <c r="AD1948" s="284"/>
      <c r="AE1948" s="269"/>
    </row>
    <row r="1949" spans="2:31">
      <c r="B1949" s="83"/>
      <c r="C1949" s="81"/>
      <c r="D1949" s="83"/>
      <c r="E1949" s="81"/>
      <c r="F1949" s="269"/>
      <c r="G1949" s="48"/>
      <c r="H1949" s="269"/>
      <c r="I1949" s="72"/>
      <c r="J1949" s="330"/>
      <c r="K1949" s="75"/>
      <c r="L1949" s="157"/>
      <c r="M1949" s="341"/>
      <c r="N1949" s="334"/>
      <c r="O1949" s="394"/>
      <c r="P1949" s="392"/>
      <c r="Q1949" s="363"/>
      <c r="T1949" s="110"/>
      <c r="V1949" s="232"/>
      <c r="W1949" s="269"/>
      <c r="X1949" s="201"/>
      <c r="Y1949" s="269"/>
      <c r="Z1949" s="269"/>
      <c r="AA1949" s="134"/>
      <c r="AB1949" s="269"/>
      <c r="AC1949" s="284"/>
      <c r="AD1949" s="284"/>
      <c r="AE1949" s="269"/>
    </row>
    <row r="1950" spans="2:31">
      <c r="B1950" s="83"/>
      <c r="C1950" s="81"/>
      <c r="D1950" s="83"/>
      <c r="E1950" s="81"/>
      <c r="F1950" s="269"/>
      <c r="G1950" s="48"/>
      <c r="H1950" s="269"/>
      <c r="I1950" s="72"/>
      <c r="J1950" s="330"/>
      <c r="K1950" s="75"/>
      <c r="L1950" s="157"/>
      <c r="M1950" s="341"/>
      <c r="N1950" s="334"/>
      <c r="O1950" s="394"/>
      <c r="P1950" s="392"/>
      <c r="Q1950" s="363"/>
      <c r="T1950" s="110"/>
      <c r="V1950" s="232"/>
      <c r="W1950" s="269"/>
      <c r="X1950" s="201"/>
      <c r="Y1950" s="269"/>
      <c r="Z1950" s="269"/>
      <c r="AA1950" s="134"/>
      <c r="AB1950" s="269"/>
      <c r="AC1950" s="284"/>
      <c r="AD1950" s="284"/>
      <c r="AE1950" s="269"/>
    </row>
    <row r="1951" spans="2:31">
      <c r="B1951" s="83"/>
      <c r="C1951" s="81"/>
      <c r="D1951" s="83"/>
      <c r="E1951" s="81"/>
      <c r="F1951" s="269"/>
      <c r="G1951" s="48"/>
      <c r="H1951" s="269"/>
      <c r="I1951" s="72"/>
      <c r="J1951" s="330"/>
      <c r="K1951" s="75"/>
      <c r="L1951" s="157"/>
      <c r="M1951" s="341"/>
      <c r="N1951" s="334"/>
      <c r="O1951" s="394"/>
      <c r="P1951" s="392"/>
      <c r="Q1951" s="363"/>
      <c r="T1951" s="110"/>
      <c r="V1951" s="232"/>
      <c r="W1951" s="269"/>
      <c r="X1951" s="201"/>
      <c r="Y1951" s="269"/>
      <c r="Z1951" s="269"/>
      <c r="AA1951" s="134"/>
      <c r="AB1951" s="269"/>
      <c r="AC1951" s="284"/>
      <c r="AD1951" s="284"/>
      <c r="AE1951" s="269"/>
    </row>
    <row r="1952" spans="2:31">
      <c r="B1952" s="83"/>
      <c r="C1952" s="81"/>
      <c r="D1952" s="83"/>
      <c r="E1952" s="81"/>
      <c r="F1952" s="269"/>
      <c r="G1952" s="48"/>
      <c r="H1952" s="269"/>
      <c r="I1952" s="72"/>
      <c r="J1952" s="330"/>
      <c r="K1952" s="75"/>
      <c r="L1952" s="157"/>
      <c r="M1952" s="341"/>
      <c r="N1952" s="334"/>
      <c r="O1952" s="394"/>
      <c r="P1952" s="392"/>
      <c r="Q1952" s="363"/>
      <c r="T1952" s="110"/>
      <c r="V1952" s="232"/>
      <c r="W1952" s="269"/>
      <c r="X1952" s="201"/>
      <c r="Y1952" s="269"/>
      <c r="Z1952" s="269"/>
      <c r="AA1952" s="134"/>
      <c r="AB1952" s="269"/>
      <c r="AC1952" s="284"/>
      <c r="AD1952" s="284"/>
      <c r="AE1952" s="269"/>
    </row>
    <row r="1953" spans="2:31">
      <c r="B1953" s="83"/>
      <c r="C1953" s="81"/>
      <c r="D1953" s="83"/>
      <c r="E1953" s="81"/>
      <c r="F1953" s="269"/>
      <c r="G1953" s="48"/>
      <c r="H1953" s="269"/>
      <c r="I1953" s="72"/>
      <c r="J1953" s="330"/>
      <c r="K1953" s="75"/>
      <c r="L1953" s="157"/>
      <c r="M1953" s="341"/>
      <c r="N1953" s="334"/>
      <c r="O1953" s="394"/>
      <c r="P1953" s="392"/>
      <c r="Q1953" s="363"/>
      <c r="T1953" s="110"/>
      <c r="V1953" s="232"/>
      <c r="W1953" s="269"/>
      <c r="X1953" s="201"/>
      <c r="Y1953" s="269"/>
      <c r="Z1953" s="269"/>
      <c r="AA1953" s="134"/>
      <c r="AB1953" s="269"/>
      <c r="AC1953" s="284"/>
      <c r="AD1953" s="284"/>
      <c r="AE1953" s="269"/>
    </row>
    <row r="1954" spans="2:31">
      <c r="B1954" s="83"/>
      <c r="C1954" s="81"/>
      <c r="D1954" s="83"/>
      <c r="E1954" s="81"/>
      <c r="F1954" s="269"/>
      <c r="G1954" s="48"/>
      <c r="H1954" s="269"/>
      <c r="I1954" s="72"/>
      <c r="J1954" s="330"/>
      <c r="K1954" s="75"/>
      <c r="L1954" s="157"/>
      <c r="M1954" s="341"/>
      <c r="N1954" s="334"/>
      <c r="O1954" s="394"/>
      <c r="P1954" s="392"/>
      <c r="Q1954" s="363"/>
      <c r="T1954" s="110"/>
      <c r="V1954" s="232"/>
      <c r="W1954" s="269"/>
      <c r="X1954" s="201"/>
      <c r="Y1954" s="269"/>
      <c r="Z1954" s="269"/>
      <c r="AA1954" s="134"/>
      <c r="AB1954" s="269"/>
      <c r="AC1954" s="284"/>
      <c r="AD1954" s="284"/>
      <c r="AE1954" s="269"/>
    </row>
    <row r="1955" spans="2:31">
      <c r="B1955" s="83"/>
      <c r="C1955" s="81"/>
      <c r="D1955" s="83"/>
      <c r="E1955" s="81"/>
      <c r="F1955" s="269"/>
      <c r="G1955" s="48"/>
      <c r="H1955" s="269"/>
      <c r="I1955" s="72"/>
      <c r="J1955" s="330"/>
      <c r="K1955" s="75"/>
      <c r="L1955" s="157"/>
      <c r="M1955" s="341"/>
      <c r="N1955" s="334"/>
      <c r="O1955" s="394"/>
      <c r="P1955" s="392"/>
      <c r="Q1955" s="363"/>
      <c r="T1955" s="110"/>
      <c r="V1955" s="232"/>
      <c r="W1955" s="269"/>
      <c r="X1955" s="201"/>
      <c r="Y1955" s="269"/>
      <c r="Z1955" s="269"/>
      <c r="AA1955" s="134"/>
      <c r="AB1955" s="269"/>
      <c r="AC1955" s="284"/>
      <c r="AD1955" s="284"/>
      <c r="AE1955" s="269"/>
    </row>
    <row r="1956" spans="2:31">
      <c r="B1956" s="83"/>
      <c r="C1956" s="81"/>
      <c r="D1956" s="83"/>
      <c r="E1956" s="81"/>
      <c r="F1956" s="269"/>
      <c r="G1956" s="48"/>
      <c r="H1956" s="269"/>
      <c r="I1956" s="72"/>
      <c r="J1956" s="330"/>
      <c r="K1956" s="75"/>
      <c r="L1956" s="157"/>
      <c r="M1956" s="341"/>
      <c r="N1956" s="334"/>
      <c r="O1956" s="394"/>
      <c r="P1956" s="392"/>
      <c r="Q1956" s="363"/>
      <c r="T1956" s="110"/>
      <c r="V1956" s="232"/>
      <c r="W1956" s="269"/>
      <c r="X1956" s="201"/>
      <c r="Y1956" s="269"/>
      <c r="Z1956" s="269"/>
      <c r="AA1956" s="134"/>
      <c r="AB1956" s="269"/>
      <c r="AC1956" s="284"/>
      <c r="AD1956" s="284"/>
      <c r="AE1956" s="269"/>
    </row>
    <row r="1957" spans="2:31">
      <c r="B1957" s="83"/>
      <c r="C1957" s="81"/>
      <c r="D1957" s="83"/>
      <c r="E1957" s="81"/>
      <c r="F1957" s="269"/>
      <c r="G1957" s="48"/>
      <c r="H1957" s="269"/>
      <c r="I1957" s="72"/>
      <c r="J1957" s="330"/>
      <c r="K1957" s="75"/>
      <c r="L1957" s="157"/>
      <c r="M1957" s="341"/>
      <c r="N1957" s="334"/>
      <c r="O1957" s="394"/>
      <c r="P1957" s="392"/>
      <c r="Q1957" s="363"/>
      <c r="T1957" s="110"/>
      <c r="V1957" s="232"/>
      <c r="W1957" s="269"/>
      <c r="X1957" s="201"/>
      <c r="Y1957" s="269"/>
      <c r="Z1957" s="269"/>
      <c r="AA1957" s="134"/>
      <c r="AB1957" s="269"/>
      <c r="AC1957" s="284"/>
      <c r="AD1957" s="284"/>
      <c r="AE1957" s="269"/>
    </row>
    <row r="1958" spans="2:31">
      <c r="B1958" s="83"/>
      <c r="C1958" s="81"/>
      <c r="D1958" s="83"/>
      <c r="E1958" s="81"/>
      <c r="F1958" s="269"/>
      <c r="G1958" s="48"/>
      <c r="H1958" s="269"/>
      <c r="I1958" s="72"/>
      <c r="J1958" s="330"/>
      <c r="K1958" s="75"/>
      <c r="L1958" s="157"/>
      <c r="M1958" s="341"/>
      <c r="N1958" s="334"/>
      <c r="O1958" s="394"/>
      <c r="P1958" s="392"/>
      <c r="Q1958" s="363"/>
      <c r="T1958" s="110"/>
      <c r="V1958" s="232"/>
      <c r="W1958" s="269"/>
      <c r="X1958" s="201"/>
      <c r="Y1958" s="269"/>
      <c r="Z1958" s="269"/>
      <c r="AA1958" s="134"/>
      <c r="AB1958" s="269"/>
      <c r="AC1958" s="284"/>
      <c r="AD1958" s="284"/>
      <c r="AE1958" s="269"/>
    </row>
    <row r="1959" spans="2:31">
      <c r="B1959" s="83"/>
      <c r="C1959" s="81"/>
      <c r="D1959" s="83"/>
      <c r="E1959" s="81"/>
      <c r="F1959" s="269"/>
      <c r="G1959" s="48"/>
      <c r="H1959" s="269"/>
      <c r="I1959" s="72"/>
      <c r="J1959" s="330"/>
      <c r="K1959" s="75"/>
      <c r="L1959" s="157"/>
      <c r="M1959" s="341"/>
      <c r="N1959" s="334"/>
      <c r="O1959" s="394"/>
      <c r="P1959" s="392"/>
      <c r="Q1959" s="363"/>
      <c r="T1959" s="110"/>
      <c r="V1959" s="232"/>
      <c r="W1959" s="269"/>
      <c r="X1959" s="201"/>
      <c r="Y1959" s="269"/>
      <c r="Z1959" s="269"/>
      <c r="AA1959" s="134"/>
      <c r="AB1959" s="269"/>
      <c r="AC1959" s="284"/>
      <c r="AD1959" s="284"/>
      <c r="AE1959" s="269"/>
    </row>
    <row r="1960" spans="2:31">
      <c r="B1960" s="83"/>
      <c r="C1960" s="81"/>
      <c r="D1960" s="83"/>
      <c r="E1960" s="81"/>
      <c r="F1960" s="269"/>
      <c r="G1960" s="48"/>
      <c r="H1960" s="269"/>
      <c r="I1960" s="72"/>
      <c r="J1960" s="330"/>
      <c r="K1960" s="75"/>
      <c r="L1960" s="157"/>
      <c r="M1960" s="341"/>
      <c r="N1960" s="334"/>
      <c r="O1960" s="394"/>
      <c r="P1960" s="392"/>
      <c r="Q1960" s="363"/>
      <c r="T1960" s="110"/>
      <c r="V1960" s="232"/>
      <c r="W1960" s="269"/>
      <c r="X1960" s="201"/>
      <c r="Y1960" s="269"/>
      <c r="Z1960" s="269"/>
      <c r="AA1960" s="134"/>
      <c r="AB1960" s="269"/>
      <c r="AC1960" s="284"/>
      <c r="AD1960" s="284"/>
      <c r="AE1960" s="269"/>
    </row>
    <row r="1961" spans="2:31">
      <c r="B1961" s="83"/>
      <c r="C1961" s="81"/>
      <c r="D1961" s="83"/>
      <c r="E1961" s="81"/>
      <c r="F1961" s="269"/>
      <c r="G1961" s="48"/>
      <c r="H1961" s="269"/>
      <c r="I1961" s="72"/>
      <c r="J1961" s="330"/>
      <c r="K1961" s="75"/>
      <c r="L1961" s="157"/>
      <c r="M1961" s="341"/>
      <c r="N1961" s="334"/>
      <c r="O1961" s="394"/>
      <c r="P1961" s="392"/>
      <c r="Q1961" s="363"/>
      <c r="T1961" s="110"/>
      <c r="V1961" s="232"/>
      <c r="W1961" s="269"/>
      <c r="X1961" s="201"/>
      <c r="Y1961" s="269"/>
      <c r="Z1961" s="269"/>
      <c r="AA1961" s="134"/>
      <c r="AB1961" s="269"/>
      <c r="AC1961" s="284"/>
      <c r="AD1961" s="284"/>
      <c r="AE1961" s="269"/>
    </row>
    <row r="1962" spans="2:31">
      <c r="B1962" s="83"/>
      <c r="C1962" s="81"/>
      <c r="D1962" s="83"/>
      <c r="E1962" s="81"/>
      <c r="F1962" s="269"/>
      <c r="G1962" s="48"/>
      <c r="H1962" s="269"/>
      <c r="I1962" s="72"/>
      <c r="J1962" s="330"/>
      <c r="K1962" s="75"/>
      <c r="L1962" s="157"/>
      <c r="M1962" s="341"/>
      <c r="N1962" s="334"/>
      <c r="O1962" s="394"/>
      <c r="P1962" s="392"/>
      <c r="Q1962" s="363"/>
      <c r="T1962" s="110"/>
      <c r="V1962" s="232"/>
      <c r="W1962" s="269"/>
      <c r="X1962" s="201"/>
      <c r="Y1962" s="269"/>
      <c r="Z1962" s="269"/>
      <c r="AA1962" s="134"/>
      <c r="AB1962" s="269"/>
      <c r="AC1962" s="284"/>
      <c r="AD1962" s="284"/>
      <c r="AE1962" s="269"/>
    </row>
    <row r="1963" spans="2:31">
      <c r="B1963" s="83"/>
      <c r="C1963" s="81"/>
      <c r="D1963" s="83"/>
      <c r="E1963" s="81"/>
      <c r="F1963" s="269"/>
      <c r="G1963" s="48"/>
      <c r="H1963" s="269"/>
      <c r="I1963" s="72"/>
      <c r="J1963" s="330"/>
      <c r="K1963" s="75"/>
      <c r="L1963" s="157"/>
      <c r="M1963" s="341"/>
      <c r="N1963" s="334"/>
      <c r="O1963" s="394"/>
      <c r="P1963" s="392"/>
      <c r="Q1963" s="363"/>
      <c r="T1963" s="110"/>
      <c r="V1963" s="232"/>
      <c r="W1963" s="269"/>
      <c r="X1963" s="201"/>
      <c r="Y1963" s="269"/>
      <c r="Z1963" s="269"/>
      <c r="AA1963" s="134"/>
      <c r="AB1963" s="269"/>
      <c r="AC1963" s="284"/>
      <c r="AD1963" s="284"/>
      <c r="AE1963" s="269"/>
    </row>
    <row r="1964" spans="2:31">
      <c r="B1964" s="83"/>
      <c r="C1964" s="81"/>
      <c r="D1964" s="83"/>
      <c r="E1964" s="81"/>
      <c r="F1964" s="269"/>
      <c r="G1964" s="48"/>
      <c r="H1964" s="269"/>
      <c r="I1964" s="72"/>
      <c r="J1964" s="330"/>
      <c r="K1964" s="75"/>
      <c r="L1964" s="157"/>
      <c r="M1964" s="341"/>
      <c r="N1964" s="334"/>
      <c r="O1964" s="394"/>
      <c r="P1964" s="392"/>
      <c r="Q1964" s="363"/>
      <c r="T1964" s="110"/>
      <c r="V1964" s="232"/>
      <c r="W1964" s="269"/>
      <c r="X1964" s="201"/>
      <c r="Y1964" s="269"/>
      <c r="Z1964" s="269"/>
      <c r="AA1964" s="134"/>
      <c r="AB1964" s="269"/>
      <c r="AC1964" s="284"/>
      <c r="AD1964" s="284"/>
      <c r="AE1964" s="269"/>
    </row>
    <row r="1965" spans="2:31">
      <c r="B1965" s="83"/>
      <c r="C1965" s="81"/>
      <c r="D1965" s="83"/>
      <c r="E1965" s="81"/>
      <c r="F1965" s="269"/>
      <c r="G1965" s="48"/>
      <c r="H1965" s="269"/>
      <c r="I1965" s="72"/>
      <c r="J1965" s="330"/>
      <c r="K1965" s="75"/>
      <c r="L1965" s="157"/>
      <c r="M1965" s="341"/>
      <c r="N1965" s="334"/>
      <c r="O1965" s="394"/>
      <c r="P1965" s="392"/>
      <c r="Q1965" s="363"/>
      <c r="T1965" s="110"/>
      <c r="V1965" s="232"/>
      <c r="W1965" s="269"/>
      <c r="X1965" s="201"/>
      <c r="Y1965" s="269"/>
      <c r="Z1965" s="269"/>
      <c r="AA1965" s="134"/>
      <c r="AB1965" s="269"/>
      <c r="AC1965" s="284"/>
      <c r="AD1965" s="284"/>
      <c r="AE1965" s="269"/>
    </row>
    <row r="1966" spans="2:31">
      <c r="B1966" s="83"/>
      <c r="C1966" s="81"/>
      <c r="D1966" s="83"/>
      <c r="E1966" s="81"/>
      <c r="F1966" s="269"/>
      <c r="G1966" s="48"/>
      <c r="H1966" s="269"/>
      <c r="I1966" s="72"/>
      <c r="J1966" s="330"/>
      <c r="K1966" s="75"/>
      <c r="L1966" s="157"/>
      <c r="M1966" s="341"/>
      <c r="N1966" s="334"/>
      <c r="O1966" s="394"/>
      <c r="P1966" s="392"/>
      <c r="Q1966" s="363"/>
      <c r="T1966" s="110"/>
      <c r="V1966" s="232"/>
      <c r="W1966" s="269"/>
      <c r="X1966" s="201"/>
      <c r="Y1966" s="269"/>
      <c r="Z1966" s="269"/>
      <c r="AA1966" s="134"/>
      <c r="AB1966" s="269"/>
      <c r="AC1966" s="284"/>
      <c r="AD1966" s="284"/>
      <c r="AE1966" s="269"/>
    </row>
    <row r="1967" spans="2:31">
      <c r="B1967" s="83"/>
      <c r="C1967" s="81"/>
      <c r="D1967" s="83"/>
      <c r="E1967" s="81"/>
      <c r="F1967" s="269"/>
      <c r="G1967" s="48"/>
      <c r="H1967" s="269"/>
      <c r="I1967" s="72"/>
      <c r="J1967" s="330"/>
      <c r="K1967" s="75"/>
      <c r="L1967" s="157"/>
      <c r="M1967" s="341"/>
      <c r="N1967" s="334"/>
      <c r="O1967" s="394"/>
      <c r="P1967" s="392"/>
      <c r="Q1967" s="363"/>
      <c r="T1967" s="110"/>
      <c r="V1967" s="232"/>
      <c r="W1967" s="269"/>
      <c r="X1967" s="201"/>
      <c r="Y1967" s="269"/>
      <c r="Z1967" s="269"/>
      <c r="AA1967" s="134"/>
      <c r="AB1967" s="269"/>
      <c r="AC1967" s="284"/>
      <c r="AD1967" s="284"/>
      <c r="AE1967" s="269"/>
    </row>
    <row r="1968" spans="2:31">
      <c r="B1968" s="83"/>
      <c r="C1968" s="81"/>
      <c r="D1968" s="83"/>
      <c r="E1968" s="81"/>
      <c r="F1968" s="269"/>
      <c r="G1968" s="48"/>
      <c r="H1968" s="269"/>
      <c r="I1968" s="72"/>
      <c r="J1968" s="330"/>
      <c r="K1968" s="75"/>
      <c r="L1968" s="157"/>
      <c r="M1968" s="341"/>
      <c r="N1968" s="334"/>
      <c r="O1968" s="394"/>
      <c r="P1968" s="392"/>
      <c r="Q1968" s="363"/>
      <c r="T1968" s="110"/>
      <c r="V1968" s="232"/>
      <c r="W1968" s="269"/>
      <c r="X1968" s="201"/>
      <c r="Y1968" s="269"/>
      <c r="Z1968" s="269"/>
      <c r="AA1968" s="134"/>
      <c r="AB1968" s="269"/>
      <c r="AC1968" s="284"/>
      <c r="AD1968" s="284"/>
      <c r="AE1968" s="269"/>
    </row>
    <row r="1969" spans="2:31">
      <c r="B1969" s="83"/>
      <c r="C1969" s="81"/>
      <c r="D1969" s="83"/>
      <c r="E1969" s="81"/>
      <c r="F1969" s="269"/>
      <c r="G1969" s="48"/>
      <c r="H1969" s="269"/>
      <c r="I1969" s="72"/>
      <c r="J1969" s="330"/>
      <c r="K1969" s="75"/>
      <c r="L1969" s="157"/>
      <c r="M1969" s="341"/>
      <c r="N1969" s="334"/>
      <c r="O1969" s="394"/>
      <c r="P1969" s="392"/>
      <c r="Q1969" s="363"/>
      <c r="T1969" s="110"/>
      <c r="V1969" s="232"/>
      <c r="W1969" s="269"/>
      <c r="X1969" s="201"/>
      <c r="Y1969" s="269"/>
      <c r="Z1969" s="269"/>
      <c r="AA1969" s="134"/>
      <c r="AB1969" s="269"/>
      <c r="AC1969" s="284"/>
      <c r="AD1969" s="284"/>
      <c r="AE1969" s="269"/>
    </row>
    <row r="1970" spans="2:31">
      <c r="B1970" s="83"/>
      <c r="C1970" s="81"/>
      <c r="D1970" s="83"/>
      <c r="E1970" s="81"/>
      <c r="F1970" s="269"/>
      <c r="G1970" s="48"/>
      <c r="H1970" s="269"/>
      <c r="I1970" s="72"/>
      <c r="J1970" s="330"/>
      <c r="K1970" s="75"/>
      <c r="L1970" s="157"/>
      <c r="M1970" s="341"/>
      <c r="N1970" s="334"/>
      <c r="O1970" s="394"/>
      <c r="P1970" s="392"/>
      <c r="Q1970" s="363"/>
      <c r="T1970" s="110"/>
      <c r="V1970" s="232"/>
      <c r="W1970" s="269"/>
      <c r="X1970" s="201"/>
      <c r="Y1970" s="269"/>
      <c r="Z1970" s="269"/>
      <c r="AA1970" s="134"/>
      <c r="AB1970" s="269"/>
      <c r="AC1970" s="284"/>
      <c r="AD1970" s="284"/>
      <c r="AE1970" s="269"/>
    </row>
    <row r="1971" spans="2:31">
      <c r="B1971" s="83"/>
      <c r="C1971" s="81"/>
      <c r="D1971" s="83"/>
      <c r="E1971" s="81"/>
      <c r="F1971" s="269"/>
      <c r="G1971" s="48"/>
      <c r="H1971" s="269"/>
      <c r="I1971" s="72"/>
      <c r="J1971" s="330"/>
      <c r="K1971" s="75"/>
      <c r="L1971" s="157"/>
      <c r="M1971" s="341"/>
      <c r="N1971" s="334"/>
      <c r="O1971" s="394"/>
      <c r="P1971" s="392"/>
      <c r="Q1971" s="363"/>
      <c r="T1971" s="110"/>
      <c r="V1971" s="232"/>
      <c r="W1971" s="269"/>
      <c r="X1971" s="201"/>
      <c r="Y1971" s="269"/>
      <c r="Z1971" s="269"/>
      <c r="AA1971" s="134"/>
      <c r="AB1971" s="269"/>
      <c r="AC1971" s="284"/>
      <c r="AD1971" s="284"/>
      <c r="AE1971" s="269"/>
    </row>
    <row r="1972" spans="2:31">
      <c r="B1972" s="83"/>
      <c r="C1972" s="81"/>
      <c r="D1972" s="83"/>
      <c r="E1972" s="81"/>
      <c r="F1972" s="269"/>
      <c r="G1972" s="48"/>
      <c r="H1972" s="269"/>
      <c r="I1972" s="72"/>
      <c r="J1972" s="330"/>
      <c r="K1972" s="75"/>
      <c r="L1972" s="157"/>
      <c r="M1972" s="341"/>
      <c r="N1972" s="334"/>
      <c r="O1972" s="394"/>
      <c r="P1972" s="392"/>
      <c r="Q1972" s="363"/>
      <c r="T1972" s="110"/>
      <c r="V1972" s="232"/>
      <c r="W1972" s="269"/>
      <c r="X1972" s="201"/>
      <c r="Y1972" s="269"/>
      <c r="Z1972" s="269"/>
      <c r="AA1972" s="134"/>
      <c r="AB1972" s="269"/>
      <c r="AC1972" s="284"/>
      <c r="AD1972" s="284"/>
      <c r="AE1972" s="269"/>
    </row>
    <row r="1973" spans="2:31">
      <c r="B1973" s="83"/>
      <c r="C1973" s="81"/>
      <c r="D1973" s="83"/>
      <c r="E1973" s="81"/>
      <c r="F1973" s="269"/>
      <c r="G1973" s="48"/>
      <c r="H1973" s="269"/>
      <c r="I1973" s="72"/>
      <c r="J1973" s="330"/>
      <c r="K1973" s="75"/>
      <c r="L1973" s="157"/>
      <c r="M1973" s="341"/>
      <c r="N1973" s="334"/>
      <c r="O1973" s="394"/>
      <c r="P1973" s="392"/>
      <c r="Q1973" s="363"/>
      <c r="T1973" s="110"/>
      <c r="V1973" s="232"/>
      <c r="W1973" s="269"/>
      <c r="X1973" s="201"/>
      <c r="Y1973" s="269"/>
      <c r="Z1973" s="269"/>
      <c r="AA1973" s="134"/>
      <c r="AB1973" s="269"/>
      <c r="AC1973" s="284"/>
      <c r="AD1973" s="284"/>
      <c r="AE1973" s="269"/>
    </row>
    <row r="1974" spans="2:31">
      <c r="B1974" s="83"/>
      <c r="C1974" s="81"/>
      <c r="D1974" s="83"/>
      <c r="E1974" s="81"/>
      <c r="F1974" s="269"/>
      <c r="G1974" s="48"/>
      <c r="H1974" s="269"/>
      <c r="I1974" s="72"/>
      <c r="J1974" s="330"/>
      <c r="K1974" s="75"/>
      <c r="L1974" s="157"/>
      <c r="M1974" s="341"/>
      <c r="N1974" s="334"/>
      <c r="O1974" s="394"/>
      <c r="P1974" s="392"/>
      <c r="Q1974" s="363"/>
      <c r="T1974" s="110"/>
      <c r="V1974" s="232"/>
      <c r="W1974" s="269"/>
      <c r="X1974" s="201"/>
      <c r="Y1974" s="269"/>
      <c r="Z1974" s="269"/>
      <c r="AA1974" s="134"/>
      <c r="AB1974" s="269"/>
      <c r="AC1974" s="284"/>
      <c r="AD1974" s="284"/>
      <c r="AE1974" s="269"/>
    </row>
    <row r="1975" spans="2:31">
      <c r="B1975" s="83"/>
      <c r="C1975" s="81"/>
      <c r="D1975" s="83"/>
      <c r="E1975" s="81"/>
      <c r="F1975" s="269"/>
      <c r="G1975" s="48"/>
      <c r="H1975" s="269"/>
      <c r="I1975" s="72"/>
      <c r="J1975" s="330"/>
      <c r="K1975" s="75"/>
      <c r="L1975" s="157"/>
      <c r="M1975" s="341"/>
      <c r="N1975" s="334"/>
      <c r="O1975" s="394"/>
      <c r="P1975" s="392"/>
      <c r="Q1975" s="363"/>
      <c r="T1975" s="110"/>
      <c r="V1975" s="232"/>
      <c r="W1975" s="269"/>
      <c r="X1975" s="201"/>
      <c r="Y1975" s="269"/>
      <c r="Z1975" s="269"/>
      <c r="AA1975" s="134"/>
      <c r="AB1975" s="269"/>
      <c r="AC1975" s="284"/>
      <c r="AD1975" s="284"/>
      <c r="AE1975" s="269"/>
    </row>
    <row r="1976" spans="2:31">
      <c r="B1976" s="83"/>
      <c r="C1976" s="81"/>
      <c r="D1976" s="83"/>
      <c r="E1976" s="81"/>
      <c r="F1976" s="269"/>
      <c r="G1976" s="48"/>
      <c r="H1976" s="269"/>
      <c r="I1976" s="72"/>
      <c r="J1976" s="330"/>
      <c r="K1976" s="75"/>
      <c r="L1976" s="157"/>
      <c r="M1976" s="341"/>
      <c r="N1976" s="334"/>
      <c r="O1976" s="394"/>
      <c r="P1976" s="392"/>
      <c r="Q1976" s="363"/>
      <c r="T1976" s="110"/>
      <c r="V1976" s="232"/>
      <c r="W1976" s="269"/>
      <c r="X1976" s="201"/>
      <c r="Y1976" s="269"/>
      <c r="Z1976" s="269"/>
      <c r="AA1976" s="134"/>
      <c r="AB1976" s="269"/>
      <c r="AC1976" s="284"/>
      <c r="AD1976" s="284"/>
      <c r="AE1976" s="269"/>
    </row>
    <row r="1977" spans="2:31">
      <c r="B1977" s="83"/>
      <c r="C1977" s="81"/>
      <c r="D1977" s="83"/>
      <c r="E1977" s="81"/>
      <c r="F1977" s="269"/>
      <c r="G1977" s="48"/>
      <c r="H1977" s="269"/>
      <c r="I1977" s="72"/>
      <c r="J1977" s="330"/>
      <c r="K1977" s="75"/>
      <c r="L1977" s="157"/>
      <c r="M1977" s="341"/>
      <c r="N1977" s="334"/>
      <c r="O1977" s="394"/>
      <c r="P1977" s="392"/>
      <c r="Q1977" s="363"/>
      <c r="T1977" s="110"/>
      <c r="V1977" s="232"/>
      <c r="W1977" s="269"/>
      <c r="X1977" s="201"/>
      <c r="Y1977" s="269"/>
      <c r="Z1977" s="269"/>
      <c r="AA1977" s="134"/>
      <c r="AB1977" s="269"/>
      <c r="AC1977" s="284"/>
      <c r="AD1977" s="284"/>
      <c r="AE1977" s="269"/>
    </row>
    <row r="1978" spans="2:31">
      <c r="B1978" s="83"/>
      <c r="C1978" s="81"/>
      <c r="D1978" s="83"/>
      <c r="E1978" s="81"/>
      <c r="F1978" s="269"/>
      <c r="G1978" s="48"/>
      <c r="H1978" s="269"/>
      <c r="I1978" s="72"/>
      <c r="J1978" s="330"/>
      <c r="K1978" s="75"/>
      <c r="L1978" s="157"/>
      <c r="M1978" s="341"/>
      <c r="N1978" s="334"/>
      <c r="O1978" s="394"/>
      <c r="P1978" s="392"/>
      <c r="Q1978" s="363"/>
      <c r="T1978" s="110"/>
      <c r="V1978" s="232"/>
      <c r="W1978" s="269"/>
      <c r="X1978" s="201"/>
      <c r="Y1978" s="269"/>
      <c r="Z1978" s="269"/>
      <c r="AA1978" s="134"/>
      <c r="AB1978" s="269"/>
      <c r="AC1978" s="284"/>
      <c r="AD1978" s="284"/>
      <c r="AE1978" s="269"/>
    </row>
    <row r="1979" spans="2:31">
      <c r="B1979" s="83"/>
      <c r="C1979" s="81"/>
      <c r="D1979" s="83"/>
      <c r="E1979" s="81"/>
      <c r="F1979" s="269"/>
      <c r="G1979" s="48"/>
      <c r="H1979" s="269"/>
      <c r="I1979" s="72"/>
      <c r="J1979" s="330"/>
      <c r="K1979" s="75"/>
      <c r="L1979" s="157"/>
      <c r="M1979" s="341"/>
      <c r="N1979" s="334"/>
      <c r="O1979" s="394"/>
      <c r="P1979" s="392"/>
      <c r="Q1979" s="363"/>
      <c r="T1979" s="110"/>
      <c r="V1979" s="232"/>
      <c r="W1979" s="269"/>
      <c r="X1979" s="201"/>
      <c r="Y1979" s="269"/>
      <c r="Z1979" s="269"/>
      <c r="AA1979" s="134"/>
      <c r="AB1979" s="269"/>
      <c r="AC1979" s="284"/>
      <c r="AD1979" s="284"/>
      <c r="AE1979" s="269"/>
    </row>
    <row r="1980" spans="2:31">
      <c r="B1980" s="83"/>
      <c r="C1980" s="81"/>
      <c r="D1980" s="83"/>
      <c r="E1980" s="81"/>
      <c r="F1980" s="269"/>
      <c r="G1980" s="48"/>
      <c r="H1980" s="269"/>
      <c r="I1980" s="72"/>
      <c r="J1980" s="330"/>
      <c r="K1980" s="75"/>
      <c r="L1980" s="157"/>
      <c r="M1980" s="341"/>
      <c r="N1980" s="334"/>
      <c r="O1980" s="394"/>
      <c r="P1980" s="392"/>
      <c r="Q1980" s="363"/>
      <c r="T1980" s="110"/>
      <c r="V1980" s="232"/>
      <c r="W1980" s="269"/>
      <c r="X1980" s="201"/>
      <c r="Y1980" s="269"/>
      <c r="Z1980" s="269"/>
      <c r="AA1980" s="134"/>
      <c r="AB1980" s="269"/>
      <c r="AC1980" s="284"/>
      <c r="AD1980" s="284"/>
      <c r="AE1980" s="269"/>
    </row>
    <row r="1981" spans="2:31">
      <c r="B1981" s="83"/>
      <c r="C1981" s="81"/>
      <c r="D1981" s="83"/>
      <c r="E1981" s="81"/>
      <c r="F1981" s="269"/>
      <c r="G1981" s="48"/>
      <c r="H1981" s="269"/>
      <c r="I1981" s="72"/>
      <c r="J1981" s="330"/>
      <c r="K1981" s="75"/>
      <c r="L1981" s="157"/>
      <c r="M1981" s="341"/>
      <c r="N1981" s="334"/>
      <c r="O1981" s="394"/>
      <c r="P1981" s="392"/>
      <c r="Q1981" s="363"/>
      <c r="T1981" s="110"/>
      <c r="V1981" s="232"/>
      <c r="W1981" s="269"/>
      <c r="X1981" s="201"/>
      <c r="Y1981" s="269"/>
      <c r="Z1981" s="269"/>
      <c r="AA1981" s="134"/>
      <c r="AB1981" s="269"/>
      <c r="AC1981" s="284"/>
      <c r="AD1981" s="284"/>
      <c r="AE1981" s="269"/>
    </row>
    <row r="1982" spans="2:31">
      <c r="B1982" s="83"/>
      <c r="C1982" s="81"/>
      <c r="D1982" s="83"/>
      <c r="E1982" s="81"/>
      <c r="F1982" s="269"/>
      <c r="G1982" s="48"/>
      <c r="H1982" s="269"/>
      <c r="I1982" s="72"/>
      <c r="J1982" s="330"/>
      <c r="K1982" s="75"/>
      <c r="L1982" s="157"/>
      <c r="M1982" s="341"/>
      <c r="N1982" s="334"/>
      <c r="O1982" s="394"/>
      <c r="P1982" s="392"/>
      <c r="Q1982" s="363"/>
      <c r="T1982" s="110"/>
      <c r="V1982" s="232"/>
      <c r="W1982" s="269"/>
      <c r="X1982" s="201"/>
      <c r="Y1982" s="269"/>
      <c r="Z1982" s="269"/>
      <c r="AA1982" s="134"/>
      <c r="AB1982" s="269"/>
      <c r="AC1982" s="284"/>
      <c r="AD1982" s="284"/>
      <c r="AE1982" s="269"/>
    </row>
    <row r="1983" spans="2:31">
      <c r="B1983" s="83"/>
      <c r="C1983" s="81"/>
      <c r="D1983" s="83"/>
      <c r="E1983" s="81"/>
      <c r="F1983" s="269"/>
      <c r="G1983" s="48"/>
      <c r="H1983" s="269"/>
      <c r="I1983" s="72"/>
      <c r="J1983" s="330"/>
      <c r="K1983" s="75"/>
      <c r="L1983" s="157"/>
      <c r="M1983" s="341"/>
      <c r="N1983" s="334"/>
      <c r="O1983" s="394"/>
      <c r="P1983" s="392"/>
      <c r="Q1983" s="363"/>
      <c r="T1983" s="110"/>
      <c r="V1983" s="232"/>
      <c r="W1983" s="269"/>
      <c r="X1983" s="201"/>
      <c r="Y1983" s="269"/>
      <c r="Z1983" s="269"/>
      <c r="AA1983" s="134"/>
      <c r="AB1983" s="269"/>
      <c r="AC1983" s="284"/>
      <c r="AD1983" s="284"/>
      <c r="AE1983" s="269"/>
    </row>
    <row r="1984" spans="2:31">
      <c r="B1984" s="83"/>
      <c r="C1984" s="81"/>
      <c r="D1984" s="83"/>
      <c r="E1984" s="81"/>
      <c r="F1984" s="269"/>
      <c r="G1984" s="48"/>
      <c r="H1984" s="269"/>
      <c r="I1984" s="72"/>
      <c r="J1984" s="330"/>
      <c r="K1984" s="75"/>
      <c r="L1984" s="157"/>
      <c r="M1984" s="341"/>
      <c r="N1984" s="334"/>
      <c r="O1984" s="394"/>
      <c r="P1984" s="392"/>
      <c r="Q1984" s="363"/>
      <c r="T1984" s="110"/>
      <c r="V1984" s="232"/>
      <c r="W1984" s="269"/>
      <c r="X1984" s="201"/>
      <c r="Y1984" s="269"/>
      <c r="Z1984" s="269"/>
      <c r="AA1984" s="134"/>
      <c r="AB1984" s="269"/>
      <c r="AC1984" s="284"/>
      <c r="AD1984" s="284"/>
      <c r="AE1984" s="269"/>
    </row>
    <row r="1985" spans="2:31">
      <c r="B1985" s="83"/>
      <c r="C1985" s="81"/>
      <c r="D1985" s="83"/>
      <c r="E1985" s="81"/>
      <c r="F1985" s="269"/>
      <c r="G1985" s="48"/>
      <c r="H1985" s="269"/>
      <c r="I1985" s="72"/>
      <c r="J1985" s="330"/>
      <c r="K1985" s="75"/>
      <c r="L1985" s="157"/>
      <c r="M1985" s="341"/>
      <c r="N1985" s="334"/>
      <c r="O1985" s="394"/>
      <c r="P1985" s="392"/>
      <c r="Q1985" s="363"/>
      <c r="T1985" s="110"/>
      <c r="V1985" s="232"/>
      <c r="W1985" s="269"/>
      <c r="X1985" s="201"/>
      <c r="Y1985" s="269"/>
      <c r="Z1985" s="269"/>
      <c r="AA1985" s="134"/>
      <c r="AB1985" s="269"/>
      <c r="AC1985" s="284"/>
      <c r="AD1985" s="284"/>
      <c r="AE1985" s="269"/>
    </row>
    <row r="1986" spans="2:31">
      <c r="B1986" s="83"/>
      <c r="C1986" s="81"/>
      <c r="D1986" s="83"/>
      <c r="E1986" s="81"/>
      <c r="F1986" s="269"/>
      <c r="G1986" s="48"/>
      <c r="H1986" s="269"/>
      <c r="I1986" s="72"/>
      <c r="J1986" s="330"/>
      <c r="K1986" s="75"/>
      <c r="L1986" s="157"/>
      <c r="M1986" s="341"/>
      <c r="N1986" s="334"/>
      <c r="O1986" s="394"/>
      <c r="P1986" s="392"/>
      <c r="Q1986" s="363"/>
      <c r="T1986" s="110"/>
      <c r="V1986" s="232"/>
      <c r="W1986" s="269"/>
      <c r="X1986" s="201"/>
      <c r="Y1986" s="269"/>
      <c r="Z1986" s="269"/>
      <c r="AA1986" s="134"/>
      <c r="AB1986" s="269"/>
      <c r="AC1986" s="284"/>
      <c r="AD1986" s="284"/>
      <c r="AE1986" s="269"/>
    </row>
    <row r="1987" spans="2:31">
      <c r="B1987" s="83"/>
      <c r="C1987" s="81"/>
      <c r="D1987" s="83"/>
      <c r="E1987" s="81"/>
      <c r="F1987" s="269"/>
      <c r="G1987" s="48"/>
      <c r="H1987" s="269"/>
      <c r="I1987" s="72"/>
      <c r="J1987" s="330"/>
      <c r="K1987" s="75"/>
      <c r="L1987" s="157"/>
      <c r="M1987" s="341"/>
      <c r="N1987" s="334"/>
      <c r="O1987" s="394"/>
      <c r="P1987" s="392"/>
      <c r="Q1987" s="363"/>
      <c r="T1987" s="110"/>
      <c r="V1987" s="232"/>
      <c r="W1987" s="269"/>
      <c r="X1987" s="201"/>
      <c r="Y1987" s="269"/>
      <c r="Z1987" s="269"/>
      <c r="AA1987" s="134"/>
      <c r="AB1987" s="269"/>
      <c r="AC1987" s="284"/>
      <c r="AD1987" s="284"/>
      <c r="AE1987" s="269"/>
    </row>
    <row r="1988" spans="2:31">
      <c r="B1988" s="83"/>
      <c r="C1988" s="81"/>
      <c r="D1988" s="83"/>
      <c r="E1988" s="81"/>
      <c r="F1988" s="269"/>
      <c r="G1988" s="48"/>
      <c r="H1988" s="269"/>
      <c r="I1988" s="72"/>
      <c r="J1988" s="330"/>
      <c r="K1988" s="75"/>
      <c r="L1988" s="157"/>
      <c r="M1988" s="341"/>
      <c r="N1988" s="334"/>
      <c r="O1988" s="394"/>
      <c r="P1988" s="392"/>
      <c r="Q1988" s="363"/>
      <c r="T1988" s="110"/>
      <c r="V1988" s="232"/>
      <c r="W1988" s="269"/>
      <c r="X1988" s="201"/>
      <c r="Y1988" s="269"/>
      <c r="Z1988" s="269"/>
      <c r="AA1988" s="134"/>
      <c r="AB1988" s="269"/>
      <c r="AC1988" s="284"/>
      <c r="AD1988" s="284"/>
      <c r="AE1988" s="269"/>
    </row>
    <row r="1989" spans="2:31">
      <c r="B1989" s="83"/>
      <c r="C1989" s="81"/>
      <c r="D1989" s="83"/>
      <c r="E1989" s="81"/>
      <c r="F1989" s="269"/>
      <c r="G1989" s="48"/>
      <c r="H1989" s="269"/>
      <c r="I1989" s="72"/>
      <c r="J1989" s="330"/>
      <c r="K1989" s="75"/>
      <c r="L1989" s="157"/>
      <c r="M1989" s="341"/>
      <c r="N1989" s="334"/>
      <c r="O1989" s="394"/>
      <c r="P1989" s="392"/>
      <c r="Q1989" s="363"/>
      <c r="T1989" s="110"/>
      <c r="V1989" s="232"/>
      <c r="W1989" s="269"/>
      <c r="X1989" s="201"/>
      <c r="Y1989" s="269"/>
      <c r="Z1989" s="269"/>
      <c r="AA1989" s="134"/>
      <c r="AB1989" s="269"/>
      <c r="AC1989" s="284"/>
      <c r="AD1989" s="284"/>
      <c r="AE1989" s="269"/>
    </row>
    <row r="1990" spans="2:31">
      <c r="B1990" s="83"/>
      <c r="C1990" s="81"/>
      <c r="D1990" s="83"/>
      <c r="E1990" s="81"/>
      <c r="F1990" s="269"/>
      <c r="G1990" s="48"/>
      <c r="H1990" s="269"/>
      <c r="I1990" s="72"/>
      <c r="J1990" s="330"/>
      <c r="K1990" s="75"/>
      <c r="L1990" s="157"/>
      <c r="M1990" s="341"/>
      <c r="N1990" s="334"/>
      <c r="O1990" s="394"/>
      <c r="P1990" s="392"/>
      <c r="Q1990" s="363"/>
      <c r="T1990" s="110"/>
      <c r="V1990" s="232"/>
      <c r="W1990" s="269"/>
      <c r="X1990" s="201"/>
      <c r="Y1990" s="269"/>
      <c r="Z1990" s="269"/>
      <c r="AA1990" s="134"/>
      <c r="AB1990" s="269"/>
      <c r="AC1990" s="284"/>
      <c r="AD1990" s="284"/>
      <c r="AE1990" s="269"/>
    </row>
    <row r="1991" spans="2:31">
      <c r="B1991" s="83"/>
      <c r="C1991" s="81"/>
      <c r="D1991" s="83"/>
      <c r="E1991" s="81"/>
      <c r="F1991" s="269"/>
      <c r="G1991" s="48"/>
      <c r="H1991" s="269"/>
      <c r="I1991" s="72"/>
      <c r="J1991" s="330"/>
      <c r="K1991" s="75"/>
      <c r="L1991" s="157"/>
      <c r="M1991" s="341"/>
      <c r="N1991" s="334"/>
      <c r="O1991" s="394"/>
      <c r="P1991" s="392"/>
      <c r="Q1991" s="363"/>
      <c r="T1991" s="110"/>
      <c r="V1991" s="232"/>
      <c r="W1991" s="269"/>
      <c r="X1991" s="201"/>
      <c r="Y1991" s="269"/>
      <c r="Z1991" s="269"/>
      <c r="AA1991" s="134"/>
      <c r="AB1991" s="269"/>
      <c r="AC1991" s="284"/>
      <c r="AD1991" s="284"/>
      <c r="AE1991" s="269"/>
    </row>
    <row r="1992" spans="2:31">
      <c r="B1992" s="83"/>
      <c r="C1992" s="81"/>
      <c r="D1992" s="83"/>
      <c r="E1992" s="81"/>
      <c r="F1992" s="269"/>
      <c r="G1992" s="48"/>
      <c r="H1992" s="269"/>
      <c r="I1992" s="72"/>
      <c r="J1992" s="330"/>
      <c r="K1992" s="75"/>
      <c r="L1992" s="157"/>
      <c r="M1992" s="341"/>
      <c r="N1992" s="334"/>
      <c r="O1992" s="394"/>
      <c r="P1992" s="392"/>
      <c r="Q1992" s="363"/>
      <c r="T1992" s="110"/>
      <c r="V1992" s="232"/>
      <c r="W1992" s="269"/>
      <c r="X1992" s="201"/>
      <c r="Y1992" s="269"/>
      <c r="Z1992" s="269"/>
      <c r="AA1992" s="134"/>
      <c r="AB1992" s="269"/>
      <c r="AC1992" s="284"/>
      <c r="AD1992" s="284"/>
      <c r="AE1992" s="269"/>
    </row>
    <row r="1993" spans="2:31">
      <c r="B1993" s="83"/>
      <c r="C1993" s="81"/>
      <c r="D1993" s="83"/>
      <c r="E1993" s="81"/>
      <c r="F1993" s="269"/>
      <c r="G1993" s="48"/>
      <c r="H1993" s="269"/>
      <c r="I1993" s="72"/>
      <c r="J1993" s="330"/>
      <c r="K1993" s="75"/>
      <c r="L1993" s="157"/>
      <c r="M1993" s="341"/>
      <c r="N1993" s="334"/>
      <c r="O1993" s="394"/>
      <c r="P1993" s="392"/>
      <c r="Q1993" s="363"/>
      <c r="T1993" s="110"/>
      <c r="V1993" s="232"/>
      <c r="W1993" s="269"/>
      <c r="X1993" s="201"/>
      <c r="Y1993" s="269"/>
      <c r="Z1993" s="269"/>
      <c r="AA1993" s="134"/>
      <c r="AB1993" s="269"/>
      <c r="AC1993" s="284"/>
      <c r="AD1993" s="284"/>
      <c r="AE1993" s="269"/>
    </row>
    <row r="1994" spans="2:31">
      <c r="B1994" s="83"/>
      <c r="C1994" s="81"/>
      <c r="D1994" s="83"/>
      <c r="E1994" s="81"/>
      <c r="F1994" s="269"/>
      <c r="G1994" s="48"/>
      <c r="H1994" s="269"/>
      <c r="I1994" s="72"/>
      <c r="J1994" s="330"/>
      <c r="K1994" s="75"/>
      <c r="L1994" s="157"/>
      <c r="M1994" s="341"/>
      <c r="N1994" s="334"/>
      <c r="O1994" s="394"/>
      <c r="P1994" s="392"/>
      <c r="Q1994" s="363"/>
      <c r="T1994" s="110"/>
      <c r="V1994" s="232"/>
      <c r="W1994" s="269"/>
      <c r="X1994" s="201"/>
      <c r="Y1994" s="269"/>
      <c r="Z1994" s="269"/>
      <c r="AA1994" s="134"/>
      <c r="AB1994" s="269"/>
      <c r="AC1994" s="284"/>
      <c r="AD1994" s="284"/>
      <c r="AE1994" s="269"/>
    </row>
    <row r="1995" spans="2:31">
      <c r="B1995" s="83"/>
      <c r="C1995" s="81"/>
      <c r="D1995" s="83"/>
      <c r="E1995" s="81"/>
      <c r="F1995" s="269"/>
      <c r="G1995" s="48"/>
      <c r="H1995" s="269"/>
      <c r="I1995" s="72"/>
      <c r="J1995" s="330"/>
      <c r="K1995" s="75"/>
      <c r="L1995" s="157"/>
      <c r="M1995" s="341"/>
      <c r="N1995" s="334"/>
      <c r="O1995" s="394"/>
      <c r="P1995" s="392"/>
      <c r="Q1995" s="363"/>
      <c r="T1995" s="110"/>
      <c r="V1995" s="232"/>
      <c r="W1995" s="269"/>
      <c r="X1995" s="201"/>
      <c r="Y1995" s="269"/>
      <c r="Z1995" s="269"/>
      <c r="AA1995" s="134"/>
      <c r="AB1995" s="269"/>
      <c r="AC1995" s="284"/>
      <c r="AD1995" s="284"/>
      <c r="AE1995" s="269"/>
    </row>
    <row r="1996" spans="2:31">
      <c r="B1996" s="83"/>
      <c r="C1996" s="81"/>
      <c r="D1996" s="83"/>
      <c r="E1996" s="81"/>
      <c r="F1996" s="269"/>
      <c r="G1996" s="48"/>
      <c r="H1996" s="269"/>
      <c r="I1996" s="72"/>
      <c r="J1996" s="330"/>
      <c r="K1996" s="75"/>
      <c r="L1996" s="157"/>
      <c r="M1996" s="341"/>
      <c r="N1996" s="334"/>
      <c r="O1996" s="394"/>
      <c r="P1996" s="392"/>
      <c r="Q1996" s="363"/>
      <c r="T1996" s="110"/>
      <c r="V1996" s="232"/>
      <c r="W1996" s="269"/>
      <c r="X1996" s="201"/>
      <c r="Y1996" s="269"/>
      <c r="Z1996" s="269"/>
      <c r="AA1996" s="134"/>
      <c r="AB1996" s="269"/>
      <c r="AC1996" s="284"/>
      <c r="AD1996" s="284"/>
      <c r="AE1996" s="269"/>
    </row>
    <row r="1997" spans="2:31">
      <c r="B1997" s="83"/>
      <c r="C1997" s="81"/>
      <c r="D1997" s="83"/>
      <c r="E1997" s="81"/>
      <c r="F1997" s="269"/>
      <c r="G1997" s="48"/>
      <c r="H1997" s="269"/>
      <c r="I1997" s="72"/>
      <c r="J1997" s="330"/>
      <c r="K1997" s="75"/>
      <c r="L1997" s="157"/>
      <c r="M1997" s="341"/>
      <c r="N1997" s="334"/>
      <c r="O1997" s="394"/>
      <c r="P1997" s="392"/>
      <c r="Q1997" s="363"/>
      <c r="T1997" s="110"/>
      <c r="V1997" s="232"/>
      <c r="W1997" s="269"/>
      <c r="X1997" s="201"/>
      <c r="Y1997" s="269"/>
      <c r="Z1997" s="269"/>
      <c r="AA1997" s="134"/>
      <c r="AB1997" s="269"/>
      <c r="AC1997" s="284"/>
      <c r="AD1997" s="284"/>
      <c r="AE1997" s="269"/>
    </row>
    <row r="1998" spans="2:31">
      <c r="B1998" s="83"/>
      <c r="C1998" s="81"/>
      <c r="D1998" s="83"/>
      <c r="E1998" s="81"/>
      <c r="F1998" s="269"/>
      <c r="G1998" s="48"/>
      <c r="H1998" s="269"/>
      <c r="I1998" s="72"/>
      <c r="J1998" s="330"/>
      <c r="K1998" s="75"/>
      <c r="L1998" s="157"/>
      <c r="M1998" s="341"/>
      <c r="N1998" s="334"/>
      <c r="O1998" s="394"/>
      <c r="P1998" s="392"/>
      <c r="Q1998" s="363"/>
      <c r="T1998" s="110"/>
      <c r="V1998" s="232"/>
      <c r="W1998" s="269"/>
      <c r="X1998" s="201"/>
      <c r="Y1998" s="269"/>
      <c r="Z1998" s="269"/>
      <c r="AA1998" s="134"/>
      <c r="AB1998" s="269"/>
      <c r="AC1998" s="284"/>
      <c r="AD1998" s="284"/>
      <c r="AE1998" s="269"/>
    </row>
    <row r="1999" spans="2:31">
      <c r="B1999" s="83"/>
      <c r="C1999" s="81"/>
      <c r="D1999" s="83"/>
      <c r="E1999" s="81"/>
      <c r="F1999" s="269"/>
      <c r="G1999" s="48"/>
      <c r="H1999" s="269"/>
      <c r="I1999" s="72"/>
      <c r="J1999" s="330"/>
      <c r="K1999" s="75"/>
      <c r="L1999" s="157"/>
      <c r="M1999" s="341"/>
      <c r="N1999" s="334"/>
      <c r="O1999" s="394"/>
      <c r="P1999" s="392"/>
      <c r="Q1999" s="363"/>
      <c r="T1999" s="110"/>
      <c r="V1999" s="232"/>
      <c r="W1999" s="269"/>
      <c r="X1999" s="201"/>
      <c r="Y1999" s="269"/>
      <c r="Z1999" s="269"/>
      <c r="AA1999" s="134"/>
      <c r="AB1999" s="269"/>
      <c r="AC1999" s="284"/>
      <c r="AD1999" s="284"/>
      <c r="AE1999" s="269"/>
    </row>
    <row r="2000" spans="2:31">
      <c r="B2000" s="83"/>
      <c r="C2000" s="81"/>
      <c r="D2000" s="83"/>
      <c r="E2000" s="81"/>
      <c r="F2000" s="269"/>
      <c r="G2000" s="48"/>
      <c r="H2000" s="269"/>
      <c r="I2000" s="72"/>
      <c r="J2000" s="330"/>
      <c r="K2000" s="75"/>
      <c r="L2000" s="157"/>
      <c r="M2000" s="341"/>
      <c r="N2000" s="334"/>
      <c r="O2000" s="394"/>
      <c r="P2000" s="392"/>
      <c r="Q2000" s="363"/>
      <c r="T2000" s="110"/>
      <c r="V2000" s="232"/>
      <c r="W2000" s="269"/>
      <c r="X2000" s="201"/>
      <c r="Y2000" s="269"/>
      <c r="Z2000" s="269"/>
      <c r="AA2000" s="134"/>
      <c r="AB2000" s="269"/>
      <c r="AC2000" s="284"/>
      <c r="AD2000" s="284"/>
      <c r="AE2000" s="269"/>
    </row>
    <row r="2001" spans="2:31">
      <c r="B2001" s="83"/>
      <c r="C2001" s="81"/>
      <c r="D2001" s="83"/>
      <c r="E2001" s="81"/>
      <c r="F2001" s="269"/>
      <c r="G2001" s="48"/>
      <c r="H2001" s="269"/>
      <c r="I2001" s="72"/>
      <c r="J2001" s="330"/>
      <c r="K2001" s="75"/>
      <c r="L2001" s="157"/>
      <c r="M2001" s="341"/>
      <c r="N2001" s="334"/>
      <c r="O2001" s="394"/>
      <c r="P2001" s="392"/>
      <c r="Q2001" s="363"/>
      <c r="T2001" s="110"/>
      <c r="V2001" s="232"/>
      <c r="W2001" s="269"/>
      <c r="X2001" s="201"/>
      <c r="Y2001" s="269"/>
      <c r="Z2001" s="269"/>
      <c r="AA2001" s="134"/>
      <c r="AB2001" s="269"/>
      <c r="AC2001" s="284"/>
      <c r="AD2001" s="284"/>
      <c r="AE2001" s="269"/>
    </row>
    <row r="2002" spans="2:31">
      <c r="B2002" s="83"/>
      <c r="C2002" s="81"/>
      <c r="D2002" s="83"/>
      <c r="E2002" s="81"/>
      <c r="F2002" s="269"/>
      <c r="G2002" s="48"/>
      <c r="H2002" s="269"/>
      <c r="I2002" s="72"/>
      <c r="J2002" s="330"/>
      <c r="K2002" s="75"/>
      <c r="L2002" s="157"/>
      <c r="M2002" s="341"/>
      <c r="N2002" s="334"/>
      <c r="O2002" s="394"/>
      <c r="P2002" s="392"/>
      <c r="Q2002" s="363"/>
      <c r="T2002" s="110"/>
      <c r="V2002" s="232"/>
      <c r="W2002" s="269"/>
      <c r="X2002" s="201"/>
      <c r="Y2002" s="269"/>
      <c r="Z2002" s="269"/>
      <c r="AA2002" s="134"/>
      <c r="AB2002" s="269"/>
      <c r="AC2002" s="284"/>
      <c r="AD2002" s="284"/>
      <c r="AE2002" s="269"/>
    </row>
    <row r="2003" spans="2:31">
      <c r="B2003" s="83"/>
      <c r="C2003" s="81"/>
      <c r="D2003" s="83"/>
      <c r="E2003" s="81"/>
      <c r="F2003" s="269"/>
      <c r="G2003" s="48"/>
      <c r="H2003" s="269"/>
      <c r="I2003" s="72"/>
      <c r="J2003" s="330"/>
      <c r="K2003" s="75"/>
      <c r="L2003" s="157"/>
      <c r="M2003" s="341"/>
      <c r="N2003" s="334"/>
      <c r="O2003" s="394"/>
      <c r="P2003" s="392"/>
      <c r="Q2003" s="363"/>
      <c r="T2003" s="110"/>
      <c r="V2003" s="232"/>
      <c r="W2003" s="269"/>
      <c r="X2003" s="201"/>
      <c r="Y2003" s="269"/>
      <c r="Z2003" s="269"/>
      <c r="AA2003" s="134"/>
      <c r="AB2003" s="269"/>
      <c r="AC2003" s="284"/>
      <c r="AD2003" s="284"/>
      <c r="AE2003" s="269"/>
    </row>
    <row r="2004" spans="2:31">
      <c r="B2004" s="83"/>
      <c r="C2004" s="81"/>
      <c r="D2004" s="83"/>
      <c r="E2004" s="81"/>
      <c r="F2004" s="269"/>
      <c r="G2004" s="48"/>
      <c r="H2004" s="269"/>
      <c r="I2004" s="72"/>
      <c r="J2004" s="330"/>
      <c r="K2004" s="75"/>
      <c r="L2004" s="157"/>
      <c r="M2004" s="341"/>
      <c r="N2004" s="334"/>
      <c r="O2004" s="394"/>
      <c r="P2004" s="392"/>
      <c r="Q2004" s="363"/>
      <c r="T2004" s="110"/>
      <c r="V2004" s="232"/>
      <c r="W2004" s="269"/>
      <c r="X2004" s="201"/>
      <c r="Y2004" s="269"/>
      <c r="Z2004" s="269"/>
      <c r="AA2004" s="134"/>
      <c r="AB2004" s="269"/>
      <c r="AC2004" s="284"/>
      <c r="AD2004" s="284"/>
      <c r="AE2004" s="269"/>
    </row>
    <row r="2005" spans="2:31">
      <c r="B2005" s="83"/>
      <c r="C2005" s="81"/>
      <c r="D2005" s="83"/>
      <c r="E2005" s="81"/>
      <c r="F2005" s="269"/>
      <c r="G2005" s="48"/>
      <c r="H2005" s="269"/>
      <c r="I2005" s="72"/>
      <c r="J2005" s="330"/>
      <c r="K2005" s="75"/>
      <c r="L2005" s="157"/>
      <c r="M2005" s="341"/>
      <c r="N2005" s="334"/>
      <c r="O2005" s="394"/>
      <c r="P2005" s="392"/>
      <c r="Q2005" s="363"/>
      <c r="T2005" s="110"/>
      <c r="V2005" s="232"/>
      <c r="W2005" s="269"/>
      <c r="X2005" s="201"/>
      <c r="Y2005" s="269"/>
      <c r="Z2005" s="269"/>
      <c r="AA2005" s="134"/>
      <c r="AB2005" s="269"/>
      <c r="AC2005" s="284"/>
      <c r="AD2005" s="284"/>
      <c r="AE2005" s="269"/>
    </row>
    <row r="2006" spans="2:31">
      <c r="B2006" s="83"/>
      <c r="C2006" s="81"/>
      <c r="D2006" s="83"/>
      <c r="E2006" s="81"/>
      <c r="F2006" s="269"/>
      <c r="G2006" s="48"/>
      <c r="H2006" s="269"/>
      <c r="I2006" s="72"/>
      <c r="J2006" s="330"/>
      <c r="K2006" s="75"/>
      <c r="L2006" s="157"/>
      <c r="M2006" s="341"/>
      <c r="N2006" s="334"/>
      <c r="O2006" s="394"/>
      <c r="P2006" s="392"/>
      <c r="Q2006" s="363"/>
      <c r="T2006" s="110"/>
      <c r="V2006" s="232"/>
      <c r="W2006" s="269"/>
      <c r="X2006" s="201"/>
      <c r="Y2006" s="269"/>
      <c r="Z2006" s="269"/>
      <c r="AA2006" s="134"/>
      <c r="AB2006" s="269"/>
      <c r="AC2006" s="284"/>
      <c r="AD2006" s="284"/>
      <c r="AE2006" s="269"/>
    </row>
    <row r="2007" spans="2:31">
      <c r="B2007" s="83"/>
      <c r="C2007" s="81"/>
      <c r="D2007" s="83"/>
      <c r="E2007" s="81"/>
      <c r="F2007" s="269"/>
      <c r="G2007" s="48"/>
      <c r="H2007" s="269"/>
      <c r="I2007" s="72"/>
      <c r="J2007" s="330"/>
      <c r="K2007" s="75"/>
      <c r="L2007" s="157"/>
      <c r="M2007" s="341"/>
      <c r="N2007" s="334"/>
      <c r="O2007" s="394"/>
      <c r="P2007" s="392"/>
      <c r="Q2007" s="363"/>
      <c r="T2007" s="110"/>
      <c r="V2007" s="232"/>
      <c r="W2007" s="269"/>
      <c r="X2007" s="201"/>
      <c r="Y2007" s="269"/>
      <c r="Z2007" s="269"/>
      <c r="AA2007" s="134"/>
      <c r="AB2007" s="269"/>
      <c r="AC2007" s="284"/>
      <c r="AD2007" s="284"/>
      <c r="AE2007" s="269"/>
    </row>
    <row r="2008" spans="2:31">
      <c r="B2008" s="83"/>
      <c r="C2008" s="81"/>
      <c r="D2008" s="83"/>
      <c r="E2008" s="81"/>
      <c r="F2008" s="269"/>
      <c r="G2008" s="48"/>
      <c r="H2008" s="269"/>
      <c r="I2008" s="72"/>
      <c r="J2008" s="330"/>
      <c r="K2008" s="75"/>
      <c r="L2008" s="157"/>
      <c r="M2008" s="341"/>
      <c r="N2008" s="334"/>
      <c r="O2008" s="394"/>
      <c r="P2008" s="392"/>
      <c r="Q2008" s="363"/>
      <c r="T2008" s="110"/>
      <c r="V2008" s="232"/>
      <c r="W2008" s="269"/>
      <c r="X2008" s="201"/>
      <c r="Y2008" s="269"/>
      <c r="Z2008" s="269"/>
      <c r="AA2008" s="134"/>
      <c r="AB2008" s="269"/>
      <c r="AC2008" s="284"/>
      <c r="AD2008" s="284"/>
      <c r="AE2008" s="269"/>
    </row>
    <row r="2009" spans="2:31">
      <c r="B2009" s="83"/>
      <c r="C2009" s="81"/>
      <c r="D2009" s="83"/>
      <c r="E2009" s="81"/>
      <c r="F2009" s="269"/>
      <c r="G2009" s="48"/>
      <c r="H2009" s="269"/>
      <c r="I2009" s="72"/>
      <c r="J2009" s="330"/>
      <c r="K2009" s="75"/>
      <c r="L2009" s="157"/>
      <c r="M2009" s="341"/>
      <c r="N2009" s="334"/>
      <c r="O2009" s="394"/>
      <c r="P2009" s="392"/>
      <c r="Q2009" s="363"/>
      <c r="T2009" s="110"/>
      <c r="V2009" s="232"/>
      <c r="W2009" s="269"/>
      <c r="X2009" s="201"/>
      <c r="Y2009" s="269"/>
      <c r="Z2009" s="269"/>
      <c r="AA2009" s="134"/>
      <c r="AB2009" s="269"/>
      <c r="AC2009" s="284"/>
      <c r="AD2009" s="284"/>
      <c r="AE2009" s="269"/>
    </row>
    <row r="2010" spans="2:31">
      <c r="B2010" s="83"/>
      <c r="C2010" s="81"/>
      <c r="D2010" s="83"/>
      <c r="E2010" s="81"/>
      <c r="F2010" s="269"/>
      <c r="G2010" s="48"/>
      <c r="H2010" s="269"/>
      <c r="I2010" s="72"/>
      <c r="J2010" s="330"/>
      <c r="K2010" s="75"/>
      <c r="L2010" s="157"/>
      <c r="M2010" s="341"/>
      <c r="N2010" s="334"/>
      <c r="O2010" s="394"/>
      <c r="P2010" s="392"/>
      <c r="Q2010" s="363"/>
      <c r="T2010" s="110"/>
      <c r="V2010" s="232"/>
      <c r="W2010" s="269"/>
      <c r="X2010" s="201"/>
      <c r="Y2010" s="269"/>
      <c r="Z2010" s="269"/>
      <c r="AA2010" s="134"/>
      <c r="AB2010" s="269"/>
      <c r="AC2010" s="284"/>
      <c r="AD2010" s="284"/>
      <c r="AE2010" s="269"/>
    </row>
    <row r="2011" spans="2:31">
      <c r="B2011" s="83"/>
      <c r="C2011" s="81"/>
      <c r="D2011" s="83"/>
      <c r="E2011" s="81"/>
      <c r="F2011" s="269"/>
      <c r="G2011" s="48"/>
      <c r="H2011" s="269"/>
      <c r="I2011" s="72"/>
      <c r="J2011" s="330"/>
      <c r="K2011" s="75"/>
      <c r="L2011" s="157"/>
      <c r="M2011" s="341"/>
      <c r="N2011" s="334"/>
      <c r="O2011" s="394"/>
      <c r="P2011" s="392"/>
      <c r="Q2011" s="363"/>
      <c r="T2011" s="110"/>
      <c r="V2011" s="232"/>
      <c r="W2011" s="269"/>
      <c r="X2011" s="201"/>
      <c r="Y2011" s="269"/>
      <c r="Z2011" s="269"/>
      <c r="AA2011" s="134"/>
      <c r="AB2011" s="269"/>
      <c r="AC2011" s="284"/>
      <c r="AD2011" s="284"/>
      <c r="AE2011" s="269"/>
    </row>
    <row r="2012" spans="2:31">
      <c r="B2012" s="83"/>
      <c r="C2012" s="81"/>
      <c r="D2012" s="83"/>
      <c r="E2012" s="81"/>
      <c r="F2012" s="269"/>
      <c r="G2012" s="48"/>
      <c r="H2012" s="269"/>
      <c r="I2012" s="72"/>
      <c r="J2012" s="330"/>
      <c r="K2012" s="75"/>
      <c r="L2012" s="157"/>
      <c r="M2012" s="341"/>
      <c r="N2012" s="334"/>
      <c r="O2012" s="394"/>
      <c r="P2012" s="392"/>
      <c r="Q2012" s="363"/>
      <c r="T2012" s="110"/>
      <c r="V2012" s="232"/>
      <c r="W2012" s="269"/>
      <c r="X2012" s="201"/>
      <c r="Y2012" s="269"/>
      <c r="Z2012" s="269"/>
      <c r="AA2012" s="134"/>
      <c r="AB2012" s="269"/>
      <c r="AC2012" s="284"/>
      <c r="AD2012" s="284"/>
      <c r="AE2012" s="269"/>
    </row>
    <row r="2013" spans="2:31">
      <c r="B2013" s="83"/>
      <c r="C2013" s="81"/>
      <c r="D2013" s="83"/>
      <c r="E2013" s="81"/>
      <c r="F2013" s="269"/>
      <c r="G2013" s="48"/>
      <c r="H2013" s="269"/>
      <c r="I2013" s="72"/>
      <c r="J2013" s="330"/>
      <c r="K2013" s="75"/>
      <c r="L2013" s="157"/>
      <c r="M2013" s="341"/>
      <c r="N2013" s="334"/>
      <c r="O2013" s="394"/>
      <c r="P2013" s="392"/>
      <c r="Q2013" s="363"/>
      <c r="T2013" s="110"/>
      <c r="V2013" s="232"/>
      <c r="W2013" s="269"/>
      <c r="X2013" s="201"/>
      <c r="Y2013" s="269"/>
      <c r="Z2013" s="269"/>
      <c r="AA2013" s="134"/>
      <c r="AB2013" s="269"/>
      <c r="AC2013" s="284"/>
      <c r="AD2013" s="284"/>
      <c r="AE2013" s="269"/>
    </row>
    <row r="2014" spans="2:31">
      <c r="B2014" s="83"/>
      <c r="C2014" s="81"/>
      <c r="D2014" s="83"/>
      <c r="E2014" s="81"/>
      <c r="F2014" s="269"/>
      <c r="G2014" s="48"/>
      <c r="H2014" s="269"/>
      <c r="I2014" s="72"/>
      <c r="J2014" s="330"/>
      <c r="K2014" s="75"/>
      <c r="L2014" s="157"/>
      <c r="M2014" s="341"/>
      <c r="N2014" s="334"/>
      <c r="O2014" s="394"/>
      <c r="P2014" s="392"/>
      <c r="Q2014" s="363"/>
      <c r="T2014" s="110"/>
      <c r="V2014" s="232"/>
      <c r="W2014" s="269"/>
      <c r="X2014" s="201"/>
      <c r="Y2014" s="269"/>
      <c r="Z2014" s="269"/>
      <c r="AA2014" s="134"/>
      <c r="AB2014" s="269"/>
      <c r="AC2014" s="284"/>
      <c r="AD2014" s="284"/>
      <c r="AE2014" s="269"/>
    </row>
    <row r="2015" spans="2:31">
      <c r="B2015" s="83"/>
      <c r="C2015" s="81"/>
      <c r="D2015" s="83"/>
      <c r="E2015" s="81"/>
      <c r="F2015" s="269"/>
      <c r="G2015" s="48"/>
      <c r="H2015" s="269"/>
      <c r="I2015" s="72"/>
      <c r="J2015" s="330"/>
      <c r="K2015" s="75"/>
      <c r="L2015" s="157"/>
      <c r="M2015" s="341"/>
      <c r="N2015" s="334"/>
      <c r="O2015" s="394"/>
      <c r="P2015" s="392"/>
      <c r="Q2015" s="363"/>
      <c r="T2015" s="110"/>
      <c r="V2015" s="232"/>
      <c r="W2015" s="269"/>
      <c r="X2015" s="201"/>
      <c r="Y2015" s="269"/>
      <c r="Z2015" s="269"/>
      <c r="AA2015" s="134"/>
      <c r="AB2015" s="269"/>
      <c r="AC2015" s="284"/>
      <c r="AD2015" s="284"/>
      <c r="AE2015" s="269"/>
    </row>
    <row r="2016" spans="2:31">
      <c r="B2016" s="83"/>
      <c r="C2016" s="81"/>
      <c r="D2016" s="83"/>
      <c r="E2016" s="81"/>
      <c r="F2016" s="269"/>
      <c r="G2016" s="48"/>
      <c r="H2016" s="269"/>
      <c r="I2016" s="72"/>
      <c r="J2016" s="330"/>
      <c r="K2016" s="75"/>
      <c r="L2016" s="157"/>
      <c r="M2016" s="341"/>
      <c r="N2016" s="334"/>
      <c r="O2016" s="394"/>
      <c r="P2016" s="392"/>
      <c r="Q2016" s="363"/>
      <c r="T2016" s="110"/>
      <c r="V2016" s="232"/>
      <c r="W2016" s="269"/>
      <c r="X2016" s="201"/>
      <c r="Y2016" s="269"/>
      <c r="Z2016" s="269"/>
      <c r="AA2016" s="134"/>
      <c r="AB2016" s="269"/>
      <c r="AC2016" s="284"/>
      <c r="AD2016" s="284"/>
      <c r="AE2016" s="269"/>
    </row>
    <row r="2017" spans="2:31">
      <c r="B2017" s="83"/>
      <c r="C2017" s="81"/>
      <c r="D2017" s="83"/>
      <c r="E2017" s="81"/>
      <c r="F2017" s="269"/>
      <c r="G2017" s="48"/>
      <c r="H2017" s="269"/>
      <c r="I2017" s="72"/>
      <c r="J2017" s="330"/>
      <c r="K2017" s="75"/>
      <c r="L2017" s="157"/>
      <c r="M2017" s="341"/>
      <c r="N2017" s="334"/>
      <c r="O2017" s="394"/>
      <c r="P2017" s="392"/>
      <c r="Q2017" s="363"/>
      <c r="T2017" s="110"/>
      <c r="V2017" s="232"/>
      <c r="W2017" s="269"/>
      <c r="X2017" s="201"/>
      <c r="Y2017" s="269"/>
      <c r="Z2017" s="269"/>
      <c r="AA2017" s="134"/>
      <c r="AB2017" s="269"/>
      <c r="AC2017" s="284"/>
      <c r="AD2017" s="284"/>
      <c r="AE2017" s="269"/>
    </row>
    <row r="2018" spans="2:31">
      <c r="B2018" s="83"/>
      <c r="C2018" s="81"/>
      <c r="D2018" s="83"/>
      <c r="E2018" s="81"/>
      <c r="F2018" s="269"/>
      <c r="G2018" s="48"/>
      <c r="H2018" s="269"/>
      <c r="I2018" s="72"/>
      <c r="J2018" s="330"/>
      <c r="K2018" s="75"/>
      <c r="L2018" s="157"/>
      <c r="M2018" s="341"/>
      <c r="N2018" s="334"/>
      <c r="O2018" s="394"/>
      <c r="P2018" s="392"/>
      <c r="Q2018" s="363"/>
      <c r="T2018" s="110"/>
      <c r="V2018" s="232"/>
      <c r="W2018" s="269"/>
      <c r="X2018" s="201"/>
      <c r="Y2018" s="269"/>
      <c r="Z2018" s="269"/>
      <c r="AA2018" s="134"/>
      <c r="AB2018" s="269"/>
      <c r="AC2018" s="284"/>
      <c r="AD2018" s="284"/>
      <c r="AE2018" s="269"/>
    </row>
    <row r="2019" spans="2:31">
      <c r="B2019" s="83"/>
      <c r="C2019" s="81"/>
      <c r="D2019" s="83"/>
      <c r="E2019" s="81"/>
      <c r="F2019" s="269"/>
      <c r="G2019" s="48"/>
      <c r="H2019" s="269"/>
      <c r="I2019" s="72"/>
      <c r="J2019" s="330"/>
      <c r="K2019" s="75"/>
      <c r="L2019" s="157"/>
      <c r="M2019" s="341"/>
      <c r="N2019" s="334"/>
      <c r="O2019" s="394"/>
      <c r="P2019" s="392"/>
      <c r="Q2019" s="363"/>
      <c r="T2019" s="110"/>
      <c r="V2019" s="232"/>
      <c r="W2019" s="269"/>
      <c r="X2019" s="201"/>
      <c r="Y2019" s="269"/>
      <c r="Z2019" s="269"/>
      <c r="AA2019" s="134"/>
      <c r="AB2019" s="269"/>
      <c r="AC2019" s="284"/>
      <c r="AD2019" s="284"/>
      <c r="AE2019" s="269"/>
    </row>
    <row r="2020" spans="2:31">
      <c r="B2020" s="83"/>
      <c r="C2020" s="81"/>
      <c r="D2020" s="83"/>
      <c r="E2020" s="81"/>
      <c r="F2020" s="269"/>
      <c r="G2020" s="48"/>
      <c r="H2020" s="269"/>
      <c r="I2020" s="72"/>
      <c r="J2020" s="330"/>
      <c r="K2020" s="75"/>
      <c r="L2020" s="157"/>
      <c r="M2020" s="341"/>
      <c r="N2020" s="334"/>
      <c r="O2020" s="394"/>
      <c r="P2020" s="392"/>
      <c r="Q2020" s="363"/>
      <c r="T2020" s="110"/>
      <c r="V2020" s="232"/>
      <c r="W2020" s="269"/>
      <c r="X2020" s="201"/>
      <c r="Y2020" s="269"/>
      <c r="Z2020" s="269"/>
      <c r="AA2020" s="134"/>
      <c r="AB2020" s="269"/>
      <c r="AC2020" s="284"/>
      <c r="AD2020" s="284"/>
      <c r="AE2020" s="269"/>
    </row>
    <row r="2021" spans="2:31">
      <c r="B2021" s="83"/>
      <c r="C2021" s="81"/>
      <c r="D2021" s="83"/>
      <c r="E2021" s="81"/>
      <c r="F2021" s="269"/>
      <c r="G2021" s="48"/>
      <c r="H2021" s="269"/>
      <c r="I2021" s="72"/>
      <c r="J2021" s="330"/>
      <c r="K2021" s="75"/>
      <c r="L2021" s="157"/>
      <c r="M2021" s="341"/>
      <c r="N2021" s="334"/>
      <c r="O2021" s="394"/>
      <c r="P2021" s="392"/>
      <c r="Q2021" s="363"/>
      <c r="T2021" s="110"/>
      <c r="V2021" s="232"/>
      <c r="W2021" s="269"/>
      <c r="X2021" s="201"/>
      <c r="Y2021" s="269"/>
      <c r="Z2021" s="269"/>
      <c r="AA2021" s="134"/>
      <c r="AB2021" s="269"/>
      <c r="AC2021" s="284"/>
      <c r="AD2021" s="284"/>
      <c r="AE2021" s="269"/>
    </row>
    <row r="2022" spans="2:31">
      <c r="B2022" s="83"/>
      <c r="C2022" s="81"/>
      <c r="D2022" s="83"/>
      <c r="E2022" s="81"/>
      <c r="F2022" s="269"/>
      <c r="G2022" s="48"/>
      <c r="H2022" s="269"/>
      <c r="I2022" s="72"/>
      <c r="J2022" s="330"/>
      <c r="K2022" s="75"/>
      <c r="L2022" s="157"/>
      <c r="M2022" s="341"/>
      <c r="N2022" s="334"/>
      <c r="O2022" s="394"/>
      <c r="P2022" s="392"/>
      <c r="Q2022" s="363"/>
      <c r="T2022" s="110"/>
      <c r="V2022" s="232"/>
      <c r="W2022" s="269"/>
      <c r="X2022" s="201"/>
      <c r="Y2022" s="269"/>
      <c r="Z2022" s="269"/>
      <c r="AA2022" s="134"/>
      <c r="AB2022" s="269"/>
      <c r="AC2022" s="284"/>
      <c r="AD2022" s="284"/>
      <c r="AE2022" s="269"/>
    </row>
    <row r="2023" spans="2:31">
      <c r="B2023" s="83"/>
      <c r="C2023" s="81"/>
      <c r="D2023" s="83"/>
      <c r="E2023" s="81"/>
      <c r="F2023" s="269"/>
      <c r="G2023" s="48"/>
      <c r="H2023" s="269"/>
      <c r="I2023" s="72"/>
      <c r="J2023" s="330"/>
      <c r="K2023" s="75"/>
      <c r="L2023" s="157"/>
      <c r="M2023" s="341"/>
      <c r="N2023" s="334"/>
      <c r="O2023" s="394"/>
      <c r="P2023" s="392"/>
      <c r="Q2023" s="363"/>
      <c r="T2023" s="110"/>
      <c r="V2023" s="232"/>
      <c r="W2023" s="269"/>
      <c r="X2023" s="201"/>
      <c r="Y2023" s="269"/>
      <c r="Z2023" s="269"/>
      <c r="AA2023" s="134"/>
      <c r="AB2023" s="269"/>
      <c r="AC2023" s="284"/>
      <c r="AD2023" s="284"/>
      <c r="AE2023" s="269"/>
    </row>
    <row r="2024" spans="2:31">
      <c r="B2024" s="83"/>
      <c r="C2024" s="81"/>
      <c r="D2024" s="83"/>
      <c r="E2024" s="81"/>
      <c r="F2024" s="269"/>
      <c r="G2024" s="48"/>
      <c r="H2024" s="269"/>
      <c r="I2024" s="72"/>
      <c r="J2024" s="330"/>
      <c r="K2024" s="75"/>
      <c r="L2024" s="157"/>
      <c r="M2024" s="341"/>
      <c r="N2024" s="334"/>
      <c r="O2024" s="394"/>
      <c r="P2024" s="392"/>
      <c r="Q2024" s="363"/>
      <c r="T2024" s="110"/>
      <c r="V2024" s="232"/>
      <c r="W2024" s="269"/>
      <c r="X2024" s="201"/>
      <c r="Y2024" s="269"/>
      <c r="Z2024" s="269"/>
      <c r="AA2024" s="134"/>
      <c r="AB2024" s="269"/>
      <c r="AC2024" s="284"/>
      <c r="AD2024" s="284"/>
      <c r="AE2024" s="269"/>
    </row>
    <row r="2025" spans="2:31">
      <c r="B2025" s="83"/>
      <c r="C2025" s="81"/>
      <c r="D2025" s="83"/>
      <c r="E2025" s="81"/>
      <c r="F2025" s="269"/>
      <c r="G2025" s="48"/>
      <c r="H2025" s="269"/>
      <c r="I2025" s="72"/>
      <c r="J2025" s="330"/>
      <c r="K2025" s="75"/>
      <c r="L2025" s="157"/>
      <c r="M2025" s="341"/>
      <c r="N2025" s="334"/>
      <c r="O2025" s="394"/>
      <c r="P2025" s="392"/>
      <c r="Q2025" s="363"/>
      <c r="T2025" s="110"/>
      <c r="V2025" s="232"/>
      <c r="W2025" s="269"/>
      <c r="X2025" s="201"/>
      <c r="Y2025" s="269"/>
      <c r="Z2025" s="269"/>
      <c r="AA2025" s="134"/>
      <c r="AB2025" s="269"/>
      <c r="AC2025" s="284"/>
      <c r="AD2025" s="284"/>
      <c r="AE2025" s="269"/>
    </row>
    <row r="2026" spans="2:31">
      <c r="B2026" s="83"/>
      <c r="C2026" s="81"/>
      <c r="D2026" s="83"/>
      <c r="E2026" s="81"/>
      <c r="F2026" s="269"/>
      <c r="G2026" s="48"/>
      <c r="H2026" s="269"/>
      <c r="I2026" s="72"/>
      <c r="J2026" s="330"/>
      <c r="K2026" s="75"/>
      <c r="L2026" s="157"/>
      <c r="M2026" s="341"/>
      <c r="N2026" s="334"/>
      <c r="O2026" s="394"/>
      <c r="P2026" s="392"/>
      <c r="Q2026" s="363"/>
      <c r="T2026" s="110"/>
      <c r="V2026" s="232"/>
      <c r="W2026" s="269"/>
      <c r="X2026" s="201"/>
      <c r="Y2026" s="269"/>
      <c r="Z2026" s="269"/>
      <c r="AA2026" s="134"/>
      <c r="AB2026" s="269"/>
      <c r="AC2026" s="284"/>
      <c r="AD2026" s="284"/>
      <c r="AE2026" s="269"/>
    </row>
    <row r="2027" spans="2:31">
      <c r="B2027" s="83"/>
      <c r="C2027" s="81"/>
      <c r="D2027" s="83"/>
      <c r="E2027" s="81"/>
      <c r="F2027" s="269"/>
      <c r="G2027" s="48"/>
      <c r="H2027" s="269"/>
      <c r="I2027" s="72"/>
      <c r="J2027" s="330"/>
      <c r="K2027" s="75"/>
      <c r="L2027" s="157"/>
      <c r="M2027" s="341"/>
      <c r="N2027" s="334"/>
      <c r="O2027" s="394"/>
      <c r="P2027" s="392"/>
      <c r="Q2027" s="363"/>
      <c r="T2027" s="110"/>
      <c r="V2027" s="232"/>
      <c r="W2027" s="269"/>
      <c r="X2027" s="201"/>
      <c r="Y2027" s="269"/>
      <c r="Z2027" s="269"/>
      <c r="AA2027" s="134"/>
      <c r="AB2027" s="269"/>
      <c r="AC2027" s="284"/>
      <c r="AD2027" s="284"/>
      <c r="AE2027" s="269"/>
    </row>
    <row r="2028" spans="2:31">
      <c r="B2028" s="83"/>
      <c r="C2028" s="81"/>
      <c r="D2028" s="83"/>
      <c r="E2028" s="81"/>
      <c r="F2028" s="269"/>
      <c r="G2028" s="48"/>
      <c r="H2028" s="269"/>
      <c r="I2028" s="72"/>
      <c r="J2028" s="330"/>
      <c r="K2028" s="75"/>
      <c r="L2028" s="157"/>
      <c r="M2028" s="341"/>
      <c r="N2028" s="334"/>
      <c r="O2028" s="394"/>
      <c r="P2028" s="392"/>
      <c r="Q2028" s="363"/>
      <c r="T2028" s="110"/>
      <c r="V2028" s="232"/>
      <c r="W2028" s="269"/>
      <c r="X2028" s="201"/>
      <c r="Y2028" s="269"/>
      <c r="Z2028" s="269"/>
      <c r="AA2028" s="134"/>
      <c r="AB2028" s="269"/>
      <c r="AC2028" s="284"/>
      <c r="AD2028" s="284"/>
      <c r="AE2028" s="269"/>
    </row>
    <row r="2029" spans="2:31">
      <c r="B2029" s="83"/>
      <c r="C2029" s="81"/>
      <c r="D2029" s="83"/>
      <c r="E2029" s="81"/>
      <c r="F2029" s="269"/>
      <c r="G2029" s="48"/>
      <c r="H2029" s="269"/>
      <c r="I2029" s="72"/>
      <c r="J2029" s="330"/>
      <c r="K2029" s="75"/>
      <c r="L2029" s="157"/>
      <c r="M2029" s="341"/>
      <c r="N2029" s="334"/>
      <c r="O2029" s="394"/>
      <c r="P2029" s="392"/>
      <c r="Q2029" s="363"/>
      <c r="T2029" s="110"/>
      <c r="V2029" s="232"/>
      <c r="W2029" s="269"/>
      <c r="X2029" s="201"/>
      <c r="Y2029" s="269"/>
      <c r="Z2029" s="269"/>
      <c r="AA2029" s="134"/>
      <c r="AB2029" s="269"/>
      <c r="AC2029" s="284"/>
      <c r="AD2029" s="284"/>
      <c r="AE2029" s="269"/>
    </row>
    <row r="2030" spans="2:31">
      <c r="B2030" s="83"/>
      <c r="C2030" s="81"/>
      <c r="D2030" s="83"/>
      <c r="E2030" s="81"/>
      <c r="F2030" s="269"/>
      <c r="G2030" s="48"/>
      <c r="H2030" s="269"/>
      <c r="I2030" s="72"/>
      <c r="J2030" s="330"/>
      <c r="K2030" s="75"/>
      <c r="L2030" s="157"/>
      <c r="M2030" s="341"/>
      <c r="N2030" s="334"/>
      <c r="O2030" s="394"/>
      <c r="P2030" s="392"/>
      <c r="Q2030" s="363"/>
      <c r="T2030" s="110"/>
      <c r="V2030" s="232"/>
      <c r="W2030" s="269"/>
      <c r="X2030" s="201"/>
      <c r="Y2030" s="269"/>
      <c r="Z2030" s="269"/>
      <c r="AA2030" s="134"/>
      <c r="AB2030" s="269"/>
      <c r="AC2030" s="284"/>
      <c r="AD2030" s="284"/>
      <c r="AE2030" s="269"/>
    </row>
    <row r="2031" spans="2:31">
      <c r="B2031" s="83"/>
      <c r="C2031" s="81"/>
      <c r="D2031" s="83"/>
      <c r="E2031" s="81"/>
      <c r="F2031" s="269"/>
      <c r="G2031" s="48"/>
      <c r="H2031" s="269"/>
      <c r="I2031" s="72"/>
      <c r="J2031" s="330"/>
      <c r="K2031" s="75"/>
      <c r="L2031" s="157"/>
      <c r="M2031" s="341"/>
      <c r="N2031" s="334"/>
      <c r="O2031" s="394"/>
      <c r="P2031" s="392"/>
      <c r="Q2031" s="363"/>
      <c r="T2031" s="110"/>
      <c r="V2031" s="232"/>
      <c r="W2031" s="269"/>
      <c r="X2031" s="201"/>
      <c r="Y2031" s="269"/>
      <c r="Z2031" s="269"/>
      <c r="AA2031" s="134"/>
      <c r="AB2031" s="269"/>
      <c r="AC2031" s="284"/>
      <c r="AD2031" s="284"/>
      <c r="AE2031" s="269"/>
    </row>
    <row r="2032" spans="2:31">
      <c r="B2032" s="83"/>
      <c r="C2032" s="81"/>
      <c r="D2032" s="83"/>
      <c r="E2032" s="81"/>
      <c r="F2032" s="269"/>
      <c r="G2032" s="48"/>
      <c r="H2032" s="269"/>
      <c r="I2032" s="72"/>
      <c r="J2032" s="330"/>
      <c r="K2032" s="75"/>
      <c r="L2032" s="157"/>
      <c r="M2032" s="341"/>
      <c r="N2032" s="334"/>
      <c r="O2032" s="394"/>
      <c r="P2032" s="392"/>
      <c r="Q2032" s="363"/>
      <c r="T2032" s="110"/>
      <c r="V2032" s="232"/>
      <c r="W2032" s="269"/>
      <c r="X2032" s="201"/>
      <c r="Y2032" s="269"/>
      <c r="Z2032" s="269"/>
      <c r="AA2032" s="134"/>
      <c r="AB2032" s="269"/>
      <c r="AC2032" s="284"/>
      <c r="AD2032" s="284"/>
      <c r="AE2032" s="269"/>
    </row>
    <row r="2033" spans="2:31">
      <c r="B2033" s="83"/>
      <c r="C2033" s="81"/>
      <c r="D2033" s="83"/>
      <c r="E2033" s="81"/>
      <c r="F2033" s="269"/>
      <c r="G2033" s="48"/>
      <c r="H2033" s="269"/>
      <c r="I2033" s="72"/>
      <c r="J2033" s="330"/>
      <c r="K2033" s="75"/>
      <c r="L2033" s="157"/>
      <c r="M2033" s="341"/>
      <c r="N2033" s="334"/>
      <c r="O2033" s="394"/>
      <c r="P2033" s="392"/>
      <c r="Q2033" s="363"/>
      <c r="T2033" s="110"/>
      <c r="V2033" s="232"/>
      <c r="W2033" s="269"/>
      <c r="X2033" s="201"/>
      <c r="Y2033" s="269"/>
      <c r="Z2033" s="269"/>
      <c r="AA2033" s="134"/>
      <c r="AB2033" s="269"/>
      <c r="AC2033" s="284"/>
      <c r="AD2033" s="284"/>
      <c r="AE2033" s="269"/>
    </row>
    <row r="2034" spans="2:31">
      <c r="B2034" s="83"/>
      <c r="C2034" s="81"/>
      <c r="D2034" s="83"/>
      <c r="E2034" s="81"/>
      <c r="F2034" s="269"/>
      <c r="G2034" s="48"/>
      <c r="H2034" s="269"/>
      <c r="I2034" s="72"/>
      <c r="J2034" s="330"/>
      <c r="K2034" s="75"/>
      <c r="L2034" s="157"/>
      <c r="M2034" s="341"/>
      <c r="N2034" s="334"/>
      <c r="O2034" s="394"/>
      <c r="P2034" s="392"/>
      <c r="Q2034" s="363"/>
      <c r="T2034" s="110"/>
      <c r="V2034" s="232"/>
      <c r="W2034" s="269"/>
      <c r="X2034" s="201"/>
      <c r="Y2034" s="269"/>
      <c r="Z2034" s="269"/>
      <c r="AA2034" s="134"/>
      <c r="AB2034" s="269"/>
      <c r="AC2034" s="284"/>
      <c r="AD2034" s="284"/>
      <c r="AE2034" s="269"/>
    </row>
    <row r="2035" spans="2:31">
      <c r="B2035" s="83"/>
      <c r="C2035" s="81"/>
      <c r="D2035" s="83"/>
      <c r="E2035" s="81"/>
      <c r="F2035" s="269"/>
      <c r="G2035" s="48"/>
      <c r="H2035" s="269"/>
      <c r="I2035" s="72"/>
      <c r="J2035" s="330"/>
      <c r="K2035" s="75"/>
      <c r="L2035" s="157"/>
      <c r="M2035" s="341"/>
      <c r="N2035" s="334"/>
      <c r="O2035" s="394"/>
      <c r="P2035" s="392"/>
      <c r="Q2035" s="363"/>
      <c r="T2035" s="110"/>
      <c r="V2035" s="232"/>
      <c r="W2035" s="269"/>
      <c r="X2035" s="201"/>
      <c r="Y2035" s="269"/>
      <c r="Z2035" s="269"/>
      <c r="AA2035" s="134"/>
      <c r="AB2035" s="269"/>
      <c r="AC2035" s="284"/>
      <c r="AD2035" s="284"/>
      <c r="AE2035" s="269"/>
    </row>
    <row r="2036" spans="2:31">
      <c r="B2036" s="83"/>
      <c r="C2036" s="81"/>
      <c r="D2036" s="83"/>
      <c r="E2036" s="81"/>
      <c r="F2036" s="269"/>
      <c r="G2036" s="48"/>
      <c r="H2036" s="269"/>
      <c r="I2036" s="72"/>
      <c r="J2036" s="330"/>
      <c r="K2036" s="75"/>
      <c r="L2036" s="157"/>
      <c r="M2036" s="341"/>
      <c r="N2036" s="334"/>
      <c r="O2036" s="394"/>
      <c r="P2036" s="392"/>
      <c r="Q2036" s="363"/>
      <c r="T2036" s="110"/>
      <c r="V2036" s="232"/>
      <c r="W2036" s="269"/>
      <c r="X2036" s="201"/>
      <c r="Y2036" s="269"/>
      <c r="Z2036" s="269"/>
      <c r="AA2036" s="134"/>
      <c r="AB2036" s="269"/>
      <c r="AC2036" s="284"/>
      <c r="AD2036" s="284"/>
      <c r="AE2036" s="269"/>
    </row>
    <row r="2037" spans="2:31">
      <c r="B2037" s="83"/>
      <c r="C2037" s="81"/>
      <c r="D2037" s="83"/>
      <c r="E2037" s="81"/>
      <c r="F2037" s="269"/>
      <c r="G2037" s="48"/>
      <c r="H2037" s="269"/>
      <c r="I2037" s="72"/>
      <c r="J2037" s="330"/>
      <c r="K2037" s="75"/>
      <c r="L2037" s="157"/>
      <c r="M2037" s="341"/>
      <c r="N2037" s="334"/>
      <c r="O2037" s="394"/>
      <c r="P2037" s="392"/>
      <c r="Q2037" s="363"/>
      <c r="T2037" s="110"/>
      <c r="V2037" s="232"/>
      <c r="W2037" s="269"/>
      <c r="X2037" s="201"/>
      <c r="Y2037" s="269"/>
      <c r="Z2037" s="269"/>
      <c r="AA2037" s="134"/>
      <c r="AB2037" s="269"/>
      <c r="AC2037" s="284"/>
      <c r="AD2037" s="284"/>
      <c r="AE2037" s="269"/>
    </row>
    <row r="2038" spans="2:31">
      <c r="B2038" s="83"/>
      <c r="C2038" s="81"/>
      <c r="D2038" s="83"/>
      <c r="E2038" s="81"/>
      <c r="F2038" s="269"/>
      <c r="G2038" s="48"/>
      <c r="H2038" s="269"/>
      <c r="I2038" s="72"/>
      <c r="J2038" s="330"/>
      <c r="K2038" s="75"/>
      <c r="L2038" s="157"/>
      <c r="M2038" s="341"/>
      <c r="N2038" s="334"/>
      <c r="O2038" s="394"/>
      <c r="P2038" s="392"/>
      <c r="Q2038" s="363"/>
      <c r="T2038" s="110"/>
      <c r="V2038" s="232"/>
      <c r="W2038" s="269"/>
      <c r="X2038" s="201"/>
      <c r="Y2038" s="269"/>
      <c r="Z2038" s="269"/>
      <c r="AA2038" s="134"/>
      <c r="AB2038" s="269"/>
      <c r="AC2038" s="284"/>
      <c r="AD2038" s="284"/>
      <c r="AE2038" s="269"/>
    </row>
    <row r="2039" spans="2:31">
      <c r="B2039" s="83"/>
      <c r="C2039" s="81"/>
      <c r="D2039" s="83"/>
      <c r="E2039" s="81"/>
      <c r="F2039" s="269"/>
      <c r="G2039" s="48"/>
      <c r="H2039" s="269"/>
      <c r="I2039" s="72"/>
      <c r="J2039" s="330"/>
      <c r="K2039" s="75"/>
      <c r="L2039" s="157"/>
      <c r="M2039" s="341"/>
      <c r="N2039" s="334"/>
      <c r="O2039" s="394"/>
      <c r="P2039" s="392"/>
      <c r="Q2039" s="363"/>
      <c r="T2039" s="110"/>
      <c r="V2039" s="232"/>
      <c r="W2039" s="269"/>
      <c r="X2039" s="201"/>
      <c r="Y2039" s="269"/>
      <c r="Z2039" s="269"/>
      <c r="AA2039" s="134"/>
      <c r="AB2039" s="269"/>
      <c r="AC2039" s="284"/>
      <c r="AD2039" s="284"/>
      <c r="AE2039" s="269"/>
    </row>
    <row r="2040" spans="2:31">
      <c r="B2040" s="83"/>
      <c r="C2040" s="81"/>
      <c r="D2040" s="83"/>
      <c r="E2040" s="81"/>
      <c r="F2040" s="269"/>
      <c r="G2040" s="48"/>
      <c r="H2040" s="269"/>
      <c r="I2040" s="72"/>
      <c r="J2040" s="330"/>
      <c r="K2040" s="75"/>
      <c r="L2040" s="157"/>
      <c r="M2040" s="341"/>
      <c r="N2040" s="334"/>
      <c r="O2040" s="394"/>
      <c r="P2040" s="392"/>
      <c r="Q2040" s="363"/>
      <c r="T2040" s="110"/>
      <c r="V2040" s="232"/>
      <c r="W2040" s="269"/>
      <c r="X2040" s="201"/>
      <c r="Y2040" s="269"/>
      <c r="Z2040" s="269"/>
      <c r="AA2040" s="134"/>
      <c r="AB2040" s="269"/>
      <c r="AC2040" s="284"/>
      <c r="AD2040" s="284"/>
      <c r="AE2040" s="269"/>
    </row>
    <row r="2041" spans="2:31">
      <c r="B2041" s="83"/>
      <c r="C2041" s="81"/>
      <c r="D2041" s="83"/>
      <c r="E2041" s="81"/>
      <c r="F2041" s="269"/>
      <c r="G2041" s="48"/>
      <c r="H2041" s="269"/>
      <c r="I2041" s="72"/>
      <c r="J2041" s="330"/>
      <c r="K2041" s="75"/>
      <c r="L2041" s="157"/>
      <c r="M2041" s="341"/>
      <c r="N2041" s="334"/>
      <c r="O2041" s="394"/>
      <c r="P2041" s="392"/>
      <c r="Q2041" s="363"/>
      <c r="T2041" s="110"/>
      <c r="V2041" s="232"/>
      <c r="W2041" s="269"/>
      <c r="X2041" s="201"/>
      <c r="Y2041" s="269"/>
      <c r="Z2041" s="269"/>
      <c r="AA2041" s="134"/>
      <c r="AB2041" s="269"/>
      <c r="AC2041" s="284"/>
      <c r="AD2041" s="284"/>
      <c r="AE2041" s="269"/>
    </row>
    <row r="2042" spans="2:31">
      <c r="B2042" s="83"/>
      <c r="C2042" s="81"/>
      <c r="D2042" s="83"/>
      <c r="E2042" s="81"/>
      <c r="F2042" s="269"/>
      <c r="G2042" s="48"/>
      <c r="H2042" s="269"/>
      <c r="I2042" s="72"/>
      <c r="J2042" s="330"/>
      <c r="K2042" s="75"/>
      <c r="L2042" s="157"/>
      <c r="M2042" s="341"/>
      <c r="N2042" s="334"/>
      <c r="O2042" s="394"/>
      <c r="P2042" s="392"/>
      <c r="Q2042" s="363"/>
      <c r="T2042" s="110"/>
      <c r="V2042" s="232"/>
      <c r="W2042" s="269"/>
      <c r="X2042" s="201"/>
      <c r="Y2042" s="269"/>
      <c r="Z2042" s="269"/>
      <c r="AA2042" s="134"/>
      <c r="AB2042" s="269"/>
      <c r="AC2042" s="284"/>
      <c r="AD2042" s="284"/>
      <c r="AE2042" s="269"/>
    </row>
    <row r="2043" spans="2:31">
      <c r="B2043" s="83"/>
      <c r="C2043" s="81"/>
      <c r="D2043" s="83"/>
      <c r="E2043" s="81"/>
      <c r="F2043" s="269"/>
      <c r="G2043" s="48"/>
      <c r="H2043" s="269"/>
      <c r="I2043" s="72"/>
      <c r="J2043" s="330"/>
      <c r="K2043" s="75"/>
      <c r="L2043" s="157"/>
      <c r="M2043" s="341"/>
      <c r="N2043" s="334"/>
      <c r="O2043" s="394"/>
      <c r="P2043" s="392"/>
      <c r="Q2043" s="363"/>
      <c r="T2043" s="110"/>
      <c r="V2043" s="232"/>
      <c r="W2043" s="269"/>
      <c r="X2043" s="201"/>
      <c r="Y2043" s="269"/>
      <c r="Z2043" s="269"/>
      <c r="AA2043" s="134"/>
      <c r="AB2043" s="269"/>
      <c r="AC2043" s="284"/>
      <c r="AD2043" s="284"/>
      <c r="AE2043" s="269"/>
    </row>
    <row r="2044" spans="2:31">
      <c r="B2044" s="83"/>
      <c r="C2044" s="81"/>
      <c r="D2044" s="83"/>
      <c r="E2044" s="81"/>
      <c r="F2044" s="269"/>
      <c r="G2044" s="48"/>
      <c r="H2044" s="269"/>
      <c r="I2044" s="72"/>
      <c r="J2044" s="330"/>
      <c r="K2044" s="75"/>
      <c r="L2044" s="157"/>
      <c r="M2044" s="341"/>
      <c r="N2044" s="334"/>
      <c r="O2044" s="394"/>
      <c r="P2044" s="392"/>
      <c r="Q2044" s="363"/>
      <c r="T2044" s="110"/>
      <c r="V2044" s="232"/>
      <c r="W2044" s="269"/>
      <c r="X2044" s="201"/>
      <c r="Y2044" s="269"/>
      <c r="Z2044" s="269"/>
      <c r="AA2044" s="134"/>
      <c r="AB2044" s="269"/>
      <c r="AC2044" s="284"/>
      <c r="AD2044" s="284"/>
      <c r="AE2044" s="269"/>
    </row>
    <row r="2045" spans="2:31">
      <c r="B2045" s="83"/>
      <c r="C2045" s="81"/>
      <c r="D2045" s="83"/>
      <c r="E2045" s="81"/>
      <c r="F2045" s="269"/>
      <c r="G2045" s="48"/>
      <c r="H2045" s="269"/>
      <c r="I2045" s="72"/>
      <c r="J2045" s="330"/>
      <c r="K2045" s="75"/>
      <c r="L2045" s="157"/>
      <c r="M2045" s="341"/>
      <c r="N2045" s="334"/>
      <c r="O2045" s="394"/>
      <c r="P2045" s="392"/>
      <c r="Q2045" s="363"/>
      <c r="T2045" s="110"/>
      <c r="V2045" s="232"/>
      <c r="W2045" s="269"/>
      <c r="X2045" s="201"/>
      <c r="Y2045" s="269"/>
      <c r="Z2045" s="269"/>
      <c r="AA2045" s="134"/>
      <c r="AB2045" s="269"/>
      <c r="AC2045" s="284"/>
      <c r="AD2045" s="284"/>
      <c r="AE2045" s="269"/>
    </row>
    <row r="2046" spans="2:31">
      <c r="B2046" s="83"/>
      <c r="C2046" s="81"/>
      <c r="D2046" s="83"/>
      <c r="E2046" s="81"/>
      <c r="F2046" s="269"/>
      <c r="G2046" s="48"/>
      <c r="H2046" s="269"/>
      <c r="I2046" s="72"/>
      <c r="J2046" s="330"/>
      <c r="K2046" s="75"/>
      <c r="L2046" s="157"/>
      <c r="M2046" s="341"/>
      <c r="N2046" s="334"/>
      <c r="O2046" s="394"/>
      <c r="P2046" s="392"/>
      <c r="Q2046" s="363"/>
      <c r="T2046" s="110"/>
      <c r="V2046" s="232"/>
      <c r="W2046" s="269"/>
      <c r="X2046" s="201"/>
      <c r="Y2046" s="269"/>
      <c r="Z2046" s="269"/>
      <c r="AA2046" s="134"/>
      <c r="AB2046" s="269"/>
      <c r="AC2046" s="284"/>
      <c r="AD2046" s="284"/>
      <c r="AE2046" s="269"/>
    </row>
    <row r="2047" spans="2:31">
      <c r="B2047" s="83"/>
      <c r="C2047" s="81"/>
      <c r="D2047" s="83"/>
      <c r="E2047" s="81"/>
      <c r="F2047" s="269"/>
      <c r="G2047" s="48"/>
      <c r="H2047" s="269"/>
      <c r="I2047" s="72"/>
      <c r="J2047" s="330"/>
      <c r="K2047" s="75"/>
      <c r="L2047" s="157"/>
      <c r="M2047" s="341"/>
      <c r="N2047" s="334"/>
      <c r="O2047" s="394"/>
      <c r="P2047" s="392"/>
      <c r="Q2047" s="363"/>
      <c r="T2047" s="110"/>
      <c r="V2047" s="232"/>
      <c r="W2047" s="269"/>
      <c r="X2047" s="201"/>
      <c r="Y2047" s="269"/>
      <c r="Z2047" s="269"/>
      <c r="AA2047" s="134"/>
      <c r="AB2047" s="269"/>
      <c r="AC2047" s="284"/>
      <c r="AD2047" s="284"/>
      <c r="AE2047" s="269"/>
    </row>
    <row r="2048" spans="2:31">
      <c r="B2048" s="83"/>
      <c r="C2048" s="81"/>
      <c r="D2048" s="83"/>
      <c r="E2048" s="81"/>
      <c r="F2048" s="269"/>
      <c r="G2048" s="48"/>
      <c r="H2048" s="269"/>
      <c r="I2048" s="72"/>
      <c r="J2048" s="330"/>
      <c r="K2048" s="75"/>
      <c r="L2048" s="157"/>
      <c r="M2048" s="341"/>
      <c r="N2048" s="334"/>
      <c r="O2048" s="394"/>
      <c r="P2048" s="392"/>
      <c r="Q2048" s="363"/>
      <c r="T2048" s="110"/>
      <c r="V2048" s="232"/>
      <c r="W2048" s="269"/>
      <c r="X2048" s="201"/>
      <c r="Y2048" s="269"/>
      <c r="Z2048" s="269"/>
      <c r="AA2048" s="134"/>
      <c r="AB2048" s="269"/>
      <c r="AC2048" s="284"/>
      <c r="AD2048" s="284"/>
      <c r="AE2048" s="269"/>
    </row>
    <row r="2049" spans="2:31">
      <c r="B2049" s="83"/>
      <c r="C2049" s="81"/>
      <c r="D2049" s="83"/>
      <c r="E2049" s="81"/>
      <c r="F2049" s="269"/>
      <c r="G2049" s="48"/>
      <c r="H2049" s="269"/>
      <c r="I2049" s="72"/>
      <c r="J2049" s="330"/>
      <c r="K2049" s="75"/>
      <c r="L2049" s="157"/>
      <c r="M2049" s="341"/>
      <c r="N2049" s="334"/>
      <c r="O2049" s="394"/>
      <c r="P2049" s="392"/>
      <c r="Q2049" s="363"/>
      <c r="T2049" s="110"/>
      <c r="V2049" s="232"/>
      <c r="W2049" s="269"/>
      <c r="X2049" s="201"/>
      <c r="Y2049" s="269"/>
      <c r="Z2049" s="269"/>
      <c r="AA2049" s="134"/>
      <c r="AB2049" s="269"/>
      <c r="AC2049" s="284"/>
      <c r="AD2049" s="284"/>
      <c r="AE2049" s="269"/>
    </row>
    <row r="2050" spans="2:31">
      <c r="B2050" s="83"/>
      <c r="C2050" s="81"/>
      <c r="D2050" s="83"/>
      <c r="E2050" s="81"/>
      <c r="F2050" s="269"/>
      <c r="G2050" s="48"/>
      <c r="H2050" s="269"/>
      <c r="I2050" s="72"/>
      <c r="J2050" s="330"/>
      <c r="K2050" s="75"/>
      <c r="L2050" s="157"/>
      <c r="M2050" s="341"/>
      <c r="N2050" s="334"/>
      <c r="O2050" s="394"/>
      <c r="P2050" s="392"/>
      <c r="Q2050" s="363"/>
      <c r="T2050" s="110"/>
      <c r="V2050" s="232"/>
      <c r="W2050" s="269"/>
      <c r="X2050" s="201"/>
      <c r="Y2050" s="269"/>
      <c r="Z2050" s="269"/>
      <c r="AA2050" s="134"/>
      <c r="AB2050" s="269"/>
      <c r="AC2050" s="284"/>
      <c r="AD2050" s="284"/>
      <c r="AE2050" s="269"/>
    </row>
    <row r="2051" spans="2:31">
      <c r="B2051" s="83"/>
      <c r="C2051" s="81"/>
      <c r="D2051" s="83"/>
      <c r="E2051" s="81"/>
      <c r="F2051" s="269"/>
      <c r="G2051" s="48"/>
      <c r="H2051" s="269"/>
      <c r="I2051" s="72"/>
      <c r="J2051" s="330"/>
      <c r="K2051" s="75"/>
      <c r="L2051" s="157"/>
      <c r="M2051" s="341"/>
      <c r="N2051" s="334"/>
      <c r="O2051" s="394"/>
      <c r="P2051" s="392"/>
      <c r="Q2051" s="363"/>
      <c r="T2051" s="110"/>
      <c r="V2051" s="232"/>
      <c r="W2051" s="269"/>
      <c r="X2051" s="201"/>
      <c r="Y2051" s="269"/>
      <c r="Z2051" s="269"/>
      <c r="AA2051" s="134"/>
      <c r="AB2051" s="269"/>
      <c r="AC2051" s="284"/>
      <c r="AD2051" s="284"/>
      <c r="AE2051" s="269"/>
    </row>
    <row r="2052" spans="2:31">
      <c r="B2052" s="83"/>
      <c r="C2052" s="81"/>
      <c r="D2052" s="83"/>
      <c r="E2052" s="81"/>
      <c r="F2052" s="269"/>
      <c r="G2052" s="48"/>
      <c r="H2052" s="269"/>
      <c r="I2052" s="72"/>
      <c r="J2052" s="330"/>
      <c r="K2052" s="75"/>
      <c r="L2052" s="157"/>
      <c r="M2052" s="341"/>
      <c r="N2052" s="334"/>
      <c r="O2052" s="394"/>
      <c r="P2052" s="392"/>
      <c r="Q2052" s="363"/>
      <c r="T2052" s="110"/>
      <c r="V2052" s="232"/>
      <c r="W2052" s="269"/>
      <c r="X2052" s="201"/>
      <c r="Y2052" s="269"/>
      <c r="Z2052" s="269"/>
      <c r="AA2052" s="134"/>
      <c r="AB2052" s="269"/>
      <c r="AC2052" s="284"/>
      <c r="AD2052" s="284"/>
      <c r="AE2052" s="269"/>
    </row>
    <row r="2053" spans="2:31">
      <c r="B2053" s="83"/>
      <c r="C2053" s="81"/>
      <c r="D2053" s="83"/>
      <c r="E2053" s="81"/>
      <c r="F2053" s="269"/>
      <c r="G2053" s="48"/>
      <c r="H2053" s="269"/>
      <c r="I2053" s="72"/>
      <c r="J2053" s="330"/>
      <c r="K2053" s="75"/>
      <c r="L2053" s="157"/>
      <c r="M2053" s="341"/>
      <c r="N2053" s="334"/>
      <c r="O2053" s="394"/>
      <c r="P2053" s="392"/>
      <c r="Q2053" s="363"/>
      <c r="T2053" s="110"/>
      <c r="V2053" s="232"/>
      <c r="W2053" s="269"/>
      <c r="X2053" s="201"/>
      <c r="Y2053" s="269"/>
      <c r="Z2053" s="269"/>
      <c r="AA2053" s="134"/>
      <c r="AB2053" s="269"/>
      <c r="AC2053" s="284"/>
      <c r="AD2053" s="284"/>
      <c r="AE2053" s="269"/>
    </row>
    <row r="2054" spans="2:31">
      <c r="B2054" s="83"/>
      <c r="C2054" s="81"/>
      <c r="D2054" s="83"/>
      <c r="E2054" s="81"/>
      <c r="F2054" s="269"/>
      <c r="G2054" s="48"/>
      <c r="H2054" s="269"/>
      <c r="I2054" s="72"/>
      <c r="J2054" s="330"/>
      <c r="K2054" s="75"/>
      <c r="L2054" s="157"/>
      <c r="M2054" s="341"/>
      <c r="N2054" s="334"/>
      <c r="O2054" s="394"/>
      <c r="P2054" s="392"/>
      <c r="Q2054" s="363"/>
      <c r="T2054" s="110"/>
      <c r="V2054" s="232"/>
      <c r="W2054" s="269"/>
      <c r="X2054" s="201"/>
      <c r="Y2054" s="269"/>
      <c r="Z2054" s="269"/>
      <c r="AA2054" s="134"/>
      <c r="AB2054" s="269"/>
      <c r="AC2054" s="284"/>
      <c r="AD2054" s="284"/>
      <c r="AE2054" s="269"/>
    </row>
    <row r="2055" spans="2:31">
      <c r="B2055" s="83"/>
      <c r="C2055" s="81"/>
      <c r="D2055" s="83"/>
      <c r="E2055" s="81"/>
      <c r="F2055" s="269"/>
      <c r="G2055" s="48"/>
      <c r="H2055" s="269"/>
      <c r="I2055" s="72"/>
      <c r="J2055" s="330"/>
      <c r="K2055" s="75"/>
      <c r="L2055" s="157"/>
      <c r="M2055" s="341"/>
      <c r="N2055" s="334"/>
      <c r="O2055" s="394"/>
      <c r="P2055" s="392"/>
      <c r="Q2055" s="363"/>
      <c r="T2055" s="110"/>
      <c r="V2055" s="232"/>
      <c r="W2055" s="269"/>
      <c r="X2055" s="201"/>
      <c r="Y2055" s="269"/>
      <c r="Z2055" s="269"/>
      <c r="AA2055" s="134"/>
      <c r="AB2055" s="269"/>
      <c r="AC2055" s="284"/>
      <c r="AD2055" s="284"/>
      <c r="AE2055" s="269"/>
    </row>
    <row r="2056" spans="2:31">
      <c r="B2056" s="83"/>
      <c r="C2056" s="81"/>
      <c r="D2056" s="83"/>
      <c r="E2056" s="81"/>
      <c r="F2056" s="269"/>
      <c r="G2056" s="48"/>
      <c r="H2056" s="269"/>
      <c r="I2056" s="72"/>
      <c r="J2056" s="330"/>
      <c r="K2056" s="75"/>
      <c r="L2056" s="157"/>
      <c r="M2056" s="341"/>
      <c r="N2056" s="334"/>
      <c r="O2056" s="394"/>
      <c r="P2056" s="392"/>
      <c r="Q2056" s="363"/>
      <c r="T2056" s="110"/>
      <c r="V2056" s="232"/>
      <c r="W2056" s="269"/>
      <c r="X2056" s="201"/>
      <c r="Y2056" s="269"/>
      <c r="Z2056" s="269"/>
      <c r="AA2056" s="134"/>
      <c r="AB2056" s="269"/>
      <c r="AC2056" s="284"/>
      <c r="AD2056" s="284"/>
      <c r="AE2056" s="269"/>
    </row>
    <row r="2057" spans="2:31">
      <c r="B2057" s="83"/>
      <c r="C2057" s="81"/>
      <c r="D2057" s="83"/>
      <c r="E2057" s="81"/>
      <c r="F2057" s="269"/>
      <c r="G2057" s="48"/>
      <c r="H2057" s="269"/>
      <c r="I2057" s="72"/>
      <c r="J2057" s="330"/>
      <c r="K2057" s="75"/>
      <c r="L2057" s="157"/>
      <c r="M2057" s="341"/>
      <c r="N2057" s="334"/>
      <c r="O2057" s="394"/>
      <c r="P2057" s="392"/>
      <c r="Q2057" s="363"/>
      <c r="T2057" s="110"/>
      <c r="V2057" s="232"/>
      <c r="W2057" s="269"/>
      <c r="X2057" s="201"/>
      <c r="Y2057" s="269"/>
      <c r="Z2057" s="269"/>
      <c r="AA2057" s="134"/>
      <c r="AB2057" s="269"/>
      <c r="AC2057" s="284"/>
      <c r="AD2057" s="284"/>
      <c r="AE2057" s="269"/>
    </row>
    <row r="2058" spans="2:31">
      <c r="B2058" s="83"/>
      <c r="C2058" s="81"/>
      <c r="D2058" s="83"/>
      <c r="E2058" s="81"/>
      <c r="F2058" s="269"/>
      <c r="G2058" s="48"/>
      <c r="H2058" s="269"/>
      <c r="I2058" s="72"/>
      <c r="J2058" s="330"/>
      <c r="K2058" s="75"/>
      <c r="L2058" s="157"/>
      <c r="M2058" s="341"/>
      <c r="N2058" s="334"/>
      <c r="O2058" s="394"/>
      <c r="P2058" s="392"/>
      <c r="Q2058" s="363"/>
      <c r="T2058" s="110"/>
      <c r="V2058" s="232"/>
      <c r="W2058" s="269"/>
      <c r="X2058" s="201"/>
      <c r="Y2058" s="269"/>
      <c r="Z2058" s="269"/>
      <c r="AA2058" s="134"/>
      <c r="AB2058" s="269"/>
      <c r="AC2058" s="284"/>
      <c r="AD2058" s="284"/>
      <c r="AE2058" s="269"/>
    </row>
    <row r="2059" spans="2:31">
      <c r="B2059" s="83"/>
      <c r="C2059" s="81"/>
      <c r="D2059" s="83"/>
      <c r="E2059" s="81"/>
      <c r="F2059" s="269"/>
      <c r="G2059" s="48"/>
      <c r="H2059" s="269"/>
      <c r="I2059" s="72"/>
      <c r="J2059" s="330"/>
      <c r="K2059" s="75"/>
      <c r="L2059" s="157"/>
      <c r="M2059" s="341"/>
      <c r="N2059" s="334"/>
      <c r="O2059" s="394"/>
      <c r="P2059" s="392"/>
      <c r="Q2059" s="363"/>
      <c r="T2059" s="110"/>
      <c r="V2059" s="232"/>
      <c r="W2059" s="269"/>
      <c r="X2059" s="201"/>
      <c r="Y2059" s="269"/>
      <c r="Z2059" s="269"/>
      <c r="AA2059" s="134"/>
      <c r="AB2059" s="269"/>
      <c r="AC2059" s="284"/>
      <c r="AD2059" s="284"/>
      <c r="AE2059" s="269"/>
    </row>
    <row r="2060" spans="2:31">
      <c r="B2060" s="83"/>
      <c r="C2060" s="81"/>
      <c r="D2060" s="83"/>
      <c r="E2060" s="81"/>
      <c r="F2060" s="269"/>
      <c r="G2060" s="48"/>
      <c r="H2060" s="269"/>
      <c r="I2060" s="72"/>
      <c r="J2060" s="330"/>
      <c r="K2060" s="75"/>
      <c r="L2060" s="157"/>
      <c r="M2060" s="341"/>
      <c r="N2060" s="334"/>
      <c r="O2060" s="394"/>
      <c r="P2060" s="392"/>
      <c r="Q2060" s="363"/>
      <c r="T2060" s="110"/>
      <c r="V2060" s="232"/>
      <c r="W2060" s="269"/>
      <c r="X2060" s="201"/>
      <c r="Y2060" s="269"/>
      <c r="Z2060" s="269"/>
      <c r="AA2060" s="134"/>
      <c r="AB2060" s="269"/>
      <c r="AC2060" s="284"/>
      <c r="AD2060" s="284"/>
      <c r="AE2060" s="269"/>
    </row>
    <row r="2061" spans="2:31">
      <c r="B2061" s="83"/>
      <c r="C2061" s="81"/>
      <c r="D2061" s="83"/>
      <c r="E2061" s="81"/>
      <c r="F2061" s="269"/>
      <c r="G2061" s="48"/>
      <c r="H2061" s="269"/>
      <c r="I2061" s="72"/>
      <c r="J2061" s="330"/>
      <c r="K2061" s="75"/>
      <c r="L2061" s="157"/>
      <c r="M2061" s="341"/>
      <c r="N2061" s="334"/>
      <c r="O2061" s="394"/>
      <c r="P2061" s="392"/>
      <c r="Q2061" s="363"/>
      <c r="T2061" s="110"/>
      <c r="V2061" s="232"/>
      <c r="W2061" s="269"/>
      <c r="X2061" s="201"/>
      <c r="Y2061" s="269"/>
      <c r="Z2061" s="269"/>
      <c r="AA2061" s="134"/>
      <c r="AB2061" s="269"/>
      <c r="AC2061" s="284"/>
      <c r="AD2061" s="284"/>
      <c r="AE2061" s="269"/>
    </row>
    <row r="2062" spans="2:31">
      <c r="B2062" s="83"/>
      <c r="C2062" s="81"/>
      <c r="D2062" s="83"/>
      <c r="E2062" s="81"/>
      <c r="F2062" s="269"/>
      <c r="G2062" s="48"/>
      <c r="H2062" s="269"/>
      <c r="I2062" s="72"/>
      <c r="J2062" s="330"/>
      <c r="K2062" s="75"/>
      <c r="L2062" s="157"/>
      <c r="M2062" s="341"/>
      <c r="N2062" s="334"/>
      <c r="O2062" s="394"/>
      <c r="P2062" s="392"/>
      <c r="Q2062" s="363"/>
      <c r="T2062" s="110"/>
      <c r="V2062" s="232"/>
      <c r="W2062" s="269"/>
      <c r="X2062" s="201"/>
      <c r="Y2062" s="269"/>
      <c r="Z2062" s="269"/>
      <c r="AA2062" s="134"/>
      <c r="AB2062" s="269"/>
      <c r="AC2062" s="284"/>
      <c r="AD2062" s="284"/>
      <c r="AE2062" s="269"/>
    </row>
    <row r="2063" spans="2:31">
      <c r="B2063" s="83"/>
      <c r="C2063" s="81"/>
      <c r="D2063" s="83"/>
      <c r="E2063" s="81"/>
      <c r="F2063" s="269"/>
      <c r="G2063" s="48"/>
      <c r="H2063" s="269"/>
      <c r="I2063" s="72"/>
      <c r="J2063" s="330"/>
      <c r="K2063" s="75"/>
      <c r="L2063" s="157"/>
      <c r="M2063" s="341"/>
      <c r="N2063" s="334"/>
      <c r="O2063" s="394"/>
      <c r="P2063" s="392"/>
      <c r="Q2063" s="363"/>
      <c r="T2063" s="110"/>
      <c r="V2063" s="232"/>
      <c r="W2063" s="269"/>
      <c r="X2063" s="201"/>
      <c r="Y2063" s="269"/>
      <c r="Z2063" s="269"/>
      <c r="AA2063" s="134"/>
      <c r="AB2063" s="269"/>
      <c r="AC2063" s="284"/>
      <c r="AD2063" s="284"/>
      <c r="AE2063" s="269"/>
    </row>
    <row r="2064" spans="2:31">
      <c r="B2064" s="83"/>
      <c r="C2064" s="81"/>
      <c r="D2064" s="83"/>
      <c r="E2064" s="81"/>
      <c r="F2064" s="269"/>
      <c r="G2064" s="48"/>
      <c r="H2064" s="269"/>
      <c r="I2064" s="72"/>
      <c r="J2064" s="330"/>
      <c r="K2064" s="75"/>
      <c r="L2064" s="157"/>
      <c r="M2064" s="341"/>
      <c r="N2064" s="334"/>
      <c r="O2064" s="394"/>
      <c r="P2064" s="392"/>
      <c r="Q2064" s="363"/>
      <c r="T2064" s="110"/>
      <c r="V2064" s="232"/>
      <c r="W2064" s="269"/>
      <c r="X2064" s="201"/>
      <c r="Y2064" s="269"/>
      <c r="Z2064" s="269"/>
      <c r="AA2064" s="134"/>
      <c r="AB2064" s="269"/>
      <c r="AC2064" s="284"/>
      <c r="AD2064" s="284"/>
      <c r="AE2064" s="269"/>
    </row>
    <row r="2065" spans="2:31">
      <c r="B2065" s="83"/>
      <c r="C2065" s="81"/>
      <c r="D2065" s="83"/>
      <c r="E2065" s="81"/>
      <c r="F2065" s="269"/>
      <c r="G2065" s="48"/>
      <c r="H2065" s="269"/>
      <c r="I2065" s="72"/>
      <c r="J2065" s="330"/>
      <c r="K2065" s="75"/>
      <c r="L2065" s="157"/>
      <c r="M2065" s="341"/>
      <c r="N2065" s="334"/>
      <c r="O2065" s="394"/>
      <c r="P2065" s="392"/>
      <c r="Q2065" s="363"/>
      <c r="T2065" s="110"/>
      <c r="V2065" s="232"/>
      <c r="W2065" s="269"/>
      <c r="X2065" s="201"/>
      <c r="Y2065" s="269"/>
      <c r="Z2065" s="269"/>
      <c r="AA2065" s="134"/>
      <c r="AB2065" s="269"/>
      <c r="AC2065" s="284"/>
      <c r="AD2065" s="284"/>
      <c r="AE2065" s="269"/>
    </row>
    <row r="2066" spans="2:31">
      <c r="B2066" s="83"/>
      <c r="C2066" s="81"/>
      <c r="D2066" s="83"/>
      <c r="E2066" s="81"/>
      <c r="F2066" s="269"/>
      <c r="G2066" s="48"/>
      <c r="H2066" s="269"/>
      <c r="I2066" s="72"/>
      <c r="J2066" s="330"/>
      <c r="K2066" s="75"/>
      <c r="L2066" s="157"/>
      <c r="M2066" s="341"/>
      <c r="N2066" s="334"/>
      <c r="O2066" s="394"/>
      <c r="P2066" s="392"/>
      <c r="Q2066" s="363"/>
      <c r="T2066" s="110"/>
      <c r="V2066" s="232"/>
      <c r="W2066" s="269"/>
      <c r="X2066" s="201"/>
      <c r="Y2066" s="269"/>
      <c r="Z2066" s="269"/>
      <c r="AA2066" s="134"/>
      <c r="AB2066" s="269"/>
      <c r="AC2066" s="284"/>
      <c r="AD2066" s="284"/>
      <c r="AE2066" s="269"/>
    </row>
    <row r="2067" spans="2:31">
      <c r="B2067" s="83"/>
      <c r="C2067" s="81"/>
      <c r="D2067" s="83"/>
      <c r="E2067" s="81"/>
      <c r="F2067" s="269"/>
      <c r="G2067" s="48"/>
      <c r="H2067" s="269"/>
      <c r="I2067" s="72"/>
      <c r="J2067" s="330"/>
      <c r="K2067" s="75"/>
      <c r="L2067" s="157"/>
      <c r="M2067" s="341"/>
      <c r="N2067" s="334"/>
      <c r="O2067" s="394"/>
      <c r="P2067" s="392"/>
      <c r="Q2067" s="363"/>
      <c r="T2067" s="110"/>
      <c r="V2067" s="232"/>
      <c r="W2067" s="269"/>
      <c r="X2067" s="201"/>
      <c r="Y2067" s="269"/>
      <c r="Z2067" s="269"/>
      <c r="AA2067" s="134"/>
      <c r="AB2067" s="269"/>
      <c r="AC2067" s="284"/>
      <c r="AD2067" s="284"/>
      <c r="AE2067" s="269"/>
    </row>
    <row r="2068" spans="2:31">
      <c r="B2068" s="83"/>
      <c r="C2068" s="81"/>
      <c r="D2068" s="83"/>
      <c r="E2068" s="81"/>
      <c r="F2068" s="269"/>
      <c r="G2068" s="48"/>
      <c r="H2068" s="269"/>
      <c r="I2068" s="72"/>
      <c r="J2068" s="330"/>
      <c r="K2068" s="75"/>
      <c r="L2068" s="157"/>
      <c r="M2068" s="341"/>
      <c r="N2068" s="334"/>
      <c r="O2068" s="394"/>
      <c r="P2068" s="392"/>
      <c r="Q2068" s="363"/>
      <c r="T2068" s="110"/>
      <c r="V2068" s="232"/>
      <c r="W2068" s="269"/>
      <c r="X2068" s="201"/>
      <c r="Y2068" s="269"/>
      <c r="Z2068" s="269"/>
      <c r="AA2068" s="134"/>
      <c r="AB2068" s="269"/>
      <c r="AC2068" s="284"/>
      <c r="AD2068" s="284"/>
      <c r="AE2068" s="269"/>
    </row>
    <row r="2069" spans="2:31">
      <c r="B2069" s="83"/>
      <c r="C2069" s="81"/>
      <c r="D2069" s="83"/>
      <c r="E2069" s="81"/>
      <c r="F2069" s="269"/>
      <c r="G2069" s="48"/>
      <c r="H2069" s="269"/>
      <c r="I2069" s="72"/>
      <c r="J2069" s="330"/>
      <c r="K2069" s="75"/>
      <c r="L2069" s="157"/>
      <c r="M2069" s="341"/>
      <c r="N2069" s="334"/>
      <c r="O2069" s="394"/>
      <c r="P2069" s="392"/>
      <c r="Q2069" s="363"/>
      <c r="T2069" s="110"/>
      <c r="V2069" s="232"/>
      <c r="W2069" s="269"/>
      <c r="X2069" s="201"/>
      <c r="Y2069" s="269"/>
      <c r="Z2069" s="269"/>
      <c r="AA2069" s="134"/>
      <c r="AB2069" s="269"/>
      <c r="AC2069" s="284"/>
      <c r="AD2069" s="284"/>
      <c r="AE2069" s="269"/>
    </row>
    <row r="2070" spans="2:31">
      <c r="B2070" s="83"/>
      <c r="C2070" s="81"/>
      <c r="D2070" s="83"/>
      <c r="E2070" s="81"/>
      <c r="F2070" s="269"/>
      <c r="G2070" s="48"/>
      <c r="H2070" s="269"/>
      <c r="I2070" s="72"/>
      <c r="J2070" s="330"/>
      <c r="K2070" s="75"/>
      <c r="L2070" s="157"/>
      <c r="M2070" s="341"/>
      <c r="N2070" s="334"/>
      <c r="O2070" s="394"/>
      <c r="P2070" s="392"/>
      <c r="Q2070" s="363"/>
      <c r="T2070" s="110"/>
      <c r="V2070" s="232"/>
      <c r="W2070" s="269"/>
      <c r="X2070" s="201"/>
      <c r="Y2070" s="269"/>
      <c r="Z2070" s="269"/>
      <c r="AA2070" s="134"/>
      <c r="AB2070" s="269"/>
      <c r="AC2070" s="284"/>
      <c r="AD2070" s="284"/>
      <c r="AE2070" s="269"/>
    </row>
    <row r="2071" spans="2:31">
      <c r="B2071" s="83"/>
      <c r="C2071" s="81"/>
      <c r="D2071" s="83"/>
      <c r="E2071" s="81"/>
      <c r="F2071" s="269"/>
      <c r="G2071" s="48"/>
      <c r="H2071" s="269"/>
      <c r="I2071" s="72"/>
      <c r="J2071" s="330"/>
      <c r="K2071" s="75"/>
      <c r="L2071" s="157"/>
      <c r="M2071" s="341"/>
      <c r="N2071" s="334"/>
      <c r="O2071" s="394"/>
      <c r="P2071" s="392"/>
      <c r="Q2071" s="363"/>
      <c r="T2071" s="110"/>
      <c r="V2071" s="232"/>
      <c r="W2071" s="269"/>
      <c r="X2071" s="201"/>
      <c r="Y2071" s="269"/>
      <c r="Z2071" s="269"/>
      <c r="AA2071" s="134"/>
      <c r="AB2071" s="269"/>
      <c r="AC2071" s="284"/>
      <c r="AD2071" s="284"/>
      <c r="AE2071" s="269"/>
    </row>
    <row r="2072" spans="2:31">
      <c r="B2072" s="83"/>
      <c r="C2072" s="81"/>
      <c r="D2072" s="83"/>
      <c r="E2072" s="81"/>
      <c r="F2072" s="269"/>
      <c r="G2072" s="48"/>
      <c r="H2072" s="269"/>
      <c r="I2072" s="72"/>
      <c r="J2072" s="330"/>
      <c r="K2072" s="75"/>
      <c r="L2072" s="157"/>
      <c r="M2072" s="341"/>
      <c r="N2072" s="334"/>
      <c r="O2072" s="394"/>
      <c r="P2072" s="392"/>
      <c r="Q2072" s="363"/>
      <c r="T2072" s="110"/>
      <c r="V2072" s="232"/>
      <c r="W2072" s="269"/>
      <c r="X2072" s="201"/>
      <c r="Y2072" s="269"/>
      <c r="Z2072" s="269"/>
      <c r="AA2072" s="134"/>
      <c r="AB2072" s="269"/>
      <c r="AC2072" s="284"/>
      <c r="AD2072" s="284"/>
      <c r="AE2072" s="269"/>
    </row>
    <row r="2073" spans="2:31">
      <c r="B2073" s="83"/>
      <c r="C2073" s="81"/>
      <c r="D2073" s="83"/>
      <c r="E2073" s="81"/>
      <c r="F2073" s="269"/>
      <c r="G2073" s="48"/>
      <c r="H2073" s="269"/>
      <c r="I2073" s="72"/>
      <c r="J2073" s="330"/>
      <c r="K2073" s="75"/>
      <c r="L2073" s="157"/>
      <c r="M2073" s="341"/>
      <c r="N2073" s="334"/>
      <c r="O2073" s="394"/>
      <c r="P2073" s="392"/>
      <c r="Q2073" s="363"/>
      <c r="T2073" s="110"/>
      <c r="V2073" s="232"/>
      <c r="W2073" s="269"/>
      <c r="X2073" s="201"/>
      <c r="Y2073" s="269"/>
      <c r="Z2073" s="269"/>
      <c r="AA2073" s="134"/>
      <c r="AB2073" s="269"/>
      <c r="AC2073" s="284"/>
      <c r="AD2073" s="284"/>
      <c r="AE2073" s="269"/>
    </row>
    <row r="2074" spans="2:31">
      <c r="B2074" s="83"/>
      <c r="C2074" s="81"/>
      <c r="D2074" s="83"/>
      <c r="E2074" s="81"/>
      <c r="F2074" s="269"/>
      <c r="G2074" s="48"/>
      <c r="H2074" s="269"/>
      <c r="I2074" s="72"/>
      <c r="J2074" s="330"/>
      <c r="K2074" s="75"/>
      <c r="L2074" s="157"/>
      <c r="M2074" s="341"/>
      <c r="N2074" s="334"/>
      <c r="O2074" s="394"/>
      <c r="P2074" s="392"/>
      <c r="Q2074" s="363"/>
      <c r="T2074" s="110"/>
      <c r="V2074" s="232"/>
      <c r="W2074" s="269"/>
      <c r="X2074" s="201"/>
      <c r="Y2074" s="269"/>
      <c r="Z2074" s="269"/>
      <c r="AA2074" s="134"/>
      <c r="AB2074" s="269"/>
      <c r="AC2074" s="284"/>
      <c r="AD2074" s="284"/>
      <c r="AE2074" s="269"/>
    </row>
    <row r="2075" spans="2:31">
      <c r="B2075" s="83"/>
      <c r="C2075" s="81"/>
      <c r="D2075" s="83"/>
      <c r="E2075" s="81"/>
      <c r="F2075" s="269"/>
      <c r="G2075" s="48"/>
      <c r="H2075" s="269"/>
      <c r="I2075" s="72"/>
      <c r="J2075" s="330"/>
      <c r="K2075" s="75"/>
      <c r="L2075" s="157"/>
      <c r="M2075" s="341"/>
      <c r="N2075" s="334"/>
      <c r="O2075" s="394"/>
      <c r="P2075" s="392"/>
      <c r="Q2075" s="363"/>
      <c r="T2075" s="110"/>
      <c r="V2075" s="232"/>
      <c r="W2075" s="269"/>
      <c r="X2075" s="201"/>
      <c r="Y2075" s="269"/>
      <c r="Z2075" s="269"/>
      <c r="AA2075" s="134"/>
      <c r="AB2075" s="269"/>
      <c r="AC2075" s="284"/>
      <c r="AD2075" s="284"/>
      <c r="AE2075" s="269"/>
    </row>
    <row r="2076" spans="2:31">
      <c r="B2076" s="83"/>
      <c r="C2076" s="81"/>
      <c r="D2076" s="83"/>
      <c r="E2076" s="81"/>
      <c r="F2076" s="269"/>
      <c r="G2076" s="48"/>
      <c r="H2076" s="269"/>
      <c r="I2076" s="72"/>
      <c r="J2076" s="330"/>
      <c r="K2076" s="75"/>
      <c r="L2076" s="157"/>
      <c r="M2076" s="341"/>
      <c r="N2076" s="334"/>
      <c r="O2076" s="394"/>
      <c r="P2076" s="392"/>
      <c r="Q2076" s="363"/>
      <c r="T2076" s="110"/>
      <c r="V2076" s="232"/>
      <c r="W2076" s="269"/>
      <c r="X2076" s="201"/>
      <c r="Y2076" s="269"/>
      <c r="Z2076" s="269"/>
      <c r="AA2076" s="134"/>
      <c r="AB2076" s="269"/>
      <c r="AC2076" s="284"/>
      <c r="AD2076" s="284"/>
      <c r="AE2076" s="269"/>
    </row>
    <row r="2077" spans="2:31">
      <c r="B2077" s="83"/>
      <c r="C2077" s="81"/>
      <c r="D2077" s="83"/>
      <c r="E2077" s="81"/>
      <c r="F2077" s="269"/>
      <c r="G2077" s="48"/>
      <c r="H2077" s="269"/>
      <c r="I2077" s="72"/>
      <c r="J2077" s="330"/>
      <c r="K2077" s="75"/>
      <c r="L2077" s="157"/>
      <c r="M2077" s="341"/>
      <c r="N2077" s="334"/>
      <c r="O2077" s="394"/>
      <c r="P2077" s="392"/>
      <c r="Q2077" s="363"/>
      <c r="T2077" s="110"/>
      <c r="V2077" s="232"/>
      <c r="W2077" s="269"/>
      <c r="X2077" s="201"/>
      <c r="Y2077" s="269"/>
      <c r="Z2077" s="269"/>
      <c r="AA2077" s="134"/>
      <c r="AB2077" s="269"/>
      <c r="AC2077" s="284"/>
      <c r="AD2077" s="284"/>
      <c r="AE2077" s="269"/>
    </row>
    <row r="2078" spans="2:31">
      <c r="B2078" s="83"/>
      <c r="C2078" s="81"/>
      <c r="D2078" s="83"/>
      <c r="E2078" s="81"/>
      <c r="F2078" s="269"/>
      <c r="G2078" s="48"/>
      <c r="H2078" s="269"/>
      <c r="I2078" s="72"/>
      <c r="J2078" s="330"/>
      <c r="K2078" s="75"/>
      <c r="L2078" s="157"/>
      <c r="M2078" s="341"/>
      <c r="N2078" s="334"/>
      <c r="O2078" s="394"/>
      <c r="P2078" s="392"/>
      <c r="Q2078" s="363"/>
      <c r="T2078" s="110"/>
      <c r="V2078" s="232"/>
      <c r="W2078" s="269"/>
      <c r="X2078" s="201"/>
      <c r="Y2078" s="269"/>
      <c r="Z2078" s="269"/>
      <c r="AA2078" s="134"/>
      <c r="AB2078" s="269"/>
      <c r="AC2078" s="284"/>
      <c r="AD2078" s="284"/>
      <c r="AE2078" s="269"/>
    </row>
    <row r="2079" spans="2:31">
      <c r="B2079" s="83"/>
      <c r="C2079" s="81"/>
      <c r="D2079" s="83"/>
      <c r="E2079" s="81"/>
      <c r="F2079" s="269"/>
      <c r="G2079" s="48"/>
      <c r="H2079" s="269"/>
      <c r="I2079" s="72"/>
      <c r="J2079" s="330"/>
      <c r="K2079" s="75"/>
      <c r="L2079" s="157"/>
      <c r="M2079" s="341"/>
      <c r="N2079" s="334"/>
      <c r="O2079" s="394"/>
      <c r="P2079" s="392"/>
      <c r="Q2079" s="363"/>
      <c r="T2079" s="110"/>
      <c r="V2079" s="232"/>
      <c r="W2079" s="269"/>
      <c r="X2079" s="201"/>
      <c r="Y2079" s="269"/>
      <c r="Z2079" s="269"/>
      <c r="AA2079" s="134"/>
      <c r="AB2079" s="269"/>
      <c r="AC2079" s="284"/>
      <c r="AD2079" s="284"/>
      <c r="AE2079" s="269"/>
    </row>
    <row r="2080" spans="2:31">
      <c r="B2080" s="83"/>
      <c r="C2080" s="81"/>
      <c r="D2080" s="83"/>
      <c r="E2080" s="81"/>
      <c r="F2080" s="269"/>
      <c r="G2080" s="48"/>
      <c r="H2080" s="269"/>
      <c r="I2080" s="72"/>
      <c r="J2080" s="330"/>
      <c r="K2080" s="75"/>
      <c r="L2080" s="157"/>
      <c r="M2080" s="341"/>
      <c r="N2080" s="334"/>
      <c r="O2080" s="394"/>
      <c r="P2080" s="392"/>
      <c r="Q2080" s="363"/>
      <c r="T2080" s="110"/>
      <c r="V2080" s="232"/>
      <c r="W2080" s="269"/>
      <c r="X2080" s="201"/>
      <c r="Y2080" s="269"/>
      <c r="Z2080" s="269"/>
      <c r="AA2080" s="134"/>
      <c r="AB2080" s="269"/>
      <c r="AC2080" s="284"/>
      <c r="AD2080" s="284"/>
      <c r="AE2080" s="269"/>
    </row>
    <row r="2081" spans="2:31">
      <c r="B2081" s="83"/>
      <c r="C2081" s="81"/>
      <c r="D2081" s="83"/>
      <c r="E2081" s="81"/>
      <c r="F2081" s="269"/>
      <c r="G2081" s="48"/>
      <c r="H2081" s="269"/>
      <c r="I2081" s="72"/>
      <c r="J2081" s="330"/>
      <c r="K2081" s="75"/>
      <c r="L2081" s="157"/>
      <c r="M2081" s="341"/>
      <c r="N2081" s="334"/>
      <c r="O2081" s="394"/>
      <c r="P2081" s="392"/>
      <c r="Q2081" s="363"/>
      <c r="T2081" s="110"/>
      <c r="V2081" s="232"/>
      <c r="W2081" s="269"/>
      <c r="X2081" s="201"/>
      <c r="Y2081" s="269"/>
      <c r="Z2081" s="269"/>
      <c r="AA2081" s="134"/>
      <c r="AB2081" s="269"/>
      <c r="AC2081" s="284"/>
      <c r="AD2081" s="284"/>
      <c r="AE2081" s="269"/>
    </row>
    <row r="2082" spans="2:31">
      <c r="B2082" s="83"/>
      <c r="C2082" s="81"/>
      <c r="D2082" s="83"/>
      <c r="E2082" s="81"/>
      <c r="F2082" s="269"/>
      <c r="G2082" s="48"/>
      <c r="H2082" s="269"/>
      <c r="I2082" s="72"/>
      <c r="J2082" s="330"/>
      <c r="K2082" s="75"/>
      <c r="L2082" s="157"/>
      <c r="M2082" s="341"/>
      <c r="N2082" s="334"/>
      <c r="O2082" s="394"/>
      <c r="P2082" s="392"/>
      <c r="Q2082" s="363"/>
      <c r="T2082" s="110"/>
      <c r="V2082" s="232"/>
      <c r="W2082" s="269"/>
      <c r="X2082" s="201"/>
      <c r="Y2082" s="269"/>
      <c r="Z2082" s="269"/>
      <c r="AA2082" s="134"/>
      <c r="AB2082" s="269"/>
      <c r="AC2082" s="284"/>
      <c r="AD2082" s="284"/>
      <c r="AE2082" s="269"/>
    </row>
    <row r="2083" spans="2:31">
      <c r="B2083" s="83"/>
      <c r="C2083" s="81"/>
      <c r="D2083" s="83"/>
      <c r="E2083" s="81"/>
      <c r="F2083" s="269"/>
      <c r="G2083" s="48"/>
      <c r="H2083" s="269"/>
      <c r="I2083" s="72"/>
      <c r="J2083" s="330"/>
      <c r="K2083" s="75"/>
      <c r="L2083" s="157"/>
      <c r="M2083" s="341"/>
      <c r="N2083" s="334"/>
      <c r="O2083" s="394"/>
      <c r="P2083" s="392"/>
      <c r="Q2083" s="363"/>
      <c r="T2083" s="110"/>
      <c r="V2083" s="232"/>
      <c r="W2083" s="269"/>
      <c r="X2083" s="201"/>
      <c r="Y2083" s="269"/>
      <c r="Z2083" s="269"/>
      <c r="AA2083" s="134"/>
      <c r="AB2083" s="269"/>
      <c r="AC2083" s="284"/>
      <c r="AD2083" s="284"/>
      <c r="AE2083" s="269"/>
    </row>
    <row r="2084" spans="2:31">
      <c r="B2084" s="83"/>
      <c r="C2084" s="81"/>
      <c r="D2084" s="83"/>
      <c r="E2084" s="81"/>
      <c r="F2084" s="269"/>
      <c r="G2084" s="48"/>
      <c r="H2084" s="269"/>
      <c r="I2084" s="72"/>
      <c r="J2084" s="330"/>
      <c r="K2084" s="75"/>
      <c r="L2084" s="157"/>
      <c r="M2084" s="341"/>
      <c r="N2084" s="334"/>
      <c r="O2084" s="394"/>
      <c r="P2084" s="392"/>
      <c r="Q2084" s="363"/>
      <c r="T2084" s="110"/>
      <c r="V2084" s="232"/>
      <c r="W2084" s="269"/>
      <c r="X2084" s="201"/>
      <c r="Y2084" s="269"/>
      <c r="Z2084" s="269"/>
      <c r="AA2084" s="134"/>
      <c r="AB2084" s="269"/>
      <c r="AC2084" s="284"/>
      <c r="AD2084" s="284"/>
      <c r="AE2084" s="269"/>
    </row>
    <row r="2085" spans="2:31">
      <c r="B2085" s="83"/>
      <c r="C2085" s="81"/>
      <c r="D2085" s="83"/>
      <c r="E2085" s="81"/>
      <c r="F2085" s="269"/>
      <c r="G2085" s="48"/>
      <c r="H2085" s="269"/>
      <c r="I2085" s="72"/>
      <c r="J2085" s="330"/>
      <c r="K2085" s="75"/>
      <c r="L2085" s="157"/>
      <c r="M2085" s="341"/>
      <c r="N2085" s="334"/>
      <c r="O2085" s="394"/>
      <c r="P2085" s="392"/>
      <c r="Q2085" s="363"/>
      <c r="T2085" s="110"/>
      <c r="V2085" s="232"/>
      <c r="W2085" s="269"/>
      <c r="X2085" s="201"/>
      <c r="Y2085" s="269"/>
      <c r="Z2085" s="269"/>
      <c r="AA2085" s="134"/>
      <c r="AB2085" s="269"/>
      <c r="AC2085" s="284"/>
      <c r="AD2085" s="284"/>
      <c r="AE2085" s="269"/>
    </row>
    <row r="2086" spans="2:31">
      <c r="B2086" s="83"/>
      <c r="C2086" s="81"/>
      <c r="D2086" s="83"/>
      <c r="E2086" s="81"/>
      <c r="F2086" s="269"/>
      <c r="G2086" s="48"/>
      <c r="H2086" s="269"/>
      <c r="I2086" s="72"/>
      <c r="J2086" s="330"/>
      <c r="K2086" s="75"/>
      <c r="L2086" s="157"/>
      <c r="M2086" s="341"/>
      <c r="N2086" s="334"/>
      <c r="O2086" s="394"/>
      <c r="P2086" s="392"/>
      <c r="Q2086" s="363"/>
      <c r="T2086" s="110"/>
      <c r="V2086" s="232"/>
      <c r="W2086" s="269"/>
      <c r="X2086" s="201"/>
      <c r="Y2086" s="269"/>
      <c r="Z2086" s="269"/>
      <c r="AA2086" s="134"/>
      <c r="AB2086" s="269"/>
      <c r="AC2086" s="284"/>
      <c r="AD2086" s="284"/>
      <c r="AE2086" s="269"/>
    </row>
    <row r="2087" spans="2:31">
      <c r="B2087" s="83"/>
      <c r="C2087" s="81"/>
      <c r="D2087" s="83"/>
      <c r="E2087" s="81"/>
      <c r="F2087" s="269"/>
      <c r="G2087" s="48"/>
      <c r="H2087" s="269"/>
      <c r="I2087" s="72"/>
      <c r="J2087" s="330"/>
      <c r="K2087" s="75"/>
      <c r="L2087" s="157"/>
      <c r="M2087" s="341"/>
      <c r="N2087" s="334"/>
      <c r="O2087" s="394"/>
      <c r="P2087" s="392"/>
      <c r="Q2087" s="363"/>
      <c r="T2087" s="110"/>
      <c r="V2087" s="232"/>
      <c r="W2087" s="269"/>
      <c r="X2087" s="201"/>
      <c r="Y2087" s="269"/>
      <c r="Z2087" s="269"/>
      <c r="AA2087" s="134"/>
      <c r="AB2087" s="269"/>
      <c r="AC2087" s="284"/>
      <c r="AD2087" s="284"/>
      <c r="AE2087" s="269"/>
    </row>
    <row r="2088" spans="2:31">
      <c r="B2088" s="83"/>
      <c r="C2088" s="81"/>
      <c r="D2088" s="83"/>
      <c r="E2088" s="81"/>
      <c r="F2088" s="269"/>
      <c r="G2088" s="48"/>
      <c r="H2088" s="269"/>
      <c r="I2088" s="72"/>
      <c r="J2088" s="330"/>
      <c r="K2088" s="75"/>
      <c r="L2088" s="157"/>
      <c r="M2088" s="341"/>
      <c r="N2088" s="334"/>
      <c r="O2088" s="394"/>
      <c r="P2088" s="392"/>
      <c r="Q2088" s="363"/>
      <c r="T2088" s="110"/>
      <c r="V2088" s="232"/>
      <c r="W2088" s="269"/>
      <c r="X2088" s="201"/>
      <c r="Y2088" s="269"/>
      <c r="Z2088" s="269"/>
      <c r="AA2088" s="134"/>
      <c r="AB2088" s="269"/>
      <c r="AC2088" s="284"/>
      <c r="AD2088" s="284"/>
      <c r="AE2088" s="269"/>
    </row>
    <row r="2089" spans="2:31">
      <c r="B2089" s="83"/>
      <c r="C2089" s="81"/>
      <c r="D2089" s="83"/>
      <c r="E2089" s="81"/>
      <c r="F2089" s="269"/>
      <c r="G2089" s="48"/>
      <c r="H2089" s="269"/>
      <c r="I2089" s="72"/>
      <c r="J2089" s="330"/>
      <c r="K2089" s="75"/>
      <c r="L2089" s="157"/>
      <c r="M2089" s="341"/>
      <c r="N2089" s="334"/>
      <c r="O2089" s="394"/>
      <c r="P2089" s="392"/>
      <c r="Q2089" s="363"/>
      <c r="T2089" s="110"/>
      <c r="V2089" s="232"/>
      <c r="W2089" s="269"/>
      <c r="X2089" s="201"/>
      <c r="Y2089" s="269"/>
      <c r="Z2089" s="269"/>
      <c r="AA2089" s="134"/>
      <c r="AB2089" s="269"/>
      <c r="AC2089" s="284"/>
      <c r="AD2089" s="284"/>
      <c r="AE2089" s="269"/>
    </row>
    <row r="2090" spans="2:31">
      <c r="B2090" s="83"/>
      <c r="C2090" s="81"/>
      <c r="D2090" s="83"/>
      <c r="E2090" s="81"/>
      <c r="F2090" s="269"/>
      <c r="G2090" s="48"/>
      <c r="H2090" s="269"/>
      <c r="I2090" s="72"/>
      <c r="J2090" s="330"/>
      <c r="K2090" s="75"/>
      <c r="L2090" s="157"/>
      <c r="M2090" s="341"/>
      <c r="N2090" s="334"/>
      <c r="O2090" s="394"/>
      <c r="P2090" s="392"/>
      <c r="Q2090" s="363"/>
      <c r="T2090" s="110"/>
      <c r="V2090" s="232"/>
      <c r="W2090" s="269"/>
      <c r="X2090" s="201"/>
      <c r="Y2090" s="269"/>
      <c r="Z2090" s="269"/>
      <c r="AA2090" s="134"/>
      <c r="AB2090" s="269"/>
      <c r="AC2090" s="284"/>
      <c r="AD2090" s="284"/>
      <c r="AE2090" s="269"/>
    </row>
    <row r="2091" spans="2:31">
      <c r="B2091" s="83"/>
      <c r="C2091" s="81"/>
      <c r="D2091" s="83"/>
      <c r="E2091" s="81"/>
      <c r="F2091" s="269"/>
      <c r="G2091" s="48"/>
      <c r="H2091" s="269"/>
      <c r="I2091" s="72"/>
      <c r="J2091" s="330"/>
      <c r="K2091" s="75"/>
      <c r="L2091" s="157"/>
      <c r="M2091" s="341"/>
      <c r="N2091" s="334"/>
      <c r="O2091" s="394"/>
      <c r="P2091" s="392"/>
      <c r="Q2091" s="363"/>
      <c r="T2091" s="110"/>
      <c r="V2091" s="232"/>
      <c r="W2091" s="269"/>
      <c r="X2091" s="201"/>
      <c r="Y2091" s="269"/>
      <c r="Z2091" s="269"/>
      <c r="AA2091" s="134"/>
      <c r="AB2091" s="269"/>
      <c r="AC2091" s="284"/>
      <c r="AD2091" s="284"/>
      <c r="AE2091" s="269"/>
    </row>
    <row r="2092" spans="2:31">
      <c r="B2092" s="83"/>
      <c r="C2092" s="81"/>
      <c r="D2092" s="83"/>
      <c r="E2092" s="81"/>
      <c r="F2092" s="269"/>
      <c r="G2092" s="48"/>
      <c r="H2092" s="269"/>
      <c r="I2092" s="72"/>
      <c r="J2092" s="330"/>
      <c r="K2092" s="75"/>
      <c r="L2092" s="157"/>
      <c r="M2092" s="341"/>
      <c r="N2092" s="334"/>
      <c r="O2092" s="394"/>
      <c r="P2092" s="392"/>
      <c r="Q2092" s="363"/>
      <c r="T2092" s="110"/>
      <c r="V2092" s="232"/>
      <c r="W2092" s="269"/>
      <c r="X2092" s="201"/>
      <c r="Y2092" s="269"/>
      <c r="Z2092" s="269"/>
      <c r="AA2092" s="134"/>
      <c r="AB2092" s="269"/>
      <c r="AC2092" s="284"/>
      <c r="AD2092" s="284"/>
      <c r="AE2092" s="269"/>
    </row>
    <row r="2093" spans="2:31">
      <c r="B2093" s="83"/>
      <c r="C2093" s="81"/>
      <c r="D2093" s="83"/>
      <c r="E2093" s="81"/>
      <c r="F2093" s="269"/>
      <c r="G2093" s="48"/>
      <c r="H2093" s="269"/>
      <c r="I2093" s="72"/>
      <c r="J2093" s="330"/>
      <c r="K2093" s="75"/>
      <c r="L2093" s="157"/>
      <c r="M2093" s="341"/>
      <c r="N2093" s="334"/>
      <c r="O2093" s="394"/>
      <c r="P2093" s="392"/>
      <c r="Q2093" s="363"/>
      <c r="T2093" s="110"/>
      <c r="V2093" s="232"/>
      <c r="W2093" s="269"/>
      <c r="X2093" s="201"/>
      <c r="Y2093" s="269"/>
      <c r="Z2093" s="269"/>
      <c r="AA2093" s="134"/>
      <c r="AB2093" s="269"/>
      <c r="AC2093" s="284"/>
      <c r="AD2093" s="284"/>
      <c r="AE2093" s="269"/>
    </row>
    <row r="2094" spans="2:31">
      <c r="B2094" s="83"/>
      <c r="C2094" s="81"/>
      <c r="D2094" s="83"/>
      <c r="E2094" s="81"/>
      <c r="F2094" s="269"/>
      <c r="G2094" s="48"/>
      <c r="H2094" s="269"/>
      <c r="I2094" s="72"/>
      <c r="J2094" s="330"/>
      <c r="K2094" s="75"/>
      <c r="L2094" s="157"/>
      <c r="M2094" s="341"/>
      <c r="N2094" s="334"/>
      <c r="O2094" s="394"/>
      <c r="P2094" s="392"/>
      <c r="Q2094" s="363"/>
      <c r="T2094" s="110"/>
      <c r="V2094" s="232"/>
      <c r="W2094" s="269"/>
      <c r="X2094" s="201"/>
      <c r="Y2094" s="269"/>
      <c r="Z2094" s="269"/>
      <c r="AA2094" s="134"/>
      <c r="AB2094" s="269"/>
      <c r="AC2094" s="284"/>
      <c r="AD2094" s="284"/>
      <c r="AE2094" s="269"/>
    </row>
    <row r="2095" spans="2:31">
      <c r="B2095" s="83"/>
      <c r="C2095" s="81"/>
      <c r="D2095" s="83"/>
      <c r="E2095" s="81"/>
      <c r="F2095" s="269"/>
      <c r="G2095" s="48"/>
      <c r="H2095" s="269"/>
      <c r="I2095" s="72"/>
      <c r="J2095" s="330"/>
      <c r="K2095" s="75"/>
      <c r="L2095" s="157"/>
      <c r="M2095" s="341"/>
      <c r="N2095" s="334"/>
      <c r="O2095" s="394"/>
      <c r="P2095" s="392"/>
      <c r="Q2095" s="363"/>
      <c r="T2095" s="110"/>
      <c r="V2095" s="232"/>
      <c r="W2095" s="269"/>
      <c r="X2095" s="201"/>
      <c r="Y2095" s="269"/>
      <c r="Z2095" s="269"/>
      <c r="AA2095" s="134"/>
      <c r="AB2095" s="269"/>
      <c r="AC2095" s="284"/>
      <c r="AD2095" s="284"/>
      <c r="AE2095" s="269"/>
    </row>
    <row r="2096" spans="2:31">
      <c r="B2096" s="83"/>
      <c r="C2096" s="81"/>
      <c r="D2096" s="83"/>
      <c r="E2096" s="81"/>
      <c r="F2096" s="269"/>
      <c r="G2096" s="48"/>
      <c r="H2096" s="269"/>
      <c r="I2096" s="72"/>
      <c r="J2096" s="330"/>
      <c r="K2096" s="75"/>
      <c r="L2096" s="157"/>
      <c r="M2096" s="341"/>
      <c r="N2096" s="334"/>
      <c r="O2096" s="394"/>
      <c r="P2096" s="392"/>
      <c r="Q2096" s="363"/>
      <c r="T2096" s="110"/>
      <c r="V2096" s="232"/>
      <c r="W2096" s="269"/>
      <c r="X2096" s="201"/>
      <c r="Y2096" s="269"/>
      <c r="Z2096" s="269"/>
      <c r="AA2096" s="134"/>
      <c r="AB2096" s="269"/>
      <c r="AC2096" s="284"/>
      <c r="AD2096" s="284"/>
      <c r="AE2096" s="269"/>
    </row>
    <row r="2097" spans="2:31">
      <c r="B2097" s="83"/>
      <c r="C2097" s="81"/>
      <c r="D2097" s="83"/>
      <c r="E2097" s="81"/>
      <c r="F2097" s="269"/>
      <c r="G2097" s="48"/>
      <c r="H2097" s="269"/>
      <c r="I2097" s="72"/>
      <c r="J2097" s="330"/>
      <c r="K2097" s="75"/>
      <c r="L2097" s="157"/>
      <c r="M2097" s="341"/>
      <c r="N2097" s="334"/>
      <c r="O2097" s="394"/>
      <c r="P2097" s="392"/>
      <c r="Q2097" s="363"/>
      <c r="T2097" s="110"/>
      <c r="V2097" s="232"/>
      <c r="W2097" s="269"/>
      <c r="X2097" s="201"/>
      <c r="Y2097" s="269"/>
      <c r="Z2097" s="269"/>
      <c r="AA2097" s="134"/>
      <c r="AB2097" s="269"/>
      <c r="AC2097" s="284"/>
      <c r="AD2097" s="284"/>
      <c r="AE2097" s="269"/>
    </row>
    <row r="2098" spans="2:31">
      <c r="B2098" s="83"/>
      <c r="C2098" s="81"/>
      <c r="D2098" s="83"/>
      <c r="E2098" s="81"/>
      <c r="F2098" s="269"/>
      <c r="G2098" s="48"/>
      <c r="H2098" s="269"/>
      <c r="I2098" s="72"/>
      <c r="J2098" s="330"/>
      <c r="K2098" s="75"/>
      <c r="L2098" s="157"/>
      <c r="M2098" s="341"/>
      <c r="N2098" s="334"/>
      <c r="O2098" s="394"/>
      <c r="P2098" s="392"/>
      <c r="Q2098" s="363"/>
      <c r="T2098" s="110"/>
      <c r="V2098" s="232"/>
      <c r="W2098" s="269"/>
      <c r="X2098" s="201"/>
      <c r="Y2098" s="269"/>
      <c r="Z2098" s="269"/>
      <c r="AA2098" s="134"/>
      <c r="AB2098" s="269"/>
      <c r="AC2098" s="284"/>
      <c r="AD2098" s="284"/>
      <c r="AE2098" s="269"/>
    </row>
    <row r="2099" spans="2:31">
      <c r="B2099" s="83"/>
      <c r="C2099" s="81"/>
      <c r="D2099" s="83"/>
      <c r="E2099" s="81"/>
      <c r="F2099" s="269"/>
      <c r="G2099" s="48"/>
      <c r="H2099" s="269"/>
      <c r="I2099" s="72"/>
      <c r="J2099" s="330"/>
      <c r="K2099" s="75"/>
      <c r="L2099" s="157"/>
      <c r="M2099" s="341"/>
      <c r="N2099" s="334"/>
      <c r="O2099" s="394"/>
      <c r="P2099" s="392"/>
      <c r="Q2099" s="363"/>
      <c r="T2099" s="110"/>
      <c r="V2099" s="232"/>
      <c r="W2099" s="269"/>
      <c r="X2099" s="201"/>
      <c r="Y2099" s="269"/>
      <c r="Z2099" s="269"/>
      <c r="AA2099" s="134"/>
      <c r="AB2099" s="269"/>
      <c r="AC2099" s="284"/>
      <c r="AD2099" s="284"/>
      <c r="AE2099" s="269"/>
    </row>
    <row r="2100" spans="2:31">
      <c r="B2100" s="83"/>
      <c r="C2100" s="81"/>
      <c r="D2100" s="83"/>
      <c r="E2100" s="81"/>
      <c r="F2100" s="269"/>
      <c r="G2100" s="48"/>
      <c r="H2100" s="269"/>
      <c r="I2100" s="72"/>
      <c r="J2100" s="330"/>
      <c r="K2100" s="75"/>
      <c r="L2100" s="157"/>
      <c r="M2100" s="341"/>
      <c r="N2100" s="334"/>
      <c r="O2100" s="394"/>
      <c r="P2100" s="392"/>
      <c r="Q2100" s="363"/>
      <c r="T2100" s="110"/>
      <c r="V2100" s="232"/>
      <c r="W2100" s="269"/>
      <c r="X2100" s="201"/>
      <c r="Y2100" s="269"/>
      <c r="Z2100" s="269"/>
      <c r="AA2100" s="134"/>
      <c r="AB2100" s="269"/>
      <c r="AC2100" s="284"/>
      <c r="AD2100" s="284"/>
      <c r="AE2100" s="269"/>
    </row>
    <row r="2101" spans="2:31">
      <c r="B2101" s="83"/>
      <c r="C2101" s="81"/>
      <c r="D2101" s="83"/>
      <c r="E2101" s="81"/>
      <c r="F2101" s="269"/>
      <c r="G2101" s="48"/>
      <c r="H2101" s="269"/>
      <c r="I2101" s="72"/>
      <c r="J2101" s="330"/>
      <c r="K2101" s="75"/>
      <c r="L2101" s="157"/>
      <c r="M2101" s="341"/>
      <c r="N2101" s="334"/>
      <c r="O2101" s="394"/>
      <c r="P2101" s="392"/>
      <c r="Q2101" s="363"/>
      <c r="T2101" s="110"/>
      <c r="V2101" s="232"/>
      <c r="W2101" s="269"/>
      <c r="X2101" s="201"/>
      <c r="Y2101" s="269"/>
      <c r="Z2101" s="269"/>
      <c r="AA2101" s="134"/>
      <c r="AB2101" s="269"/>
      <c r="AC2101" s="284"/>
      <c r="AD2101" s="284"/>
      <c r="AE2101" s="269"/>
    </row>
    <row r="2102" spans="2:31">
      <c r="B2102" s="83"/>
      <c r="C2102" s="81"/>
      <c r="D2102" s="83"/>
      <c r="E2102" s="81"/>
      <c r="F2102" s="269"/>
      <c r="G2102" s="48"/>
      <c r="H2102" s="269"/>
      <c r="I2102" s="72"/>
      <c r="J2102" s="330"/>
      <c r="K2102" s="75"/>
      <c r="L2102" s="157"/>
      <c r="M2102" s="341"/>
      <c r="N2102" s="334"/>
      <c r="O2102" s="394"/>
      <c r="P2102" s="392"/>
      <c r="Q2102" s="363"/>
      <c r="T2102" s="110"/>
      <c r="V2102" s="232"/>
      <c r="W2102" s="269"/>
      <c r="X2102" s="201"/>
      <c r="Y2102" s="269"/>
      <c r="Z2102" s="269"/>
      <c r="AA2102" s="134"/>
      <c r="AB2102" s="269"/>
      <c r="AC2102" s="284"/>
      <c r="AD2102" s="284"/>
      <c r="AE2102" s="269"/>
    </row>
    <row r="2103" spans="2:31">
      <c r="B2103" s="83"/>
      <c r="C2103" s="81"/>
      <c r="D2103" s="83"/>
      <c r="E2103" s="81"/>
      <c r="F2103" s="269"/>
      <c r="G2103" s="48"/>
      <c r="H2103" s="269"/>
      <c r="I2103" s="72"/>
      <c r="J2103" s="330"/>
      <c r="K2103" s="75"/>
      <c r="L2103" s="157"/>
      <c r="M2103" s="341"/>
      <c r="N2103" s="334"/>
      <c r="O2103" s="394"/>
      <c r="P2103" s="392"/>
      <c r="Q2103" s="363"/>
      <c r="T2103" s="110"/>
      <c r="V2103" s="232"/>
      <c r="W2103" s="269"/>
      <c r="X2103" s="201"/>
      <c r="Y2103" s="269"/>
      <c r="Z2103" s="269"/>
      <c r="AA2103" s="134"/>
      <c r="AB2103" s="269"/>
      <c r="AC2103" s="284"/>
      <c r="AD2103" s="284"/>
      <c r="AE2103" s="269"/>
    </row>
    <row r="2104" spans="2:31">
      <c r="B2104" s="83"/>
      <c r="C2104" s="81"/>
      <c r="D2104" s="83"/>
      <c r="E2104" s="81"/>
      <c r="F2104" s="269"/>
      <c r="G2104" s="48"/>
      <c r="H2104" s="269"/>
      <c r="I2104" s="72"/>
      <c r="J2104" s="330"/>
      <c r="K2104" s="75"/>
      <c r="L2104" s="157"/>
      <c r="M2104" s="341"/>
      <c r="N2104" s="334"/>
      <c r="O2104" s="394"/>
      <c r="P2104" s="392"/>
      <c r="Q2104" s="363"/>
      <c r="T2104" s="110"/>
      <c r="V2104" s="232"/>
      <c r="W2104" s="269"/>
      <c r="X2104" s="201"/>
      <c r="Y2104" s="269"/>
      <c r="Z2104" s="269"/>
      <c r="AA2104" s="134"/>
      <c r="AB2104" s="269"/>
      <c r="AC2104" s="284"/>
      <c r="AD2104" s="284"/>
      <c r="AE2104" s="269"/>
    </row>
    <row r="2105" spans="2:31">
      <c r="B2105" s="83"/>
      <c r="C2105" s="81"/>
      <c r="D2105" s="83"/>
      <c r="E2105" s="81"/>
      <c r="F2105" s="269"/>
      <c r="G2105" s="48"/>
      <c r="H2105" s="269"/>
      <c r="I2105" s="72"/>
      <c r="J2105" s="330"/>
      <c r="K2105" s="75"/>
      <c r="L2105" s="157"/>
      <c r="M2105" s="341"/>
      <c r="N2105" s="334"/>
      <c r="O2105" s="394"/>
      <c r="P2105" s="392"/>
      <c r="Q2105" s="363"/>
      <c r="T2105" s="110"/>
      <c r="V2105" s="232"/>
      <c r="W2105" s="269"/>
      <c r="X2105" s="201"/>
      <c r="Y2105" s="269"/>
      <c r="Z2105" s="269"/>
      <c r="AA2105" s="134"/>
      <c r="AB2105" s="269"/>
      <c r="AC2105" s="284"/>
      <c r="AD2105" s="284"/>
      <c r="AE2105" s="269"/>
    </row>
    <row r="2106" spans="2:31">
      <c r="B2106" s="83"/>
      <c r="C2106" s="81"/>
      <c r="D2106" s="83"/>
      <c r="E2106" s="81"/>
      <c r="F2106" s="269"/>
      <c r="G2106" s="48"/>
      <c r="H2106" s="269"/>
      <c r="I2106" s="72"/>
      <c r="J2106" s="330"/>
      <c r="K2106" s="75"/>
      <c r="L2106" s="157"/>
      <c r="M2106" s="341"/>
      <c r="N2106" s="334"/>
      <c r="O2106" s="394"/>
      <c r="P2106" s="392"/>
      <c r="Q2106" s="363"/>
      <c r="T2106" s="110"/>
      <c r="V2106" s="232"/>
      <c r="W2106" s="269"/>
      <c r="X2106" s="201"/>
      <c r="Y2106" s="269"/>
      <c r="Z2106" s="269"/>
      <c r="AA2106" s="134"/>
      <c r="AB2106" s="269"/>
      <c r="AC2106" s="284"/>
      <c r="AD2106" s="284"/>
      <c r="AE2106" s="269"/>
    </row>
    <row r="2107" spans="2:31">
      <c r="B2107" s="83"/>
      <c r="C2107" s="81"/>
      <c r="D2107" s="83"/>
      <c r="E2107" s="81"/>
      <c r="F2107" s="269"/>
      <c r="G2107" s="48"/>
      <c r="H2107" s="269"/>
      <c r="I2107" s="72"/>
      <c r="J2107" s="330"/>
      <c r="K2107" s="75"/>
      <c r="L2107" s="157"/>
      <c r="M2107" s="341"/>
      <c r="N2107" s="334"/>
      <c r="O2107" s="394"/>
      <c r="P2107" s="392"/>
      <c r="Q2107" s="363"/>
      <c r="T2107" s="110"/>
      <c r="V2107" s="232"/>
      <c r="W2107" s="269"/>
      <c r="X2107" s="201"/>
      <c r="Y2107" s="269"/>
      <c r="Z2107" s="269"/>
      <c r="AA2107" s="134"/>
      <c r="AB2107" s="269"/>
      <c r="AC2107" s="284"/>
      <c r="AD2107" s="284"/>
      <c r="AE2107" s="269"/>
    </row>
    <row r="2108" spans="2:31">
      <c r="B2108" s="83"/>
      <c r="C2108" s="81"/>
      <c r="D2108" s="83"/>
      <c r="E2108" s="81"/>
      <c r="F2108" s="269"/>
      <c r="G2108" s="48"/>
      <c r="H2108" s="269"/>
      <c r="I2108" s="72"/>
      <c r="J2108" s="330"/>
      <c r="K2108" s="75"/>
      <c r="L2108" s="157"/>
      <c r="M2108" s="341"/>
      <c r="N2108" s="334"/>
      <c r="O2108" s="394"/>
      <c r="P2108" s="392"/>
      <c r="Q2108" s="363"/>
      <c r="T2108" s="110"/>
      <c r="V2108" s="232"/>
      <c r="W2108" s="269"/>
      <c r="X2108" s="201"/>
      <c r="Y2108" s="269"/>
      <c r="Z2108" s="269"/>
      <c r="AA2108" s="134"/>
      <c r="AB2108" s="269"/>
      <c r="AC2108" s="284"/>
      <c r="AD2108" s="284"/>
      <c r="AE2108" s="269"/>
    </row>
    <row r="2109" spans="2:31">
      <c r="B2109" s="83"/>
      <c r="C2109" s="81"/>
      <c r="D2109" s="83"/>
      <c r="E2109" s="81"/>
      <c r="F2109" s="269"/>
      <c r="G2109" s="48"/>
      <c r="H2109" s="269"/>
      <c r="I2109" s="72"/>
      <c r="J2109" s="330"/>
      <c r="K2109" s="75"/>
      <c r="L2109" s="157"/>
      <c r="M2109" s="341"/>
      <c r="N2109" s="334"/>
      <c r="O2109" s="394"/>
      <c r="P2109" s="392"/>
      <c r="Q2109" s="363"/>
      <c r="T2109" s="110"/>
      <c r="V2109" s="232"/>
      <c r="W2109" s="269"/>
      <c r="X2109" s="201"/>
      <c r="Y2109" s="269"/>
      <c r="Z2109" s="269"/>
      <c r="AA2109" s="134"/>
      <c r="AB2109" s="269"/>
      <c r="AC2109" s="284"/>
      <c r="AD2109" s="284"/>
      <c r="AE2109" s="269"/>
    </row>
    <row r="2110" spans="2:31">
      <c r="B2110" s="83"/>
      <c r="C2110" s="81"/>
      <c r="D2110" s="83"/>
      <c r="E2110" s="81"/>
      <c r="F2110" s="269"/>
      <c r="G2110" s="48"/>
      <c r="H2110" s="269"/>
      <c r="I2110" s="72"/>
      <c r="J2110" s="330"/>
      <c r="K2110" s="75"/>
      <c r="L2110" s="157"/>
      <c r="M2110" s="341"/>
      <c r="N2110" s="334"/>
      <c r="O2110" s="394"/>
      <c r="P2110" s="392"/>
      <c r="Q2110" s="363"/>
      <c r="T2110" s="110"/>
      <c r="V2110" s="232"/>
      <c r="W2110" s="269"/>
      <c r="X2110" s="201"/>
      <c r="Y2110" s="269"/>
      <c r="Z2110" s="269"/>
      <c r="AA2110" s="134"/>
      <c r="AB2110" s="269"/>
      <c r="AC2110" s="284"/>
      <c r="AD2110" s="284"/>
      <c r="AE2110" s="269"/>
    </row>
    <row r="2111" spans="2:31">
      <c r="B2111" s="83"/>
      <c r="C2111" s="81"/>
      <c r="D2111" s="83"/>
      <c r="E2111" s="81"/>
      <c r="F2111" s="269"/>
      <c r="G2111" s="48"/>
      <c r="H2111" s="269"/>
      <c r="I2111" s="72"/>
      <c r="J2111" s="330"/>
      <c r="K2111" s="75"/>
      <c r="L2111" s="157"/>
      <c r="M2111" s="341"/>
      <c r="N2111" s="334"/>
      <c r="O2111" s="394"/>
      <c r="P2111" s="392"/>
      <c r="Q2111" s="363"/>
      <c r="T2111" s="110"/>
      <c r="V2111" s="232"/>
      <c r="W2111" s="269"/>
      <c r="X2111" s="201"/>
      <c r="Y2111" s="269"/>
      <c r="Z2111" s="269"/>
      <c r="AA2111" s="134"/>
      <c r="AB2111" s="269"/>
      <c r="AC2111" s="284"/>
      <c r="AD2111" s="284"/>
      <c r="AE2111" s="269"/>
    </row>
    <row r="2112" spans="2:31">
      <c r="B2112" s="83"/>
      <c r="C2112" s="81"/>
      <c r="D2112" s="83"/>
      <c r="E2112" s="81"/>
      <c r="F2112" s="269"/>
      <c r="G2112" s="48"/>
      <c r="H2112" s="269"/>
      <c r="I2112" s="72"/>
      <c r="J2112" s="330"/>
      <c r="K2112" s="75"/>
      <c r="L2112" s="157"/>
      <c r="M2112" s="341"/>
      <c r="N2112" s="334"/>
      <c r="O2112" s="394"/>
      <c r="P2112" s="392"/>
      <c r="Q2112" s="363"/>
      <c r="T2112" s="110"/>
      <c r="V2112" s="232"/>
      <c r="W2112" s="269"/>
      <c r="X2112" s="201"/>
      <c r="Y2112" s="269"/>
      <c r="Z2112" s="269"/>
      <c r="AA2112" s="134"/>
      <c r="AB2112" s="269"/>
      <c r="AC2112" s="284"/>
      <c r="AD2112" s="284"/>
      <c r="AE2112" s="269"/>
    </row>
    <row r="2113" spans="2:31">
      <c r="B2113" s="83"/>
      <c r="C2113" s="81"/>
      <c r="D2113" s="83"/>
      <c r="E2113" s="81"/>
      <c r="F2113" s="269"/>
      <c r="G2113" s="48"/>
      <c r="H2113" s="269"/>
      <c r="I2113" s="72"/>
      <c r="J2113" s="330"/>
      <c r="K2113" s="75"/>
      <c r="L2113" s="157"/>
      <c r="M2113" s="341"/>
      <c r="N2113" s="334"/>
      <c r="O2113" s="394"/>
      <c r="P2113" s="392"/>
      <c r="Q2113" s="363"/>
      <c r="T2113" s="110"/>
      <c r="V2113" s="232"/>
      <c r="W2113" s="269"/>
      <c r="X2113" s="201"/>
      <c r="Y2113" s="269"/>
      <c r="Z2113" s="269"/>
      <c r="AA2113" s="134"/>
      <c r="AB2113" s="269"/>
      <c r="AC2113" s="284"/>
      <c r="AD2113" s="284"/>
      <c r="AE2113" s="269"/>
    </row>
    <row r="2114" spans="2:31">
      <c r="B2114" s="83"/>
      <c r="C2114" s="81"/>
      <c r="D2114" s="83"/>
      <c r="E2114" s="81"/>
      <c r="F2114" s="269"/>
      <c r="G2114" s="48"/>
      <c r="H2114" s="269"/>
      <c r="I2114" s="72"/>
      <c r="J2114" s="330"/>
      <c r="K2114" s="75"/>
      <c r="L2114" s="157"/>
      <c r="M2114" s="341"/>
      <c r="N2114" s="334"/>
      <c r="O2114" s="394"/>
      <c r="P2114" s="392"/>
      <c r="Q2114" s="363"/>
      <c r="T2114" s="110"/>
      <c r="V2114" s="232"/>
      <c r="W2114" s="269"/>
      <c r="X2114" s="201"/>
      <c r="Y2114" s="269"/>
      <c r="Z2114" s="269"/>
      <c r="AA2114" s="134"/>
      <c r="AB2114" s="269"/>
      <c r="AC2114" s="284"/>
      <c r="AD2114" s="284"/>
      <c r="AE2114" s="269"/>
    </row>
    <row r="2115" spans="2:31">
      <c r="B2115" s="83"/>
      <c r="C2115" s="81"/>
      <c r="D2115" s="83"/>
      <c r="E2115" s="81"/>
      <c r="F2115" s="269"/>
      <c r="G2115" s="48"/>
      <c r="H2115" s="269"/>
      <c r="I2115" s="72"/>
      <c r="J2115" s="330"/>
      <c r="K2115" s="75"/>
      <c r="L2115" s="157"/>
      <c r="M2115" s="341"/>
      <c r="N2115" s="334"/>
      <c r="O2115" s="394"/>
      <c r="P2115" s="392"/>
      <c r="Q2115" s="363"/>
      <c r="T2115" s="110"/>
      <c r="V2115" s="232"/>
      <c r="W2115" s="269"/>
      <c r="X2115" s="201"/>
      <c r="Y2115" s="269"/>
      <c r="Z2115" s="269"/>
      <c r="AA2115" s="134"/>
      <c r="AB2115" s="269"/>
      <c r="AC2115" s="284"/>
      <c r="AD2115" s="284"/>
      <c r="AE2115" s="269"/>
    </row>
    <row r="2116" spans="2:31">
      <c r="B2116" s="83"/>
      <c r="C2116" s="81"/>
      <c r="D2116" s="83"/>
      <c r="E2116" s="81"/>
      <c r="F2116" s="269"/>
      <c r="G2116" s="48"/>
      <c r="H2116" s="269"/>
      <c r="I2116" s="72"/>
      <c r="J2116" s="330"/>
      <c r="K2116" s="75"/>
      <c r="L2116" s="157"/>
      <c r="M2116" s="341"/>
      <c r="N2116" s="334"/>
      <c r="O2116" s="394"/>
      <c r="P2116" s="392"/>
      <c r="Q2116" s="363"/>
      <c r="T2116" s="110"/>
      <c r="V2116" s="232"/>
      <c r="W2116" s="269"/>
      <c r="X2116" s="201"/>
      <c r="Y2116" s="269"/>
      <c r="Z2116" s="269"/>
      <c r="AA2116" s="134"/>
      <c r="AB2116" s="269"/>
      <c r="AC2116" s="284"/>
      <c r="AD2116" s="284"/>
      <c r="AE2116" s="269"/>
    </row>
    <row r="2117" spans="2:31">
      <c r="B2117" s="83"/>
      <c r="C2117" s="81"/>
      <c r="D2117" s="83"/>
      <c r="E2117" s="81"/>
      <c r="F2117" s="269"/>
      <c r="G2117" s="48"/>
      <c r="H2117" s="269"/>
      <c r="I2117" s="72"/>
      <c r="J2117" s="330"/>
      <c r="K2117" s="75"/>
      <c r="L2117" s="157"/>
      <c r="M2117" s="341"/>
      <c r="N2117" s="334"/>
      <c r="O2117" s="394"/>
      <c r="P2117" s="392"/>
      <c r="Q2117" s="363"/>
      <c r="T2117" s="110"/>
      <c r="V2117" s="232"/>
      <c r="W2117" s="269"/>
      <c r="X2117" s="201"/>
      <c r="Y2117" s="269"/>
      <c r="Z2117" s="269"/>
      <c r="AA2117" s="134"/>
      <c r="AB2117" s="269"/>
      <c r="AC2117" s="284"/>
      <c r="AD2117" s="284"/>
      <c r="AE2117" s="269"/>
    </row>
    <row r="2118" spans="2:31">
      <c r="B2118" s="83"/>
      <c r="C2118" s="81"/>
      <c r="D2118" s="83"/>
      <c r="E2118" s="81"/>
      <c r="F2118" s="269"/>
      <c r="G2118" s="48"/>
      <c r="H2118" s="269"/>
      <c r="I2118" s="72"/>
      <c r="J2118" s="330"/>
      <c r="K2118" s="75"/>
      <c r="L2118" s="157"/>
      <c r="M2118" s="341"/>
      <c r="N2118" s="334"/>
      <c r="O2118" s="394"/>
      <c r="P2118" s="392"/>
      <c r="Q2118" s="363"/>
      <c r="T2118" s="110"/>
      <c r="V2118" s="232"/>
      <c r="W2118" s="269"/>
      <c r="X2118" s="201"/>
      <c r="Y2118" s="269"/>
      <c r="Z2118" s="269"/>
      <c r="AA2118" s="134"/>
      <c r="AB2118" s="269"/>
      <c r="AC2118" s="284"/>
      <c r="AD2118" s="284"/>
      <c r="AE2118" s="269"/>
    </row>
    <row r="2119" spans="2:31">
      <c r="B2119" s="83"/>
      <c r="C2119" s="81"/>
      <c r="D2119" s="83"/>
      <c r="E2119" s="81"/>
      <c r="F2119" s="269"/>
      <c r="G2119" s="48"/>
      <c r="H2119" s="269"/>
      <c r="I2119" s="72"/>
      <c r="J2119" s="330"/>
      <c r="K2119" s="75"/>
      <c r="L2119" s="157"/>
      <c r="M2119" s="341"/>
      <c r="N2119" s="334"/>
      <c r="O2119" s="394"/>
      <c r="P2119" s="392"/>
      <c r="Q2119" s="363"/>
      <c r="T2119" s="110"/>
      <c r="V2119" s="232"/>
      <c r="W2119" s="269"/>
      <c r="X2119" s="201"/>
      <c r="Y2119" s="269"/>
      <c r="Z2119" s="269"/>
      <c r="AA2119" s="134"/>
      <c r="AB2119" s="269"/>
      <c r="AC2119" s="284"/>
      <c r="AD2119" s="284"/>
      <c r="AE2119" s="269"/>
    </row>
    <row r="2120" spans="2:31">
      <c r="B2120" s="83"/>
      <c r="C2120" s="81"/>
      <c r="D2120" s="83"/>
      <c r="E2120" s="81"/>
      <c r="F2120" s="269"/>
      <c r="G2120" s="48"/>
      <c r="H2120" s="269"/>
      <c r="I2120" s="72"/>
      <c r="J2120" s="330"/>
      <c r="K2120" s="75"/>
      <c r="L2120" s="157"/>
      <c r="M2120" s="341"/>
      <c r="N2120" s="334"/>
      <c r="O2120" s="394"/>
      <c r="P2120" s="392"/>
      <c r="Q2120" s="363"/>
      <c r="T2120" s="110"/>
      <c r="V2120" s="232"/>
      <c r="W2120" s="269"/>
      <c r="X2120" s="201"/>
      <c r="Y2120" s="269"/>
      <c r="Z2120" s="269"/>
      <c r="AA2120" s="134"/>
      <c r="AB2120" s="269"/>
      <c r="AC2120" s="284"/>
      <c r="AD2120" s="284"/>
      <c r="AE2120" s="269"/>
    </row>
    <row r="2121" spans="2:31">
      <c r="B2121" s="83"/>
      <c r="C2121" s="81"/>
      <c r="D2121" s="83"/>
      <c r="E2121" s="81"/>
      <c r="F2121" s="269"/>
      <c r="G2121" s="48"/>
      <c r="H2121" s="269"/>
      <c r="I2121" s="72"/>
      <c r="J2121" s="330"/>
      <c r="K2121" s="75"/>
      <c r="L2121" s="157"/>
      <c r="M2121" s="341"/>
      <c r="N2121" s="334"/>
      <c r="O2121" s="394"/>
      <c r="P2121" s="392"/>
      <c r="Q2121" s="363"/>
      <c r="T2121" s="110"/>
      <c r="V2121" s="232"/>
      <c r="W2121" s="269"/>
      <c r="X2121" s="201"/>
      <c r="Y2121" s="269"/>
      <c r="Z2121" s="269"/>
      <c r="AA2121" s="134"/>
      <c r="AB2121" s="269"/>
      <c r="AC2121" s="284"/>
      <c r="AD2121" s="284"/>
      <c r="AE2121" s="269"/>
    </row>
    <row r="2122" spans="2:31">
      <c r="B2122" s="83"/>
      <c r="C2122" s="81"/>
      <c r="D2122" s="83"/>
      <c r="E2122" s="81"/>
      <c r="F2122" s="269"/>
      <c r="G2122" s="48"/>
      <c r="H2122" s="269"/>
      <c r="I2122" s="72"/>
      <c r="J2122" s="330"/>
      <c r="K2122" s="75"/>
      <c r="L2122" s="157"/>
      <c r="M2122" s="341"/>
      <c r="N2122" s="334"/>
      <c r="O2122" s="394"/>
      <c r="P2122" s="392"/>
      <c r="Q2122" s="363"/>
      <c r="T2122" s="110"/>
      <c r="V2122" s="232"/>
      <c r="W2122" s="269"/>
      <c r="X2122" s="201"/>
      <c r="Y2122" s="269"/>
      <c r="Z2122" s="269"/>
      <c r="AA2122" s="134"/>
      <c r="AB2122" s="269"/>
      <c r="AC2122" s="284"/>
      <c r="AD2122" s="284"/>
      <c r="AE2122" s="269"/>
    </row>
    <row r="2123" spans="2:31">
      <c r="B2123" s="83"/>
      <c r="C2123" s="81"/>
      <c r="D2123" s="83"/>
      <c r="E2123" s="81"/>
      <c r="F2123" s="269"/>
      <c r="G2123" s="48"/>
      <c r="H2123" s="269"/>
      <c r="I2123" s="72"/>
      <c r="J2123" s="330"/>
      <c r="K2123" s="75"/>
      <c r="L2123" s="157"/>
      <c r="M2123" s="341"/>
      <c r="N2123" s="334"/>
      <c r="O2123" s="394"/>
      <c r="P2123" s="392"/>
      <c r="Q2123" s="363"/>
      <c r="T2123" s="110"/>
      <c r="V2123" s="232"/>
      <c r="W2123" s="269"/>
      <c r="X2123" s="201"/>
      <c r="Y2123" s="269"/>
      <c r="Z2123" s="269"/>
      <c r="AA2123" s="134"/>
      <c r="AB2123" s="269"/>
      <c r="AC2123" s="284"/>
      <c r="AD2123" s="284"/>
      <c r="AE2123" s="269"/>
    </row>
    <row r="2124" spans="2:31">
      <c r="B2124" s="83"/>
      <c r="C2124" s="81"/>
      <c r="D2124" s="83"/>
      <c r="E2124" s="81"/>
      <c r="F2124" s="269"/>
      <c r="G2124" s="48"/>
      <c r="H2124" s="269"/>
      <c r="I2124" s="72"/>
      <c r="J2124" s="330"/>
      <c r="K2124" s="75"/>
      <c r="L2124" s="157"/>
      <c r="M2124" s="341"/>
      <c r="N2124" s="334"/>
      <c r="O2124" s="394"/>
      <c r="P2124" s="392"/>
      <c r="Q2124" s="363"/>
      <c r="T2124" s="110"/>
      <c r="V2124" s="232"/>
      <c r="W2124" s="269"/>
      <c r="X2124" s="201"/>
      <c r="Y2124" s="269"/>
      <c r="Z2124" s="269"/>
      <c r="AA2124" s="134"/>
      <c r="AB2124" s="269"/>
      <c r="AC2124" s="284"/>
      <c r="AD2124" s="284"/>
      <c r="AE2124" s="269"/>
    </row>
    <row r="2125" spans="2:31">
      <c r="B2125" s="83"/>
      <c r="C2125" s="81"/>
      <c r="D2125" s="83"/>
      <c r="E2125" s="81"/>
      <c r="F2125" s="269"/>
      <c r="G2125" s="48"/>
      <c r="H2125" s="269"/>
      <c r="I2125" s="72"/>
      <c r="J2125" s="330"/>
      <c r="K2125" s="75"/>
      <c r="L2125" s="157"/>
      <c r="M2125" s="341"/>
      <c r="N2125" s="334"/>
      <c r="O2125" s="394"/>
      <c r="P2125" s="392"/>
      <c r="Q2125" s="363"/>
      <c r="T2125" s="110"/>
      <c r="V2125" s="232"/>
      <c r="W2125" s="269"/>
      <c r="X2125" s="201"/>
      <c r="Y2125" s="269"/>
      <c r="Z2125" s="269"/>
      <c r="AA2125" s="134"/>
      <c r="AB2125" s="269"/>
      <c r="AC2125" s="284"/>
      <c r="AD2125" s="284"/>
      <c r="AE2125" s="269"/>
    </row>
    <row r="2126" spans="2:31">
      <c r="B2126" s="83"/>
      <c r="C2126" s="81"/>
      <c r="D2126" s="83"/>
      <c r="E2126" s="81"/>
      <c r="F2126" s="269"/>
      <c r="G2126" s="48"/>
      <c r="H2126" s="269"/>
      <c r="I2126" s="72"/>
      <c r="J2126" s="330"/>
      <c r="K2126" s="75"/>
      <c r="L2126" s="157"/>
      <c r="M2126" s="341"/>
      <c r="N2126" s="334"/>
      <c r="O2126" s="394"/>
      <c r="P2126" s="392"/>
      <c r="Q2126" s="363"/>
      <c r="T2126" s="110"/>
      <c r="V2126" s="232"/>
      <c r="W2126" s="269"/>
      <c r="X2126" s="201"/>
      <c r="Y2126" s="269"/>
      <c r="Z2126" s="269"/>
      <c r="AA2126" s="134"/>
      <c r="AB2126" s="269"/>
      <c r="AC2126" s="284"/>
      <c r="AD2126" s="284"/>
      <c r="AE2126" s="269"/>
    </row>
    <row r="2127" spans="2:31">
      <c r="B2127" s="83"/>
      <c r="C2127" s="81"/>
      <c r="D2127" s="83"/>
      <c r="E2127" s="81"/>
      <c r="F2127" s="269"/>
      <c r="G2127" s="48"/>
      <c r="H2127" s="269"/>
      <c r="I2127" s="72"/>
      <c r="J2127" s="330"/>
      <c r="K2127" s="75"/>
      <c r="L2127" s="157"/>
      <c r="M2127" s="341"/>
      <c r="N2127" s="334"/>
      <c r="O2127" s="394"/>
      <c r="P2127" s="392"/>
      <c r="Q2127" s="363"/>
      <c r="T2127" s="110"/>
      <c r="V2127" s="232"/>
      <c r="W2127" s="269"/>
      <c r="X2127" s="201"/>
      <c r="Y2127" s="269"/>
      <c r="Z2127" s="269"/>
      <c r="AA2127" s="134"/>
      <c r="AB2127" s="269"/>
      <c r="AC2127" s="284"/>
      <c r="AD2127" s="284"/>
      <c r="AE2127" s="269"/>
    </row>
    <row r="2128" spans="2:31">
      <c r="B2128" s="83"/>
      <c r="C2128" s="81"/>
      <c r="D2128" s="83"/>
      <c r="E2128" s="81"/>
      <c r="F2128" s="269"/>
      <c r="G2128" s="48"/>
      <c r="H2128" s="269"/>
      <c r="I2128" s="72"/>
      <c r="J2128" s="330"/>
      <c r="K2128" s="75"/>
      <c r="L2128" s="157"/>
      <c r="M2128" s="341"/>
      <c r="N2128" s="334"/>
      <c r="O2128" s="394"/>
      <c r="P2128" s="392"/>
      <c r="Q2128" s="363"/>
      <c r="T2128" s="110"/>
      <c r="V2128" s="232"/>
      <c r="W2128" s="269"/>
      <c r="X2128" s="201"/>
      <c r="Y2128" s="269"/>
      <c r="Z2128" s="269"/>
      <c r="AA2128" s="134"/>
      <c r="AB2128" s="269"/>
      <c r="AC2128" s="284"/>
      <c r="AD2128" s="284"/>
      <c r="AE2128" s="269"/>
    </row>
    <row r="2129" spans="2:31">
      <c r="B2129" s="83"/>
      <c r="C2129" s="81"/>
      <c r="D2129" s="83"/>
      <c r="E2129" s="81"/>
      <c r="F2129" s="269"/>
      <c r="G2129" s="48"/>
      <c r="H2129" s="269"/>
      <c r="I2129" s="72"/>
      <c r="J2129" s="330"/>
      <c r="K2129" s="75"/>
      <c r="L2129" s="157"/>
      <c r="M2129" s="341"/>
      <c r="N2129" s="334"/>
      <c r="O2129" s="394"/>
      <c r="P2129" s="392"/>
      <c r="Q2129" s="363"/>
      <c r="T2129" s="110"/>
      <c r="V2129" s="232"/>
      <c r="W2129" s="269"/>
      <c r="X2129" s="201"/>
      <c r="Y2129" s="269"/>
      <c r="Z2129" s="269"/>
      <c r="AA2129" s="134"/>
      <c r="AB2129" s="269"/>
      <c r="AC2129" s="284"/>
      <c r="AD2129" s="284"/>
      <c r="AE2129" s="269"/>
    </row>
    <row r="2130" spans="2:31">
      <c r="B2130" s="83"/>
      <c r="C2130" s="81"/>
      <c r="D2130" s="83"/>
      <c r="E2130" s="81"/>
      <c r="F2130" s="269"/>
      <c r="G2130" s="48"/>
      <c r="H2130" s="269"/>
      <c r="I2130" s="72"/>
      <c r="J2130" s="330"/>
      <c r="K2130" s="75"/>
      <c r="L2130" s="157"/>
      <c r="M2130" s="341"/>
      <c r="N2130" s="334"/>
      <c r="O2130" s="394"/>
      <c r="P2130" s="392"/>
      <c r="Q2130" s="363"/>
      <c r="T2130" s="110"/>
      <c r="V2130" s="232"/>
      <c r="W2130" s="269"/>
      <c r="X2130" s="201"/>
      <c r="Y2130" s="269"/>
      <c r="Z2130" s="269"/>
      <c r="AA2130" s="134"/>
      <c r="AB2130" s="269"/>
      <c r="AC2130" s="284"/>
      <c r="AD2130" s="284"/>
      <c r="AE2130" s="269"/>
    </row>
    <row r="2131" spans="2:31">
      <c r="B2131" s="83"/>
      <c r="C2131" s="81"/>
      <c r="D2131" s="83"/>
      <c r="E2131" s="81"/>
      <c r="F2131" s="269"/>
      <c r="G2131" s="48"/>
      <c r="H2131" s="269"/>
      <c r="I2131" s="72"/>
      <c r="J2131" s="330"/>
      <c r="K2131" s="75"/>
      <c r="L2131" s="157"/>
      <c r="M2131" s="341"/>
      <c r="N2131" s="334"/>
      <c r="O2131" s="394"/>
      <c r="P2131" s="392"/>
      <c r="Q2131" s="363"/>
      <c r="T2131" s="110"/>
      <c r="V2131" s="232"/>
      <c r="W2131" s="269"/>
      <c r="X2131" s="201"/>
      <c r="Y2131" s="269"/>
      <c r="Z2131" s="269"/>
      <c r="AA2131" s="134"/>
      <c r="AB2131" s="269"/>
      <c r="AC2131" s="284"/>
      <c r="AD2131" s="284"/>
      <c r="AE2131" s="269"/>
    </row>
    <row r="2132" spans="2:31">
      <c r="B2132" s="83"/>
      <c r="C2132" s="81"/>
      <c r="D2132" s="83"/>
      <c r="E2132" s="81"/>
      <c r="F2132" s="269"/>
      <c r="G2132" s="48"/>
      <c r="H2132" s="269"/>
      <c r="I2132" s="72"/>
      <c r="J2132" s="330"/>
      <c r="K2132" s="75"/>
      <c r="L2132" s="157"/>
      <c r="M2132" s="341"/>
      <c r="N2132" s="334"/>
      <c r="O2132" s="394"/>
      <c r="P2132" s="392"/>
      <c r="Q2132" s="363"/>
      <c r="T2132" s="110"/>
      <c r="V2132" s="232"/>
      <c r="W2132" s="269"/>
      <c r="X2132" s="201"/>
      <c r="Y2132" s="269"/>
      <c r="Z2132" s="269"/>
      <c r="AA2132" s="134"/>
      <c r="AB2132" s="269"/>
      <c r="AC2132" s="284"/>
      <c r="AD2132" s="284"/>
      <c r="AE2132" s="269"/>
    </row>
    <row r="2133" spans="2:31">
      <c r="B2133" s="83"/>
      <c r="C2133" s="81"/>
      <c r="D2133" s="83"/>
      <c r="E2133" s="81"/>
      <c r="F2133" s="269"/>
      <c r="G2133" s="48"/>
      <c r="H2133" s="269"/>
      <c r="I2133" s="72"/>
      <c r="J2133" s="330"/>
      <c r="K2133" s="75"/>
      <c r="L2133" s="157"/>
      <c r="M2133" s="341"/>
      <c r="N2133" s="334"/>
      <c r="O2133" s="394"/>
      <c r="P2133" s="392"/>
      <c r="Q2133" s="363"/>
      <c r="T2133" s="110"/>
      <c r="V2133" s="232"/>
      <c r="W2133" s="269"/>
      <c r="X2133" s="201"/>
      <c r="Y2133" s="269"/>
      <c r="Z2133" s="269"/>
      <c r="AA2133" s="134"/>
      <c r="AB2133" s="269"/>
      <c r="AC2133" s="284"/>
      <c r="AD2133" s="284"/>
      <c r="AE2133" s="269"/>
    </row>
    <row r="2134" spans="2:31">
      <c r="B2134" s="83"/>
      <c r="C2134" s="81"/>
      <c r="D2134" s="83"/>
      <c r="E2134" s="81"/>
      <c r="F2134" s="269"/>
      <c r="G2134" s="48"/>
      <c r="H2134" s="269"/>
      <c r="I2134" s="72"/>
      <c r="J2134" s="330"/>
      <c r="K2134" s="75"/>
      <c r="L2134" s="157"/>
      <c r="M2134" s="341"/>
      <c r="N2134" s="334"/>
      <c r="O2134" s="394"/>
      <c r="P2134" s="392"/>
      <c r="Q2134" s="363"/>
      <c r="T2134" s="110"/>
      <c r="V2134" s="232"/>
      <c r="W2134" s="269"/>
      <c r="X2134" s="201"/>
      <c r="Y2134" s="269"/>
      <c r="Z2134" s="269"/>
      <c r="AA2134" s="134"/>
      <c r="AB2134" s="269"/>
      <c r="AC2134" s="284"/>
      <c r="AD2134" s="284"/>
      <c r="AE2134" s="269"/>
    </row>
    <row r="2135" spans="2:31">
      <c r="B2135" s="83"/>
      <c r="C2135" s="81"/>
      <c r="D2135" s="83"/>
      <c r="E2135" s="81"/>
      <c r="F2135" s="269"/>
      <c r="G2135" s="48"/>
      <c r="H2135" s="269"/>
      <c r="I2135" s="72"/>
      <c r="J2135" s="330"/>
      <c r="K2135" s="75"/>
      <c r="L2135" s="157"/>
      <c r="M2135" s="341"/>
      <c r="N2135" s="334"/>
      <c r="O2135" s="394"/>
      <c r="P2135" s="392"/>
      <c r="Q2135" s="363"/>
      <c r="T2135" s="110"/>
      <c r="V2135" s="232"/>
      <c r="W2135" s="269"/>
      <c r="X2135" s="201"/>
      <c r="Y2135" s="269"/>
      <c r="Z2135" s="269"/>
      <c r="AA2135" s="134"/>
      <c r="AB2135" s="269"/>
      <c r="AC2135" s="284"/>
      <c r="AD2135" s="284"/>
      <c r="AE2135" s="269"/>
    </row>
    <row r="2136" spans="2:31">
      <c r="B2136" s="83"/>
      <c r="C2136" s="81"/>
      <c r="D2136" s="83"/>
      <c r="E2136" s="81"/>
      <c r="F2136" s="269"/>
      <c r="G2136" s="48"/>
      <c r="H2136" s="269"/>
      <c r="I2136" s="72"/>
      <c r="J2136" s="330"/>
      <c r="K2136" s="75"/>
      <c r="L2136" s="157"/>
      <c r="M2136" s="341"/>
      <c r="N2136" s="334"/>
      <c r="O2136" s="394"/>
      <c r="P2136" s="392"/>
      <c r="Q2136" s="363"/>
      <c r="T2136" s="110"/>
      <c r="V2136" s="232"/>
      <c r="W2136" s="269"/>
      <c r="X2136" s="201"/>
      <c r="Y2136" s="269"/>
      <c r="Z2136" s="269"/>
      <c r="AA2136" s="134"/>
      <c r="AB2136" s="269"/>
      <c r="AC2136" s="284"/>
      <c r="AD2136" s="284"/>
      <c r="AE2136" s="269"/>
    </row>
    <row r="2137" spans="2:31">
      <c r="B2137" s="83"/>
      <c r="C2137" s="81"/>
      <c r="D2137" s="83"/>
      <c r="E2137" s="81"/>
      <c r="F2137" s="269"/>
      <c r="G2137" s="48"/>
      <c r="H2137" s="269"/>
      <c r="I2137" s="72"/>
      <c r="J2137" s="330"/>
      <c r="K2137" s="75"/>
      <c r="L2137" s="157"/>
      <c r="M2137" s="341"/>
      <c r="N2137" s="334"/>
      <c r="O2137" s="394"/>
      <c r="P2137" s="392"/>
      <c r="Q2137" s="363"/>
      <c r="T2137" s="110"/>
      <c r="V2137" s="232"/>
      <c r="W2137" s="269"/>
      <c r="X2137" s="201"/>
      <c r="Y2137" s="269"/>
      <c r="Z2137" s="269"/>
      <c r="AA2137" s="134"/>
      <c r="AB2137" s="269"/>
      <c r="AC2137" s="284"/>
      <c r="AD2137" s="284"/>
      <c r="AE2137" s="269"/>
    </row>
    <row r="2138" spans="2:31">
      <c r="B2138" s="83"/>
      <c r="C2138" s="81"/>
      <c r="D2138" s="83"/>
      <c r="E2138" s="81"/>
      <c r="F2138" s="269"/>
      <c r="G2138" s="48"/>
      <c r="H2138" s="269"/>
      <c r="I2138" s="72"/>
      <c r="J2138" s="330"/>
      <c r="K2138" s="75"/>
      <c r="L2138" s="157"/>
      <c r="M2138" s="341"/>
      <c r="N2138" s="334"/>
      <c r="O2138" s="394"/>
      <c r="P2138" s="392"/>
      <c r="Q2138" s="363"/>
      <c r="T2138" s="110"/>
      <c r="V2138" s="232"/>
      <c r="W2138" s="269"/>
      <c r="X2138" s="201"/>
      <c r="Y2138" s="269"/>
      <c r="Z2138" s="269"/>
      <c r="AA2138" s="134"/>
      <c r="AB2138" s="269"/>
      <c r="AC2138" s="284"/>
      <c r="AD2138" s="284"/>
      <c r="AE2138" s="269"/>
    </row>
    <row r="2139" spans="2:31">
      <c r="B2139" s="83"/>
      <c r="C2139" s="81"/>
      <c r="D2139" s="83"/>
      <c r="E2139" s="81"/>
      <c r="F2139" s="269"/>
      <c r="G2139" s="48"/>
      <c r="H2139" s="269"/>
      <c r="I2139" s="72"/>
      <c r="J2139" s="330"/>
      <c r="K2139" s="75"/>
      <c r="L2139" s="157"/>
      <c r="M2139" s="341"/>
      <c r="N2139" s="334"/>
      <c r="O2139" s="394"/>
      <c r="P2139" s="392"/>
      <c r="Q2139" s="363"/>
      <c r="T2139" s="110"/>
      <c r="V2139" s="232"/>
      <c r="W2139" s="269"/>
      <c r="X2139" s="201"/>
      <c r="Y2139" s="269"/>
      <c r="Z2139" s="269"/>
      <c r="AA2139" s="134"/>
      <c r="AB2139" s="269"/>
      <c r="AC2139" s="284"/>
      <c r="AD2139" s="284"/>
      <c r="AE2139" s="269"/>
    </row>
    <row r="2140" spans="2:31">
      <c r="B2140" s="83"/>
      <c r="C2140" s="81"/>
      <c r="D2140" s="83"/>
      <c r="E2140" s="81"/>
      <c r="F2140" s="269"/>
      <c r="G2140" s="48"/>
      <c r="H2140" s="269"/>
      <c r="I2140" s="72"/>
      <c r="J2140" s="330"/>
      <c r="K2140" s="75"/>
      <c r="L2140" s="157"/>
      <c r="M2140" s="341"/>
      <c r="N2140" s="334"/>
      <c r="O2140" s="394"/>
      <c r="P2140" s="392"/>
      <c r="Q2140" s="363"/>
      <c r="T2140" s="110"/>
      <c r="V2140" s="232"/>
      <c r="W2140" s="269"/>
      <c r="X2140" s="201"/>
      <c r="Y2140" s="269"/>
      <c r="Z2140" s="269"/>
      <c r="AA2140" s="134"/>
      <c r="AB2140" s="269"/>
      <c r="AC2140" s="284"/>
      <c r="AD2140" s="284"/>
      <c r="AE2140" s="269"/>
    </row>
    <row r="2141" spans="2:31">
      <c r="B2141" s="83"/>
      <c r="C2141" s="81"/>
      <c r="D2141" s="83"/>
      <c r="E2141" s="81"/>
      <c r="F2141" s="269"/>
      <c r="G2141" s="48"/>
      <c r="H2141" s="269"/>
      <c r="I2141" s="72"/>
      <c r="J2141" s="330"/>
      <c r="K2141" s="75"/>
      <c r="L2141" s="157"/>
      <c r="M2141" s="341"/>
      <c r="N2141" s="334"/>
      <c r="O2141" s="394"/>
      <c r="P2141" s="392"/>
      <c r="Q2141" s="363"/>
      <c r="T2141" s="110"/>
      <c r="V2141" s="232"/>
      <c r="W2141" s="269"/>
      <c r="X2141" s="201"/>
      <c r="Y2141" s="269"/>
      <c r="Z2141" s="269"/>
      <c r="AA2141" s="134"/>
      <c r="AB2141" s="269"/>
      <c r="AC2141" s="284"/>
      <c r="AD2141" s="284"/>
      <c r="AE2141" s="269"/>
    </row>
    <row r="2142" spans="2:31">
      <c r="B2142" s="83"/>
      <c r="C2142" s="81"/>
      <c r="D2142" s="83"/>
      <c r="E2142" s="81"/>
      <c r="F2142" s="269"/>
      <c r="G2142" s="48"/>
      <c r="H2142" s="269"/>
      <c r="I2142" s="72"/>
      <c r="J2142" s="330"/>
      <c r="K2142" s="75"/>
      <c r="L2142" s="157"/>
      <c r="M2142" s="341"/>
      <c r="N2142" s="334"/>
      <c r="O2142" s="394"/>
      <c r="P2142" s="392"/>
      <c r="Q2142" s="363"/>
      <c r="T2142" s="110"/>
      <c r="V2142" s="232"/>
      <c r="W2142" s="269"/>
      <c r="X2142" s="201"/>
      <c r="Y2142" s="269"/>
      <c r="Z2142" s="269"/>
      <c r="AA2142" s="134"/>
      <c r="AB2142" s="269"/>
      <c r="AC2142" s="284"/>
      <c r="AD2142" s="284"/>
      <c r="AE2142" s="269"/>
    </row>
    <row r="2143" spans="2:31">
      <c r="B2143" s="83"/>
      <c r="C2143" s="81"/>
      <c r="D2143" s="83"/>
      <c r="E2143" s="81"/>
      <c r="F2143" s="269"/>
      <c r="G2143" s="48"/>
      <c r="H2143" s="269"/>
      <c r="I2143" s="72"/>
      <c r="J2143" s="330"/>
      <c r="K2143" s="75"/>
      <c r="L2143" s="157"/>
      <c r="M2143" s="341"/>
      <c r="N2143" s="334"/>
      <c r="O2143" s="394"/>
      <c r="P2143" s="392"/>
      <c r="Q2143" s="363"/>
      <c r="T2143" s="110"/>
      <c r="V2143" s="232"/>
      <c r="W2143" s="269"/>
      <c r="X2143" s="201"/>
      <c r="Y2143" s="269"/>
      <c r="Z2143" s="269"/>
      <c r="AA2143" s="134"/>
      <c r="AB2143" s="269"/>
      <c r="AC2143" s="284"/>
      <c r="AD2143" s="284"/>
      <c r="AE2143" s="269"/>
    </row>
    <row r="2144" spans="2:31">
      <c r="B2144" s="83"/>
      <c r="C2144" s="81"/>
      <c r="D2144" s="83"/>
      <c r="E2144" s="81"/>
      <c r="F2144" s="269"/>
      <c r="G2144" s="48"/>
      <c r="H2144" s="269"/>
      <c r="I2144" s="72"/>
      <c r="J2144" s="330"/>
      <c r="K2144" s="75"/>
      <c r="L2144" s="157"/>
      <c r="M2144" s="341"/>
      <c r="N2144" s="334"/>
      <c r="O2144" s="394"/>
      <c r="P2144" s="392"/>
      <c r="Q2144" s="363"/>
      <c r="T2144" s="110"/>
      <c r="V2144" s="232"/>
      <c r="W2144" s="269"/>
      <c r="X2144" s="201"/>
      <c r="Y2144" s="269"/>
      <c r="Z2144" s="269"/>
      <c r="AA2144" s="134"/>
      <c r="AB2144" s="269"/>
      <c r="AC2144" s="284"/>
      <c r="AD2144" s="284"/>
      <c r="AE2144" s="269"/>
    </row>
    <row r="2145" spans="2:31">
      <c r="B2145" s="83"/>
      <c r="C2145" s="81"/>
      <c r="D2145" s="83"/>
      <c r="E2145" s="81"/>
      <c r="F2145" s="269"/>
      <c r="G2145" s="48"/>
      <c r="H2145" s="269"/>
      <c r="I2145" s="72"/>
      <c r="J2145" s="330"/>
      <c r="K2145" s="75"/>
      <c r="L2145" s="157"/>
      <c r="M2145" s="341"/>
      <c r="N2145" s="334"/>
      <c r="O2145" s="394"/>
      <c r="P2145" s="392"/>
      <c r="Q2145" s="363"/>
      <c r="T2145" s="110"/>
      <c r="V2145" s="232"/>
      <c r="W2145" s="269"/>
      <c r="X2145" s="201"/>
      <c r="Y2145" s="269"/>
      <c r="Z2145" s="269"/>
      <c r="AA2145" s="134"/>
      <c r="AB2145" s="269"/>
      <c r="AC2145" s="284"/>
      <c r="AD2145" s="284"/>
      <c r="AE2145" s="269"/>
    </row>
    <row r="2146" spans="2:31">
      <c r="B2146" s="83"/>
      <c r="C2146" s="81"/>
      <c r="D2146" s="83"/>
      <c r="E2146" s="81"/>
      <c r="F2146" s="269"/>
      <c r="G2146" s="48"/>
      <c r="H2146" s="269"/>
      <c r="I2146" s="72"/>
      <c r="J2146" s="330"/>
      <c r="K2146" s="75"/>
      <c r="L2146" s="157"/>
      <c r="M2146" s="341"/>
      <c r="N2146" s="334"/>
      <c r="O2146" s="394"/>
      <c r="P2146" s="392"/>
      <c r="Q2146" s="363"/>
      <c r="T2146" s="110"/>
      <c r="V2146" s="232"/>
      <c r="W2146" s="269"/>
      <c r="X2146" s="201"/>
      <c r="Y2146" s="269"/>
      <c r="Z2146" s="269"/>
      <c r="AA2146" s="134"/>
      <c r="AB2146" s="269"/>
      <c r="AC2146" s="284"/>
      <c r="AD2146" s="284"/>
      <c r="AE2146" s="269"/>
    </row>
    <row r="2147" spans="2:31">
      <c r="B2147" s="83"/>
      <c r="C2147" s="81"/>
      <c r="D2147" s="83"/>
      <c r="E2147" s="81"/>
      <c r="F2147" s="269"/>
      <c r="G2147" s="48"/>
      <c r="H2147" s="269"/>
      <c r="I2147" s="72"/>
      <c r="J2147" s="330"/>
      <c r="K2147" s="75"/>
      <c r="L2147" s="157"/>
      <c r="M2147" s="341"/>
      <c r="N2147" s="334"/>
      <c r="O2147" s="394"/>
      <c r="P2147" s="392"/>
      <c r="Q2147" s="363"/>
      <c r="T2147" s="110"/>
      <c r="V2147" s="232"/>
      <c r="W2147" s="269"/>
      <c r="X2147" s="201"/>
      <c r="Y2147" s="269"/>
      <c r="Z2147" s="269"/>
      <c r="AA2147" s="134"/>
      <c r="AB2147" s="269"/>
      <c r="AC2147" s="284"/>
      <c r="AD2147" s="284"/>
      <c r="AE2147" s="269"/>
    </row>
    <row r="2148" spans="2:31">
      <c r="B2148" s="83"/>
      <c r="C2148" s="81"/>
      <c r="D2148" s="83"/>
      <c r="E2148" s="81"/>
      <c r="F2148" s="269"/>
      <c r="G2148" s="48"/>
      <c r="H2148" s="269"/>
      <c r="I2148" s="72"/>
      <c r="J2148" s="330"/>
      <c r="K2148" s="75"/>
      <c r="L2148" s="157"/>
      <c r="M2148" s="341"/>
      <c r="N2148" s="334"/>
      <c r="O2148" s="394"/>
      <c r="P2148" s="392"/>
      <c r="Q2148" s="363"/>
      <c r="T2148" s="110"/>
      <c r="V2148" s="232"/>
      <c r="W2148" s="269"/>
      <c r="X2148" s="201"/>
      <c r="Y2148" s="269"/>
      <c r="Z2148" s="269"/>
      <c r="AA2148" s="134"/>
      <c r="AB2148" s="269"/>
      <c r="AC2148" s="284"/>
      <c r="AD2148" s="284"/>
      <c r="AE2148" s="269"/>
    </row>
    <row r="2149" spans="2:31">
      <c r="B2149" s="83"/>
      <c r="C2149" s="81"/>
      <c r="D2149" s="83"/>
      <c r="E2149" s="81"/>
      <c r="F2149" s="269"/>
      <c r="G2149" s="48"/>
      <c r="H2149" s="269"/>
      <c r="I2149" s="72"/>
      <c r="J2149" s="330"/>
      <c r="K2149" s="75"/>
      <c r="L2149" s="157"/>
      <c r="M2149" s="341"/>
      <c r="N2149" s="334"/>
      <c r="O2149" s="394"/>
      <c r="P2149" s="392"/>
      <c r="Q2149" s="363"/>
      <c r="T2149" s="110"/>
      <c r="V2149" s="232"/>
      <c r="W2149" s="269"/>
      <c r="X2149" s="201"/>
      <c r="Y2149" s="269"/>
      <c r="Z2149" s="269"/>
      <c r="AA2149" s="134"/>
      <c r="AB2149" s="269"/>
      <c r="AC2149" s="284"/>
      <c r="AD2149" s="284"/>
      <c r="AE2149" s="269"/>
    </row>
    <row r="2150" spans="2:31">
      <c r="B2150" s="83"/>
      <c r="C2150" s="81"/>
      <c r="D2150" s="83"/>
      <c r="E2150" s="81"/>
      <c r="F2150" s="269"/>
      <c r="G2150" s="48"/>
      <c r="H2150" s="269"/>
      <c r="I2150" s="72"/>
      <c r="J2150" s="330"/>
      <c r="K2150" s="75"/>
      <c r="L2150" s="157"/>
      <c r="M2150" s="341"/>
      <c r="N2150" s="334"/>
      <c r="O2150" s="394"/>
      <c r="P2150" s="392"/>
      <c r="Q2150" s="363"/>
      <c r="T2150" s="110"/>
      <c r="V2150" s="232"/>
      <c r="W2150" s="269"/>
      <c r="X2150" s="201"/>
      <c r="Y2150" s="269"/>
      <c r="Z2150" s="269"/>
      <c r="AA2150" s="134"/>
      <c r="AB2150" s="269"/>
      <c r="AC2150" s="284"/>
      <c r="AD2150" s="284"/>
      <c r="AE2150" s="269"/>
    </row>
    <row r="2151" spans="2:31">
      <c r="B2151" s="83"/>
      <c r="C2151" s="81"/>
      <c r="D2151" s="83"/>
      <c r="E2151" s="81"/>
      <c r="F2151" s="269"/>
      <c r="G2151" s="48"/>
      <c r="H2151" s="269"/>
      <c r="I2151" s="72"/>
      <c r="J2151" s="330"/>
      <c r="K2151" s="75"/>
      <c r="L2151" s="157"/>
      <c r="M2151" s="341"/>
      <c r="N2151" s="334"/>
      <c r="O2151" s="394"/>
      <c r="P2151" s="392"/>
      <c r="Q2151" s="363"/>
      <c r="T2151" s="110"/>
      <c r="V2151" s="232"/>
      <c r="W2151" s="269"/>
      <c r="X2151" s="201"/>
      <c r="Y2151" s="269"/>
      <c r="Z2151" s="269"/>
      <c r="AA2151" s="134"/>
      <c r="AB2151" s="269"/>
      <c r="AC2151" s="284"/>
      <c r="AD2151" s="284"/>
      <c r="AE2151" s="269"/>
    </row>
    <row r="2152" spans="2:31">
      <c r="B2152" s="83"/>
      <c r="C2152" s="81"/>
      <c r="D2152" s="83"/>
      <c r="E2152" s="81"/>
      <c r="F2152" s="269"/>
      <c r="G2152" s="48"/>
      <c r="H2152" s="269"/>
      <c r="I2152" s="72"/>
      <c r="J2152" s="330"/>
      <c r="K2152" s="75"/>
      <c r="L2152" s="157"/>
      <c r="M2152" s="341"/>
      <c r="N2152" s="334"/>
      <c r="O2152" s="394"/>
      <c r="P2152" s="392"/>
      <c r="Q2152" s="363"/>
      <c r="T2152" s="110"/>
      <c r="V2152" s="232"/>
      <c r="W2152" s="269"/>
      <c r="X2152" s="201"/>
      <c r="Y2152" s="269"/>
      <c r="Z2152" s="269"/>
      <c r="AA2152" s="134"/>
      <c r="AB2152" s="269"/>
      <c r="AC2152" s="284"/>
      <c r="AD2152" s="284"/>
      <c r="AE2152" s="269"/>
    </row>
    <row r="2153" spans="2:31">
      <c r="B2153" s="83"/>
      <c r="C2153" s="81"/>
      <c r="D2153" s="83"/>
      <c r="E2153" s="81"/>
      <c r="F2153" s="269"/>
      <c r="G2153" s="48"/>
      <c r="H2153" s="269"/>
      <c r="I2153" s="72"/>
      <c r="J2153" s="330"/>
      <c r="K2153" s="75"/>
      <c r="L2153" s="157"/>
      <c r="M2153" s="341"/>
      <c r="N2153" s="334"/>
      <c r="O2153" s="394"/>
      <c r="P2153" s="392"/>
      <c r="Q2153" s="363"/>
      <c r="T2153" s="110"/>
      <c r="V2153" s="232"/>
      <c r="W2153" s="269"/>
      <c r="X2153" s="201"/>
      <c r="Y2153" s="269"/>
      <c r="Z2153" s="269"/>
      <c r="AA2153" s="134"/>
      <c r="AB2153" s="269"/>
      <c r="AC2153" s="284"/>
      <c r="AD2153" s="284"/>
      <c r="AE2153" s="269"/>
    </row>
    <row r="2154" spans="2:31">
      <c r="B2154" s="83"/>
      <c r="C2154" s="81"/>
      <c r="D2154" s="83"/>
      <c r="E2154" s="81"/>
      <c r="F2154" s="269"/>
      <c r="G2154" s="48"/>
      <c r="H2154" s="269"/>
      <c r="I2154" s="72"/>
      <c r="J2154" s="330"/>
      <c r="K2154" s="75"/>
      <c r="L2154" s="157"/>
      <c r="M2154" s="341"/>
      <c r="N2154" s="334"/>
      <c r="O2154" s="394"/>
      <c r="P2154" s="392"/>
      <c r="Q2154" s="363"/>
      <c r="T2154" s="110"/>
      <c r="V2154" s="232"/>
      <c r="W2154" s="269"/>
      <c r="X2154" s="201"/>
      <c r="Y2154" s="269"/>
      <c r="Z2154" s="269"/>
      <c r="AA2154" s="134"/>
      <c r="AB2154" s="269"/>
      <c r="AC2154" s="284"/>
      <c r="AD2154" s="284"/>
      <c r="AE2154" s="269"/>
    </row>
    <row r="2155" spans="2:31">
      <c r="B2155" s="83"/>
      <c r="C2155" s="81"/>
      <c r="D2155" s="83"/>
      <c r="E2155" s="81"/>
      <c r="F2155" s="269"/>
      <c r="G2155" s="48"/>
      <c r="H2155" s="269"/>
      <c r="I2155" s="72"/>
      <c r="J2155" s="330"/>
      <c r="K2155" s="75"/>
      <c r="L2155" s="157"/>
      <c r="M2155" s="341"/>
      <c r="N2155" s="334"/>
      <c r="O2155" s="394"/>
      <c r="P2155" s="392"/>
      <c r="Q2155" s="363"/>
      <c r="T2155" s="110"/>
      <c r="V2155" s="232"/>
      <c r="W2155" s="269"/>
      <c r="X2155" s="201"/>
      <c r="Y2155" s="269"/>
      <c r="Z2155" s="269"/>
      <c r="AA2155" s="134"/>
      <c r="AB2155" s="269"/>
      <c r="AC2155" s="284"/>
      <c r="AD2155" s="284"/>
      <c r="AE2155" s="269"/>
    </row>
    <row r="2156" spans="2:31">
      <c r="B2156" s="83"/>
      <c r="C2156" s="81"/>
      <c r="D2156" s="83"/>
      <c r="E2156" s="81"/>
      <c r="F2156" s="269"/>
      <c r="G2156" s="48"/>
      <c r="H2156" s="269"/>
      <c r="I2156" s="72"/>
      <c r="J2156" s="330"/>
      <c r="K2156" s="75"/>
      <c r="L2156" s="157"/>
      <c r="M2156" s="341"/>
      <c r="N2156" s="334"/>
      <c r="O2156" s="394"/>
      <c r="P2156" s="392"/>
      <c r="Q2156" s="363"/>
      <c r="T2156" s="110"/>
      <c r="V2156" s="232"/>
      <c r="W2156" s="269"/>
      <c r="X2156" s="201"/>
      <c r="Y2156" s="269"/>
      <c r="Z2156" s="269"/>
      <c r="AA2156" s="134"/>
      <c r="AB2156" s="269"/>
      <c r="AC2156" s="284"/>
      <c r="AD2156" s="284"/>
      <c r="AE2156" s="269"/>
    </row>
    <row r="2157" spans="2:31">
      <c r="B2157" s="83"/>
      <c r="C2157" s="81"/>
      <c r="D2157" s="83"/>
      <c r="E2157" s="81"/>
      <c r="F2157" s="269"/>
      <c r="G2157" s="48"/>
      <c r="H2157" s="269"/>
      <c r="I2157" s="72"/>
      <c r="J2157" s="330"/>
      <c r="K2157" s="75"/>
      <c r="L2157" s="157"/>
      <c r="M2157" s="341"/>
      <c r="N2157" s="334"/>
      <c r="O2157" s="394"/>
      <c r="P2157" s="392"/>
      <c r="Q2157" s="363"/>
      <c r="T2157" s="110"/>
      <c r="V2157" s="232"/>
      <c r="W2157" s="269"/>
      <c r="X2157" s="201"/>
      <c r="Y2157" s="269"/>
      <c r="Z2157" s="269"/>
      <c r="AA2157" s="134"/>
      <c r="AB2157" s="269"/>
      <c r="AC2157" s="284"/>
      <c r="AD2157" s="284"/>
      <c r="AE2157" s="269"/>
    </row>
    <row r="2158" spans="2:31">
      <c r="B2158" s="83"/>
      <c r="C2158" s="81"/>
      <c r="D2158" s="83"/>
      <c r="E2158" s="81"/>
      <c r="F2158" s="269"/>
      <c r="G2158" s="48"/>
      <c r="H2158" s="269"/>
      <c r="I2158" s="72"/>
      <c r="J2158" s="330"/>
      <c r="K2158" s="75"/>
      <c r="L2158" s="157"/>
      <c r="M2158" s="341"/>
      <c r="N2158" s="334"/>
      <c r="O2158" s="394"/>
      <c r="P2158" s="392"/>
      <c r="Q2158" s="363"/>
      <c r="T2158" s="110"/>
      <c r="V2158" s="232"/>
      <c r="W2158" s="269"/>
      <c r="X2158" s="201"/>
      <c r="Y2158" s="269"/>
      <c r="Z2158" s="269"/>
      <c r="AA2158" s="134"/>
      <c r="AB2158" s="269"/>
      <c r="AC2158" s="284"/>
      <c r="AD2158" s="284"/>
      <c r="AE2158" s="269"/>
    </row>
    <row r="2159" spans="2:31">
      <c r="B2159" s="83"/>
      <c r="C2159" s="81"/>
      <c r="D2159" s="83"/>
      <c r="E2159" s="81"/>
      <c r="F2159" s="269"/>
      <c r="G2159" s="48"/>
      <c r="H2159" s="269"/>
      <c r="I2159" s="72"/>
      <c r="J2159" s="330"/>
      <c r="K2159" s="75"/>
      <c r="L2159" s="157"/>
      <c r="M2159" s="341"/>
      <c r="N2159" s="334"/>
      <c r="O2159" s="394"/>
      <c r="P2159" s="392"/>
      <c r="Q2159" s="363"/>
      <c r="T2159" s="110"/>
      <c r="V2159" s="232"/>
      <c r="W2159" s="269"/>
      <c r="X2159" s="201"/>
      <c r="Y2159" s="269"/>
      <c r="Z2159" s="269"/>
      <c r="AA2159" s="134"/>
      <c r="AB2159" s="269"/>
      <c r="AC2159" s="284"/>
      <c r="AD2159" s="284"/>
      <c r="AE2159" s="269"/>
    </row>
    <row r="2160" spans="2:31">
      <c r="B2160" s="83"/>
      <c r="C2160" s="81"/>
      <c r="D2160" s="83"/>
      <c r="E2160" s="81"/>
      <c r="F2160" s="269"/>
      <c r="G2160" s="48"/>
      <c r="H2160" s="269"/>
      <c r="I2160" s="72"/>
      <c r="J2160" s="330"/>
      <c r="K2160" s="75"/>
      <c r="L2160" s="157"/>
      <c r="M2160" s="341"/>
      <c r="N2160" s="334"/>
      <c r="O2160" s="394"/>
      <c r="P2160" s="392"/>
      <c r="Q2160" s="363"/>
      <c r="T2160" s="110"/>
      <c r="V2160" s="232"/>
      <c r="W2160" s="269"/>
      <c r="X2160" s="201"/>
      <c r="Y2160" s="269"/>
      <c r="Z2160" s="269"/>
      <c r="AA2160" s="134"/>
      <c r="AB2160" s="269"/>
      <c r="AC2160" s="284"/>
      <c r="AD2160" s="284"/>
      <c r="AE2160" s="269"/>
    </row>
    <row r="2161" spans="2:31">
      <c r="B2161" s="83"/>
      <c r="C2161" s="81"/>
      <c r="D2161" s="83"/>
      <c r="E2161" s="81"/>
      <c r="F2161" s="269"/>
      <c r="G2161" s="48"/>
      <c r="H2161" s="269"/>
      <c r="I2161" s="72"/>
      <c r="J2161" s="330"/>
      <c r="K2161" s="75"/>
      <c r="L2161" s="157"/>
      <c r="M2161" s="341"/>
      <c r="N2161" s="334"/>
      <c r="O2161" s="394"/>
      <c r="P2161" s="392"/>
      <c r="Q2161" s="363"/>
      <c r="T2161" s="110"/>
      <c r="V2161" s="232"/>
      <c r="W2161" s="269"/>
      <c r="X2161" s="201"/>
      <c r="Y2161" s="269"/>
      <c r="Z2161" s="269"/>
      <c r="AA2161" s="134"/>
      <c r="AB2161" s="269"/>
      <c r="AC2161" s="284"/>
      <c r="AD2161" s="284"/>
      <c r="AE2161" s="269"/>
    </row>
    <row r="2162" spans="2:31">
      <c r="B2162" s="83"/>
      <c r="C2162" s="81"/>
      <c r="D2162" s="83"/>
      <c r="E2162" s="81"/>
      <c r="F2162" s="269"/>
      <c r="G2162" s="48"/>
      <c r="H2162" s="269"/>
      <c r="I2162" s="72"/>
      <c r="J2162" s="330"/>
      <c r="K2162" s="75"/>
      <c r="L2162" s="157"/>
      <c r="M2162" s="341"/>
      <c r="N2162" s="334"/>
      <c r="O2162" s="394"/>
      <c r="P2162" s="392"/>
      <c r="Q2162" s="363"/>
      <c r="T2162" s="110"/>
      <c r="V2162" s="232"/>
      <c r="W2162" s="269"/>
      <c r="X2162" s="201"/>
      <c r="Y2162" s="269"/>
      <c r="Z2162" s="269"/>
      <c r="AA2162" s="134"/>
      <c r="AB2162" s="269"/>
      <c r="AC2162" s="284"/>
      <c r="AD2162" s="284"/>
      <c r="AE2162" s="269"/>
    </row>
    <row r="2163" spans="2:31">
      <c r="B2163" s="83"/>
      <c r="C2163" s="81"/>
      <c r="D2163" s="83"/>
      <c r="E2163" s="81"/>
      <c r="F2163" s="269"/>
      <c r="G2163" s="48"/>
      <c r="H2163" s="269"/>
      <c r="I2163" s="72"/>
      <c r="J2163" s="330"/>
      <c r="K2163" s="75"/>
      <c r="L2163" s="157"/>
      <c r="M2163" s="341"/>
      <c r="N2163" s="334"/>
      <c r="O2163" s="394"/>
      <c r="P2163" s="392"/>
      <c r="Q2163" s="363"/>
      <c r="T2163" s="110"/>
      <c r="V2163" s="232"/>
      <c r="W2163" s="269"/>
      <c r="X2163" s="201"/>
      <c r="Y2163" s="269"/>
      <c r="Z2163" s="269"/>
      <c r="AA2163" s="134"/>
      <c r="AB2163" s="269"/>
      <c r="AC2163" s="284"/>
      <c r="AD2163" s="284"/>
      <c r="AE2163" s="269"/>
    </row>
    <row r="2164" spans="2:31">
      <c r="B2164" s="83"/>
      <c r="C2164" s="81"/>
      <c r="D2164" s="83"/>
      <c r="E2164" s="81"/>
      <c r="F2164" s="269"/>
      <c r="G2164" s="48"/>
      <c r="H2164" s="269"/>
      <c r="I2164" s="72"/>
      <c r="J2164" s="330"/>
      <c r="K2164" s="75"/>
      <c r="L2164" s="157"/>
      <c r="M2164" s="341"/>
      <c r="N2164" s="334"/>
      <c r="O2164" s="394"/>
      <c r="P2164" s="392"/>
      <c r="Q2164" s="363"/>
      <c r="T2164" s="110"/>
      <c r="V2164" s="232"/>
      <c r="W2164" s="269"/>
      <c r="X2164" s="201"/>
      <c r="Y2164" s="269"/>
      <c r="Z2164" s="269"/>
      <c r="AA2164" s="134"/>
      <c r="AB2164" s="269"/>
      <c r="AC2164" s="284"/>
      <c r="AD2164" s="284"/>
      <c r="AE2164" s="269"/>
    </row>
    <row r="2165" spans="2:31">
      <c r="B2165" s="83"/>
      <c r="C2165" s="81"/>
      <c r="D2165" s="83"/>
      <c r="E2165" s="81"/>
      <c r="F2165" s="269"/>
      <c r="G2165" s="48"/>
      <c r="H2165" s="269"/>
      <c r="I2165" s="72"/>
      <c r="J2165" s="330"/>
      <c r="K2165" s="75"/>
      <c r="L2165" s="157"/>
      <c r="M2165" s="341"/>
      <c r="N2165" s="334"/>
      <c r="O2165" s="394"/>
      <c r="P2165" s="392"/>
      <c r="Q2165" s="363"/>
      <c r="T2165" s="110"/>
      <c r="V2165" s="232"/>
      <c r="W2165" s="269"/>
      <c r="X2165" s="201"/>
      <c r="Y2165" s="269"/>
      <c r="Z2165" s="269"/>
      <c r="AA2165" s="134"/>
      <c r="AB2165" s="269"/>
      <c r="AC2165" s="284"/>
      <c r="AD2165" s="284"/>
      <c r="AE2165" s="269"/>
    </row>
    <row r="2166" spans="2:31">
      <c r="B2166" s="83"/>
      <c r="C2166" s="81"/>
      <c r="D2166" s="83"/>
      <c r="E2166" s="81"/>
      <c r="F2166" s="269"/>
      <c r="G2166" s="48"/>
      <c r="H2166" s="269"/>
      <c r="I2166" s="72"/>
      <c r="J2166" s="330"/>
      <c r="K2166" s="75"/>
      <c r="L2166" s="157"/>
      <c r="M2166" s="341"/>
      <c r="N2166" s="334"/>
      <c r="O2166" s="394"/>
      <c r="P2166" s="392"/>
      <c r="Q2166" s="363"/>
      <c r="T2166" s="110"/>
      <c r="V2166" s="232"/>
      <c r="W2166" s="269"/>
      <c r="X2166" s="201"/>
      <c r="Y2166" s="269"/>
      <c r="Z2166" s="269"/>
      <c r="AA2166" s="134"/>
      <c r="AB2166" s="269"/>
      <c r="AC2166" s="284"/>
      <c r="AD2166" s="284"/>
      <c r="AE2166" s="269"/>
    </row>
    <row r="2167" spans="2:31">
      <c r="B2167" s="83"/>
      <c r="C2167" s="81"/>
      <c r="D2167" s="83"/>
      <c r="E2167" s="81"/>
      <c r="F2167" s="269"/>
      <c r="G2167" s="48"/>
      <c r="H2167" s="269"/>
      <c r="I2167" s="72"/>
      <c r="J2167" s="330"/>
      <c r="K2167" s="75"/>
      <c r="L2167" s="157"/>
      <c r="M2167" s="341"/>
      <c r="N2167" s="334"/>
      <c r="O2167" s="394"/>
      <c r="P2167" s="392"/>
      <c r="Q2167" s="363"/>
      <c r="T2167" s="110"/>
      <c r="V2167" s="232"/>
      <c r="W2167" s="269"/>
      <c r="X2167" s="201"/>
      <c r="Y2167" s="269"/>
      <c r="Z2167" s="269"/>
      <c r="AA2167" s="134"/>
      <c r="AB2167" s="269"/>
      <c r="AC2167" s="284"/>
      <c r="AD2167" s="284"/>
      <c r="AE2167" s="269"/>
    </row>
    <row r="2168" spans="2:31">
      <c r="B2168" s="83"/>
      <c r="C2168" s="81"/>
      <c r="D2168" s="83"/>
      <c r="E2168" s="81"/>
      <c r="F2168" s="269"/>
      <c r="G2168" s="48"/>
      <c r="H2168" s="269"/>
      <c r="I2168" s="72"/>
      <c r="J2168" s="330"/>
      <c r="K2168" s="75"/>
      <c r="L2168" s="157"/>
      <c r="M2168" s="341"/>
      <c r="N2168" s="334"/>
      <c r="O2168" s="394"/>
      <c r="P2168" s="392"/>
      <c r="Q2168" s="363"/>
      <c r="T2168" s="110"/>
      <c r="V2168" s="232"/>
      <c r="W2168" s="269"/>
      <c r="X2168" s="201"/>
      <c r="Y2168" s="269"/>
      <c r="Z2168" s="269"/>
      <c r="AA2168" s="134"/>
      <c r="AB2168" s="269"/>
      <c r="AC2168" s="284"/>
      <c r="AD2168" s="284"/>
      <c r="AE2168" s="269"/>
    </row>
    <row r="2169" spans="2:31">
      <c r="B2169" s="83"/>
      <c r="C2169" s="81"/>
      <c r="D2169" s="83"/>
      <c r="E2169" s="81"/>
      <c r="F2169" s="269"/>
      <c r="G2169" s="48"/>
      <c r="H2169" s="269"/>
      <c r="I2169" s="72"/>
      <c r="J2169" s="330"/>
      <c r="K2169" s="75"/>
      <c r="L2169" s="157"/>
      <c r="M2169" s="341"/>
      <c r="N2169" s="334"/>
      <c r="O2169" s="394"/>
      <c r="P2169" s="392"/>
      <c r="Q2169" s="363"/>
      <c r="T2169" s="110"/>
      <c r="V2169" s="232"/>
      <c r="W2169" s="269"/>
      <c r="X2169" s="201"/>
      <c r="Y2169" s="269"/>
      <c r="Z2169" s="269"/>
      <c r="AA2169" s="134"/>
      <c r="AB2169" s="269"/>
      <c r="AC2169" s="284"/>
      <c r="AD2169" s="284"/>
      <c r="AE2169" s="269"/>
    </row>
    <row r="2170" spans="2:31">
      <c r="B2170" s="83"/>
      <c r="C2170" s="81"/>
      <c r="D2170" s="83"/>
      <c r="E2170" s="81"/>
      <c r="F2170" s="269"/>
      <c r="G2170" s="48"/>
      <c r="H2170" s="269"/>
      <c r="I2170" s="72"/>
      <c r="J2170" s="330"/>
      <c r="K2170" s="75"/>
      <c r="L2170" s="157"/>
      <c r="M2170" s="341"/>
      <c r="N2170" s="334"/>
      <c r="O2170" s="394"/>
      <c r="P2170" s="392"/>
      <c r="Q2170" s="363"/>
      <c r="T2170" s="110"/>
      <c r="V2170" s="232"/>
      <c r="W2170" s="269"/>
      <c r="X2170" s="201"/>
      <c r="Y2170" s="269"/>
      <c r="Z2170" s="269"/>
      <c r="AA2170" s="134"/>
      <c r="AB2170" s="269"/>
      <c r="AC2170" s="284"/>
      <c r="AD2170" s="284"/>
      <c r="AE2170" s="269"/>
    </row>
    <row r="2171" spans="2:31">
      <c r="B2171" s="83"/>
      <c r="C2171" s="81"/>
      <c r="D2171" s="83"/>
      <c r="E2171" s="81"/>
      <c r="F2171" s="269"/>
      <c r="G2171" s="48"/>
      <c r="H2171" s="269"/>
      <c r="I2171" s="72"/>
      <c r="J2171" s="330"/>
      <c r="K2171" s="75"/>
      <c r="L2171" s="157"/>
      <c r="M2171" s="341"/>
      <c r="N2171" s="334"/>
      <c r="O2171" s="394"/>
      <c r="P2171" s="392"/>
      <c r="Q2171" s="363"/>
      <c r="T2171" s="110"/>
      <c r="V2171" s="232"/>
      <c r="W2171" s="269"/>
      <c r="X2171" s="201"/>
      <c r="Y2171" s="269"/>
      <c r="Z2171" s="269"/>
      <c r="AA2171" s="134"/>
      <c r="AB2171" s="269"/>
      <c r="AC2171" s="284"/>
      <c r="AD2171" s="284"/>
      <c r="AE2171" s="269"/>
    </row>
    <row r="2172" spans="2:31">
      <c r="B2172" s="83"/>
      <c r="C2172" s="81"/>
      <c r="D2172" s="83"/>
      <c r="E2172" s="81"/>
      <c r="F2172" s="269"/>
      <c r="G2172" s="48"/>
      <c r="H2172" s="269"/>
      <c r="I2172" s="72"/>
      <c r="J2172" s="330"/>
      <c r="K2172" s="75"/>
      <c r="L2172" s="157"/>
      <c r="M2172" s="341"/>
      <c r="N2172" s="334"/>
      <c r="O2172" s="394"/>
      <c r="P2172" s="392"/>
      <c r="Q2172" s="363"/>
      <c r="T2172" s="110"/>
      <c r="V2172" s="232"/>
      <c r="W2172" s="269"/>
      <c r="X2172" s="201"/>
      <c r="Y2172" s="269"/>
      <c r="Z2172" s="269"/>
      <c r="AA2172" s="134"/>
      <c r="AB2172" s="269"/>
      <c r="AC2172" s="284"/>
      <c r="AD2172" s="284"/>
      <c r="AE2172" s="269"/>
    </row>
    <row r="2173" spans="2:31">
      <c r="B2173" s="83"/>
      <c r="C2173" s="81"/>
      <c r="D2173" s="83"/>
      <c r="E2173" s="81"/>
      <c r="F2173" s="269"/>
      <c r="G2173" s="48"/>
      <c r="H2173" s="269"/>
      <c r="I2173" s="72"/>
      <c r="J2173" s="330"/>
      <c r="K2173" s="75"/>
      <c r="L2173" s="157"/>
      <c r="M2173" s="341"/>
      <c r="N2173" s="334"/>
      <c r="O2173" s="394"/>
      <c r="P2173" s="392"/>
      <c r="Q2173" s="363"/>
      <c r="T2173" s="110"/>
      <c r="V2173" s="232"/>
      <c r="W2173" s="269"/>
      <c r="X2173" s="201"/>
      <c r="Y2173" s="269"/>
      <c r="Z2173" s="269"/>
      <c r="AA2173" s="134"/>
      <c r="AB2173" s="269"/>
      <c r="AC2173" s="284"/>
      <c r="AD2173" s="284"/>
      <c r="AE2173" s="269"/>
    </row>
    <row r="2174" spans="2:31">
      <c r="B2174" s="83"/>
      <c r="C2174" s="81"/>
      <c r="D2174" s="83"/>
      <c r="E2174" s="81"/>
      <c r="F2174" s="269"/>
      <c r="G2174" s="48"/>
      <c r="H2174" s="269"/>
      <c r="I2174" s="72"/>
      <c r="J2174" s="330"/>
      <c r="K2174" s="75"/>
      <c r="L2174" s="157"/>
      <c r="M2174" s="341"/>
      <c r="N2174" s="334"/>
      <c r="O2174" s="394"/>
      <c r="P2174" s="392"/>
      <c r="Q2174" s="363"/>
      <c r="T2174" s="110"/>
      <c r="V2174" s="232"/>
      <c r="W2174" s="269"/>
      <c r="X2174" s="201"/>
      <c r="Y2174" s="269"/>
      <c r="Z2174" s="269"/>
      <c r="AA2174" s="134"/>
      <c r="AB2174" s="269"/>
      <c r="AC2174" s="284"/>
      <c r="AD2174" s="284"/>
      <c r="AE2174" s="269"/>
    </row>
    <row r="2175" spans="2:31">
      <c r="B2175" s="83"/>
      <c r="C2175" s="81"/>
      <c r="D2175" s="83"/>
      <c r="E2175" s="81"/>
      <c r="F2175" s="269"/>
      <c r="G2175" s="48"/>
      <c r="H2175" s="269"/>
      <c r="I2175" s="72"/>
      <c r="J2175" s="330"/>
      <c r="K2175" s="75"/>
      <c r="L2175" s="157"/>
      <c r="M2175" s="341"/>
      <c r="N2175" s="334"/>
      <c r="O2175" s="394"/>
      <c r="P2175" s="392"/>
      <c r="Q2175" s="363"/>
      <c r="T2175" s="110"/>
      <c r="V2175" s="232"/>
      <c r="W2175" s="269"/>
      <c r="X2175" s="201"/>
      <c r="Y2175" s="269"/>
      <c r="Z2175" s="269"/>
      <c r="AA2175" s="134"/>
      <c r="AB2175" s="269"/>
      <c r="AC2175" s="284"/>
      <c r="AD2175" s="284"/>
      <c r="AE2175" s="269"/>
    </row>
    <row r="2176" spans="2:31">
      <c r="B2176" s="83"/>
      <c r="C2176" s="81"/>
      <c r="D2176" s="83"/>
      <c r="E2176" s="81"/>
      <c r="F2176" s="269"/>
      <c r="G2176" s="48"/>
      <c r="H2176" s="269"/>
      <c r="I2176" s="72"/>
      <c r="J2176" s="330"/>
      <c r="K2176" s="75"/>
      <c r="L2176" s="157"/>
      <c r="M2176" s="341"/>
      <c r="N2176" s="334"/>
      <c r="O2176" s="394"/>
      <c r="P2176" s="392"/>
      <c r="Q2176" s="363"/>
      <c r="T2176" s="110"/>
      <c r="V2176" s="232"/>
      <c r="W2176" s="269"/>
      <c r="X2176" s="201"/>
      <c r="Y2176" s="269"/>
      <c r="Z2176" s="269"/>
      <c r="AA2176" s="134"/>
      <c r="AB2176" s="269"/>
      <c r="AC2176" s="284"/>
      <c r="AD2176" s="284"/>
      <c r="AE2176" s="269"/>
    </row>
    <row r="2177" spans="2:31">
      <c r="B2177" s="83"/>
      <c r="C2177" s="81"/>
      <c r="D2177" s="83"/>
      <c r="E2177" s="81"/>
      <c r="F2177" s="269"/>
      <c r="G2177" s="48"/>
      <c r="H2177" s="269"/>
      <c r="I2177" s="72"/>
      <c r="J2177" s="330"/>
      <c r="K2177" s="75"/>
      <c r="L2177" s="157"/>
      <c r="M2177" s="341"/>
      <c r="N2177" s="334"/>
      <c r="O2177" s="394"/>
      <c r="P2177" s="392"/>
      <c r="Q2177" s="363"/>
      <c r="T2177" s="110"/>
      <c r="V2177" s="232"/>
      <c r="W2177" s="269"/>
      <c r="X2177" s="201"/>
      <c r="Y2177" s="269"/>
      <c r="Z2177" s="269"/>
      <c r="AA2177" s="134"/>
      <c r="AB2177" s="269"/>
      <c r="AC2177" s="284"/>
      <c r="AD2177" s="284"/>
      <c r="AE2177" s="269"/>
    </row>
    <row r="2178" spans="2:31">
      <c r="B2178" s="83"/>
      <c r="C2178" s="81"/>
      <c r="D2178" s="83"/>
      <c r="E2178" s="81"/>
      <c r="F2178" s="269"/>
      <c r="G2178" s="48"/>
      <c r="H2178" s="269"/>
      <c r="I2178" s="72"/>
      <c r="J2178" s="330"/>
      <c r="K2178" s="75"/>
      <c r="L2178" s="157"/>
      <c r="M2178" s="341"/>
      <c r="N2178" s="334"/>
      <c r="O2178" s="394"/>
      <c r="P2178" s="392"/>
      <c r="Q2178" s="363"/>
      <c r="T2178" s="110"/>
      <c r="V2178" s="232"/>
      <c r="W2178" s="269"/>
      <c r="X2178" s="201"/>
      <c r="Y2178" s="269"/>
      <c r="Z2178" s="269"/>
      <c r="AA2178" s="134"/>
      <c r="AB2178" s="269"/>
      <c r="AC2178" s="284"/>
      <c r="AD2178" s="284"/>
      <c r="AE2178" s="269"/>
    </row>
    <row r="2179" spans="2:31">
      <c r="B2179" s="83"/>
      <c r="C2179" s="81"/>
      <c r="D2179" s="83"/>
      <c r="E2179" s="81"/>
      <c r="F2179" s="269"/>
      <c r="G2179" s="48"/>
      <c r="H2179" s="269"/>
      <c r="I2179" s="72"/>
      <c r="J2179" s="330"/>
      <c r="K2179" s="75"/>
      <c r="L2179" s="157"/>
      <c r="M2179" s="341"/>
      <c r="N2179" s="334"/>
      <c r="O2179" s="394"/>
      <c r="P2179" s="392"/>
      <c r="Q2179" s="363"/>
      <c r="T2179" s="110"/>
      <c r="V2179" s="232"/>
      <c r="W2179" s="269"/>
      <c r="X2179" s="201"/>
      <c r="Y2179" s="269"/>
      <c r="Z2179" s="269"/>
      <c r="AA2179" s="134"/>
      <c r="AB2179" s="269"/>
      <c r="AC2179" s="284"/>
      <c r="AD2179" s="284"/>
      <c r="AE2179" s="269"/>
    </row>
    <row r="2180" spans="2:31">
      <c r="B2180" s="83"/>
      <c r="C2180" s="81"/>
      <c r="D2180" s="83"/>
      <c r="E2180" s="81"/>
      <c r="F2180" s="269"/>
      <c r="G2180" s="48"/>
      <c r="H2180" s="269"/>
      <c r="I2180" s="72"/>
      <c r="J2180" s="330"/>
      <c r="K2180" s="75"/>
      <c r="L2180" s="157"/>
      <c r="M2180" s="341"/>
      <c r="N2180" s="334"/>
      <c r="O2180" s="394"/>
      <c r="P2180" s="392"/>
      <c r="Q2180" s="363"/>
      <c r="T2180" s="110"/>
      <c r="V2180" s="232"/>
      <c r="W2180" s="269"/>
      <c r="X2180" s="201"/>
      <c r="Y2180" s="269"/>
      <c r="Z2180" s="269"/>
      <c r="AA2180" s="134"/>
      <c r="AB2180" s="269"/>
      <c r="AC2180" s="284"/>
      <c r="AD2180" s="284"/>
      <c r="AE2180" s="269"/>
    </row>
    <row r="2181" spans="2:31">
      <c r="B2181" s="83"/>
      <c r="C2181" s="81"/>
      <c r="D2181" s="83"/>
      <c r="E2181" s="81"/>
      <c r="F2181" s="269"/>
      <c r="G2181" s="48"/>
      <c r="H2181" s="269"/>
      <c r="I2181" s="72"/>
      <c r="J2181" s="330"/>
      <c r="K2181" s="75"/>
      <c r="L2181" s="157"/>
      <c r="M2181" s="341"/>
      <c r="N2181" s="334"/>
      <c r="O2181" s="394"/>
      <c r="P2181" s="392"/>
      <c r="Q2181" s="363"/>
      <c r="T2181" s="110"/>
      <c r="V2181" s="232"/>
      <c r="W2181" s="269"/>
      <c r="X2181" s="201"/>
      <c r="Y2181" s="269"/>
      <c r="Z2181" s="269"/>
      <c r="AA2181" s="134"/>
      <c r="AB2181" s="269"/>
      <c r="AC2181" s="284"/>
      <c r="AD2181" s="284"/>
      <c r="AE2181" s="269"/>
    </row>
    <row r="2182" spans="2:31">
      <c r="B2182" s="83"/>
      <c r="C2182" s="81"/>
      <c r="D2182" s="83"/>
      <c r="E2182" s="81"/>
      <c r="F2182" s="269"/>
      <c r="G2182" s="48"/>
      <c r="H2182" s="269"/>
      <c r="I2182" s="72"/>
      <c r="J2182" s="330"/>
      <c r="K2182" s="75"/>
      <c r="L2182" s="157"/>
      <c r="M2182" s="341"/>
      <c r="N2182" s="334"/>
      <c r="O2182" s="394"/>
      <c r="P2182" s="392"/>
      <c r="Q2182" s="363"/>
      <c r="T2182" s="110"/>
      <c r="V2182" s="232"/>
      <c r="W2182" s="269"/>
      <c r="X2182" s="201"/>
      <c r="Y2182" s="269"/>
      <c r="Z2182" s="269"/>
      <c r="AA2182" s="134"/>
      <c r="AB2182" s="269"/>
      <c r="AC2182" s="284"/>
      <c r="AD2182" s="284"/>
      <c r="AE2182" s="269"/>
    </row>
    <row r="2183" spans="2:31">
      <c r="B2183" s="83"/>
      <c r="C2183" s="81"/>
      <c r="D2183" s="83"/>
      <c r="E2183" s="81"/>
      <c r="F2183" s="269"/>
      <c r="G2183" s="48"/>
      <c r="H2183" s="269"/>
      <c r="I2183" s="72"/>
      <c r="J2183" s="330"/>
      <c r="K2183" s="75"/>
      <c r="L2183" s="157"/>
      <c r="M2183" s="341"/>
      <c r="N2183" s="334"/>
      <c r="O2183" s="394"/>
      <c r="P2183" s="392"/>
      <c r="Q2183" s="363"/>
      <c r="T2183" s="110"/>
      <c r="V2183" s="232"/>
      <c r="W2183" s="269"/>
      <c r="X2183" s="201"/>
      <c r="Y2183" s="269"/>
      <c r="Z2183" s="269"/>
      <c r="AA2183" s="134"/>
      <c r="AB2183" s="269"/>
      <c r="AC2183" s="284"/>
      <c r="AD2183" s="284"/>
      <c r="AE2183" s="269"/>
    </row>
    <row r="2184" spans="2:31">
      <c r="B2184" s="83"/>
      <c r="C2184" s="81"/>
      <c r="D2184" s="83"/>
      <c r="E2184" s="81"/>
      <c r="F2184" s="269"/>
      <c r="G2184" s="48"/>
      <c r="H2184" s="269"/>
      <c r="I2184" s="72"/>
      <c r="J2184" s="330"/>
      <c r="K2184" s="75"/>
      <c r="L2184" s="157"/>
      <c r="M2184" s="341"/>
      <c r="N2184" s="334"/>
      <c r="O2184" s="394"/>
      <c r="P2184" s="392"/>
      <c r="Q2184" s="363"/>
      <c r="T2184" s="110"/>
      <c r="V2184" s="232"/>
      <c r="W2184" s="269"/>
      <c r="X2184" s="201"/>
      <c r="Y2184" s="269"/>
      <c r="Z2184" s="269"/>
      <c r="AA2184" s="134"/>
      <c r="AB2184" s="269"/>
      <c r="AC2184" s="284"/>
      <c r="AD2184" s="284"/>
      <c r="AE2184" s="269"/>
    </row>
    <row r="2185" spans="2:31" ht="25.5">
      <c r="B2185" s="83"/>
      <c r="C2185" s="81"/>
      <c r="D2185" s="83"/>
      <c r="E2185" s="81"/>
      <c r="F2185" s="269"/>
      <c r="G2185" s="48"/>
      <c r="H2185" s="269"/>
      <c r="I2185" s="72"/>
      <c r="J2185" s="330"/>
      <c r="K2185" s="75"/>
      <c r="L2185" s="157"/>
      <c r="M2185" s="341"/>
      <c r="N2185" s="334"/>
      <c r="O2185" s="394"/>
      <c r="P2185" s="392"/>
      <c r="Q2185" s="363"/>
      <c r="T2185" s="110" ph="1"/>
      <c r="V2185" s="232"/>
      <c r="W2185" s="269"/>
      <c r="X2185" s="201"/>
      <c r="Y2185" s="269"/>
      <c r="Z2185" s="269"/>
      <c r="AA2185" s="134"/>
      <c r="AB2185" s="269"/>
      <c r="AC2185" s="284"/>
      <c r="AD2185" s="284"/>
      <c r="AE2185" s="269"/>
    </row>
    <row r="2186" spans="2:31">
      <c r="B2186" s="83"/>
      <c r="C2186" s="81"/>
      <c r="D2186" s="83"/>
      <c r="E2186" s="81"/>
      <c r="F2186" s="269"/>
      <c r="G2186" s="48"/>
      <c r="H2186" s="269"/>
      <c r="I2186" s="72"/>
      <c r="J2186" s="330"/>
      <c r="K2186" s="75"/>
      <c r="L2186" s="157"/>
      <c r="M2186" s="341"/>
      <c r="N2186" s="334"/>
      <c r="O2186" s="394"/>
      <c r="P2186" s="392"/>
      <c r="Q2186" s="363"/>
      <c r="T2186" s="110"/>
      <c r="V2186" s="232"/>
      <c r="W2186" s="269"/>
      <c r="X2186" s="201"/>
      <c r="Y2186" s="269"/>
      <c r="Z2186" s="269"/>
      <c r="AA2186" s="134"/>
      <c r="AB2186" s="269"/>
      <c r="AC2186" s="284"/>
      <c r="AD2186" s="284"/>
      <c r="AE2186" s="269"/>
    </row>
    <row r="2187" spans="2:31">
      <c r="B2187" s="83"/>
      <c r="C2187" s="81"/>
      <c r="D2187" s="83"/>
      <c r="E2187" s="81"/>
      <c r="F2187" s="269"/>
      <c r="G2187" s="48"/>
      <c r="H2187" s="269"/>
      <c r="I2187" s="72"/>
      <c r="J2187" s="330"/>
      <c r="K2187" s="75"/>
      <c r="L2187" s="157"/>
      <c r="M2187" s="341"/>
      <c r="N2187" s="334"/>
      <c r="O2187" s="394"/>
      <c r="P2187" s="392"/>
      <c r="Q2187" s="363"/>
      <c r="T2187" s="110"/>
      <c r="V2187" s="232"/>
      <c r="W2187" s="269"/>
      <c r="X2187" s="201"/>
      <c r="Y2187" s="269"/>
      <c r="Z2187" s="269"/>
      <c r="AA2187" s="134"/>
      <c r="AB2187" s="269"/>
      <c r="AC2187" s="284"/>
      <c r="AD2187" s="284"/>
      <c r="AE2187" s="269"/>
    </row>
    <row r="2188" spans="2:31">
      <c r="B2188" s="83"/>
      <c r="C2188" s="81"/>
      <c r="D2188" s="83"/>
      <c r="E2188" s="81"/>
      <c r="F2188" s="269"/>
      <c r="G2188" s="48"/>
      <c r="H2188" s="269"/>
      <c r="I2188" s="72"/>
      <c r="J2188" s="330"/>
      <c r="K2188" s="75"/>
      <c r="L2188" s="157"/>
      <c r="M2188" s="341"/>
      <c r="N2188" s="334"/>
      <c r="O2188" s="394"/>
      <c r="P2188" s="392"/>
      <c r="Q2188" s="363"/>
      <c r="T2188" s="110"/>
      <c r="V2188" s="232"/>
      <c r="W2188" s="269"/>
      <c r="X2188" s="201"/>
      <c r="Y2188" s="269"/>
      <c r="Z2188" s="269"/>
      <c r="AA2188" s="134"/>
      <c r="AB2188" s="269"/>
      <c r="AC2188" s="284"/>
      <c r="AD2188" s="284"/>
      <c r="AE2188" s="269"/>
    </row>
    <row r="2189" spans="2:31">
      <c r="B2189" s="83"/>
      <c r="C2189" s="81"/>
      <c r="D2189" s="83"/>
      <c r="E2189" s="81"/>
      <c r="F2189" s="269"/>
      <c r="G2189" s="48"/>
      <c r="H2189" s="269"/>
      <c r="I2189" s="72"/>
      <c r="J2189" s="330"/>
      <c r="K2189" s="75"/>
      <c r="L2189" s="157"/>
      <c r="M2189" s="341"/>
      <c r="N2189" s="334"/>
      <c r="O2189" s="394"/>
      <c r="P2189" s="392"/>
      <c r="Q2189" s="363"/>
      <c r="T2189" s="110"/>
      <c r="V2189" s="232"/>
      <c r="W2189" s="269"/>
      <c r="X2189" s="201"/>
      <c r="Y2189" s="269"/>
      <c r="Z2189" s="269"/>
      <c r="AA2189" s="134"/>
      <c r="AB2189" s="269"/>
      <c r="AC2189" s="284"/>
      <c r="AD2189" s="284"/>
      <c r="AE2189" s="269"/>
    </row>
    <row r="2190" spans="2:31">
      <c r="B2190" s="83"/>
      <c r="C2190" s="81"/>
      <c r="D2190" s="83"/>
      <c r="E2190" s="81"/>
      <c r="F2190" s="269"/>
      <c r="G2190" s="48"/>
      <c r="H2190" s="269"/>
      <c r="I2190" s="72"/>
      <c r="J2190" s="330"/>
      <c r="K2190" s="75"/>
      <c r="L2190" s="157"/>
      <c r="M2190" s="341"/>
      <c r="N2190" s="334"/>
      <c r="O2190" s="394"/>
      <c r="P2190" s="392"/>
      <c r="Q2190" s="363"/>
      <c r="T2190" s="110"/>
      <c r="V2190" s="232"/>
      <c r="W2190" s="269"/>
      <c r="X2190" s="201"/>
      <c r="Y2190" s="269"/>
      <c r="Z2190" s="269"/>
      <c r="AA2190" s="134"/>
      <c r="AB2190" s="269"/>
      <c r="AC2190" s="284"/>
      <c r="AD2190" s="284"/>
      <c r="AE2190" s="269"/>
    </row>
    <row r="2191" spans="2:31">
      <c r="B2191" s="83"/>
      <c r="C2191" s="81"/>
      <c r="D2191" s="83"/>
      <c r="E2191" s="81"/>
      <c r="F2191" s="269"/>
      <c r="G2191" s="48"/>
      <c r="H2191" s="269"/>
      <c r="I2191" s="72"/>
      <c r="J2191" s="330"/>
      <c r="K2191" s="75"/>
      <c r="L2191" s="157"/>
      <c r="M2191" s="341"/>
      <c r="N2191" s="334"/>
      <c r="O2191" s="394"/>
      <c r="P2191" s="392"/>
      <c r="Q2191" s="363"/>
      <c r="T2191" s="110"/>
      <c r="V2191" s="232"/>
      <c r="W2191" s="269"/>
      <c r="X2191" s="201"/>
      <c r="Y2191" s="269"/>
      <c r="Z2191" s="269"/>
      <c r="AA2191" s="134"/>
      <c r="AB2191" s="269"/>
      <c r="AC2191" s="284"/>
      <c r="AD2191" s="284"/>
      <c r="AE2191" s="269"/>
    </row>
    <row r="2192" spans="2:31">
      <c r="B2192" s="83"/>
      <c r="C2192" s="81"/>
      <c r="D2192" s="83"/>
      <c r="E2192" s="81"/>
      <c r="F2192" s="269"/>
      <c r="G2192" s="48"/>
      <c r="H2192" s="269"/>
      <c r="I2192" s="72"/>
      <c r="J2192" s="330"/>
      <c r="K2192" s="75"/>
      <c r="L2192" s="157"/>
      <c r="M2192" s="341"/>
      <c r="N2192" s="334"/>
      <c r="O2192" s="394"/>
      <c r="P2192" s="392"/>
      <c r="Q2192" s="363"/>
      <c r="T2192" s="110"/>
      <c r="V2192" s="232"/>
      <c r="W2192" s="269"/>
      <c r="X2192" s="201"/>
      <c r="Y2192" s="269"/>
      <c r="Z2192" s="269"/>
      <c r="AA2192" s="134"/>
      <c r="AB2192" s="269"/>
      <c r="AC2192" s="284"/>
      <c r="AD2192" s="284"/>
      <c r="AE2192" s="269"/>
    </row>
    <row r="2193" spans="2:31">
      <c r="B2193" s="83"/>
      <c r="C2193" s="81"/>
      <c r="D2193" s="83"/>
      <c r="E2193" s="81"/>
      <c r="F2193" s="269"/>
      <c r="G2193" s="48"/>
      <c r="H2193" s="269"/>
      <c r="I2193" s="72"/>
      <c r="J2193" s="330"/>
      <c r="K2193" s="75"/>
      <c r="L2193" s="157"/>
      <c r="M2193" s="341"/>
      <c r="N2193" s="334"/>
      <c r="O2193" s="394"/>
      <c r="P2193" s="392"/>
      <c r="Q2193" s="363"/>
      <c r="T2193" s="110"/>
      <c r="V2193" s="232"/>
      <c r="W2193" s="269"/>
      <c r="X2193" s="201"/>
      <c r="Y2193" s="269"/>
      <c r="Z2193" s="269"/>
      <c r="AA2193" s="134"/>
      <c r="AB2193" s="269"/>
      <c r="AC2193" s="284"/>
      <c r="AD2193" s="284"/>
      <c r="AE2193" s="269"/>
    </row>
    <row r="2194" spans="2:31">
      <c r="B2194" s="83"/>
      <c r="C2194" s="81"/>
      <c r="D2194" s="83"/>
      <c r="E2194" s="81"/>
      <c r="F2194" s="269"/>
      <c r="G2194" s="48"/>
      <c r="H2194" s="269"/>
      <c r="I2194" s="72"/>
      <c r="J2194" s="330"/>
      <c r="K2194" s="75"/>
      <c r="L2194" s="157"/>
      <c r="M2194" s="341"/>
      <c r="N2194" s="334"/>
      <c r="O2194" s="394"/>
      <c r="P2194" s="392"/>
      <c r="Q2194" s="363"/>
      <c r="T2194" s="110"/>
      <c r="V2194" s="232"/>
      <c r="W2194" s="269"/>
      <c r="X2194" s="201"/>
      <c r="Y2194" s="269"/>
      <c r="Z2194" s="269"/>
      <c r="AA2194" s="134"/>
      <c r="AB2194" s="269"/>
      <c r="AC2194" s="284"/>
      <c r="AD2194" s="284"/>
      <c r="AE2194" s="269"/>
    </row>
    <row r="2195" spans="2:31">
      <c r="B2195" s="83"/>
      <c r="C2195" s="81"/>
      <c r="D2195" s="83"/>
      <c r="E2195" s="81"/>
      <c r="F2195" s="269"/>
      <c r="G2195" s="48"/>
      <c r="H2195" s="269"/>
      <c r="I2195" s="72"/>
      <c r="J2195" s="330"/>
      <c r="K2195" s="75"/>
      <c r="L2195" s="157"/>
      <c r="M2195" s="341"/>
      <c r="N2195" s="334"/>
      <c r="O2195" s="394"/>
      <c r="P2195" s="392"/>
      <c r="Q2195" s="363"/>
      <c r="T2195" s="110"/>
      <c r="V2195" s="232"/>
      <c r="W2195" s="269"/>
      <c r="X2195" s="201"/>
      <c r="Y2195" s="269"/>
      <c r="Z2195" s="269"/>
      <c r="AA2195" s="134"/>
      <c r="AB2195" s="269"/>
      <c r="AC2195" s="284"/>
      <c r="AD2195" s="284"/>
      <c r="AE2195" s="269"/>
    </row>
    <row r="2196" spans="2:31">
      <c r="B2196" s="83"/>
      <c r="C2196" s="81"/>
      <c r="D2196" s="83"/>
      <c r="E2196" s="81"/>
      <c r="F2196" s="269"/>
      <c r="G2196" s="48"/>
      <c r="H2196" s="269"/>
      <c r="I2196" s="72"/>
      <c r="J2196" s="330"/>
      <c r="K2196" s="75"/>
      <c r="L2196" s="157"/>
      <c r="M2196" s="341"/>
      <c r="N2196" s="334"/>
      <c r="O2196" s="394"/>
      <c r="P2196" s="392"/>
      <c r="Q2196" s="363"/>
      <c r="T2196" s="110"/>
      <c r="V2196" s="232"/>
      <c r="W2196" s="269"/>
      <c r="X2196" s="201"/>
      <c r="Y2196" s="269"/>
      <c r="Z2196" s="269"/>
      <c r="AA2196" s="134"/>
      <c r="AB2196" s="269"/>
      <c r="AC2196" s="284"/>
      <c r="AD2196" s="284"/>
      <c r="AE2196" s="269"/>
    </row>
    <row r="2197" spans="2:31">
      <c r="B2197" s="83"/>
      <c r="C2197" s="81"/>
      <c r="D2197" s="83"/>
      <c r="E2197" s="81"/>
      <c r="F2197" s="269"/>
      <c r="G2197" s="48"/>
      <c r="H2197" s="269"/>
      <c r="I2197" s="72"/>
      <c r="J2197" s="330"/>
      <c r="K2197" s="75"/>
      <c r="L2197" s="157"/>
      <c r="M2197" s="341"/>
      <c r="N2197" s="334"/>
      <c r="O2197" s="394"/>
      <c r="P2197" s="392"/>
      <c r="Q2197" s="363"/>
      <c r="T2197" s="110"/>
      <c r="V2197" s="232"/>
      <c r="W2197" s="269"/>
      <c r="X2197" s="201"/>
      <c r="Y2197" s="269"/>
      <c r="Z2197" s="269"/>
      <c r="AA2197" s="134"/>
      <c r="AB2197" s="269"/>
      <c r="AC2197" s="284"/>
      <c r="AD2197" s="284"/>
      <c r="AE2197" s="269"/>
    </row>
    <row r="2198" spans="2:31">
      <c r="B2198" s="83"/>
      <c r="C2198" s="81"/>
      <c r="D2198" s="83"/>
      <c r="E2198" s="81"/>
      <c r="F2198" s="269"/>
      <c r="G2198" s="48"/>
      <c r="H2198" s="269"/>
      <c r="I2198" s="72"/>
      <c r="J2198" s="330"/>
      <c r="K2198" s="75"/>
      <c r="L2198" s="157"/>
      <c r="M2198" s="341"/>
      <c r="N2198" s="334"/>
      <c r="O2198" s="394"/>
      <c r="P2198" s="392"/>
      <c r="Q2198" s="363"/>
      <c r="T2198" s="110"/>
      <c r="V2198" s="232"/>
      <c r="W2198" s="269"/>
      <c r="X2198" s="201"/>
      <c r="Y2198" s="269"/>
      <c r="Z2198" s="269"/>
      <c r="AA2198" s="134"/>
      <c r="AB2198" s="269"/>
      <c r="AC2198" s="284"/>
      <c r="AD2198" s="284"/>
      <c r="AE2198" s="269"/>
    </row>
    <row r="2199" spans="2:31">
      <c r="B2199" s="83"/>
      <c r="C2199" s="81"/>
      <c r="D2199" s="83"/>
      <c r="E2199" s="81"/>
      <c r="F2199" s="269"/>
      <c r="G2199" s="48"/>
      <c r="H2199" s="269"/>
      <c r="I2199" s="72"/>
      <c r="J2199" s="330"/>
      <c r="K2199" s="75"/>
      <c r="L2199" s="157"/>
      <c r="M2199" s="341"/>
      <c r="N2199" s="334"/>
      <c r="O2199" s="394"/>
      <c r="P2199" s="392"/>
      <c r="Q2199" s="363"/>
      <c r="T2199" s="110"/>
      <c r="V2199" s="232"/>
      <c r="W2199" s="269"/>
      <c r="X2199" s="201"/>
      <c r="Y2199" s="269"/>
      <c r="Z2199" s="269"/>
      <c r="AA2199" s="134"/>
      <c r="AB2199" s="269"/>
      <c r="AC2199" s="284"/>
      <c r="AD2199" s="284"/>
      <c r="AE2199" s="269"/>
    </row>
    <row r="2200" spans="2:31">
      <c r="B2200" s="83"/>
      <c r="C2200" s="81"/>
      <c r="D2200" s="83"/>
      <c r="E2200" s="81"/>
      <c r="F2200" s="269"/>
      <c r="G2200" s="48"/>
      <c r="H2200" s="269"/>
      <c r="I2200" s="72"/>
      <c r="J2200" s="330"/>
      <c r="K2200" s="75"/>
      <c r="L2200" s="157"/>
      <c r="M2200" s="341"/>
      <c r="N2200" s="334"/>
      <c r="O2200" s="394"/>
      <c r="P2200" s="392"/>
      <c r="Q2200" s="363"/>
      <c r="T2200" s="110"/>
      <c r="V2200" s="232"/>
      <c r="W2200" s="269"/>
      <c r="X2200" s="201"/>
      <c r="Y2200" s="269"/>
      <c r="Z2200" s="269"/>
      <c r="AA2200" s="134"/>
      <c r="AB2200" s="269"/>
      <c r="AC2200" s="284"/>
      <c r="AD2200" s="284"/>
      <c r="AE2200" s="269"/>
    </row>
    <row r="2201" spans="2:31">
      <c r="B2201" s="83"/>
      <c r="C2201" s="81"/>
      <c r="D2201" s="83"/>
      <c r="E2201" s="81"/>
      <c r="F2201" s="269"/>
      <c r="G2201" s="48"/>
      <c r="H2201" s="269"/>
      <c r="I2201" s="72"/>
      <c r="J2201" s="330"/>
      <c r="K2201" s="75"/>
      <c r="L2201" s="157"/>
      <c r="M2201" s="341"/>
      <c r="N2201" s="334"/>
      <c r="O2201" s="394"/>
      <c r="P2201" s="392"/>
      <c r="Q2201" s="363"/>
      <c r="T2201" s="110"/>
      <c r="V2201" s="232"/>
      <c r="W2201" s="269"/>
      <c r="X2201" s="201"/>
      <c r="Y2201" s="269"/>
      <c r="Z2201" s="269"/>
      <c r="AA2201" s="134"/>
      <c r="AB2201" s="269"/>
      <c r="AC2201" s="284"/>
      <c r="AD2201" s="284"/>
      <c r="AE2201" s="269"/>
    </row>
    <row r="2202" spans="2:31">
      <c r="B2202" s="83"/>
      <c r="C2202" s="81"/>
      <c r="D2202" s="83"/>
      <c r="E2202" s="81"/>
      <c r="F2202" s="269"/>
      <c r="G2202" s="48"/>
      <c r="H2202" s="269"/>
      <c r="I2202" s="72"/>
      <c r="J2202" s="330"/>
      <c r="K2202" s="75"/>
      <c r="L2202" s="157"/>
      <c r="M2202" s="341"/>
      <c r="N2202" s="334"/>
      <c r="O2202" s="394"/>
      <c r="P2202" s="392"/>
      <c r="Q2202" s="363"/>
      <c r="T2202" s="110"/>
      <c r="V2202" s="232"/>
      <c r="W2202" s="269"/>
      <c r="X2202" s="201"/>
      <c r="Y2202" s="269"/>
      <c r="Z2202" s="269"/>
      <c r="AA2202" s="134"/>
      <c r="AB2202" s="269"/>
      <c r="AC2202" s="284"/>
      <c r="AD2202" s="284"/>
      <c r="AE2202" s="269"/>
    </row>
    <row r="2203" spans="2:31">
      <c r="B2203" s="83"/>
      <c r="C2203" s="81"/>
      <c r="D2203" s="83"/>
      <c r="E2203" s="81"/>
      <c r="F2203" s="269"/>
      <c r="G2203" s="48"/>
      <c r="H2203" s="269"/>
      <c r="I2203" s="72"/>
      <c r="J2203" s="330"/>
      <c r="K2203" s="75"/>
      <c r="L2203" s="157"/>
      <c r="M2203" s="341"/>
      <c r="N2203" s="334"/>
      <c r="O2203" s="394"/>
      <c r="P2203" s="392"/>
      <c r="Q2203" s="363"/>
      <c r="T2203" s="110"/>
      <c r="V2203" s="232"/>
      <c r="W2203" s="269"/>
      <c r="X2203" s="201"/>
      <c r="Y2203" s="269"/>
      <c r="Z2203" s="269"/>
      <c r="AA2203" s="134"/>
      <c r="AB2203" s="269"/>
      <c r="AC2203" s="284"/>
      <c r="AD2203" s="284"/>
      <c r="AE2203" s="269"/>
    </row>
    <row r="2204" spans="2:31">
      <c r="B2204" s="83"/>
      <c r="C2204" s="81"/>
      <c r="D2204" s="83"/>
      <c r="E2204" s="81"/>
      <c r="F2204" s="269"/>
      <c r="G2204" s="48"/>
      <c r="H2204" s="269"/>
      <c r="I2204" s="72"/>
      <c r="J2204" s="330"/>
      <c r="K2204" s="75"/>
      <c r="L2204" s="157"/>
      <c r="M2204" s="341"/>
      <c r="N2204" s="334"/>
      <c r="O2204" s="394"/>
      <c r="P2204" s="392"/>
      <c r="Q2204" s="363"/>
      <c r="T2204" s="110"/>
      <c r="V2204" s="232"/>
      <c r="W2204" s="269"/>
      <c r="X2204" s="201"/>
      <c r="Y2204" s="269"/>
      <c r="Z2204" s="269"/>
      <c r="AA2204" s="134"/>
      <c r="AB2204" s="269"/>
      <c r="AC2204" s="284"/>
      <c r="AD2204" s="284"/>
      <c r="AE2204" s="269"/>
    </row>
    <row r="2205" spans="2:31">
      <c r="B2205" s="83"/>
      <c r="C2205" s="81"/>
      <c r="D2205" s="83"/>
      <c r="E2205" s="81"/>
      <c r="F2205" s="269"/>
      <c r="G2205" s="48"/>
      <c r="H2205" s="269"/>
      <c r="I2205" s="72"/>
      <c r="J2205" s="330"/>
      <c r="K2205" s="75"/>
      <c r="L2205" s="157"/>
      <c r="M2205" s="341"/>
      <c r="N2205" s="334"/>
      <c r="O2205" s="394"/>
      <c r="P2205" s="392"/>
      <c r="Q2205" s="363"/>
      <c r="T2205" s="110"/>
      <c r="V2205" s="232"/>
      <c r="W2205" s="269"/>
      <c r="X2205" s="201"/>
      <c r="Y2205" s="269"/>
      <c r="Z2205" s="269"/>
      <c r="AA2205" s="134"/>
      <c r="AB2205" s="269"/>
      <c r="AC2205" s="284"/>
      <c r="AD2205" s="284"/>
      <c r="AE2205" s="269"/>
    </row>
    <row r="2206" spans="2:31">
      <c r="B2206" s="83"/>
      <c r="C2206" s="81"/>
      <c r="D2206" s="83"/>
      <c r="E2206" s="81"/>
      <c r="F2206" s="269"/>
      <c r="G2206" s="48"/>
      <c r="H2206" s="269"/>
      <c r="I2206" s="72"/>
      <c r="J2206" s="330"/>
      <c r="K2206" s="75"/>
      <c r="L2206" s="157"/>
      <c r="M2206" s="341"/>
      <c r="N2206" s="334"/>
      <c r="O2206" s="394"/>
      <c r="P2206" s="392"/>
      <c r="Q2206" s="363"/>
      <c r="T2206" s="110"/>
      <c r="V2206" s="232"/>
      <c r="W2206" s="269"/>
      <c r="X2206" s="201"/>
      <c r="Y2206" s="269"/>
      <c r="Z2206" s="269"/>
      <c r="AA2206" s="134"/>
      <c r="AB2206" s="269"/>
      <c r="AC2206" s="284"/>
      <c r="AD2206" s="284"/>
      <c r="AE2206" s="269"/>
    </row>
    <row r="2207" spans="2:31">
      <c r="B2207" s="83"/>
      <c r="C2207" s="81"/>
      <c r="D2207" s="83"/>
      <c r="E2207" s="81"/>
      <c r="F2207" s="269"/>
      <c r="G2207" s="48"/>
      <c r="H2207" s="269"/>
      <c r="I2207" s="72"/>
      <c r="J2207" s="330"/>
      <c r="K2207" s="75"/>
      <c r="L2207" s="157"/>
      <c r="M2207" s="341"/>
      <c r="N2207" s="334"/>
      <c r="O2207" s="394"/>
      <c r="P2207" s="392"/>
      <c r="Q2207" s="363"/>
      <c r="T2207" s="110"/>
      <c r="V2207" s="232"/>
      <c r="W2207" s="269"/>
      <c r="X2207" s="201"/>
      <c r="Y2207" s="269"/>
      <c r="Z2207" s="269"/>
      <c r="AA2207" s="134"/>
      <c r="AB2207" s="269"/>
      <c r="AC2207" s="284"/>
      <c r="AD2207" s="284"/>
      <c r="AE2207" s="269"/>
    </row>
    <row r="2208" spans="2:31">
      <c r="B2208" s="83"/>
      <c r="C2208" s="81"/>
      <c r="D2208" s="83"/>
      <c r="E2208" s="81"/>
      <c r="F2208" s="269"/>
      <c r="G2208" s="48"/>
      <c r="H2208" s="269"/>
      <c r="I2208" s="72"/>
      <c r="J2208" s="330"/>
      <c r="K2208" s="75"/>
      <c r="L2208" s="157"/>
      <c r="M2208" s="341"/>
      <c r="N2208" s="334"/>
      <c r="O2208" s="394"/>
      <c r="P2208" s="392"/>
      <c r="Q2208" s="363"/>
      <c r="T2208" s="110"/>
      <c r="V2208" s="232"/>
      <c r="W2208" s="269"/>
      <c r="X2208" s="201"/>
      <c r="Y2208" s="269"/>
      <c r="Z2208" s="269"/>
      <c r="AA2208" s="134"/>
      <c r="AB2208" s="269"/>
      <c r="AC2208" s="284"/>
      <c r="AD2208" s="284"/>
      <c r="AE2208" s="269"/>
    </row>
    <row r="2209" spans="2:31">
      <c r="B2209" s="83"/>
      <c r="C2209" s="81"/>
      <c r="D2209" s="83"/>
      <c r="E2209" s="81"/>
      <c r="F2209" s="269"/>
      <c r="G2209" s="48"/>
      <c r="H2209" s="269"/>
      <c r="I2209" s="72"/>
      <c r="J2209" s="330"/>
      <c r="K2209" s="75"/>
      <c r="L2209" s="157"/>
      <c r="M2209" s="341"/>
      <c r="N2209" s="334"/>
      <c r="O2209" s="394"/>
      <c r="P2209" s="392"/>
      <c r="Q2209" s="363"/>
      <c r="T2209" s="110"/>
      <c r="V2209" s="232"/>
      <c r="W2209" s="269"/>
      <c r="X2209" s="201"/>
      <c r="Y2209" s="269"/>
      <c r="Z2209" s="269"/>
      <c r="AA2209" s="134"/>
      <c r="AB2209" s="269"/>
      <c r="AC2209" s="284"/>
      <c r="AD2209" s="284"/>
      <c r="AE2209" s="269"/>
    </row>
    <row r="2210" spans="2:31">
      <c r="B2210" s="83"/>
      <c r="C2210" s="81"/>
      <c r="D2210" s="83"/>
      <c r="E2210" s="81"/>
      <c r="F2210" s="269"/>
      <c r="G2210" s="48"/>
      <c r="H2210" s="269"/>
      <c r="I2210" s="72"/>
      <c r="J2210" s="330"/>
      <c r="K2210" s="75"/>
      <c r="L2210" s="157"/>
      <c r="M2210" s="341"/>
      <c r="N2210" s="334"/>
      <c r="O2210" s="394"/>
      <c r="P2210" s="392"/>
      <c r="Q2210" s="363"/>
      <c r="T2210" s="110"/>
      <c r="V2210" s="232"/>
      <c r="W2210" s="269"/>
      <c r="X2210" s="201"/>
      <c r="Y2210" s="269"/>
      <c r="Z2210" s="269"/>
      <c r="AA2210" s="134"/>
      <c r="AB2210" s="269"/>
      <c r="AC2210" s="284"/>
      <c r="AD2210" s="284"/>
      <c r="AE2210" s="269"/>
    </row>
    <row r="2211" spans="2:31">
      <c r="B2211" s="83"/>
      <c r="C2211" s="81"/>
      <c r="D2211" s="83"/>
      <c r="E2211" s="81"/>
      <c r="F2211" s="269"/>
      <c r="G2211" s="48"/>
      <c r="H2211" s="269"/>
      <c r="I2211" s="72"/>
      <c r="J2211" s="330"/>
      <c r="K2211" s="75"/>
      <c r="L2211" s="157"/>
      <c r="M2211" s="341"/>
      <c r="N2211" s="334"/>
      <c r="O2211" s="394"/>
      <c r="P2211" s="392"/>
      <c r="Q2211" s="363"/>
      <c r="T2211" s="110"/>
      <c r="V2211" s="232"/>
      <c r="W2211" s="269"/>
      <c r="X2211" s="201"/>
      <c r="Y2211" s="269"/>
      <c r="Z2211" s="269"/>
      <c r="AA2211" s="134"/>
      <c r="AB2211" s="269"/>
      <c r="AC2211" s="284"/>
      <c r="AD2211" s="284"/>
      <c r="AE2211" s="269"/>
    </row>
    <row r="2212" spans="2:31">
      <c r="B2212" s="83"/>
      <c r="C2212" s="81"/>
      <c r="D2212" s="83"/>
      <c r="E2212" s="81"/>
      <c r="F2212" s="269"/>
      <c r="G2212" s="48"/>
      <c r="H2212" s="269"/>
      <c r="I2212" s="72"/>
      <c r="J2212" s="330"/>
      <c r="K2212" s="75"/>
      <c r="L2212" s="157"/>
      <c r="M2212" s="341"/>
      <c r="N2212" s="334"/>
      <c r="O2212" s="394"/>
      <c r="P2212" s="392"/>
      <c r="Q2212" s="363"/>
      <c r="T2212" s="110"/>
      <c r="V2212" s="232"/>
      <c r="W2212" s="269"/>
      <c r="X2212" s="201"/>
      <c r="Y2212" s="269"/>
      <c r="Z2212" s="269"/>
      <c r="AA2212" s="134"/>
      <c r="AB2212" s="269"/>
      <c r="AC2212" s="284"/>
      <c r="AD2212" s="284"/>
      <c r="AE2212" s="269"/>
    </row>
    <row r="2213" spans="2:31">
      <c r="B2213" s="83"/>
      <c r="C2213" s="81"/>
      <c r="D2213" s="83"/>
      <c r="E2213" s="81"/>
      <c r="F2213" s="269"/>
      <c r="G2213" s="48"/>
      <c r="H2213" s="269"/>
      <c r="I2213" s="72"/>
      <c r="J2213" s="330"/>
      <c r="K2213" s="75"/>
      <c r="L2213" s="157"/>
      <c r="M2213" s="341"/>
      <c r="N2213" s="334"/>
      <c r="O2213" s="394"/>
      <c r="P2213" s="392"/>
      <c r="Q2213" s="363"/>
      <c r="T2213" s="110"/>
      <c r="V2213" s="232"/>
      <c r="W2213" s="269"/>
      <c r="X2213" s="201"/>
      <c r="Y2213" s="269"/>
      <c r="Z2213" s="269"/>
      <c r="AA2213" s="134"/>
      <c r="AB2213" s="269"/>
      <c r="AC2213" s="284"/>
      <c r="AD2213" s="284"/>
      <c r="AE2213" s="269"/>
    </row>
    <row r="2214" spans="2:31">
      <c r="B2214" s="83"/>
      <c r="C2214" s="81"/>
      <c r="D2214" s="83"/>
      <c r="E2214" s="81"/>
      <c r="F2214" s="269"/>
      <c r="G2214" s="48"/>
      <c r="H2214" s="269"/>
      <c r="I2214" s="72"/>
      <c r="J2214" s="330"/>
      <c r="K2214" s="75"/>
      <c r="L2214" s="157"/>
      <c r="M2214" s="341"/>
      <c r="N2214" s="334"/>
      <c r="O2214" s="394"/>
      <c r="P2214" s="392"/>
      <c r="Q2214" s="363"/>
      <c r="T2214" s="110"/>
      <c r="V2214" s="232"/>
      <c r="W2214" s="269"/>
      <c r="X2214" s="201"/>
      <c r="Y2214" s="269"/>
      <c r="Z2214" s="269"/>
      <c r="AA2214" s="134"/>
      <c r="AB2214" s="269"/>
      <c r="AC2214" s="284"/>
      <c r="AD2214" s="284"/>
      <c r="AE2214" s="269"/>
    </row>
    <row r="2215" spans="2:31">
      <c r="B2215" s="83"/>
      <c r="C2215" s="81"/>
      <c r="D2215" s="83"/>
      <c r="E2215" s="81"/>
      <c r="F2215" s="269"/>
      <c r="G2215" s="48"/>
      <c r="H2215" s="269"/>
      <c r="I2215" s="72"/>
      <c r="J2215" s="330"/>
      <c r="K2215" s="75"/>
      <c r="L2215" s="157"/>
      <c r="M2215" s="341"/>
      <c r="N2215" s="334"/>
      <c r="O2215" s="394"/>
      <c r="P2215" s="392"/>
      <c r="Q2215" s="363"/>
      <c r="T2215" s="110"/>
      <c r="V2215" s="232"/>
      <c r="W2215" s="269"/>
      <c r="X2215" s="201"/>
      <c r="Y2215" s="269"/>
      <c r="Z2215" s="269"/>
      <c r="AA2215" s="134"/>
      <c r="AB2215" s="269"/>
      <c r="AC2215" s="284"/>
      <c r="AD2215" s="284"/>
      <c r="AE2215" s="269"/>
    </row>
    <row r="2216" spans="2:31">
      <c r="B2216" s="83"/>
      <c r="C2216" s="81"/>
      <c r="D2216" s="83"/>
      <c r="E2216" s="81"/>
      <c r="F2216" s="269"/>
      <c r="G2216" s="48"/>
      <c r="H2216" s="269"/>
      <c r="I2216" s="72"/>
      <c r="J2216" s="330"/>
      <c r="K2216" s="75"/>
      <c r="L2216" s="157"/>
      <c r="M2216" s="341"/>
      <c r="N2216" s="334"/>
      <c r="O2216" s="394"/>
      <c r="P2216" s="392"/>
      <c r="Q2216" s="363"/>
      <c r="T2216" s="110"/>
      <c r="V2216" s="232"/>
      <c r="W2216" s="269"/>
      <c r="X2216" s="201"/>
      <c r="Y2216" s="269"/>
      <c r="Z2216" s="269"/>
      <c r="AA2216" s="134"/>
      <c r="AB2216" s="269"/>
      <c r="AC2216" s="284"/>
      <c r="AD2216" s="284"/>
      <c r="AE2216" s="269"/>
    </row>
    <row r="2217" spans="2:31">
      <c r="B2217" s="83"/>
      <c r="C2217" s="81"/>
      <c r="D2217" s="83"/>
      <c r="E2217" s="81"/>
      <c r="F2217" s="269"/>
      <c r="G2217" s="48"/>
      <c r="H2217" s="269"/>
      <c r="I2217" s="72"/>
      <c r="J2217" s="330"/>
      <c r="K2217" s="75"/>
      <c r="L2217" s="157"/>
      <c r="M2217" s="341"/>
      <c r="N2217" s="334"/>
      <c r="O2217" s="394"/>
      <c r="P2217" s="392"/>
      <c r="Q2217" s="363"/>
      <c r="T2217" s="110"/>
      <c r="V2217" s="232"/>
      <c r="W2217" s="269"/>
      <c r="X2217" s="201"/>
      <c r="Y2217" s="269"/>
      <c r="Z2217" s="269"/>
      <c r="AA2217" s="134"/>
      <c r="AB2217" s="269"/>
      <c r="AC2217" s="284"/>
      <c r="AD2217" s="284"/>
      <c r="AE2217" s="269"/>
    </row>
    <row r="2218" spans="2:31">
      <c r="B2218" s="83"/>
      <c r="C2218" s="81"/>
      <c r="D2218" s="83"/>
      <c r="E2218" s="81"/>
      <c r="F2218" s="269"/>
      <c r="G2218" s="48"/>
      <c r="H2218" s="269"/>
      <c r="I2218" s="72"/>
      <c r="J2218" s="330"/>
      <c r="K2218" s="75"/>
      <c r="L2218" s="157"/>
      <c r="M2218" s="341"/>
      <c r="N2218" s="334"/>
      <c r="O2218" s="394"/>
      <c r="P2218" s="392"/>
      <c r="Q2218" s="363"/>
      <c r="T2218" s="110"/>
      <c r="V2218" s="232"/>
      <c r="W2218" s="269"/>
      <c r="X2218" s="201"/>
      <c r="Y2218" s="269"/>
      <c r="Z2218" s="269"/>
      <c r="AA2218" s="134"/>
      <c r="AB2218" s="269"/>
      <c r="AC2218" s="284"/>
      <c r="AD2218" s="284"/>
      <c r="AE2218" s="269"/>
    </row>
    <row r="2219" spans="2:31">
      <c r="B2219" s="83"/>
      <c r="C2219" s="81"/>
      <c r="D2219" s="83"/>
      <c r="E2219" s="81"/>
      <c r="F2219" s="269"/>
      <c r="G2219" s="48"/>
      <c r="H2219" s="269"/>
      <c r="I2219" s="72"/>
      <c r="J2219" s="330"/>
      <c r="K2219" s="75"/>
      <c r="L2219" s="157"/>
      <c r="M2219" s="341"/>
      <c r="N2219" s="334"/>
      <c r="O2219" s="394"/>
      <c r="P2219" s="392"/>
      <c r="Q2219" s="363"/>
      <c r="T2219" s="110"/>
      <c r="V2219" s="232"/>
      <c r="W2219" s="269"/>
      <c r="X2219" s="201"/>
      <c r="Y2219" s="269"/>
      <c r="Z2219" s="269"/>
      <c r="AA2219" s="134"/>
      <c r="AB2219" s="269"/>
      <c r="AC2219" s="284"/>
      <c r="AD2219" s="284"/>
      <c r="AE2219" s="269"/>
    </row>
    <row r="2220" spans="2:31">
      <c r="B2220" s="83"/>
      <c r="C2220" s="81"/>
      <c r="D2220" s="83"/>
      <c r="E2220" s="81"/>
      <c r="F2220" s="269"/>
      <c r="G2220" s="48"/>
      <c r="H2220" s="269"/>
      <c r="I2220" s="72"/>
      <c r="J2220" s="330"/>
      <c r="K2220" s="75"/>
      <c r="L2220" s="157"/>
      <c r="M2220" s="341"/>
      <c r="N2220" s="334"/>
      <c r="O2220" s="394"/>
      <c r="P2220" s="392"/>
      <c r="Q2220" s="363"/>
      <c r="T2220" s="110"/>
      <c r="V2220" s="232"/>
      <c r="W2220" s="269"/>
      <c r="X2220" s="201"/>
      <c r="Y2220" s="269"/>
      <c r="Z2220" s="269"/>
      <c r="AA2220" s="134"/>
      <c r="AB2220" s="269"/>
      <c r="AC2220" s="284"/>
      <c r="AD2220" s="284"/>
      <c r="AE2220" s="269"/>
    </row>
    <row r="2221" spans="2:31">
      <c r="B2221" s="83"/>
      <c r="C2221" s="81"/>
      <c r="D2221" s="83"/>
      <c r="E2221" s="81"/>
      <c r="F2221" s="269"/>
      <c r="G2221" s="48"/>
      <c r="H2221" s="269"/>
      <c r="I2221" s="72"/>
      <c r="J2221" s="330"/>
      <c r="K2221" s="75"/>
      <c r="L2221" s="157"/>
      <c r="M2221" s="341"/>
      <c r="N2221" s="334"/>
      <c r="O2221" s="394"/>
      <c r="P2221" s="392"/>
      <c r="Q2221" s="363"/>
      <c r="T2221" s="110"/>
      <c r="V2221" s="232"/>
      <c r="W2221" s="269"/>
      <c r="X2221" s="201"/>
      <c r="Y2221" s="269"/>
      <c r="Z2221" s="269"/>
      <c r="AA2221" s="134"/>
      <c r="AB2221" s="269"/>
      <c r="AC2221" s="284"/>
      <c r="AD2221" s="284"/>
      <c r="AE2221" s="269"/>
    </row>
    <row r="2222" spans="2:31">
      <c r="B2222" s="83"/>
      <c r="C2222" s="81"/>
      <c r="D2222" s="83"/>
      <c r="E2222" s="81"/>
      <c r="F2222" s="269"/>
      <c r="G2222" s="48"/>
      <c r="H2222" s="269"/>
      <c r="I2222" s="72"/>
      <c r="J2222" s="330"/>
      <c r="K2222" s="75"/>
      <c r="L2222" s="157"/>
      <c r="M2222" s="341"/>
      <c r="N2222" s="334"/>
      <c r="O2222" s="394"/>
      <c r="P2222" s="392"/>
      <c r="Q2222" s="363"/>
      <c r="T2222" s="110"/>
      <c r="V2222" s="232"/>
      <c r="W2222" s="269"/>
      <c r="X2222" s="201"/>
      <c r="Y2222" s="269"/>
      <c r="Z2222" s="269"/>
      <c r="AA2222" s="134"/>
      <c r="AB2222" s="269"/>
      <c r="AC2222" s="284"/>
      <c r="AD2222" s="284"/>
      <c r="AE2222" s="269"/>
    </row>
    <row r="2223" spans="2:31">
      <c r="B2223" s="83"/>
      <c r="C2223" s="81"/>
      <c r="D2223" s="83"/>
      <c r="E2223" s="81"/>
      <c r="F2223" s="269"/>
      <c r="G2223" s="48"/>
      <c r="H2223" s="269"/>
      <c r="I2223" s="72"/>
      <c r="J2223" s="330"/>
      <c r="K2223" s="75"/>
      <c r="L2223" s="157"/>
      <c r="M2223" s="341"/>
      <c r="N2223" s="334"/>
      <c r="O2223" s="394"/>
      <c r="P2223" s="392"/>
      <c r="Q2223" s="363"/>
      <c r="T2223" s="110"/>
      <c r="V2223" s="232"/>
      <c r="W2223" s="269"/>
      <c r="X2223" s="201"/>
      <c r="Y2223" s="269"/>
      <c r="Z2223" s="269"/>
      <c r="AA2223" s="134"/>
      <c r="AB2223" s="269"/>
      <c r="AC2223" s="284"/>
      <c r="AD2223" s="284"/>
      <c r="AE2223" s="269"/>
    </row>
    <row r="2224" spans="2:31">
      <c r="B2224" s="83"/>
      <c r="C2224" s="81"/>
      <c r="D2224" s="83"/>
      <c r="E2224" s="81"/>
      <c r="F2224" s="269"/>
      <c r="G2224" s="48"/>
      <c r="H2224" s="269"/>
      <c r="I2224" s="72"/>
      <c r="J2224" s="330"/>
      <c r="K2224" s="75"/>
      <c r="L2224" s="157"/>
      <c r="M2224" s="341"/>
      <c r="N2224" s="334"/>
      <c r="O2224" s="394"/>
      <c r="P2224" s="392"/>
      <c r="Q2224" s="363"/>
      <c r="T2224" s="110"/>
      <c r="V2224" s="232"/>
      <c r="W2224" s="269"/>
      <c r="X2224" s="201"/>
      <c r="Y2224" s="269"/>
      <c r="Z2224" s="269"/>
      <c r="AA2224" s="134"/>
      <c r="AB2224" s="269"/>
      <c r="AC2224" s="284"/>
      <c r="AD2224" s="284"/>
      <c r="AE2224" s="269"/>
    </row>
    <row r="2225" spans="2:31">
      <c r="B2225" s="83"/>
      <c r="C2225" s="81"/>
      <c r="D2225" s="83"/>
      <c r="E2225" s="81"/>
      <c r="F2225" s="269"/>
      <c r="G2225" s="48"/>
      <c r="H2225" s="269"/>
      <c r="I2225" s="72"/>
      <c r="J2225" s="330"/>
      <c r="K2225" s="75"/>
      <c r="L2225" s="157"/>
      <c r="M2225" s="341"/>
      <c r="N2225" s="334"/>
      <c r="O2225" s="394"/>
      <c r="P2225" s="392"/>
      <c r="Q2225" s="363"/>
      <c r="T2225" s="110"/>
      <c r="V2225" s="232"/>
      <c r="W2225" s="269"/>
      <c r="X2225" s="201"/>
      <c r="Y2225" s="269"/>
      <c r="Z2225" s="269"/>
      <c r="AA2225" s="134"/>
      <c r="AB2225" s="269"/>
      <c r="AC2225" s="284"/>
      <c r="AD2225" s="284"/>
      <c r="AE2225" s="269"/>
    </row>
    <row r="2226" spans="2:31">
      <c r="B2226" s="83"/>
      <c r="C2226" s="81"/>
      <c r="D2226" s="83"/>
      <c r="E2226" s="81"/>
      <c r="F2226" s="269"/>
      <c r="G2226" s="48"/>
      <c r="H2226" s="269"/>
      <c r="I2226" s="72"/>
      <c r="J2226" s="330"/>
      <c r="K2226" s="75"/>
      <c r="L2226" s="157"/>
      <c r="M2226" s="341"/>
      <c r="N2226" s="334"/>
      <c r="O2226" s="394"/>
      <c r="P2226" s="392"/>
      <c r="Q2226" s="363"/>
      <c r="T2226" s="110"/>
      <c r="V2226" s="232"/>
      <c r="W2226" s="269"/>
      <c r="X2226" s="201"/>
      <c r="Y2226" s="269"/>
      <c r="Z2226" s="269"/>
      <c r="AA2226" s="134"/>
      <c r="AB2226" s="269"/>
      <c r="AC2226" s="284"/>
      <c r="AD2226" s="284"/>
      <c r="AE2226" s="269"/>
    </row>
    <row r="2227" spans="2:31">
      <c r="B2227" s="83"/>
      <c r="C2227" s="81"/>
      <c r="D2227" s="83"/>
      <c r="E2227" s="81"/>
      <c r="F2227" s="269"/>
      <c r="G2227" s="48"/>
      <c r="H2227" s="269"/>
      <c r="I2227" s="72"/>
      <c r="J2227" s="330"/>
      <c r="K2227" s="75"/>
      <c r="L2227" s="157"/>
      <c r="M2227" s="341"/>
      <c r="N2227" s="334"/>
      <c r="O2227" s="394"/>
      <c r="P2227" s="392"/>
      <c r="Q2227" s="363"/>
      <c r="T2227" s="110"/>
      <c r="V2227" s="232"/>
      <c r="W2227" s="269"/>
      <c r="X2227" s="201"/>
      <c r="Y2227" s="269"/>
      <c r="Z2227" s="269"/>
      <c r="AA2227" s="134"/>
      <c r="AB2227" s="269"/>
      <c r="AC2227" s="284"/>
      <c r="AD2227" s="284"/>
      <c r="AE2227" s="269"/>
    </row>
    <row r="2228" spans="2:31">
      <c r="B2228" s="83"/>
      <c r="C2228" s="81"/>
      <c r="D2228" s="83"/>
      <c r="E2228" s="81"/>
      <c r="F2228" s="269"/>
      <c r="G2228" s="48"/>
      <c r="H2228" s="269"/>
      <c r="I2228" s="72"/>
      <c r="J2228" s="330"/>
      <c r="K2228" s="75"/>
      <c r="L2228" s="157"/>
      <c r="M2228" s="341"/>
      <c r="N2228" s="334"/>
      <c r="O2228" s="394"/>
      <c r="P2228" s="392"/>
      <c r="Q2228" s="363"/>
      <c r="T2228" s="110"/>
      <c r="V2228" s="232"/>
      <c r="W2228" s="269"/>
      <c r="X2228" s="201"/>
      <c r="Y2228" s="269"/>
      <c r="Z2228" s="269"/>
      <c r="AA2228" s="134"/>
      <c r="AB2228" s="269"/>
      <c r="AC2228" s="284"/>
      <c r="AD2228" s="284"/>
      <c r="AE2228" s="269"/>
    </row>
    <row r="2229" spans="2:31">
      <c r="B2229" s="83"/>
      <c r="C2229" s="81"/>
      <c r="D2229" s="83"/>
      <c r="E2229" s="81"/>
      <c r="F2229" s="269"/>
      <c r="G2229" s="48"/>
      <c r="H2229" s="269"/>
      <c r="I2229" s="72"/>
      <c r="J2229" s="330"/>
      <c r="K2229" s="75"/>
      <c r="L2229" s="157"/>
      <c r="M2229" s="341"/>
      <c r="N2229" s="334"/>
      <c r="O2229" s="394"/>
      <c r="P2229" s="392"/>
      <c r="Q2229" s="363"/>
      <c r="T2229" s="110"/>
      <c r="V2229" s="232"/>
      <c r="W2229" s="269"/>
      <c r="X2229" s="201"/>
      <c r="Y2229" s="269"/>
      <c r="Z2229" s="269"/>
      <c r="AA2229" s="134"/>
      <c r="AB2229" s="269"/>
      <c r="AC2229" s="284"/>
      <c r="AD2229" s="284"/>
      <c r="AE2229" s="269"/>
    </row>
    <row r="2230" spans="2:31">
      <c r="B2230" s="83"/>
      <c r="C2230" s="81"/>
      <c r="D2230" s="83"/>
      <c r="E2230" s="81"/>
      <c r="F2230" s="269"/>
      <c r="G2230" s="48"/>
      <c r="H2230" s="269"/>
      <c r="I2230" s="72"/>
      <c r="J2230" s="330"/>
      <c r="K2230" s="75"/>
      <c r="L2230" s="157"/>
      <c r="M2230" s="341"/>
      <c r="N2230" s="334"/>
      <c r="O2230" s="394"/>
      <c r="P2230" s="392"/>
      <c r="Q2230" s="363"/>
      <c r="T2230" s="110"/>
      <c r="V2230" s="232"/>
      <c r="W2230" s="269"/>
      <c r="X2230" s="201"/>
      <c r="Y2230" s="269"/>
      <c r="Z2230" s="269"/>
      <c r="AA2230" s="134"/>
      <c r="AB2230" s="269"/>
      <c r="AC2230" s="284"/>
      <c r="AD2230" s="284"/>
      <c r="AE2230" s="269"/>
    </row>
    <row r="2231" spans="2:31">
      <c r="B2231" s="83"/>
      <c r="C2231" s="81"/>
      <c r="D2231" s="83"/>
      <c r="E2231" s="81"/>
      <c r="F2231" s="269"/>
      <c r="G2231" s="48"/>
      <c r="H2231" s="269"/>
      <c r="I2231" s="72"/>
      <c r="J2231" s="330"/>
      <c r="K2231" s="75"/>
      <c r="L2231" s="157"/>
      <c r="M2231" s="341"/>
      <c r="N2231" s="334"/>
      <c r="O2231" s="394"/>
      <c r="P2231" s="392"/>
      <c r="Q2231" s="363"/>
      <c r="T2231" s="110"/>
      <c r="V2231" s="232"/>
      <c r="W2231" s="269"/>
      <c r="X2231" s="201"/>
      <c r="Y2231" s="269"/>
      <c r="Z2231" s="269"/>
      <c r="AA2231" s="134"/>
      <c r="AB2231" s="269"/>
      <c r="AC2231" s="284"/>
      <c r="AD2231" s="284"/>
      <c r="AE2231" s="269"/>
    </row>
    <row r="2232" spans="2:31">
      <c r="B2232" s="83"/>
      <c r="C2232" s="81"/>
      <c r="D2232" s="83"/>
      <c r="E2232" s="81"/>
      <c r="F2232" s="269"/>
      <c r="G2232" s="48"/>
      <c r="H2232" s="269"/>
      <c r="I2232" s="72"/>
      <c r="J2232" s="330"/>
      <c r="K2232" s="75"/>
      <c r="L2232" s="157"/>
      <c r="M2232" s="341"/>
      <c r="N2232" s="334"/>
      <c r="O2232" s="394"/>
      <c r="P2232" s="392"/>
      <c r="Q2232" s="363"/>
      <c r="T2232" s="110"/>
      <c r="V2232" s="232"/>
      <c r="W2232" s="269"/>
      <c r="X2232" s="201"/>
      <c r="Y2232" s="269"/>
      <c r="Z2232" s="269"/>
      <c r="AA2232" s="134"/>
      <c r="AB2232" s="269"/>
      <c r="AC2232" s="284"/>
      <c r="AD2232" s="284"/>
      <c r="AE2232" s="269"/>
    </row>
    <row r="2233" spans="2:31">
      <c r="B2233" s="83"/>
      <c r="C2233" s="81"/>
      <c r="D2233" s="83"/>
      <c r="E2233" s="81"/>
      <c r="F2233" s="269"/>
      <c r="G2233" s="48"/>
      <c r="H2233" s="269"/>
      <c r="I2233" s="72"/>
      <c r="J2233" s="330"/>
      <c r="K2233" s="75"/>
      <c r="L2233" s="157"/>
      <c r="M2233" s="341"/>
      <c r="N2233" s="334"/>
      <c r="O2233" s="394"/>
      <c r="P2233" s="392"/>
      <c r="Q2233" s="363"/>
      <c r="T2233" s="110"/>
      <c r="V2233" s="232"/>
      <c r="W2233" s="269"/>
      <c r="X2233" s="201"/>
      <c r="Y2233" s="269"/>
      <c r="Z2233" s="269"/>
      <c r="AA2233" s="134"/>
      <c r="AB2233" s="269"/>
      <c r="AC2233" s="284"/>
      <c r="AD2233" s="284"/>
      <c r="AE2233" s="269"/>
    </row>
    <row r="2234" spans="2:31">
      <c r="B2234" s="83"/>
      <c r="C2234" s="81"/>
      <c r="D2234" s="83"/>
      <c r="E2234" s="81"/>
      <c r="F2234" s="269"/>
      <c r="G2234" s="48"/>
      <c r="H2234" s="269"/>
      <c r="I2234" s="72"/>
      <c r="J2234" s="330"/>
      <c r="K2234" s="75"/>
      <c r="L2234" s="157"/>
      <c r="M2234" s="341"/>
      <c r="N2234" s="334"/>
      <c r="O2234" s="394"/>
      <c r="P2234" s="392"/>
      <c r="Q2234" s="363"/>
      <c r="T2234" s="110"/>
      <c r="V2234" s="232"/>
      <c r="W2234" s="269"/>
      <c r="X2234" s="201"/>
      <c r="Y2234" s="269"/>
      <c r="Z2234" s="269"/>
      <c r="AA2234" s="134"/>
      <c r="AB2234" s="269"/>
      <c r="AC2234" s="284"/>
      <c r="AD2234" s="284"/>
      <c r="AE2234" s="269"/>
    </row>
    <row r="2235" spans="2:31">
      <c r="B2235" s="83"/>
      <c r="C2235" s="81"/>
      <c r="D2235" s="83"/>
      <c r="E2235" s="81"/>
      <c r="F2235" s="269"/>
      <c r="G2235" s="48"/>
      <c r="H2235" s="269"/>
      <c r="I2235" s="72"/>
      <c r="J2235" s="330"/>
      <c r="K2235" s="75"/>
      <c r="L2235" s="157"/>
      <c r="M2235" s="341"/>
      <c r="N2235" s="334"/>
      <c r="O2235" s="394"/>
      <c r="P2235" s="392"/>
      <c r="Q2235" s="363"/>
      <c r="T2235" s="110"/>
      <c r="V2235" s="232"/>
      <c r="W2235" s="269"/>
      <c r="X2235" s="201"/>
      <c r="Y2235" s="269"/>
      <c r="Z2235" s="269"/>
      <c r="AA2235" s="134"/>
      <c r="AB2235" s="269"/>
      <c r="AC2235" s="284"/>
      <c r="AD2235" s="284"/>
      <c r="AE2235" s="269"/>
    </row>
    <row r="2236" spans="2:31">
      <c r="B2236" s="83"/>
      <c r="C2236" s="81"/>
      <c r="D2236" s="83"/>
      <c r="E2236" s="81"/>
      <c r="F2236" s="269"/>
      <c r="G2236" s="48"/>
      <c r="H2236" s="269"/>
      <c r="I2236" s="72"/>
      <c r="J2236" s="330"/>
      <c r="K2236" s="75"/>
      <c r="L2236" s="157"/>
      <c r="M2236" s="341"/>
      <c r="N2236" s="334"/>
      <c r="O2236" s="394"/>
      <c r="P2236" s="392"/>
      <c r="Q2236" s="363"/>
      <c r="T2236" s="110"/>
      <c r="V2236" s="232"/>
      <c r="W2236" s="269"/>
      <c r="X2236" s="201"/>
      <c r="Y2236" s="269"/>
      <c r="Z2236" s="269"/>
      <c r="AA2236" s="134"/>
      <c r="AB2236" s="269"/>
      <c r="AC2236" s="284"/>
      <c r="AD2236" s="284"/>
      <c r="AE2236" s="269"/>
    </row>
    <row r="2237" spans="2:31">
      <c r="B2237" s="83"/>
      <c r="C2237" s="81"/>
      <c r="D2237" s="83"/>
      <c r="E2237" s="81"/>
      <c r="F2237" s="269"/>
      <c r="G2237" s="48"/>
      <c r="H2237" s="269"/>
      <c r="I2237" s="72"/>
      <c r="J2237" s="330"/>
      <c r="K2237" s="75"/>
      <c r="L2237" s="157"/>
      <c r="M2237" s="341"/>
      <c r="N2237" s="334"/>
      <c r="O2237" s="394"/>
      <c r="P2237" s="392"/>
      <c r="Q2237" s="363"/>
      <c r="T2237" s="110"/>
      <c r="V2237" s="232"/>
      <c r="W2237" s="269"/>
      <c r="X2237" s="201"/>
      <c r="Y2237" s="269"/>
      <c r="Z2237" s="269"/>
      <c r="AA2237" s="134"/>
      <c r="AB2237" s="269"/>
      <c r="AC2237" s="284"/>
      <c r="AD2237" s="284"/>
      <c r="AE2237" s="269"/>
    </row>
    <row r="2238" spans="2:31">
      <c r="B2238" s="83"/>
      <c r="C2238" s="81"/>
      <c r="D2238" s="83"/>
      <c r="E2238" s="81"/>
      <c r="F2238" s="269"/>
      <c r="G2238" s="48"/>
      <c r="H2238" s="269"/>
      <c r="I2238" s="72"/>
      <c r="J2238" s="330"/>
      <c r="K2238" s="75"/>
      <c r="L2238" s="157"/>
      <c r="M2238" s="341"/>
      <c r="N2238" s="334"/>
      <c r="O2238" s="394"/>
      <c r="P2238" s="392"/>
      <c r="Q2238" s="363"/>
      <c r="T2238" s="110"/>
      <c r="V2238" s="232"/>
      <c r="W2238" s="269"/>
      <c r="X2238" s="201"/>
      <c r="Y2238" s="269"/>
      <c r="Z2238" s="269"/>
      <c r="AA2238" s="134"/>
      <c r="AB2238" s="269"/>
      <c r="AC2238" s="284"/>
      <c r="AD2238" s="284"/>
      <c r="AE2238" s="269"/>
    </row>
    <row r="2239" spans="2:31">
      <c r="B2239" s="83"/>
      <c r="C2239" s="81"/>
      <c r="D2239" s="83"/>
      <c r="E2239" s="81"/>
      <c r="F2239" s="269"/>
      <c r="G2239" s="48"/>
      <c r="H2239" s="269"/>
      <c r="I2239" s="72"/>
      <c r="J2239" s="330"/>
      <c r="K2239" s="75"/>
      <c r="L2239" s="157"/>
      <c r="M2239" s="341"/>
      <c r="N2239" s="334"/>
      <c r="O2239" s="394"/>
      <c r="P2239" s="392"/>
      <c r="Q2239" s="363"/>
      <c r="T2239" s="110"/>
      <c r="V2239" s="232"/>
      <c r="W2239" s="269"/>
      <c r="X2239" s="201"/>
      <c r="Y2239" s="269"/>
      <c r="Z2239" s="269"/>
      <c r="AA2239" s="134"/>
      <c r="AB2239" s="269"/>
      <c r="AC2239" s="284"/>
      <c r="AD2239" s="284"/>
      <c r="AE2239" s="269"/>
    </row>
    <row r="2240" spans="2:31">
      <c r="B2240" s="83"/>
      <c r="C2240" s="81"/>
      <c r="D2240" s="83"/>
      <c r="E2240" s="81"/>
      <c r="F2240" s="269"/>
      <c r="G2240" s="48"/>
      <c r="H2240" s="269"/>
      <c r="I2240" s="72"/>
      <c r="J2240" s="330"/>
      <c r="K2240" s="75"/>
      <c r="L2240" s="157"/>
      <c r="M2240" s="341"/>
      <c r="N2240" s="334"/>
      <c r="O2240" s="394"/>
      <c r="P2240" s="392"/>
      <c r="Q2240" s="363"/>
      <c r="T2240" s="110"/>
      <c r="V2240" s="232"/>
      <c r="W2240" s="269"/>
      <c r="X2240" s="201"/>
      <c r="Y2240" s="269"/>
      <c r="Z2240" s="269"/>
      <c r="AA2240" s="134"/>
      <c r="AB2240" s="269"/>
      <c r="AC2240" s="284"/>
      <c r="AD2240" s="284"/>
      <c r="AE2240" s="269"/>
    </row>
    <row r="2241" spans="2:31">
      <c r="B2241" s="83"/>
      <c r="C2241" s="81"/>
      <c r="D2241" s="83"/>
      <c r="E2241" s="81"/>
      <c r="F2241" s="269"/>
      <c r="G2241" s="48"/>
      <c r="H2241" s="269"/>
      <c r="I2241" s="72"/>
      <c r="J2241" s="330"/>
      <c r="K2241" s="75"/>
      <c r="L2241" s="157"/>
      <c r="M2241" s="341"/>
      <c r="N2241" s="334"/>
      <c r="O2241" s="394"/>
      <c r="P2241" s="392"/>
      <c r="Q2241" s="363"/>
      <c r="T2241" s="110"/>
      <c r="V2241" s="232"/>
      <c r="W2241" s="269"/>
      <c r="X2241" s="201"/>
      <c r="Y2241" s="269"/>
      <c r="Z2241" s="269"/>
      <c r="AA2241" s="134"/>
      <c r="AB2241" s="269"/>
      <c r="AC2241" s="284"/>
      <c r="AD2241" s="284"/>
      <c r="AE2241" s="269"/>
    </row>
    <row r="2242" spans="2:31">
      <c r="B2242" s="83"/>
      <c r="C2242" s="81"/>
      <c r="D2242" s="83"/>
      <c r="E2242" s="81"/>
      <c r="F2242" s="269"/>
      <c r="G2242" s="48"/>
      <c r="H2242" s="269"/>
      <c r="I2242" s="72"/>
      <c r="J2242" s="330"/>
      <c r="K2242" s="75"/>
      <c r="L2242" s="157"/>
      <c r="M2242" s="341"/>
      <c r="N2242" s="334"/>
      <c r="O2242" s="394"/>
      <c r="P2242" s="392"/>
      <c r="Q2242" s="363"/>
      <c r="T2242" s="110"/>
      <c r="V2242" s="232"/>
      <c r="W2242" s="269"/>
      <c r="X2242" s="201"/>
      <c r="Y2242" s="269"/>
      <c r="Z2242" s="269"/>
      <c r="AA2242" s="134"/>
      <c r="AB2242" s="269"/>
      <c r="AC2242" s="284"/>
      <c r="AD2242" s="284"/>
      <c r="AE2242" s="269"/>
    </row>
    <row r="2243" spans="2:31">
      <c r="B2243" s="83"/>
      <c r="C2243" s="81"/>
      <c r="D2243" s="83"/>
      <c r="E2243" s="81"/>
      <c r="F2243" s="269"/>
      <c r="G2243" s="48"/>
      <c r="H2243" s="269"/>
      <c r="I2243" s="72"/>
      <c r="J2243" s="330"/>
      <c r="K2243" s="75"/>
      <c r="L2243" s="157"/>
      <c r="M2243" s="341"/>
      <c r="N2243" s="334"/>
      <c r="O2243" s="394"/>
      <c r="P2243" s="392"/>
      <c r="Q2243" s="363"/>
      <c r="T2243" s="110"/>
      <c r="V2243" s="232"/>
      <c r="W2243" s="269"/>
      <c r="X2243" s="201"/>
      <c r="Y2243" s="269"/>
      <c r="Z2243" s="269"/>
      <c r="AA2243" s="134"/>
      <c r="AB2243" s="269"/>
      <c r="AC2243" s="284"/>
      <c r="AD2243" s="284"/>
      <c r="AE2243" s="269"/>
    </row>
    <row r="2244" spans="2:31">
      <c r="B2244" s="83"/>
      <c r="C2244" s="81"/>
      <c r="D2244" s="83"/>
      <c r="E2244" s="81"/>
      <c r="F2244" s="269"/>
      <c r="G2244" s="48"/>
      <c r="H2244" s="269"/>
      <c r="I2244" s="72"/>
      <c r="J2244" s="330"/>
      <c r="K2244" s="75"/>
      <c r="L2244" s="157"/>
      <c r="M2244" s="341"/>
      <c r="N2244" s="334"/>
      <c r="O2244" s="394"/>
      <c r="P2244" s="392"/>
      <c r="Q2244" s="363"/>
      <c r="T2244" s="110"/>
      <c r="V2244" s="232"/>
      <c r="W2244" s="269"/>
      <c r="X2244" s="201"/>
      <c r="Y2244" s="269"/>
      <c r="Z2244" s="269"/>
      <c r="AA2244" s="134"/>
      <c r="AB2244" s="269"/>
      <c r="AC2244" s="284"/>
      <c r="AD2244" s="284"/>
      <c r="AE2244" s="269"/>
    </row>
    <row r="2245" spans="2:31">
      <c r="B2245" s="83"/>
      <c r="C2245" s="81"/>
      <c r="D2245" s="83"/>
      <c r="E2245" s="81"/>
      <c r="F2245" s="269"/>
      <c r="G2245" s="48"/>
      <c r="H2245" s="269"/>
      <c r="I2245" s="72"/>
      <c r="J2245" s="330"/>
      <c r="K2245" s="75"/>
      <c r="L2245" s="157"/>
      <c r="M2245" s="341"/>
      <c r="N2245" s="334"/>
      <c r="O2245" s="394"/>
      <c r="P2245" s="392"/>
      <c r="Q2245" s="363"/>
      <c r="T2245" s="110"/>
      <c r="V2245" s="232"/>
      <c r="W2245" s="269"/>
      <c r="X2245" s="201"/>
      <c r="Y2245" s="269"/>
      <c r="Z2245" s="269"/>
      <c r="AA2245" s="134"/>
      <c r="AB2245" s="269"/>
      <c r="AC2245" s="284"/>
      <c r="AD2245" s="284"/>
      <c r="AE2245" s="269"/>
    </row>
    <row r="2246" spans="2:31">
      <c r="B2246" s="83"/>
      <c r="C2246" s="81"/>
      <c r="D2246" s="83"/>
      <c r="E2246" s="81"/>
      <c r="F2246" s="269"/>
      <c r="G2246" s="48"/>
      <c r="H2246" s="269"/>
      <c r="I2246" s="72"/>
      <c r="J2246" s="330"/>
      <c r="K2246" s="75"/>
      <c r="L2246" s="157"/>
      <c r="M2246" s="341"/>
      <c r="N2246" s="334"/>
      <c r="O2246" s="394"/>
      <c r="P2246" s="392"/>
      <c r="Q2246" s="363"/>
      <c r="T2246" s="110"/>
      <c r="V2246" s="232"/>
      <c r="W2246" s="269"/>
      <c r="X2246" s="201"/>
      <c r="Y2246" s="269"/>
      <c r="Z2246" s="269"/>
      <c r="AA2246" s="134"/>
      <c r="AB2246" s="269"/>
      <c r="AC2246" s="284"/>
      <c r="AD2246" s="284"/>
      <c r="AE2246" s="269"/>
    </row>
    <row r="2247" spans="2:31">
      <c r="B2247" s="83"/>
      <c r="C2247" s="81"/>
      <c r="D2247" s="83"/>
      <c r="E2247" s="81"/>
      <c r="F2247" s="269"/>
      <c r="G2247" s="48"/>
      <c r="H2247" s="269"/>
      <c r="I2247" s="72"/>
      <c r="J2247" s="330"/>
      <c r="K2247" s="75"/>
      <c r="L2247" s="157"/>
      <c r="M2247" s="341"/>
      <c r="N2247" s="334"/>
      <c r="O2247" s="394"/>
      <c r="P2247" s="392"/>
      <c r="Q2247" s="363"/>
      <c r="T2247" s="110"/>
      <c r="V2247" s="232"/>
      <c r="W2247" s="269"/>
      <c r="X2247" s="201"/>
      <c r="Y2247" s="269"/>
      <c r="Z2247" s="269"/>
      <c r="AA2247" s="134"/>
      <c r="AB2247" s="269"/>
      <c r="AC2247" s="284"/>
      <c r="AD2247" s="284"/>
      <c r="AE2247" s="269"/>
    </row>
    <row r="2248" spans="2:31">
      <c r="B2248" s="83"/>
      <c r="C2248" s="81"/>
      <c r="D2248" s="83"/>
      <c r="E2248" s="81"/>
      <c r="F2248" s="269"/>
      <c r="G2248" s="48"/>
      <c r="H2248" s="269"/>
      <c r="I2248" s="72"/>
      <c r="J2248" s="330"/>
      <c r="K2248" s="75"/>
      <c r="L2248" s="157"/>
      <c r="M2248" s="341"/>
      <c r="N2248" s="334"/>
      <c r="O2248" s="394"/>
      <c r="P2248" s="392"/>
      <c r="Q2248" s="363"/>
      <c r="T2248" s="110"/>
      <c r="V2248" s="232"/>
      <c r="W2248" s="269"/>
      <c r="X2248" s="201"/>
      <c r="Y2248" s="269"/>
      <c r="Z2248" s="269"/>
      <c r="AA2248" s="134"/>
      <c r="AB2248" s="269"/>
      <c r="AC2248" s="284"/>
      <c r="AD2248" s="284"/>
      <c r="AE2248" s="269"/>
    </row>
    <row r="2249" spans="2:31">
      <c r="B2249" s="83"/>
      <c r="C2249" s="81"/>
      <c r="D2249" s="83"/>
      <c r="E2249" s="81"/>
      <c r="F2249" s="269"/>
      <c r="G2249" s="48"/>
      <c r="H2249" s="269"/>
      <c r="I2249" s="72"/>
      <c r="J2249" s="330"/>
      <c r="K2249" s="75"/>
      <c r="L2249" s="157"/>
      <c r="M2249" s="341"/>
      <c r="N2249" s="334"/>
      <c r="O2249" s="394"/>
      <c r="P2249" s="392"/>
      <c r="Q2249" s="363"/>
      <c r="T2249" s="110"/>
      <c r="V2249" s="232"/>
      <c r="W2249" s="269"/>
      <c r="X2249" s="201"/>
      <c r="Y2249" s="269"/>
      <c r="Z2249" s="269"/>
      <c r="AA2249" s="134"/>
      <c r="AB2249" s="269"/>
      <c r="AC2249" s="284"/>
      <c r="AD2249" s="284"/>
      <c r="AE2249" s="269"/>
    </row>
    <row r="2250" spans="2:31">
      <c r="B2250" s="83"/>
      <c r="C2250" s="81"/>
      <c r="D2250" s="83"/>
      <c r="E2250" s="81"/>
      <c r="F2250" s="269"/>
      <c r="G2250" s="48"/>
      <c r="H2250" s="269"/>
      <c r="I2250" s="72"/>
      <c r="J2250" s="330"/>
      <c r="K2250" s="75"/>
      <c r="L2250" s="157"/>
      <c r="M2250" s="341"/>
      <c r="N2250" s="334"/>
      <c r="O2250" s="394"/>
      <c r="P2250" s="392"/>
      <c r="Q2250" s="363"/>
      <c r="T2250" s="110"/>
      <c r="V2250" s="232"/>
      <c r="W2250" s="269"/>
      <c r="X2250" s="201"/>
      <c r="Y2250" s="269"/>
      <c r="Z2250" s="269"/>
      <c r="AA2250" s="134"/>
      <c r="AB2250" s="269"/>
      <c r="AC2250" s="284"/>
      <c r="AD2250" s="284"/>
      <c r="AE2250" s="269"/>
    </row>
    <row r="2251" spans="2:31">
      <c r="B2251" s="83"/>
      <c r="C2251" s="81"/>
      <c r="D2251" s="83"/>
      <c r="E2251" s="81"/>
      <c r="F2251" s="269"/>
      <c r="G2251" s="48"/>
      <c r="H2251" s="269"/>
      <c r="I2251" s="72"/>
      <c r="J2251" s="330"/>
      <c r="K2251" s="75"/>
      <c r="L2251" s="157"/>
      <c r="M2251" s="341"/>
      <c r="N2251" s="334"/>
      <c r="O2251" s="394"/>
      <c r="P2251" s="392"/>
      <c r="Q2251" s="363"/>
      <c r="T2251" s="110"/>
      <c r="V2251" s="232"/>
      <c r="W2251" s="269"/>
      <c r="X2251" s="201"/>
      <c r="Y2251" s="269"/>
      <c r="Z2251" s="269"/>
      <c r="AA2251" s="134"/>
      <c r="AB2251" s="269"/>
      <c r="AC2251" s="284"/>
      <c r="AD2251" s="284"/>
      <c r="AE2251" s="269"/>
    </row>
    <row r="2252" spans="2:31">
      <c r="B2252" s="83"/>
      <c r="C2252" s="81"/>
      <c r="D2252" s="83"/>
      <c r="E2252" s="81"/>
      <c r="F2252" s="269"/>
      <c r="G2252" s="48"/>
      <c r="H2252" s="269"/>
      <c r="I2252" s="72"/>
      <c r="J2252" s="330"/>
      <c r="K2252" s="75"/>
      <c r="L2252" s="157"/>
      <c r="M2252" s="341"/>
      <c r="N2252" s="334"/>
      <c r="O2252" s="394"/>
      <c r="P2252" s="392"/>
      <c r="Q2252" s="363"/>
      <c r="T2252" s="110"/>
      <c r="V2252" s="232"/>
      <c r="W2252" s="269"/>
      <c r="X2252" s="201"/>
      <c r="Y2252" s="269"/>
      <c r="Z2252" s="269"/>
      <c r="AA2252" s="134"/>
      <c r="AB2252" s="269"/>
      <c r="AC2252" s="284"/>
      <c r="AD2252" s="284"/>
      <c r="AE2252" s="269"/>
    </row>
    <row r="2253" spans="2:31">
      <c r="B2253" s="83"/>
      <c r="C2253" s="81"/>
      <c r="D2253" s="83"/>
      <c r="E2253" s="81"/>
      <c r="F2253" s="269"/>
      <c r="G2253" s="48"/>
      <c r="H2253" s="269"/>
      <c r="I2253" s="72"/>
      <c r="J2253" s="330"/>
      <c r="K2253" s="75"/>
      <c r="L2253" s="157"/>
      <c r="M2253" s="341"/>
      <c r="N2253" s="334"/>
      <c r="O2253" s="394"/>
      <c r="P2253" s="392"/>
      <c r="Q2253" s="363"/>
      <c r="T2253" s="110"/>
      <c r="V2253" s="232"/>
      <c r="W2253" s="269"/>
      <c r="X2253" s="201"/>
      <c r="Y2253" s="269"/>
      <c r="Z2253" s="269"/>
      <c r="AA2253" s="134"/>
      <c r="AB2253" s="269"/>
      <c r="AC2253" s="284"/>
      <c r="AD2253" s="284"/>
      <c r="AE2253" s="269"/>
    </row>
    <row r="2254" spans="2:31">
      <c r="B2254" s="83"/>
      <c r="C2254" s="81"/>
      <c r="D2254" s="83"/>
      <c r="E2254" s="81"/>
      <c r="F2254" s="269"/>
      <c r="G2254" s="48"/>
      <c r="H2254" s="269"/>
      <c r="I2254" s="72"/>
      <c r="J2254" s="330"/>
      <c r="K2254" s="75"/>
      <c r="L2254" s="157"/>
      <c r="M2254" s="341"/>
      <c r="N2254" s="334"/>
      <c r="O2254" s="394"/>
      <c r="P2254" s="392"/>
      <c r="Q2254" s="363"/>
      <c r="T2254" s="110"/>
      <c r="V2254" s="232"/>
      <c r="W2254" s="269"/>
      <c r="X2254" s="201"/>
      <c r="Y2254" s="269"/>
      <c r="Z2254" s="269"/>
      <c r="AA2254" s="134"/>
      <c r="AB2254" s="269"/>
      <c r="AC2254" s="284"/>
      <c r="AD2254" s="284"/>
      <c r="AE2254" s="269"/>
    </row>
    <row r="2255" spans="2:31">
      <c r="B2255" s="83"/>
      <c r="C2255" s="81"/>
      <c r="D2255" s="83"/>
      <c r="E2255" s="81"/>
      <c r="F2255" s="269"/>
      <c r="G2255" s="48"/>
      <c r="H2255" s="269"/>
      <c r="I2255" s="72"/>
      <c r="J2255" s="330"/>
      <c r="K2255" s="75"/>
      <c r="L2255" s="157"/>
      <c r="M2255" s="341"/>
      <c r="N2255" s="334"/>
      <c r="O2255" s="394"/>
      <c r="P2255" s="392"/>
      <c r="Q2255" s="363"/>
      <c r="T2255" s="110"/>
      <c r="V2255" s="232"/>
      <c r="W2255" s="269"/>
      <c r="X2255" s="201"/>
      <c r="Y2255" s="269"/>
      <c r="Z2255" s="269"/>
      <c r="AA2255" s="134"/>
      <c r="AB2255" s="269"/>
      <c r="AC2255" s="284"/>
      <c r="AD2255" s="284"/>
      <c r="AE2255" s="269"/>
    </row>
    <row r="2256" spans="2:31">
      <c r="B2256" s="83"/>
      <c r="C2256" s="81"/>
      <c r="D2256" s="83"/>
      <c r="E2256" s="81"/>
      <c r="F2256" s="269"/>
      <c r="G2256" s="48"/>
      <c r="H2256" s="269"/>
      <c r="I2256" s="72"/>
      <c r="J2256" s="330"/>
      <c r="K2256" s="75"/>
      <c r="L2256" s="157"/>
      <c r="M2256" s="341"/>
      <c r="N2256" s="334"/>
      <c r="O2256" s="394"/>
      <c r="P2256" s="392"/>
      <c r="Q2256" s="363"/>
      <c r="T2256" s="110"/>
      <c r="V2256" s="232"/>
      <c r="W2256" s="269"/>
      <c r="X2256" s="201"/>
      <c r="Y2256" s="269"/>
      <c r="Z2256" s="269"/>
      <c r="AA2256" s="134"/>
      <c r="AB2256" s="269"/>
      <c r="AC2256" s="284"/>
      <c r="AD2256" s="284"/>
      <c r="AE2256" s="269"/>
    </row>
    <row r="2257" spans="2:31">
      <c r="B2257" s="83"/>
      <c r="C2257" s="81"/>
      <c r="D2257" s="83"/>
      <c r="E2257" s="81"/>
      <c r="F2257" s="269"/>
      <c r="G2257" s="48"/>
      <c r="H2257" s="269"/>
      <c r="I2257" s="72"/>
      <c r="J2257" s="330"/>
      <c r="K2257" s="75"/>
      <c r="L2257" s="157"/>
      <c r="M2257" s="341"/>
      <c r="N2257" s="334"/>
      <c r="O2257" s="394"/>
      <c r="P2257" s="392"/>
      <c r="Q2257" s="363"/>
      <c r="T2257" s="110"/>
      <c r="V2257" s="232"/>
      <c r="W2257" s="269"/>
      <c r="X2257" s="201"/>
      <c r="Y2257" s="269"/>
      <c r="Z2257" s="269"/>
      <c r="AA2257" s="134"/>
      <c r="AB2257" s="269"/>
      <c r="AC2257" s="284"/>
      <c r="AD2257" s="284"/>
      <c r="AE2257" s="269"/>
    </row>
    <row r="2258" spans="2:31">
      <c r="B2258" s="83"/>
      <c r="C2258" s="81"/>
      <c r="D2258" s="83"/>
      <c r="E2258" s="81"/>
      <c r="F2258" s="269"/>
      <c r="G2258" s="48"/>
      <c r="H2258" s="269"/>
      <c r="I2258" s="72"/>
      <c r="J2258" s="330"/>
      <c r="K2258" s="75"/>
      <c r="L2258" s="157"/>
      <c r="M2258" s="341"/>
      <c r="N2258" s="334"/>
      <c r="O2258" s="394"/>
      <c r="P2258" s="392"/>
      <c r="Q2258" s="363"/>
      <c r="T2258" s="110"/>
      <c r="V2258" s="232"/>
      <c r="W2258" s="269"/>
      <c r="X2258" s="201"/>
      <c r="Y2258" s="269"/>
      <c r="Z2258" s="269"/>
      <c r="AA2258" s="134"/>
      <c r="AB2258" s="269"/>
      <c r="AC2258" s="284"/>
      <c r="AD2258" s="284"/>
      <c r="AE2258" s="269"/>
    </row>
    <row r="2259" spans="2:31">
      <c r="B2259" s="83"/>
      <c r="C2259" s="81"/>
      <c r="D2259" s="83"/>
      <c r="E2259" s="81"/>
      <c r="F2259" s="269"/>
      <c r="G2259" s="48"/>
      <c r="H2259" s="269"/>
      <c r="I2259" s="72"/>
      <c r="J2259" s="330"/>
      <c r="K2259" s="75"/>
      <c r="L2259" s="157"/>
      <c r="M2259" s="341"/>
      <c r="N2259" s="334"/>
      <c r="O2259" s="394"/>
      <c r="P2259" s="392"/>
      <c r="Q2259" s="363"/>
      <c r="T2259" s="110"/>
      <c r="V2259" s="232"/>
      <c r="W2259" s="269"/>
      <c r="X2259" s="201"/>
      <c r="Y2259" s="269"/>
      <c r="Z2259" s="269"/>
      <c r="AA2259" s="134"/>
      <c r="AB2259" s="269"/>
      <c r="AC2259" s="284"/>
      <c r="AD2259" s="284"/>
      <c r="AE2259" s="269"/>
    </row>
    <row r="2260" spans="2:31">
      <c r="B2260" s="83"/>
      <c r="C2260" s="81"/>
      <c r="D2260" s="83"/>
      <c r="E2260" s="81"/>
      <c r="F2260" s="269"/>
      <c r="G2260" s="48"/>
      <c r="H2260" s="269"/>
      <c r="I2260" s="72"/>
      <c r="J2260" s="330"/>
      <c r="K2260" s="75"/>
      <c r="L2260" s="157"/>
      <c r="M2260" s="341"/>
      <c r="N2260" s="334"/>
      <c r="O2260" s="394"/>
      <c r="P2260" s="392"/>
      <c r="Q2260" s="363"/>
      <c r="T2260" s="110"/>
      <c r="V2260" s="232"/>
      <c r="W2260" s="269"/>
      <c r="X2260" s="201"/>
      <c r="Y2260" s="269"/>
      <c r="Z2260" s="269"/>
      <c r="AA2260" s="134"/>
      <c r="AB2260" s="269"/>
      <c r="AC2260" s="284"/>
      <c r="AD2260" s="284"/>
      <c r="AE2260" s="269"/>
    </row>
    <row r="2261" spans="2:31">
      <c r="B2261" s="83"/>
      <c r="C2261" s="81"/>
      <c r="D2261" s="83"/>
      <c r="E2261" s="81"/>
      <c r="F2261" s="269"/>
      <c r="G2261" s="48"/>
      <c r="H2261" s="269"/>
      <c r="I2261" s="72"/>
      <c r="J2261" s="330"/>
      <c r="K2261" s="75"/>
      <c r="L2261" s="157"/>
      <c r="M2261" s="341"/>
      <c r="N2261" s="334"/>
      <c r="O2261" s="394"/>
      <c r="P2261" s="392"/>
      <c r="Q2261" s="363"/>
      <c r="T2261" s="110"/>
      <c r="V2261" s="232"/>
      <c r="W2261" s="269"/>
      <c r="X2261" s="201"/>
      <c r="Y2261" s="269"/>
      <c r="Z2261" s="269"/>
      <c r="AA2261" s="134"/>
      <c r="AB2261" s="269"/>
      <c r="AC2261" s="284"/>
      <c r="AD2261" s="284"/>
      <c r="AE2261" s="269"/>
    </row>
    <row r="2262" spans="2:31">
      <c r="B2262" s="83"/>
      <c r="C2262" s="81"/>
      <c r="D2262" s="83"/>
      <c r="E2262" s="81"/>
      <c r="F2262" s="269"/>
      <c r="G2262" s="48"/>
      <c r="H2262" s="269"/>
      <c r="I2262" s="72"/>
      <c r="J2262" s="330"/>
      <c r="K2262" s="75"/>
      <c r="L2262" s="157"/>
      <c r="M2262" s="341"/>
      <c r="N2262" s="334"/>
      <c r="O2262" s="394"/>
      <c r="P2262" s="392"/>
      <c r="Q2262" s="363"/>
      <c r="T2262" s="110"/>
      <c r="V2262" s="232"/>
      <c r="W2262" s="269"/>
      <c r="X2262" s="201"/>
      <c r="Y2262" s="269"/>
      <c r="Z2262" s="269"/>
      <c r="AA2262" s="134"/>
      <c r="AB2262" s="269"/>
      <c r="AC2262" s="284"/>
      <c r="AD2262" s="284"/>
      <c r="AE2262" s="269"/>
    </row>
    <row r="2263" spans="2:31">
      <c r="B2263" s="83"/>
      <c r="C2263" s="81"/>
      <c r="D2263" s="83"/>
      <c r="E2263" s="81"/>
      <c r="F2263" s="269"/>
      <c r="G2263" s="48"/>
      <c r="H2263" s="269"/>
      <c r="I2263" s="72"/>
      <c r="J2263" s="330"/>
      <c r="K2263" s="75"/>
      <c r="L2263" s="157"/>
      <c r="M2263" s="341"/>
      <c r="N2263" s="334"/>
      <c r="O2263" s="394"/>
      <c r="P2263" s="392"/>
      <c r="Q2263" s="363"/>
      <c r="T2263" s="110"/>
      <c r="V2263" s="232"/>
      <c r="W2263" s="269"/>
      <c r="X2263" s="201"/>
      <c r="Y2263" s="269"/>
      <c r="Z2263" s="269"/>
      <c r="AA2263" s="134"/>
      <c r="AB2263" s="269"/>
      <c r="AC2263" s="284"/>
      <c r="AD2263" s="284"/>
      <c r="AE2263" s="269"/>
    </row>
    <row r="2264" spans="2:31">
      <c r="B2264" s="83"/>
      <c r="C2264" s="81"/>
      <c r="D2264" s="83"/>
      <c r="E2264" s="81"/>
      <c r="F2264" s="269"/>
      <c r="G2264" s="48"/>
      <c r="H2264" s="269"/>
      <c r="I2264" s="72"/>
      <c r="J2264" s="330"/>
      <c r="K2264" s="75"/>
      <c r="L2264" s="157"/>
      <c r="M2264" s="341"/>
      <c r="N2264" s="334"/>
      <c r="O2264" s="394"/>
      <c r="P2264" s="392"/>
      <c r="Q2264" s="363"/>
      <c r="T2264" s="110"/>
      <c r="V2264" s="232"/>
      <c r="W2264" s="269"/>
      <c r="X2264" s="201"/>
      <c r="Y2264" s="269"/>
      <c r="Z2264" s="269"/>
      <c r="AA2264" s="134"/>
      <c r="AB2264" s="269"/>
      <c r="AC2264" s="284"/>
      <c r="AD2264" s="284"/>
      <c r="AE2264" s="269"/>
    </row>
    <row r="2265" spans="2:31">
      <c r="B2265" s="83"/>
      <c r="C2265" s="81"/>
      <c r="D2265" s="83"/>
      <c r="E2265" s="81"/>
      <c r="F2265" s="269"/>
      <c r="G2265" s="48"/>
      <c r="H2265" s="269"/>
      <c r="I2265" s="72"/>
      <c r="J2265" s="330"/>
      <c r="K2265" s="75"/>
      <c r="L2265" s="157"/>
      <c r="M2265" s="341"/>
      <c r="N2265" s="334"/>
      <c r="O2265" s="394"/>
      <c r="P2265" s="392"/>
      <c r="Q2265" s="363"/>
      <c r="T2265" s="110"/>
      <c r="V2265" s="232"/>
      <c r="W2265" s="269"/>
      <c r="X2265" s="201"/>
      <c r="Y2265" s="269"/>
      <c r="Z2265" s="269"/>
      <c r="AA2265" s="134"/>
      <c r="AB2265" s="269"/>
      <c r="AC2265" s="284"/>
      <c r="AD2265" s="284"/>
      <c r="AE2265" s="269"/>
    </row>
    <row r="2266" spans="2:31">
      <c r="B2266" s="83"/>
      <c r="C2266" s="81"/>
      <c r="D2266" s="83"/>
      <c r="E2266" s="81"/>
      <c r="F2266" s="269"/>
      <c r="G2266" s="48"/>
      <c r="H2266" s="269"/>
      <c r="I2266" s="72"/>
      <c r="J2266" s="330"/>
      <c r="K2266" s="75"/>
      <c r="L2266" s="157"/>
      <c r="M2266" s="341"/>
      <c r="N2266" s="334"/>
      <c r="O2266" s="394"/>
      <c r="P2266" s="392"/>
      <c r="Q2266" s="363"/>
      <c r="T2266" s="110"/>
      <c r="V2266" s="232"/>
      <c r="W2266" s="269"/>
      <c r="X2266" s="201"/>
      <c r="Y2266" s="269"/>
      <c r="Z2266" s="269"/>
      <c r="AA2266" s="134"/>
      <c r="AB2266" s="269"/>
      <c r="AC2266" s="284"/>
      <c r="AD2266" s="284"/>
      <c r="AE2266" s="269"/>
    </row>
    <row r="2267" spans="2:31">
      <c r="B2267" s="83"/>
      <c r="C2267" s="81"/>
      <c r="D2267" s="83"/>
      <c r="E2267" s="81"/>
      <c r="F2267" s="269"/>
      <c r="G2267" s="48"/>
      <c r="H2267" s="269"/>
      <c r="I2267" s="72"/>
      <c r="J2267" s="330"/>
      <c r="K2267" s="75"/>
      <c r="L2267" s="157"/>
      <c r="M2267" s="341"/>
      <c r="N2267" s="334"/>
      <c r="O2267" s="394"/>
      <c r="P2267" s="392"/>
      <c r="Q2267" s="363"/>
      <c r="T2267" s="110"/>
      <c r="V2267" s="232"/>
      <c r="W2267" s="269"/>
      <c r="X2267" s="201"/>
      <c r="Y2267" s="269"/>
      <c r="Z2267" s="269"/>
      <c r="AA2267" s="134"/>
      <c r="AB2267" s="269"/>
      <c r="AC2267" s="284"/>
      <c r="AD2267" s="284"/>
      <c r="AE2267" s="269"/>
    </row>
    <row r="2268" spans="2:31">
      <c r="B2268" s="83"/>
      <c r="C2268" s="81"/>
      <c r="D2268" s="83"/>
      <c r="E2268" s="81"/>
      <c r="F2268" s="269"/>
      <c r="G2268" s="48"/>
      <c r="H2268" s="269"/>
      <c r="I2268" s="72"/>
      <c r="J2268" s="330"/>
      <c r="K2268" s="75"/>
      <c r="L2268" s="157"/>
      <c r="M2268" s="341"/>
      <c r="N2268" s="334"/>
      <c r="O2268" s="394"/>
      <c r="P2268" s="392"/>
      <c r="Q2268" s="363"/>
      <c r="T2268" s="110"/>
      <c r="V2268" s="232"/>
      <c r="W2268" s="269"/>
      <c r="X2268" s="201"/>
      <c r="Y2268" s="269"/>
      <c r="Z2268" s="269"/>
      <c r="AA2268" s="134"/>
      <c r="AB2268" s="269"/>
      <c r="AC2268" s="284"/>
      <c r="AD2268" s="284"/>
      <c r="AE2268" s="269"/>
    </row>
    <row r="2269" spans="2:31">
      <c r="B2269" s="83"/>
      <c r="C2269" s="81"/>
      <c r="D2269" s="83"/>
      <c r="E2269" s="81"/>
      <c r="F2269" s="269"/>
      <c r="G2269" s="48"/>
      <c r="H2269" s="269"/>
      <c r="I2269" s="72"/>
      <c r="J2269" s="330"/>
      <c r="K2269" s="75"/>
      <c r="L2269" s="157"/>
      <c r="M2269" s="341"/>
      <c r="N2269" s="334"/>
      <c r="O2269" s="394"/>
      <c r="P2269" s="392"/>
      <c r="Q2269" s="363"/>
      <c r="T2269" s="110"/>
      <c r="V2269" s="232"/>
      <c r="W2269" s="269"/>
      <c r="X2269" s="201"/>
      <c r="Y2269" s="269"/>
      <c r="Z2269" s="269"/>
      <c r="AA2269" s="134"/>
      <c r="AB2269" s="269"/>
      <c r="AC2269" s="284"/>
      <c r="AD2269" s="284"/>
      <c r="AE2269" s="269"/>
    </row>
    <row r="2270" spans="2:31">
      <c r="B2270" s="83"/>
      <c r="C2270" s="81"/>
      <c r="D2270" s="83"/>
      <c r="E2270" s="81"/>
      <c r="F2270" s="269"/>
      <c r="G2270" s="48"/>
      <c r="H2270" s="269"/>
      <c r="I2270" s="72"/>
      <c r="J2270" s="330"/>
      <c r="K2270" s="75"/>
      <c r="L2270" s="157"/>
      <c r="M2270" s="341"/>
      <c r="N2270" s="334"/>
      <c r="O2270" s="394"/>
      <c r="P2270" s="392"/>
      <c r="Q2270" s="363"/>
      <c r="T2270" s="110"/>
      <c r="V2270" s="232"/>
      <c r="W2270" s="269"/>
      <c r="X2270" s="201"/>
      <c r="Y2270" s="269"/>
      <c r="Z2270" s="269"/>
      <c r="AA2270" s="134"/>
      <c r="AB2270" s="269"/>
      <c r="AC2270" s="284"/>
      <c r="AD2270" s="284"/>
      <c r="AE2270" s="269"/>
    </row>
    <row r="2271" spans="2:31">
      <c r="B2271" s="83"/>
      <c r="C2271" s="81"/>
      <c r="D2271" s="83"/>
      <c r="E2271" s="81"/>
      <c r="F2271" s="269"/>
      <c r="G2271" s="48"/>
      <c r="H2271" s="269"/>
      <c r="I2271" s="72"/>
      <c r="J2271" s="330"/>
      <c r="K2271" s="75"/>
      <c r="L2271" s="157"/>
      <c r="M2271" s="341"/>
      <c r="N2271" s="334"/>
      <c r="O2271" s="394"/>
      <c r="P2271" s="392"/>
      <c r="Q2271" s="363"/>
      <c r="T2271" s="110"/>
      <c r="V2271" s="232"/>
      <c r="W2271" s="269"/>
      <c r="X2271" s="201"/>
      <c r="Y2271" s="269"/>
      <c r="Z2271" s="269"/>
      <c r="AA2271" s="134"/>
      <c r="AB2271" s="269"/>
      <c r="AC2271" s="284"/>
      <c r="AD2271" s="284"/>
      <c r="AE2271" s="269"/>
    </row>
    <row r="2272" spans="2:31">
      <c r="B2272" s="83"/>
      <c r="C2272" s="81"/>
      <c r="D2272" s="83"/>
      <c r="E2272" s="81"/>
      <c r="F2272" s="269"/>
      <c r="G2272" s="48"/>
      <c r="H2272" s="269"/>
      <c r="I2272" s="72"/>
      <c r="J2272" s="330"/>
      <c r="K2272" s="75"/>
      <c r="L2272" s="157"/>
      <c r="M2272" s="341"/>
      <c r="N2272" s="334"/>
      <c r="O2272" s="394"/>
      <c r="P2272" s="392"/>
      <c r="Q2272" s="363"/>
      <c r="T2272" s="110"/>
      <c r="V2272" s="232"/>
      <c r="W2272" s="269"/>
      <c r="X2272" s="201"/>
      <c r="Y2272" s="269"/>
      <c r="Z2272" s="269"/>
      <c r="AA2272" s="134"/>
      <c r="AB2272" s="269"/>
      <c r="AC2272" s="284"/>
      <c r="AD2272" s="284"/>
      <c r="AE2272" s="269"/>
    </row>
    <row r="2273" spans="2:31">
      <c r="B2273" s="83"/>
      <c r="C2273" s="81"/>
      <c r="D2273" s="83"/>
      <c r="E2273" s="81"/>
      <c r="F2273" s="269"/>
      <c r="G2273" s="48"/>
      <c r="H2273" s="269"/>
      <c r="I2273" s="72"/>
      <c r="J2273" s="330"/>
      <c r="K2273" s="75"/>
      <c r="L2273" s="157"/>
      <c r="M2273" s="341"/>
      <c r="N2273" s="334"/>
      <c r="O2273" s="394"/>
      <c r="P2273" s="392"/>
      <c r="Q2273" s="363"/>
      <c r="T2273" s="110"/>
      <c r="V2273" s="232"/>
      <c r="W2273" s="269"/>
      <c r="X2273" s="201"/>
      <c r="Y2273" s="269"/>
      <c r="Z2273" s="269"/>
      <c r="AA2273" s="134"/>
      <c r="AB2273" s="269"/>
      <c r="AC2273" s="284"/>
      <c r="AD2273" s="284"/>
      <c r="AE2273" s="269"/>
    </row>
    <row r="2274" spans="2:31">
      <c r="B2274" s="83"/>
      <c r="C2274" s="81"/>
      <c r="D2274" s="83"/>
      <c r="E2274" s="81"/>
      <c r="F2274" s="269"/>
      <c r="G2274" s="48"/>
      <c r="H2274" s="269"/>
      <c r="I2274" s="72"/>
      <c r="J2274" s="330"/>
      <c r="K2274" s="75"/>
      <c r="L2274" s="157"/>
      <c r="M2274" s="341"/>
      <c r="N2274" s="334"/>
      <c r="O2274" s="394"/>
      <c r="P2274" s="392"/>
      <c r="Q2274" s="363"/>
      <c r="T2274" s="110"/>
      <c r="V2274" s="232"/>
      <c r="W2274" s="269"/>
      <c r="X2274" s="201"/>
      <c r="Y2274" s="269"/>
      <c r="Z2274" s="269"/>
      <c r="AA2274" s="134"/>
      <c r="AB2274" s="269"/>
      <c r="AC2274" s="284"/>
      <c r="AD2274" s="284"/>
      <c r="AE2274" s="269"/>
    </row>
    <row r="2275" spans="2:31">
      <c r="B2275" s="83"/>
      <c r="C2275" s="81"/>
      <c r="D2275" s="83"/>
      <c r="E2275" s="81"/>
      <c r="F2275" s="269"/>
      <c r="G2275" s="48"/>
      <c r="H2275" s="269"/>
      <c r="I2275" s="72"/>
      <c r="J2275" s="330"/>
      <c r="K2275" s="75"/>
      <c r="L2275" s="157"/>
      <c r="M2275" s="341"/>
      <c r="N2275" s="334"/>
      <c r="O2275" s="394"/>
      <c r="P2275" s="392"/>
      <c r="Q2275" s="363"/>
      <c r="T2275" s="110"/>
      <c r="V2275" s="232"/>
      <c r="W2275" s="269"/>
      <c r="X2275" s="201"/>
      <c r="Y2275" s="269"/>
      <c r="Z2275" s="269"/>
      <c r="AA2275" s="134"/>
      <c r="AB2275" s="269"/>
      <c r="AC2275" s="284"/>
      <c r="AD2275" s="284"/>
      <c r="AE2275" s="269"/>
    </row>
    <row r="2276" spans="2:31">
      <c r="B2276" s="83"/>
      <c r="C2276" s="81"/>
      <c r="D2276" s="83"/>
      <c r="E2276" s="81"/>
      <c r="F2276" s="269"/>
      <c r="G2276" s="48"/>
      <c r="H2276" s="269"/>
      <c r="I2276" s="72"/>
      <c r="J2276" s="330"/>
      <c r="K2276" s="75"/>
      <c r="L2276" s="157"/>
      <c r="M2276" s="341"/>
      <c r="N2276" s="334"/>
      <c r="O2276" s="394"/>
      <c r="P2276" s="392"/>
      <c r="Q2276" s="363"/>
      <c r="T2276" s="110"/>
      <c r="V2276" s="232"/>
      <c r="W2276" s="269"/>
      <c r="X2276" s="201"/>
      <c r="Y2276" s="269"/>
      <c r="Z2276" s="269"/>
      <c r="AA2276" s="134"/>
      <c r="AB2276" s="269"/>
      <c r="AC2276" s="284"/>
      <c r="AD2276" s="284"/>
      <c r="AE2276" s="269"/>
    </row>
    <row r="2277" spans="2:31">
      <c r="B2277" s="83"/>
      <c r="C2277" s="81"/>
      <c r="D2277" s="83"/>
      <c r="E2277" s="81"/>
      <c r="F2277" s="269"/>
      <c r="G2277" s="48"/>
      <c r="H2277" s="269"/>
      <c r="I2277" s="72"/>
      <c r="J2277" s="330"/>
      <c r="K2277" s="75"/>
      <c r="L2277" s="157"/>
      <c r="M2277" s="341"/>
      <c r="N2277" s="334"/>
      <c r="O2277" s="394"/>
      <c r="P2277" s="392"/>
      <c r="Q2277" s="363"/>
      <c r="T2277" s="110"/>
      <c r="V2277" s="232"/>
      <c r="W2277" s="269"/>
      <c r="X2277" s="201"/>
      <c r="Y2277" s="269"/>
      <c r="Z2277" s="269"/>
      <c r="AA2277" s="134"/>
      <c r="AB2277" s="269"/>
      <c r="AC2277" s="284"/>
      <c r="AD2277" s="284"/>
      <c r="AE2277" s="269"/>
    </row>
    <row r="2278" spans="2:31">
      <c r="B2278" s="83"/>
      <c r="C2278" s="81"/>
      <c r="D2278" s="83"/>
      <c r="E2278" s="81"/>
      <c r="F2278" s="269"/>
      <c r="G2278" s="48"/>
      <c r="H2278" s="269"/>
      <c r="I2278" s="72"/>
      <c r="J2278" s="330"/>
      <c r="K2278" s="75"/>
      <c r="L2278" s="157"/>
      <c r="M2278" s="341"/>
      <c r="N2278" s="334"/>
      <c r="O2278" s="394"/>
      <c r="P2278" s="392"/>
      <c r="Q2278" s="363"/>
      <c r="T2278" s="110"/>
      <c r="V2278" s="232"/>
      <c r="W2278" s="269"/>
      <c r="X2278" s="201"/>
      <c r="Y2278" s="269"/>
      <c r="Z2278" s="269"/>
      <c r="AA2278" s="134"/>
      <c r="AB2278" s="269"/>
      <c r="AC2278" s="284"/>
      <c r="AD2278" s="284"/>
      <c r="AE2278" s="269"/>
    </row>
    <row r="2279" spans="2:31">
      <c r="B2279" s="83"/>
      <c r="C2279" s="81"/>
      <c r="D2279" s="83"/>
      <c r="E2279" s="81"/>
      <c r="F2279" s="269"/>
      <c r="G2279" s="48"/>
      <c r="H2279" s="269"/>
      <c r="I2279" s="72"/>
      <c r="J2279" s="330"/>
      <c r="K2279" s="75"/>
      <c r="L2279" s="157"/>
      <c r="M2279" s="341"/>
      <c r="N2279" s="334"/>
      <c r="O2279" s="394"/>
      <c r="P2279" s="392"/>
      <c r="Q2279" s="363"/>
      <c r="T2279" s="110"/>
      <c r="V2279" s="232"/>
      <c r="W2279" s="269"/>
      <c r="X2279" s="201"/>
      <c r="Y2279" s="269"/>
      <c r="Z2279" s="269"/>
      <c r="AA2279" s="134"/>
      <c r="AB2279" s="269"/>
      <c r="AC2279" s="284"/>
      <c r="AD2279" s="284"/>
      <c r="AE2279" s="269"/>
    </row>
    <row r="2280" spans="2:31">
      <c r="B2280" s="83"/>
      <c r="C2280" s="81"/>
      <c r="D2280" s="83"/>
      <c r="E2280" s="81"/>
      <c r="F2280" s="269"/>
      <c r="G2280" s="48"/>
      <c r="H2280" s="269"/>
      <c r="I2280" s="72"/>
      <c r="J2280" s="330"/>
      <c r="K2280" s="75"/>
      <c r="L2280" s="157"/>
      <c r="M2280" s="341"/>
      <c r="N2280" s="334"/>
      <c r="O2280" s="394"/>
      <c r="P2280" s="392"/>
      <c r="Q2280" s="363"/>
      <c r="T2280" s="110"/>
      <c r="V2280" s="232"/>
      <c r="W2280" s="269"/>
      <c r="X2280" s="201"/>
      <c r="Y2280" s="269"/>
      <c r="Z2280" s="269"/>
      <c r="AA2280" s="134"/>
      <c r="AB2280" s="269"/>
      <c r="AC2280" s="284"/>
      <c r="AD2280" s="284"/>
      <c r="AE2280" s="269"/>
    </row>
    <row r="2281" spans="2:31">
      <c r="B2281" s="83"/>
      <c r="C2281" s="81"/>
      <c r="D2281" s="83"/>
      <c r="E2281" s="81"/>
      <c r="F2281" s="269"/>
      <c r="G2281" s="48"/>
      <c r="H2281" s="269"/>
      <c r="I2281" s="72"/>
      <c r="J2281" s="330"/>
      <c r="K2281" s="75"/>
      <c r="L2281" s="157"/>
      <c r="M2281" s="341"/>
      <c r="N2281" s="334"/>
      <c r="O2281" s="394"/>
      <c r="P2281" s="392"/>
      <c r="Q2281" s="363"/>
      <c r="T2281" s="110"/>
      <c r="V2281" s="232"/>
      <c r="W2281" s="269"/>
      <c r="X2281" s="201"/>
      <c r="Y2281" s="269"/>
      <c r="Z2281" s="269"/>
      <c r="AA2281" s="134"/>
      <c r="AB2281" s="269"/>
      <c r="AC2281" s="284"/>
      <c r="AD2281" s="284"/>
      <c r="AE2281" s="269"/>
    </row>
    <row r="2282" spans="2:31">
      <c r="B2282" s="83"/>
      <c r="C2282" s="81"/>
      <c r="D2282" s="83"/>
      <c r="E2282" s="81"/>
      <c r="F2282" s="269"/>
      <c r="G2282" s="48"/>
      <c r="H2282" s="269"/>
      <c r="I2282" s="72"/>
      <c r="J2282" s="330"/>
      <c r="K2282" s="75"/>
      <c r="L2282" s="157"/>
      <c r="M2282" s="341"/>
      <c r="N2282" s="334"/>
      <c r="O2282" s="394"/>
      <c r="P2282" s="392"/>
      <c r="Q2282" s="363"/>
      <c r="T2282" s="110"/>
      <c r="V2282" s="232"/>
      <c r="W2282" s="269"/>
      <c r="X2282" s="201"/>
      <c r="Y2282" s="269"/>
      <c r="Z2282" s="269"/>
      <c r="AA2282" s="134"/>
      <c r="AB2282" s="269"/>
      <c r="AC2282" s="284"/>
      <c r="AD2282" s="284"/>
      <c r="AE2282" s="269"/>
    </row>
    <row r="2283" spans="2:31">
      <c r="B2283" s="83"/>
      <c r="C2283" s="81"/>
      <c r="D2283" s="83"/>
      <c r="E2283" s="81"/>
      <c r="F2283" s="269"/>
      <c r="G2283" s="48"/>
      <c r="H2283" s="269"/>
      <c r="I2283" s="72"/>
      <c r="J2283" s="330"/>
      <c r="K2283" s="75"/>
      <c r="L2283" s="157"/>
      <c r="M2283" s="341"/>
      <c r="N2283" s="334"/>
      <c r="P2283" s="392"/>
      <c r="Q2283" s="363"/>
      <c r="T2283" s="110"/>
      <c r="V2283" s="232"/>
      <c r="W2283" s="269"/>
      <c r="X2283" s="201"/>
      <c r="Y2283" s="269"/>
      <c r="Z2283" s="269"/>
      <c r="AA2283" s="134"/>
      <c r="AB2283" s="269"/>
      <c r="AC2283" s="284"/>
      <c r="AD2283" s="284"/>
      <c r="AE2283" s="269"/>
    </row>
    <row r="2284" spans="2:31">
      <c r="B2284" s="83"/>
      <c r="C2284" s="81"/>
      <c r="D2284" s="83"/>
      <c r="E2284" s="81"/>
      <c r="F2284" s="269"/>
      <c r="G2284" s="48"/>
      <c r="H2284" s="269"/>
      <c r="I2284" s="72"/>
      <c r="J2284" s="330"/>
      <c r="K2284" s="75"/>
      <c r="L2284" s="157"/>
      <c r="M2284" s="341"/>
      <c r="N2284" s="334"/>
      <c r="P2284" s="392"/>
      <c r="Q2284" s="363"/>
      <c r="T2284" s="110"/>
      <c r="V2284" s="232"/>
      <c r="W2284" s="269"/>
      <c r="X2284" s="201"/>
      <c r="Y2284" s="269"/>
      <c r="Z2284" s="269"/>
      <c r="AA2284" s="134"/>
      <c r="AB2284" s="269"/>
      <c r="AC2284" s="284"/>
      <c r="AD2284" s="284"/>
      <c r="AE2284" s="269"/>
    </row>
    <row r="2285" spans="2:31">
      <c r="B2285" s="83"/>
      <c r="C2285" s="81"/>
      <c r="D2285" s="83"/>
      <c r="E2285" s="81"/>
      <c r="F2285" s="269"/>
      <c r="G2285" s="48"/>
      <c r="H2285" s="269"/>
      <c r="I2285" s="72"/>
      <c r="J2285" s="330"/>
      <c r="K2285" s="75"/>
      <c r="L2285" s="157"/>
      <c r="M2285" s="341"/>
      <c r="N2285" s="334"/>
      <c r="P2285" s="392"/>
      <c r="Q2285" s="363"/>
      <c r="T2285" s="110"/>
      <c r="V2285" s="232"/>
      <c r="W2285" s="269"/>
      <c r="X2285" s="201"/>
      <c r="Y2285" s="269"/>
      <c r="Z2285" s="269"/>
      <c r="AA2285" s="134"/>
      <c r="AB2285" s="269"/>
      <c r="AC2285" s="284"/>
      <c r="AD2285" s="284"/>
      <c r="AE2285" s="269"/>
    </row>
    <row r="2286" spans="2:31">
      <c r="B2286" s="83"/>
      <c r="C2286" s="81"/>
      <c r="D2286" s="83"/>
      <c r="E2286" s="81"/>
      <c r="F2286" s="269"/>
      <c r="G2286" s="48"/>
      <c r="H2286" s="269"/>
      <c r="I2286" s="72"/>
      <c r="J2286" s="330"/>
      <c r="K2286" s="75"/>
      <c r="L2286" s="157"/>
      <c r="M2286" s="341"/>
      <c r="N2286" s="334"/>
      <c r="P2286" s="392"/>
      <c r="Q2286" s="363"/>
      <c r="T2286" s="110"/>
      <c r="V2286" s="232"/>
      <c r="W2286" s="269"/>
      <c r="X2286" s="201"/>
      <c r="Y2286" s="269"/>
      <c r="Z2286" s="269"/>
      <c r="AA2286" s="134"/>
      <c r="AB2286" s="269"/>
      <c r="AC2286" s="284"/>
      <c r="AD2286" s="284"/>
      <c r="AE2286" s="269"/>
    </row>
    <row r="2287" spans="2:31">
      <c r="B2287" s="83"/>
      <c r="C2287" s="81"/>
      <c r="D2287" s="83"/>
      <c r="E2287" s="81"/>
      <c r="F2287" s="269"/>
      <c r="G2287" s="48"/>
      <c r="H2287" s="269"/>
      <c r="I2287" s="72"/>
      <c r="J2287" s="330"/>
      <c r="K2287" s="75"/>
      <c r="L2287" s="157"/>
      <c r="M2287" s="341"/>
      <c r="N2287" s="334"/>
      <c r="P2287" s="392"/>
      <c r="Q2287" s="363"/>
      <c r="T2287" s="110"/>
      <c r="V2287" s="232"/>
      <c r="W2287" s="269"/>
      <c r="X2287" s="201"/>
      <c r="Y2287" s="269"/>
      <c r="Z2287" s="269"/>
      <c r="AA2287" s="134"/>
      <c r="AB2287" s="269"/>
      <c r="AC2287" s="284"/>
      <c r="AD2287" s="284"/>
      <c r="AE2287" s="269"/>
    </row>
    <row r="2288" spans="2:31">
      <c r="B2288" s="83"/>
      <c r="C2288" s="81"/>
      <c r="D2288" s="83"/>
      <c r="E2288" s="81"/>
      <c r="F2288" s="269"/>
      <c r="G2288" s="48"/>
      <c r="H2288" s="269"/>
      <c r="I2288" s="72"/>
      <c r="J2288" s="330"/>
      <c r="K2288" s="75"/>
      <c r="L2288" s="157"/>
      <c r="M2288" s="341"/>
      <c r="N2288" s="334"/>
      <c r="P2288" s="392"/>
      <c r="Q2288" s="363"/>
      <c r="T2288" s="110"/>
      <c r="V2288" s="232"/>
      <c r="W2288" s="269"/>
      <c r="X2288" s="201"/>
      <c r="Y2288" s="269"/>
      <c r="Z2288" s="269"/>
      <c r="AA2288" s="134"/>
      <c r="AB2288" s="269"/>
      <c r="AC2288" s="284"/>
      <c r="AD2288" s="284"/>
      <c r="AE2288" s="269"/>
    </row>
    <row r="2289" spans="2:31">
      <c r="B2289" s="83"/>
      <c r="C2289" s="81"/>
      <c r="D2289" s="83"/>
      <c r="E2289" s="81"/>
      <c r="F2289" s="269"/>
      <c r="G2289" s="48"/>
      <c r="H2289" s="269"/>
      <c r="I2289" s="72"/>
      <c r="J2289" s="330"/>
      <c r="K2289" s="75"/>
      <c r="L2289" s="157"/>
      <c r="M2289" s="341"/>
      <c r="N2289" s="334"/>
      <c r="P2289" s="392"/>
      <c r="Q2289" s="363"/>
      <c r="T2289" s="110"/>
      <c r="V2289" s="232"/>
      <c r="W2289" s="269"/>
      <c r="X2289" s="201"/>
      <c r="Y2289" s="269"/>
      <c r="Z2289" s="269"/>
      <c r="AA2289" s="134"/>
      <c r="AB2289" s="269"/>
      <c r="AC2289" s="284"/>
      <c r="AD2289" s="284"/>
      <c r="AE2289" s="269"/>
    </row>
    <row r="2290" spans="2:31">
      <c r="B2290" s="83"/>
      <c r="C2290" s="81"/>
      <c r="D2290" s="83"/>
      <c r="E2290" s="81"/>
      <c r="F2290" s="269"/>
      <c r="G2290" s="48"/>
      <c r="H2290" s="269"/>
      <c r="I2290" s="72"/>
      <c r="J2290" s="330"/>
      <c r="K2290" s="75"/>
      <c r="L2290" s="157"/>
      <c r="M2290" s="341"/>
      <c r="N2290" s="334"/>
      <c r="P2290" s="392"/>
      <c r="Q2290" s="363"/>
      <c r="T2290" s="110"/>
      <c r="V2290" s="232"/>
      <c r="W2290" s="269"/>
      <c r="X2290" s="201"/>
      <c r="Y2290" s="269"/>
      <c r="Z2290" s="269"/>
      <c r="AA2290" s="134"/>
      <c r="AB2290" s="269"/>
      <c r="AC2290" s="284"/>
      <c r="AD2290" s="284"/>
      <c r="AE2290" s="269"/>
    </row>
    <row r="2291" spans="2:31">
      <c r="B2291" s="83"/>
      <c r="C2291" s="81"/>
      <c r="D2291" s="83"/>
      <c r="E2291" s="81"/>
      <c r="F2291" s="269"/>
      <c r="G2291" s="48"/>
      <c r="H2291" s="269"/>
      <c r="I2291" s="72"/>
      <c r="J2291" s="330"/>
      <c r="K2291" s="75"/>
      <c r="L2291" s="157"/>
      <c r="M2291" s="341"/>
      <c r="N2291" s="334"/>
      <c r="P2291" s="392"/>
      <c r="Q2291" s="363"/>
      <c r="T2291" s="110"/>
      <c r="V2291" s="232"/>
      <c r="W2291" s="269"/>
      <c r="X2291" s="201"/>
      <c r="Y2291" s="269"/>
      <c r="Z2291" s="269"/>
      <c r="AA2291" s="134"/>
      <c r="AB2291" s="269"/>
      <c r="AC2291" s="284"/>
      <c r="AD2291" s="284"/>
      <c r="AE2291" s="269"/>
    </row>
    <row r="2292" spans="2:31">
      <c r="B2292" s="83"/>
      <c r="C2292" s="81"/>
      <c r="D2292" s="83"/>
      <c r="E2292" s="81"/>
      <c r="F2292" s="269"/>
      <c r="G2292" s="48"/>
      <c r="H2292" s="269"/>
      <c r="I2292" s="72"/>
      <c r="J2292" s="330"/>
      <c r="K2292" s="75"/>
      <c r="L2292" s="157"/>
      <c r="M2292" s="341"/>
      <c r="N2292" s="334"/>
      <c r="P2292" s="392"/>
      <c r="Q2292" s="363"/>
      <c r="T2292" s="110"/>
      <c r="V2292" s="232"/>
      <c r="W2292" s="269"/>
      <c r="X2292" s="201"/>
      <c r="Y2292" s="269"/>
      <c r="Z2292" s="269"/>
      <c r="AA2292" s="134"/>
      <c r="AB2292" s="269"/>
      <c r="AC2292" s="284"/>
      <c r="AD2292" s="284"/>
      <c r="AE2292" s="269"/>
    </row>
    <row r="2293" spans="2:31">
      <c r="B2293" s="83"/>
      <c r="C2293" s="81"/>
      <c r="D2293" s="83"/>
      <c r="E2293" s="81"/>
      <c r="F2293" s="269"/>
      <c r="G2293" s="48"/>
      <c r="H2293" s="269"/>
      <c r="I2293" s="72"/>
      <c r="J2293" s="330"/>
      <c r="K2293" s="75"/>
      <c r="L2293" s="157"/>
      <c r="M2293" s="341"/>
      <c r="N2293" s="334"/>
      <c r="P2293" s="392"/>
      <c r="Q2293" s="363"/>
      <c r="T2293" s="110"/>
      <c r="V2293" s="232"/>
      <c r="W2293" s="269"/>
      <c r="X2293" s="201"/>
      <c r="Y2293" s="269"/>
      <c r="Z2293" s="269"/>
      <c r="AA2293" s="134"/>
      <c r="AB2293" s="269"/>
      <c r="AC2293" s="284"/>
      <c r="AD2293" s="284"/>
      <c r="AE2293" s="269"/>
    </row>
    <row r="2294" spans="2:31">
      <c r="B2294" s="83"/>
      <c r="C2294" s="81"/>
      <c r="D2294" s="83"/>
      <c r="E2294" s="81"/>
      <c r="F2294" s="269"/>
      <c r="G2294" s="48"/>
      <c r="H2294" s="269"/>
      <c r="I2294" s="72"/>
      <c r="J2294" s="330"/>
      <c r="K2294" s="75"/>
      <c r="L2294" s="157"/>
      <c r="M2294" s="341"/>
      <c r="N2294" s="334"/>
      <c r="P2294" s="392"/>
      <c r="Q2294" s="363"/>
      <c r="T2294" s="110"/>
      <c r="V2294" s="232"/>
      <c r="W2294" s="269"/>
      <c r="X2294" s="201"/>
      <c r="Y2294" s="269"/>
      <c r="Z2294" s="269"/>
      <c r="AA2294" s="134"/>
      <c r="AB2294" s="269"/>
      <c r="AC2294" s="284"/>
      <c r="AD2294" s="284"/>
      <c r="AE2294" s="269"/>
    </row>
    <row r="2295" spans="2:31">
      <c r="B2295" s="83"/>
      <c r="C2295" s="81"/>
      <c r="D2295" s="83"/>
      <c r="E2295" s="81"/>
      <c r="F2295" s="269"/>
      <c r="G2295" s="48"/>
      <c r="H2295" s="269"/>
      <c r="I2295" s="72"/>
      <c r="J2295" s="330"/>
      <c r="K2295" s="75"/>
      <c r="L2295" s="157"/>
      <c r="M2295" s="341"/>
      <c r="N2295" s="334"/>
      <c r="P2295" s="392"/>
      <c r="Q2295" s="363"/>
      <c r="T2295" s="110"/>
      <c r="V2295" s="232"/>
      <c r="W2295" s="269"/>
      <c r="X2295" s="201"/>
      <c r="Y2295" s="269"/>
      <c r="Z2295" s="269"/>
      <c r="AA2295" s="134"/>
      <c r="AB2295" s="269"/>
      <c r="AC2295" s="284"/>
      <c r="AD2295" s="284"/>
      <c r="AE2295" s="269"/>
    </row>
    <row r="2296" spans="2:31">
      <c r="B2296" s="83"/>
      <c r="C2296" s="81"/>
      <c r="D2296" s="83"/>
      <c r="E2296" s="81"/>
      <c r="F2296" s="269"/>
      <c r="G2296" s="48"/>
      <c r="H2296" s="269"/>
      <c r="I2296" s="72"/>
      <c r="J2296" s="330"/>
      <c r="K2296" s="75"/>
      <c r="L2296" s="157"/>
      <c r="M2296" s="341"/>
      <c r="N2296" s="334"/>
      <c r="P2296" s="392"/>
      <c r="Q2296" s="363"/>
      <c r="T2296" s="110"/>
      <c r="V2296" s="232"/>
      <c r="W2296" s="269"/>
      <c r="X2296" s="201"/>
      <c r="Y2296" s="269"/>
      <c r="Z2296" s="269"/>
      <c r="AA2296" s="134"/>
      <c r="AB2296" s="269"/>
      <c r="AC2296" s="284"/>
      <c r="AD2296" s="284"/>
      <c r="AE2296" s="269"/>
    </row>
    <row r="2297" spans="2:31">
      <c r="B2297" s="83"/>
      <c r="C2297" s="81"/>
      <c r="D2297" s="83"/>
      <c r="E2297" s="81"/>
      <c r="F2297" s="269"/>
      <c r="G2297" s="48"/>
      <c r="H2297" s="269"/>
      <c r="I2297" s="72"/>
      <c r="J2297" s="330"/>
      <c r="K2297" s="75"/>
      <c r="L2297" s="157"/>
      <c r="M2297" s="341"/>
      <c r="N2297" s="334"/>
      <c r="P2297" s="392"/>
      <c r="Q2297" s="363"/>
      <c r="T2297" s="110"/>
      <c r="V2297" s="232"/>
      <c r="W2297" s="269"/>
      <c r="X2297" s="201"/>
      <c r="Y2297" s="269"/>
      <c r="Z2297" s="269"/>
      <c r="AA2297" s="134"/>
      <c r="AB2297" s="269"/>
      <c r="AC2297" s="284"/>
      <c r="AD2297" s="284"/>
      <c r="AE2297" s="269"/>
    </row>
    <row r="2298" spans="2:31">
      <c r="B2298" s="83"/>
      <c r="C2298" s="81"/>
      <c r="D2298" s="83"/>
      <c r="E2298" s="81"/>
      <c r="F2298" s="269"/>
      <c r="G2298" s="48"/>
      <c r="H2298" s="269"/>
      <c r="I2298" s="72"/>
      <c r="J2298" s="330"/>
      <c r="K2298" s="75"/>
      <c r="L2298" s="157"/>
      <c r="M2298" s="341"/>
      <c r="N2298" s="334"/>
      <c r="P2298" s="392"/>
      <c r="Q2298" s="363"/>
      <c r="T2298" s="110"/>
      <c r="V2298" s="232"/>
      <c r="W2298" s="269"/>
      <c r="X2298" s="201"/>
      <c r="Y2298" s="269"/>
      <c r="Z2298" s="269"/>
      <c r="AA2298" s="134"/>
      <c r="AB2298" s="269"/>
      <c r="AC2298" s="284"/>
      <c r="AD2298" s="284"/>
      <c r="AE2298" s="269"/>
    </row>
    <row r="2299" spans="2:31">
      <c r="B2299" s="83"/>
      <c r="C2299" s="81"/>
      <c r="D2299" s="83"/>
      <c r="E2299" s="81"/>
      <c r="F2299" s="269"/>
      <c r="G2299" s="48"/>
      <c r="H2299" s="269"/>
      <c r="I2299" s="72"/>
      <c r="J2299" s="330"/>
      <c r="K2299" s="75"/>
      <c r="L2299" s="157"/>
      <c r="M2299" s="341"/>
      <c r="N2299" s="334"/>
      <c r="P2299" s="392"/>
      <c r="Q2299" s="363"/>
      <c r="T2299" s="110"/>
      <c r="V2299" s="232"/>
      <c r="W2299" s="269"/>
      <c r="X2299" s="201"/>
      <c r="Y2299" s="269"/>
      <c r="Z2299" s="269"/>
      <c r="AA2299" s="134"/>
      <c r="AB2299" s="269"/>
      <c r="AC2299" s="284"/>
      <c r="AD2299" s="284"/>
      <c r="AE2299" s="269"/>
    </row>
    <row r="2300" spans="2:31">
      <c r="B2300" s="83"/>
      <c r="C2300" s="81"/>
      <c r="D2300" s="83"/>
      <c r="E2300" s="81"/>
      <c r="F2300" s="269"/>
      <c r="G2300" s="48"/>
      <c r="H2300" s="269"/>
      <c r="I2300" s="72"/>
      <c r="J2300" s="330"/>
      <c r="K2300" s="75"/>
      <c r="L2300" s="157"/>
      <c r="M2300" s="341"/>
      <c r="N2300" s="334"/>
      <c r="P2300" s="392"/>
      <c r="Q2300" s="363"/>
      <c r="T2300" s="110"/>
      <c r="V2300" s="232"/>
      <c r="W2300" s="269"/>
      <c r="X2300" s="201"/>
      <c r="Y2300" s="269"/>
      <c r="Z2300" s="269"/>
      <c r="AA2300" s="134"/>
      <c r="AB2300" s="269"/>
      <c r="AC2300" s="284"/>
      <c r="AD2300" s="284"/>
      <c r="AE2300" s="269"/>
    </row>
    <row r="2301" spans="2:31">
      <c r="B2301" s="83"/>
      <c r="C2301" s="81"/>
      <c r="D2301" s="83"/>
      <c r="E2301" s="81"/>
      <c r="F2301" s="269"/>
      <c r="G2301" s="48"/>
      <c r="H2301" s="269"/>
      <c r="I2301" s="72"/>
      <c r="J2301" s="330"/>
      <c r="K2301" s="75"/>
      <c r="L2301" s="157"/>
      <c r="M2301" s="341"/>
      <c r="N2301" s="334"/>
      <c r="P2301" s="392"/>
      <c r="Q2301" s="363"/>
      <c r="T2301" s="110"/>
      <c r="V2301" s="232"/>
      <c r="W2301" s="269"/>
      <c r="X2301" s="201"/>
      <c r="Y2301" s="269"/>
      <c r="Z2301" s="269"/>
      <c r="AA2301" s="134"/>
      <c r="AB2301" s="269"/>
      <c r="AC2301" s="284"/>
      <c r="AD2301" s="284"/>
      <c r="AE2301" s="269"/>
    </row>
    <row r="2302" spans="2:31">
      <c r="B2302" s="83"/>
      <c r="C2302" s="81"/>
      <c r="D2302" s="83"/>
      <c r="E2302" s="81"/>
      <c r="F2302" s="269"/>
      <c r="G2302" s="48"/>
      <c r="H2302" s="269"/>
      <c r="I2302" s="72"/>
      <c r="J2302" s="330"/>
      <c r="K2302" s="75"/>
      <c r="L2302" s="157"/>
      <c r="M2302" s="341"/>
      <c r="N2302" s="334"/>
      <c r="P2302" s="392"/>
      <c r="Q2302" s="363"/>
      <c r="T2302" s="110"/>
      <c r="V2302" s="232"/>
      <c r="W2302" s="269"/>
      <c r="X2302" s="201"/>
      <c r="Y2302" s="269"/>
      <c r="Z2302" s="269"/>
      <c r="AA2302" s="134"/>
      <c r="AB2302" s="269"/>
      <c r="AC2302" s="284"/>
      <c r="AD2302" s="284"/>
      <c r="AE2302" s="269"/>
    </row>
    <row r="2303" spans="2:31">
      <c r="B2303" s="83"/>
      <c r="C2303" s="81"/>
      <c r="D2303" s="83"/>
      <c r="E2303" s="81"/>
      <c r="F2303" s="269"/>
      <c r="G2303" s="48"/>
      <c r="H2303" s="269"/>
      <c r="I2303" s="72"/>
      <c r="J2303" s="330"/>
      <c r="K2303" s="75"/>
      <c r="L2303" s="157"/>
      <c r="M2303" s="341"/>
      <c r="N2303" s="334"/>
      <c r="P2303" s="392"/>
      <c r="Q2303" s="363"/>
      <c r="T2303" s="110"/>
      <c r="V2303" s="232"/>
      <c r="W2303" s="269"/>
      <c r="X2303" s="201"/>
      <c r="Y2303" s="269"/>
      <c r="Z2303" s="269"/>
      <c r="AA2303" s="134"/>
      <c r="AB2303" s="269"/>
      <c r="AC2303" s="284"/>
      <c r="AD2303" s="284"/>
      <c r="AE2303" s="269"/>
    </row>
    <row r="2304" spans="2:31">
      <c r="B2304" s="83"/>
      <c r="C2304" s="81"/>
      <c r="D2304" s="83"/>
      <c r="E2304" s="81"/>
      <c r="F2304" s="269"/>
      <c r="G2304" s="48"/>
      <c r="H2304" s="269"/>
      <c r="I2304" s="72"/>
      <c r="J2304" s="330"/>
      <c r="K2304" s="75"/>
      <c r="L2304" s="157"/>
      <c r="M2304" s="341"/>
      <c r="N2304" s="334"/>
      <c r="P2304" s="392"/>
      <c r="Q2304" s="363"/>
      <c r="T2304" s="110"/>
      <c r="V2304" s="232"/>
      <c r="W2304" s="269"/>
      <c r="X2304" s="201"/>
      <c r="Y2304" s="269"/>
      <c r="Z2304" s="269"/>
      <c r="AA2304" s="134"/>
      <c r="AB2304" s="269"/>
      <c r="AC2304" s="284"/>
      <c r="AD2304" s="284"/>
      <c r="AE2304" s="269"/>
    </row>
    <row r="2305" spans="2:31">
      <c r="B2305" s="83"/>
      <c r="C2305" s="81"/>
      <c r="D2305" s="83"/>
      <c r="E2305" s="81"/>
      <c r="F2305" s="269"/>
      <c r="G2305" s="48"/>
      <c r="H2305" s="269"/>
      <c r="I2305" s="72"/>
      <c r="J2305" s="330"/>
      <c r="K2305" s="75"/>
      <c r="L2305" s="157"/>
      <c r="M2305" s="341"/>
      <c r="N2305" s="334"/>
      <c r="P2305" s="392"/>
      <c r="Q2305" s="363"/>
      <c r="T2305" s="110"/>
      <c r="V2305" s="232"/>
      <c r="W2305" s="269"/>
      <c r="X2305" s="201"/>
      <c r="Y2305" s="269"/>
      <c r="Z2305" s="269"/>
      <c r="AA2305" s="134"/>
      <c r="AB2305" s="269"/>
      <c r="AC2305" s="284"/>
      <c r="AD2305" s="284"/>
      <c r="AE2305" s="269"/>
    </row>
    <row r="2306" spans="2:31">
      <c r="B2306" s="83"/>
      <c r="C2306" s="81"/>
      <c r="D2306" s="83"/>
      <c r="E2306" s="81"/>
      <c r="F2306" s="269"/>
      <c r="G2306" s="48"/>
      <c r="H2306" s="269"/>
      <c r="I2306" s="72"/>
      <c r="J2306" s="330"/>
      <c r="K2306" s="75"/>
      <c r="L2306" s="157"/>
      <c r="M2306" s="341"/>
      <c r="N2306" s="334"/>
      <c r="P2306" s="392"/>
      <c r="Q2306" s="363"/>
      <c r="T2306" s="110"/>
      <c r="V2306" s="232"/>
      <c r="W2306" s="269"/>
      <c r="X2306" s="201"/>
      <c r="Y2306" s="269"/>
      <c r="Z2306" s="269"/>
      <c r="AA2306" s="134"/>
      <c r="AB2306" s="269"/>
      <c r="AC2306" s="284"/>
      <c r="AD2306" s="284"/>
      <c r="AE2306" s="269"/>
    </row>
    <row r="2307" spans="2:31">
      <c r="B2307" s="83"/>
      <c r="C2307" s="81"/>
      <c r="D2307" s="83"/>
      <c r="E2307" s="81"/>
      <c r="F2307" s="269"/>
      <c r="G2307" s="48"/>
      <c r="H2307" s="269"/>
      <c r="I2307" s="72"/>
      <c r="J2307" s="330"/>
      <c r="K2307" s="75"/>
      <c r="L2307" s="157"/>
      <c r="M2307" s="341"/>
      <c r="N2307" s="334"/>
      <c r="P2307" s="392"/>
      <c r="Q2307" s="363"/>
      <c r="T2307" s="110"/>
      <c r="V2307" s="232"/>
      <c r="W2307" s="269"/>
      <c r="X2307" s="201"/>
      <c r="Y2307" s="269"/>
      <c r="Z2307" s="269"/>
      <c r="AA2307" s="134"/>
      <c r="AB2307" s="269"/>
      <c r="AC2307" s="284"/>
      <c r="AD2307" s="284"/>
      <c r="AE2307" s="269"/>
    </row>
    <row r="2308" spans="2:31">
      <c r="B2308" s="83"/>
      <c r="C2308" s="81"/>
      <c r="D2308" s="83"/>
      <c r="E2308" s="81"/>
      <c r="F2308" s="269"/>
      <c r="G2308" s="48"/>
      <c r="H2308" s="269"/>
      <c r="I2308" s="72"/>
      <c r="J2308" s="330"/>
      <c r="K2308" s="75"/>
      <c r="L2308" s="157"/>
      <c r="M2308" s="341"/>
      <c r="N2308" s="334"/>
      <c r="P2308" s="392"/>
      <c r="Q2308" s="363"/>
      <c r="T2308" s="110"/>
      <c r="V2308" s="232"/>
      <c r="W2308" s="269"/>
      <c r="X2308" s="201"/>
      <c r="Y2308" s="269"/>
      <c r="Z2308" s="269"/>
      <c r="AA2308" s="134"/>
      <c r="AB2308" s="269"/>
      <c r="AC2308" s="284"/>
      <c r="AD2308" s="284"/>
      <c r="AE2308" s="269"/>
    </row>
    <row r="2309" spans="2:31">
      <c r="B2309" s="83"/>
      <c r="C2309" s="81"/>
      <c r="D2309" s="83"/>
      <c r="E2309" s="81"/>
      <c r="F2309" s="269"/>
      <c r="G2309" s="48"/>
      <c r="H2309" s="269"/>
      <c r="I2309" s="72"/>
      <c r="J2309" s="330"/>
      <c r="K2309" s="75"/>
      <c r="L2309" s="157"/>
      <c r="M2309" s="341"/>
      <c r="N2309" s="334"/>
      <c r="P2309" s="392"/>
      <c r="Q2309" s="363"/>
      <c r="T2309" s="110"/>
      <c r="V2309" s="232"/>
      <c r="W2309" s="269"/>
      <c r="X2309" s="201"/>
      <c r="Y2309" s="269"/>
      <c r="Z2309" s="269"/>
      <c r="AA2309" s="134"/>
      <c r="AB2309" s="269"/>
      <c r="AC2309" s="284"/>
      <c r="AD2309" s="284"/>
      <c r="AE2309" s="269"/>
    </row>
    <row r="2310" spans="2:31">
      <c r="B2310" s="83"/>
      <c r="C2310" s="81"/>
      <c r="D2310" s="83"/>
      <c r="E2310" s="81"/>
      <c r="F2310" s="269"/>
      <c r="G2310" s="48"/>
      <c r="H2310" s="269"/>
      <c r="I2310" s="72"/>
      <c r="J2310" s="330"/>
      <c r="K2310" s="75"/>
      <c r="L2310" s="157"/>
      <c r="M2310" s="341"/>
      <c r="N2310" s="334"/>
      <c r="P2310" s="392"/>
      <c r="Q2310" s="363"/>
      <c r="T2310" s="110"/>
      <c r="V2310" s="232"/>
      <c r="W2310" s="269"/>
      <c r="X2310" s="201"/>
      <c r="Y2310" s="269"/>
      <c r="Z2310" s="269"/>
      <c r="AA2310" s="134"/>
      <c r="AB2310" s="269"/>
      <c r="AC2310" s="284"/>
      <c r="AD2310" s="284"/>
      <c r="AE2310" s="269"/>
    </row>
    <row r="2311" spans="2:31">
      <c r="B2311" s="83"/>
      <c r="C2311" s="81"/>
      <c r="D2311" s="83"/>
      <c r="E2311" s="81"/>
      <c r="F2311" s="269"/>
      <c r="G2311" s="48"/>
      <c r="H2311" s="269"/>
      <c r="I2311" s="72"/>
      <c r="J2311" s="330"/>
      <c r="K2311" s="75"/>
      <c r="L2311" s="157"/>
      <c r="M2311" s="341"/>
      <c r="N2311" s="334"/>
      <c r="P2311" s="392"/>
      <c r="Q2311" s="363"/>
      <c r="T2311" s="110"/>
      <c r="V2311" s="232"/>
      <c r="W2311" s="269"/>
      <c r="X2311" s="201"/>
      <c r="Y2311" s="269"/>
      <c r="Z2311" s="269"/>
      <c r="AA2311" s="134"/>
      <c r="AB2311" s="269"/>
      <c r="AC2311" s="284"/>
      <c r="AD2311" s="284"/>
      <c r="AE2311" s="269"/>
    </row>
    <row r="2312" spans="2:31">
      <c r="B2312" s="83"/>
      <c r="C2312" s="81"/>
      <c r="D2312" s="83"/>
      <c r="E2312" s="81"/>
      <c r="F2312" s="269"/>
      <c r="G2312" s="48"/>
      <c r="H2312" s="269"/>
      <c r="I2312" s="72"/>
      <c r="J2312" s="330"/>
      <c r="K2312" s="75"/>
      <c r="L2312" s="157"/>
      <c r="M2312" s="341"/>
      <c r="N2312" s="334"/>
      <c r="P2312" s="392"/>
      <c r="Q2312" s="363"/>
      <c r="T2312" s="110"/>
      <c r="V2312" s="232"/>
      <c r="W2312" s="269"/>
      <c r="X2312" s="201"/>
      <c r="Y2312" s="269"/>
      <c r="Z2312" s="269"/>
      <c r="AA2312" s="134"/>
      <c r="AB2312" s="269"/>
      <c r="AC2312" s="284"/>
      <c r="AD2312" s="284"/>
      <c r="AE2312" s="269"/>
    </row>
    <row r="2313" spans="2:31">
      <c r="B2313" s="83"/>
      <c r="C2313" s="81"/>
      <c r="D2313" s="83"/>
      <c r="E2313" s="81"/>
      <c r="F2313" s="269"/>
      <c r="G2313" s="48"/>
      <c r="H2313" s="269"/>
      <c r="I2313" s="72"/>
      <c r="J2313" s="330"/>
      <c r="K2313" s="75"/>
      <c r="L2313" s="157"/>
      <c r="M2313" s="341"/>
      <c r="N2313" s="334"/>
      <c r="P2313" s="392"/>
      <c r="Q2313" s="363"/>
      <c r="T2313" s="110"/>
      <c r="V2313" s="232"/>
      <c r="W2313" s="269"/>
      <c r="X2313" s="201"/>
      <c r="Y2313" s="269"/>
      <c r="Z2313" s="269"/>
      <c r="AA2313" s="134"/>
      <c r="AB2313" s="269"/>
      <c r="AC2313" s="284"/>
      <c r="AD2313" s="284"/>
      <c r="AE2313" s="269"/>
    </row>
    <row r="2314" spans="2:31">
      <c r="B2314" s="83"/>
      <c r="C2314" s="81"/>
      <c r="D2314" s="83"/>
      <c r="E2314" s="81"/>
      <c r="F2314" s="269"/>
      <c r="G2314" s="48"/>
      <c r="H2314" s="269"/>
      <c r="I2314" s="72"/>
      <c r="J2314" s="330"/>
      <c r="K2314" s="75"/>
      <c r="L2314" s="157"/>
      <c r="M2314" s="341"/>
      <c r="N2314" s="334"/>
      <c r="P2314" s="392"/>
      <c r="Q2314" s="363"/>
      <c r="T2314" s="110"/>
      <c r="V2314" s="232"/>
      <c r="W2314" s="269"/>
      <c r="X2314" s="201"/>
      <c r="Y2314" s="269"/>
      <c r="Z2314" s="269"/>
      <c r="AA2314" s="134"/>
      <c r="AB2314" s="269"/>
      <c r="AC2314" s="284"/>
      <c r="AD2314" s="284"/>
      <c r="AE2314" s="269"/>
    </row>
    <row r="2315" spans="2:31">
      <c r="B2315" s="83"/>
      <c r="C2315" s="81"/>
      <c r="D2315" s="83"/>
      <c r="E2315" s="81"/>
      <c r="F2315" s="269"/>
      <c r="G2315" s="48"/>
      <c r="H2315" s="269"/>
      <c r="I2315" s="72"/>
      <c r="J2315" s="330"/>
      <c r="K2315" s="75"/>
      <c r="L2315" s="157"/>
      <c r="M2315" s="341"/>
      <c r="N2315" s="334"/>
      <c r="P2315" s="392"/>
      <c r="Q2315" s="363"/>
      <c r="T2315" s="110"/>
      <c r="V2315" s="232"/>
      <c r="W2315" s="269"/>
      <c r="X2315" s="201"/>
      <c r="Y2315" s="269"/>
      <c r="Z2315" s="269"/>
      <c r="AA2315" s="134"/>
      <c r="AB2315" s="269"/>
      <c r="AC2315" s="284"/>
      <c r="AD2315" s="284"/>
      <c r="AE2315" s="269"/>
    </row>
    <row r="2316" spans="2:31">
      <c r="B2316" s="83"/>
      <c r="C2316" s="81"/>
      <c r="D2316" s="83"/>
      <c r="E2316" s="81"/>
      <c r="F2316" s="269"/>
      <c r="G2316" s="48"/>
      <c r="H2316" s="269"/>
      <c r="I2316" s="72"/>
      <c r="J2316" s="330"/>
      <c r="K2316" s="75"/>
      <c r="L2316" s="157"/>
      <c r="M2316" s="341"/>
      <c r="N2316" s="334"/>
      <c r="P2316" s="392"/>
      <c r="Q2316" s="363"/>
      <c r="T2316" s="110"/>
      <c r="V2316" s="232"/>
      <c r="W2316" s="269"/>
      <c r="X2316" s="201"/>
      <c r="Y2316" s="269"/>
      <c r="Z2316" s="269"/>
      <c r="AA2316" s="134"/>
      <c r="AB2316" s="269"/>
      <c r="AC2316" s="284"/>
      <c r="AD2316" s="284"/>
      <c r="AE2316" s="269"/>
    </row>
    <row r="2317" spans="2:31">
      <c r="B2317" s="83"/>
      <c r="C2317" s="81"/>
      <c r="D2317" s="83"/>
      <c r="E2317" s="81"/>
      <c r="F2317" s="269"/>
      <c r="G2317" s="48"/>
      <c r="H2317" s="269"/>
      <c r="I2317" s="72"/>
      <c r="J2317" s="330"/>
      <c r="K2317" s="75"/>
      <c r="L2317" s="157"/>
      <c r="M2317" s="341"/>
      <c r="N2317" s="334"/>
      <c r="P2317" s="392"/>
      <c r="Q2317" s="363"/>
      <c r="T2317" s="110"/>
      <c r="V2317" s="232"/>
      <c r="W2317" s="269"/>
      <c r="X2317" s="201"/>
      <c r="Y2317" s="269"/>
      <c r="Z2317" s="269"/>
      <c r="AA2317" s="134"/>
      <c r="AB2317" s="269"/>
      <c r="AC2317" s="284"/>
      <c r="AD2317" s="284"/>
      <c r="AE2317" s="269"/>
    </row>
    <row r="2318" spans="2:31">
      <c r="B2318" s="83"/>
      <c r="C2318" s="81"/>
      <c r="D2318" s="83"/>
      <c r="E2318" s="81"/>
      <c r="F2318" s="269"/>
      <c r="G2318" s="48"/>
      <c r="H2318" s="269"/>
      <c r="I2318" s="72"/>
      <c r="J2318" s="330"/>
      <c r="K2318" s="75"/>
      <c r="L2318" s="157"/>
      <c r="M2318" s="341"/>
      <c r="N2318" s="334"/>
      <c r="P2318" s="392"/>
      <c r="Q2318" s="363"/>
      <c r="T2318" s="110"/>
      <c r="V2318" s="232"/>
      <c r="W2318" s="269"/>
      <c r="X2318" s="201"/>
      <c r="Y2318" s="269"/>
      <c r="Z2318" s="269"/>
      <c r="AA2318" s="134"/>
      <c r="AB2318" s="269"/>
      <c r="AC2318" s="284"/>
      <c r="AD2318" s="284"/>
      <c r="AE2318" s="269"/>
    </row>
    <row r="2319" spans="2:31">
      <c r="B2319" s="83"/>
      <c r="C2319" s="81"/>
      <c r="D2319" s="83"/>
      <c r="E2319" s="81"/>
      <c r="F2319" s="269"/>
      <c r="G2319" s="48"/>
      <c r="H2319" s="269"/>
      <c r="I2319" s="72"/>
      <c r="J2319" s="330"/>
      <c r="K2319" s="75"/>
      <c r="L2319" s="157"/>
      <c r="M2319" s="341"/>
      <c r="N2319" s="334"/>
      <c r="P2319" s="392"/>
      <c r="Q2319" s="363"/>
      <c r="T2319" s="110"/>
      <c r="V2319" s="232"/>
      <c r="W2319" s="269"/>
      <c r="X2319" s="201"/>
      <c r="Y2319" s="269"/>
      <c r="Z2319" s="269"/>
      <c r="AA2319" s="134"/>
      <c r="AB2319" s="269"/>
      <c r="AC2319" s="284"/>
      <c r="AD2319" s="284"/>
      <c r="AE2319" s="269"/>
    </row>
    <row r="2320" spans="2:31">
      <c r="B2320" s="83"/>
      <c r="C2320" s="81"/>
      <c r="D2320" s="83"/>
      <c r="E2320" s="81"/>
      <c r="F2320" s="269"/>
      <c r="G2320" s="48"/>
      <c r="H2320" s="269"/>
      <c r="I2320" s="72"/>
      <c r="J2320" s="330"/>
      <c r="K2320" s="75"/>
      <c r="L2320" s="157"/>
      <c r="M2320" s="341"/>
      <c r="N2320" s="334"/>
      <c r="P2320" s="392"/>
      <c r="Q2320" s="363"/>
      <c r="T2320" s="110"/>
      <c r="V2320" s="232"/>
      <c r="W2320" s="269"/>
      <c r="X2320" s="201"/>
      <c r="Y2320" s="269"/>
      <c r="Z2320" s="269"/>
      <c r="AA2320" s="134"/>
      <c r="AB2320" s="269"/>
      <c r="AC2320" s="284"/>
      <c r="AD2320" s="284"/>
      <c r="AE2320" s="269"/>
    </row>
    <row r="2321" spans="2:31">
      <c r="B2321" s="83"/>
      <c r="C2321" s="81"/>
      <c r="D2321" s="83"/>
      <c r="E2321" s="81"/>
      <c r="F2321" s="269"/>
      <c r="G2321" s="48"/>
      <c r="H2321" s="269"/>
      <c r="I2321" s="72"/>
      <c r="J2321" s="330"/>
      <c r="K2321" s="75"/>
      <c r="L2321" s="157"/>
      <c r="M2321" s="341"/>
      <c r="N2321" s="334"/>
      <c r="T2321" s="110"/>
      <c r="V2321" s="232"/>
      <c r="W2321" s="269"/>
      <c r="X2321" s="201"/>
      <c r="Y2321" s="269"/>
      <c r="Z2321" s="269"/>
      <c r="AA2321" s="134"/>
      <c r="AB2321" s="269"/>
      <c r="AC2321" s="284"/>
      <c r="AD2321" s="284"/>
      <c r="AE2321" s="269"/>
    </row>
    <row r="2322" spans="2:31">
      <c r="B2322" s="83"/>
      <c r="C2322" s="81"/>
      <c r="D2322" s="83"/>
      <c r="E2322" s="81"/>
      <c r="F2322" s="269"/>
      <c r="G2322" s="48"/>
      <c r="H2322" s="269"/>
      <c r="I2322" s="72"/>
      <c r="J2322" s="330"/>
      <c r="K2322" s="75"/>
      <c r="L2322" s="157"/>
      <c r="M2322" s="341"/>
      <c r="N2322" s="334"/>
      <c r="T2322" s="110"/>
      <c r="V2322" s="232"/>
      <c r="W2322" s="269"/>
      <c r="X2322" s="201"/>
      <c r="Y2322" s="269"/>
      <c r="Z2322" s="269"/>
      <c r="AA2322" s="134"/>
      <c r="AB2322" s="269"/>
      <c r="AC2322" s="284"/>
      <c r="AD2322" s="284"/>
      <c r="AE2322" s="269"/>
    </row>
    <row r="2323" spans="2:31">
      <c r="B2323" s="83"/>
      <c r="C2323" s="81"/>
      <c r="D2323" s="83"/>
      <c r="E2323" s="81"/>
      <c r="F2323" s="269"/>
      <c r="G2323" s="48"/>
      <c r="H2323" s="269"/>
      <c r="I2323" s="72"/>
      <c r="J2323" s="330"/>
      <c r="K2323" s="75"/>
      <c r="L2323" s="157"/>
      <c r="M2323" s="341"/>
      <c r="N2323" s="334"/>
      <c r="T2323" s="110"/>
      <c r="V2323" s="232"/>
      <c r="W2323" s="269"/>
      <c r="X2323" s="201"/>
      <c r="Y2323" s="269"/>
      <c r="Z2323" s="269"/>
      <c r="AA2323" s="134"/>
      <c r="AB2323" s="269"/>
      <c r="AC2323" s="284"/>
      <c r="AD2323" s="284"/>
      <c r="AE2323" s="269"/>
    </row>
    <row r="2324" spans="2:31">
      <c r="B2324" s="83"/>
      <c r="C2324" s="81"/>
      <c r="D2324" s="83"/>
      <c r="E2324" s="81"/>
      <c r="F2324" s="269"/>
      <c r="G2324" s="48"/>
      <c r="H2324" s="269"/>
      <c r="I2324" s="72"/>
      <c r="J2324" s="330"/>
      <c r="K2324" s="75"/>
      <c r="L2324" s="157"/>
      <c r="M2324" s="341"/>
      <c r="N2324" s="334"/>
      <c r="T2324" s="110"/>
      <c r="V2324" s="232"/>
      <c r="W2324" s="269"/>
      <c r="X2324" s="201"/>
      <c r="Y2324" s="269"/>
      <c r="Z2324" s="269"/>
      <c r="AA2324" s="134"/>
      <c r="AB2324" s="269"/>
      <c r="AC2324" s="284"/>
      <c r="AD2324" s="284"/>
      <c r="AE2324" s="269"/>
    </row>
    <row r="2325" spans="2:31">
      <c r="B2325" s="83"/>
      <c r="C2325" s="81"/>
      <c r="D2325" s="83"/>
      <c r="E2325" s="81"/>
      <c r="F2325" s="269"/>
      <c r="G2325" s="48"/>
      <c r="H2325" s="269"/>
      <c r="I2325" s="72"/>
      <c r="J2325" s="330"/>
      <c r="K2325" s="75"/>
      <c r="L2325" s="157"/>
      <c r="M2325" s="341"/>
      <c r="N2325" s="334"/>
      <c r="T2325" s="110"/>
      <c r="V2325" s="232"/>
      <c r="W2325" s="269"/>
      <c r="X2325" s="201"/>
      <c r="Y2325" s="269"/>
      <c r="Z2325" s="269"/>
      <c r="AA2325" s="134"/>
      <c r="AB2325" s="269"/>
      <c r="AC2325" s="284"/>
      <c r="AD2325" s="284"/>
      <c r="AE2325" s="269"/>
    </row>
    <row r="2326" spans="2:31">
      <c r="B2326" s="83"/>
      <c r="C2326" s="81"/>
      <c r="D2326" s="83"/>
      <c r="E2326" s="81"/>
      <c r="F2326" s="269"/>
      <c r="G2326" s="48"/>
      <c r="H2326" s="269"/>
      <c r="I2326" s="72"/>
      <c r="J2326" s="330"/>
      <c r="K2326" s="75"/>
      <c r="L2326" s="157"/>
      <c r="M2326" s="341"/>
      <c r="N2326" s="334"/>
      <c r="T2326" s="110"/>
      <c r="V2326" s="232"/>
      <c r="W2326" s="269"/>
      <c r="X2326" s="201"/>
      <c r="Y2326" s="269"/>
      <c r="Z2326" s="269"/>
      <c r="AA2326" s="134"/>
      <c r="AB2326" s="269"/>
      <c r="AC2326" s="284"/>
      <c r="AD2326" s="284"/>
      <c r="AE2326" s="269"/>
    </row>
    <row r="2327" spans="2:31">
      <c r="B2327" s="83"/>
      <c r="C2327" s="81"/>
      <c r="D2327" s="83"/>
      <c r="E2327" s="81"/>
      <c r="F2327" s="269"/>
      <c r="G2327" s="48"/>
      <c r="H2327" s="269"/>
      <c r="I2327" s="72"/>
      <c r="J2327" s="330"/>
      <c r="K2327" s="75"/>
      <c r="L2327" s="157"/>
      <c r="M2327" s="341"/>
      <c r="N2327" s="334"/>
      <c r="T2327" s="110"/>
      <c r="V2327" s="232"/>
      <c r="W2327" s="269"/>
      <c r="X2327" s="201"/>
      <c r="Y2327" s="269"/>
      <c r="Z2327" s="269"/>
      <c r="AA2327" s="134"/>
      <c r="AB2327" s="269"/>
      <c r="AC2327" s="284"/>
      <c r="AD2327" s="284"/>
      <c r="AE2327" s="269"/>
    </row>
    <row r="2328" spans="2:31">
      <c r="B2328" s="83"/>
      <c r="C2328" s="81"/>
      <c r="D2328" s="83"/>
      <c r="E2328" s="81"/>
      <c r="F2328" s="269"/>
      <c r="G2328" s="48"/>
      <c r="H2328" s="269"/>
      <c r="I2328" s="72"/>
      <c r="J2328" s="330"/>
      <c r="K2328" s="75"/>
      <c r="L2328" s="157"/>
      <c r="M2328" s="341"/>
      <c r="N2328" s="334"/>
      <c r="T2328" s="110"/>
      <c r="V2328" s="232"/>
      <c r="W2328" s="269"/>
      <c r="X2328" s="201"/>
      <c r="Y2328" s="269"/>
      <c r="Z2328" s="269"/>
      <c r="AA2328" s="134"/>
      <c r="AB2328" s="269"/>
      <c r="AC2328" s="284"/>
      <c r="AD2328" s="284"/>
      <c r="AE2328" s="269"/>
    </row>
    <row r="2329" spans="2:31">
      <c r="B2329" s="83"/>
      <c r="C2329" s="81"/>
      <c r="D2329" s="83"/>
      <c r="E2329" s="81"/>
      <c r="F2329" s="269"/>
      <c r="G2329" s="48"/>
      <c r="H2329" s="269"/>
      <c r="I2329" s="72"/>
      <c r="J2329" s="330"/>
      <c r="K2329" s="75"/>
      <c r="L2329" s="157"/>
      <c r="M2329" s="341"/>
      <c r="N2329" s="334"/>
      <c r="T2329" s="110"/>
      <c r="V2329" s="232"/>
      <c r="W2329" s="269"/>
      <c r="X2329" s="201"/>
      <c r="Y2329" s="269"/>
      <c r="Z2329" s="269"/>
      <c r="AA2329" s="134"/>
      <c r="AB2329" s="269"/>
      <c r="AC2329" s="284"/>
      <c r="AD2329" s="284"/>
      <c r="AE2329" s="269"/>
    </row>
    <row r="2330" spans="2:31">
      <c r="B2330" s="83"/>
      <c r="C2330" s="81"/>
      <c r="D2330" s="83"/>
      <c r="E2330" s="81"/>
      <c r="F2330" s="269"/>
      <c r="G2330" s="48"/>
      <c r="H2330" s="269"/>
      <c r="I2330" s="72"/>
      <c r="J2330" s="330"/>
      <c r="K2330" s="75"/>
      <c r="L2330" s="157"/>
      <c r="M2330" s="341"/>
      <c r="N2330" s="334"/>
      <c r="T2330" s="110"/>
      <c r="V2330" s="232"/>
      <c r="W2330" s="269"/>
      <c r="X2330" s="201"/>
      <c r="Y2330" s="269"/>
      <c r="Z2330" s="269"/>
      <c r="AA2330" s="134"/>
      <c r="AB2330" s="269"/>
      <c r="AC2330" s="284"/>
      <c r="AD2330" s="284"/>
      <c r="AE2330" s="269"/>
    </row>
    <row r="2331" spans="2:31">
      <c r="B2331" s="83"/>
      <c r="C2331" s="81"/>
      <c r="D2331" s="83"/>
      <c r="E2331" s="81"/>
      <c r="F2331" s="269"/>
      <c r="G2331" s="48"/>
      <c r="H2331" s="269"/>
      <c r="I2331" s="72"/>
      <c r="J2331" s="330"/>
      <c r="K2331" s="75"/>
      <c r="L2331" s="157"/>
      <c r="M2331" s="341"/>
      <c r="N2331" s="334"/>
      <c r="T2331" s="110"/>
      <c r="V2331" s="232"/>
      <c r="W2331" s="269"/>
      <c r="X2331" s="201"/>
      <c r="Y2331" s="269"/>
      <c r="Z2331" s="269"/>
      <c r="AA2331" s="134"/>
      <c r="AB2331" s="269"/>
      <c r="AC2331" s="284"/>
      <c r="AD2331" s="284"/>
      <c r="AE2331" s="269"/>
    </row>
    <row r="2332" spans="2:31">
      <c r="B2332" s="83"/>
      <c r="C2332" s="81"/>
      <c r="D2332" s="83"/>
      <c r="E2332" s="81"/>
      <c r="F2332" s="269"/>
      <c r="G2332" s="48"/>
      <c r="H2332" s="269"/>
      <c r="I2332" s="72"/>
      <c r="J2332" s="330"/>
      <c r="K2332" s="75"/>
      <c r="L2332" s="157"/>
      <c r="M2332" s="341"/>
      <c r="N2332" s="334"/>
      <c r="T2332" s="110"/>
      <c r="V2332" s="232"/>
      <c r="W2332" s="269"/>
      <c r="X2332" s="201"/>
      <c r="Y2332" s="269"/>
      <c r="Z2332" s="269"/>
      <c r="AA2332" s="134"/>
      <c r="AB2332" s="269"/>
      <c r="AC2332" s="284"/>
      <c r="AD2332" s="284"/>
      <c r="AE2332" s="269"/>
    </row>
    <row r="2333" spans="2:31">
      <c r="B2333" s="83"/>
      <c r="C2333" s="81"/>
      <c r="D2333" s="83"/>
      <c r="E2333" s="81"/>
      <c r="F2333" s="269"/>
      <c r="G2333" s="48"/>
      <c r="H2333" s="269"/>
      <c r="I2333" s="72"/>
      <c r="J2333" s="330"/>
      <c r="K2333" s="75"/>
      <c r="L2333" s="157"/>
      <c r="M2333" s="341"/>
      <c r="N2333" s="334"/>
      <c r="T2333" s="110"/>
      <c r="V2333" s="232"/>
      <c r="W2333" s="269"/>
      <c r="X2333" s="201"/>
      <c r="Y2333" s="269"/>
      <c r="Z2333" s="269"/>
      <c r="AA2333" s="134"/>
      <c r="AB2333" s="269"/>
      <c r="AC2333" s="284"/>
      <c r="AD2333" s="284"/>
      <c r="AE2333" s="269"/>
    </row>
    <row r="2334" spans="2:31">
      <c r="B2334" s="83"/>
      <c r="C2334" s="81"/>
      <c r="D2334" s="83"/>
      <c r="E2334" s="81"/>
      <c r="F2334" s="269"/>
      <c r="G2334" s="48"/>
      <c r="H2334" s="269"/>
      <c r="I2334" s="72"/>
      <c r="J2334" s="330"/>
      <c r="K2334" s="75"/>
      <c r="L2334" s="157"/>
      <c r="M2334" s="341"/>
      <c r="N2334" s="334"/>
      <c r="T2334" s="110"/>
      <c r="V2334" s="232"/>
      <c r="W2334" s="269"/>
      <c r="X2334" s="201"/>
      <c r="Y2334" s="269"/>
      <c r="Z2334" s="269"/>
      <c r="AA2334" s="134"/>
      <c r="AB2334" s="269"/>
      <c r="AC2334" s="284"/>
      <c r="AD2334" s="284"/>
      <c r="AE2334" s="269"/>
    </row>
    <row r="2335" spans="2:31">
      <c r="B2335" s="83"/>
      <c r="C2335" s="81"/>
      <c r="D2335" s="83"/>
      <c r="E2335" s="81"/>
      <c r="F2335" s="269"/>
      <c r="G2335" s="48"/>
      <c r="H2335" s="269"/>
      <c r="I2335" s="72"/>
      <c r="J2335" s="330"/>
      <c r="K2335" s="75"/>
      <c r="L2335" s="157"/>
      <c r="M2335" s="341"/>
      <c r="N2335" s="334"/>
      <c r="T2335" s="110"/>
      <c r="V2335" s="232"/>
      <c r="W2335" s="269"/>
      <c r="X2335" s="201"/>
      <c r="Y2335" s="269"/>
      <c r="Z2335" s="269"/>
      <c r="AA2335" s="134"/>
      <c r="AB2335" s="269"/>
      <c r="AC2335" s="284"/>
      <c r="AD2335" s="284"/>
      <c r="AE2335" s="269"/>
    </row>
    <row r="2336" spans="2:31">
      <c r="B2336" s="83"/>
      <c r="C2336" s="81"/>
      <c r="D2336" s="83"/>
      <c r="E2336" s="81"/>
      <c r="F2336" s="269"/>
      <c r="G2336" s="48"/>
      <c r="H2336" s="269"/>
      <c r="I2336" s="72"/>
      <c r="J2336" s="330"/>
      <c r="K2336" s="75"/>
      <c r="L2336" s="157"/>
      <c r="M2336" s="341"/>
      <c r="N2336" s="334"/>
      <c r="T2336" s="110"/>
      <c r="V2336" s="232"/>
      <c r="W2336" s="269"/>
      <c r="X2336" s="201"/>
      <c r="Y2336" s="269"/>
      <c r="Z2336" s="269"/>
      <c r="AA2336" s="134"/>
      <c r="AB2336" s="269"/>
      <c r="AC2336" s="284"/>
      <c r="AD2336" s="284"/>
      <c r="AE2336" s="269"/>
    </row>
    <row r="2337" spans="2:31">
      <c r="B2337" s="83"/>
      <c r="C2337" s="81"/>
      <c r="D2337" s="83"/>
      <c r="E2337" s="81"/>
      <c r="F2337" s="269"/>
      <c r="G2337" s="48"/>
      <c r="H2337" s="269"/>
      <c r="I2337" s="72"/>
      <c r="J2337" s="330"/>
      <c r="K2337" s="75"/>
      <c r="L2337" s="157"/>
      <c r="M2337" s="341"/>
      <c r="N2337" s="334"/>
      <c r="T2337" s="110"/>
      <c r="V2337" s="232"/>
      <c r="W2337" s="269"/>
      <c r="X2337" s="201"/>
      <c r="Y2337" s="269"/>
      <c r="Z2337" s="269"/>
      <c r="AA2337" s="134"/>
      <c r="AB2337" s="269"/>
      <c r="AC2337" s="284"/>
      <c r="AD2337" s="284"/>
      <c r="AE2337" s="269"/>
    </row>
    <row r="2338" spans="2:31">
      <c r="B2338" s="83"/>
      <c r="C2338" s="81"/>
      <c r="D2338" s="83"/>
      <c r="E2338" s="81"/>
      <c r="F2338" s="269"/>
      <c r="G2338" s="48"/>
      <c r="H2338" s="269"/>
      <c r="I2338" s="72"/>
      <c r="J2338" s="330"/>
      <c r="K2338" s="75"/>
      <c r="L2338" s="157"/>
      <c r="M2338" s="341"/>
      <c r="N2338" s="334"/>
      <c r="T2338" s="110"/>
      <c r="V2338" s="232"/>
      <c r="W2338" s="269"/>
      <c r="X2338" s="201"/>
      <c r="Y2338" s="269"/>
      <c r="Z2338" s="269"/>
      <c r="AA2338" s="134"/>
      <c r="AB2338" s="269"/>
      <c r="AC2338" s="284"/>
      <c r="AD2338" s="284"/>
      <c r="AE2338" s="269"/>
    </row>
    <row r="2339" spans="2:31">
      <c r="B2339" s="83"/>
      <c r="C2339" s="81"/>
      <c r="D2339" s="83"/>
      <c r="E2339" s="81"/>
      <c r="F2339" s="269"/>
      <c r="G2339" s="48"/>
      <c r="H2339" s="269"/>
      <c r="I2339" s="72"/>
      <c r="J2339" s="330"/>
      <c r="K2339" s="75"/>
      <c r="L2339" s="157"/>
      <c r="M2339" s="341"/>
      <c r="N2339" s="334"/>
      <c r="T2339" s="110"/>
      <c r="V2339" s="232"/>
      <c r="W2339" s="269"/>
      <c r="X2339" s="201"/>
      <c r="Y2339" s="269"/>
      <c r="Z2339" s="269"/>
      <c r="AA2339" s="134"/>
      <c r="AB2339" s="269"/>
      <c r="AC2339" s="284"/>
      <c r="AD2339" s="284"/>
      <c r="AE2339" s="269"/>
    </row>
    <row r="2340" spans="2:31">
      <c r="B2340" s="83"/>
      <c r="C2340" s="81"/>
      <c r="D2340" s="83"/>
      <c r="E2340" s="81"/>
      <c r="F2340" s="269"/>
      <c r="G2340" s="48"/>
      <c r="H2340" s="269"/>
      <c r="I2340" s="72"/>
      <c r="J2340" s="330"/>
      <c r="K2340" s="75"/>
      <c r="L2340" s="157"/>
      <c r="M2340" s="341"/>
      <c r="N2340" s="334"/>
      <c r="T2340" s="110"/>
      <c r="V2340" s="232"/>
      <c r="W2340" s="269"/>
      <c r="X2340" s="201"/>
      <c r="Y2340" s="269"/>
      <c r="Z2340" s="269"/>
      <c r="AA2340" s="134"/>
      <c r="AB2340" s="269"/>
      <c r="AC2340" s="284"/>
      <c r="AD2340" s="284"/>
      <c r="AE2340" s="269"/>
    </row>
    <row r="2341" spans="2:31">
      <c r="B2341" s="83"/>
      <c r="C2341" s="81"/>
      <c r="D2341" s="83"/>
      <c r="E2341" s="81"/>
      <c r="F2341" s="269"/>
      <c r="G2341" s="48"/>
      <c r="H2341" s="269"/>
      <c r="I2341" s="72"/>
      <c r="J2341" s="330"/>
      <c r="K2341" s="75"/>
      <c r="L2341" s="157"/>
      <c r="M2341" s="341"/>
      <c r="N2341" s="334"/>
      <c r="T2341" s="110"/>
      <c r="V2341" s="232"/>
      <c r="W2341" s="269"/>
      <c r="X2341" s="201"/>
      <c r="Y2341" s="269"/>
      <c r="Z2341" s="269"/>
      <c r="AA2341" s="134"/>
      <c r="AB2341" s="269"/>
      <c r="AC2341" s="284"/>
      <c r="AD2341" s="284"/>
      <c r="AE2341" s="269"/>
    </row>
    <row r="2342" spans="2:31">
      <c r="B2342" s="83"/>
      <c r="C2342" s="81"/>
      <c r="D2342" s="83"/>
      <c r="E2342" s="81"/>
      <c r="F2342" s="269"/>
      <c r="G2342" s="48"/>
      <c r="H2342" s="269"/>
      <c r="I2342" s="72"/>
      <c r="J2342" s="330"/>
      <c r="K2342" s="75"/>
      <c r="L2342" s="157"/>
      <c r="M2342" s="341"/>
      <c r="N2342" s="334"/>
      <c r="T2342" s="110"/>
      <c r="V2342" s="232"/>
      <c r="W2342" s="269"/>
      <c r="X2342" s="201"/>
      <c r="Y2342" s="269"/>
      <c r="Z2342" s="269"/>
      <c r="AA2342" s="134"/>
      <c r="AB2342" s="269"/>
      <c r="AC2342" s="284"/>
      <c r="AD2342" s="284"/>
      <c r="AE2342" s="269"/>
    </row>
    <row r="2343" spans="2:31">
      <c r="B2343" s="83"/>
      <c r="C2343" s="81"/>
      <c r="D2343" s="83"/>
      <c r="E2343" s="81"/>
      <c r="F2343" s="269"/>
      <c r="G2343" s="48"/>
      <c r="H2343" s="269"/>
      <c r="I2343" s="72"/>
      <c r="J2343" s="330"/>
      <c r="K2343" s="75"/>
      <c r="L2343" s="157"/>
      <c r="M2343" s="341"/>
      <c r="N2343" s="334"/>
      <c r="T2343" s="110"/>
      <c r="V2343" s="232"/>
      <c r="W2343" s="269"/>
      <c r="X2343" s="201"/>
      <c r="Y2343" s="269"/>
      <c r="Z2343" s="269"/>
      <c r="AA2343" s="134"/>
      <c r="AB2343" s="269"/>
      <c r="AC2343" s="284"/>
      <c r="AD2343" s="284"/>
      <c r="AE2343" s="269"/>
    </row>
    <row r="2344" spans="2:31">
      <c r="B2344" s="83"/>
      <c r="C2344" s="81"/>
      <c r="D2344" s="83"/>
      <c r="E2344" s="81"/>
      <c r="F2344" s="269"/>
      <c r="G2344" s="48"/>
      <c r="H2344" s="269"/>
      <c r="I2344" s="72"/>
      <c r="J2344" s="330"/>
      <c r="K2344" s="75"/>
      <c r="L2344" s="157"/>
      <c r="M2344" s="341"/>
      <c r="N2344" s="334"/>
      <c r="T2344" s="110"/>
      <c r="V2344" s="232"/>
      <c r="W2344" s="269"/>
      <c r="X2344" s="201"/>
      <c r="Y2344" s="269"/>
      <c r="Z2344" s="269"/>
      <c r="AA2344" s="134"/>
      <c r="AB2344" s="269"/>
      <c r="AC2344" s="284"/>
      <c r="AD2344" s="284"/>
      <c r="AE2344" s="269"/>
    </row>
    <row r="2345" spans="2:31">
      <c r="B2345" s="83"/>
      <c r="C2345" s="81"/>
      <c r="D2345" s="83"/>
      <c r="E2345" s="81"/>
      <c r="F2345" s="269"/>
      <c r="G2345" s="48"/>
      <c r="H2345" s="269"/>
      <c r="I2345" s="72"/>
      <c r="J2345" s="330"/>
      <c r="K2345" s="75"/>
      <c r="L2345" s="157"/>
      <c r="M2345" s="341"/>
      <c r="N2345" s="334"/>
      <c r="T2345" s="110"/>
      <c r="V2345" s="232"/>
      <c r="W2345" s="269"/>
      <c r="X2345" s="201"/>
      <c r="Y2345" s="269"/>
      <c r="Z2345" s="269"/>
      <c r="AA2345" s="134"/>
      <c r="AB2345" s="269"/>
      <c r="AC2345" s="284"/>
      <c r="AD2345" s="284"/>
      <c r="AE2345" s="269"/>
    </row>
    <row r="2346" spans="2:31">
      <c r="B2346" s="83"/>
      <c r="C2346" s="81"/>
      <c r="D2346" s="83"/>
      <c r="E2346" s="81"/>
      <c r="F2346" s="269"/>
      <c r="G2346" s="48"/>
      <c r="H2346" s="269"/>
      <c r="I2346" s="72"/>
      <c r="J2346" s="330"/>
      <c r="K2346" s="75"/>
      <c r="L2346" s="157"/>
      <c r="M2346" s="341"/>
      <c r="N2346" s="334"/>
      <c r="T2346" s="110"/>
      <c r="V2346" s="232"/>
      <c r="W2346" s="269"/>
      <c r="X2346" s="201"/>
      <c r="Y2346" s="269"/>
      <c r="Z2346" s="269"/>
      <c r="AA2346" s="134"/>
      <c r="AB2346" s="269"/>
      <c r="AC2346" s="284"/>
      <c r="AD2346" s="284"/>
      <c r="AE2346" s="269"/>
    </row>
    <row r="2347" spans="2:31">
      <c r="B2347" s="83"/>
      <c r="C2347" s="81"/>
      <c r="D2347" s="83"/>
      <c r="E2347" s="81"/>
      <c r="F2347" s="269"/>
      <c r="G2347" s="48"/>
      <c r="H2347" s="269"/>
      <c r="I2347" s="72"/>
      <c r="J2347" s="330"/>
      <c r="K2347" s="75"/>
      <c r="L2347" s="157"/>
      <c r="M2347" s="341"/>
      <c r="N2347" s="334"/>
      <c r="T2347" s="110"/>
      <c r="V2347" s="232"/>
      <c r="W2347" s="269"/>
      <c r="X2347" s="201"/>
      <c r="Y2347" s="269"/>
      <c r="Z2347" s="269"/>
      <c r="AA2347" s="134"/>
      <c r="AB2347" s="269"/>
      <c r="AC2347" s="284"/>
      <c r="AD2347" s="284"/>
      <c r="AE2347" s="269"/>
    </row>
    <row r="2348" spans="2:31">
      <c r="B2348" s="83"/>
      <c r="C2348" s="81"/>
      <c r="D2348" s="83"/>
      <c r="E2348" s="81"/>
      <c r="F2348" s="269"/>
      <c r="G2348" s="48"/>
      <c r="H2348" s="269"/>
      <c r="I2348" s="72"/>
      <c r="J2348" s="330"/>
      <c r="K2348" s="75"/>
      <c r="L2348" s="157"/>
      <c r="M2348" s="341"/>
      <c r="N2348" s="334"/>
      <c r="T2348" s="110"/>
      <c r="V2348" s="232"/>
      <c r="W2348" s="269"/>
      <c r="X2348" s="201"/>
      <c r="Y2348" s="269"/>
      <c r="Z2348" s="269"/>
      <c r="AA2348" s="134"/>
      <c r="AB2348" s="269"/>
      <c r="AC2348" s="284"/>
      <c r="AD2348" s="284"/>
      <c r="AE2348" s="269"/>
    </row>
    <row r="2349" spans="2:31">
      <c r="B2349" s="83"/>
      <c r="C2349" s="81"/>
      <c r="D2349" s="83"/>
      <c r="E2349" s="81"/>
      <c r="F2349" s="269"/>
      <c r="G2349" s="48"/>
      <c r="H2349" s="269"/>
      <c r="I2349" s="72"/>
      <c r="J2349" s="330"/>
      <c r="K2349" s="75"/>
      <c r="L2349" s="157"/>
      <c r="M2349" s="341"/>
      <c r="N2349" s="334"/>
      <c r="T2349" s="110"/>
      <c r="V2349" s="232"/>
      <c r="W2349" s="269"/>
      <c r="X2349" s="201"/>
      <c r="Y2349" s="269"/>
      <c r="Z2349" s="269"/>
      <c r="AA2349" s="134"/>
      <c r="AB2349" s="269"/>
      <c r="AC2349" s="284"/>
      <c r="AD2349" s="284"/>
      <c r="AE2349" s="269"/>
    </row>
    <row r="2350" spans="2:31">
      <c r="B2350" s="83"/>
      <c r="C2350" s="81"/>
      <c r="D2350" s="83"/>
      <c r="E2350" s="81"/>
      <c r="F2350" s="269"/>
      <c r="G2350" s="48"/>
      <c r="H2350" s="269"/>
      <c r="I2350" s="72"/>
      <c r="J2350" s="330"/>
      <c r="K2350" s="75"/>
      <c r="L2350" s="157"/>
      <c r="M2350" s="341"/>
      <c r="N2350" s="334"/>
      <c r="T2350" s="110"/>
      <c r="V2350" s="232"/>
      <c r="W2350" s="269"/>
      <c r="X2350" s="201"/>
      <c r="Y2350" s="269"/>
      <c r="Z2350" s="269"/>
      <c r="AA2350" s="134"/>
      <c r="AB2350" s="269"/>
      <c r="AC2350" s="284"/>
      <c r="AD2350" s="284"/>
      <c r="AE2350" s="269"/>
    </row>
    <row r="2351" spans="2:31">
      <c r="B2351" s="83"/>
      <c r="C2351" s="81"/>
      <c r="D2351" s="83"/>
      <c r="E2351" s="81"/>
      <c r="F2351" s="269"/>
      <c r="G2351" s="48"/>
      <c r="H2351" s="269"/>
      <c r="I2351" s="72"/>
      <c r="J2351" s="330"/>
      <c r="K2351" s="75"/>
      <c r="L2351" s="157"/>
      <c r="M2351" s="341"/>
      <c r="N2351" s="334"/>
      <c r="T2351" s="110"/>
      <c r="V2351" s="232"/>
      <c r="W2351" s="269"/>
      <c r="X2351" s="201"/>
      <c r="Y2351" s="269"/>
      <c r="Z2351" s="269"/>
      <c r="AA2351" s="134"/>
      <c r="AB2351" s="269"/>
      <c r="AC2351" s="284"/>
      <c r="AD2351" s="284"/>
      <c r="AE2351" s="269"/>
    </row>
    <row r="2352" spans="2:31">
      <c r="B2352" s="83"/>
      <c r="C2352" s="81"/>
      <c r="D2352" s="83"/>
      <c r="E2352" s="81"/>
      <c r="F2352" s="269"/>
      <c r="G2352" s="48"/>
      <c r="H2352" s="269"/>
      <c r="I2352" s="72"/>
      <c r="J2352" s="330"/>
      <c r="K2352" s="75"/>
      <c r="L2352" s="157"/>
      <c r="M2352" s="341"/>
      <c r="N2352" s="334"/>
      <c r="T2352" s="110"/>
      <c r="V2352" s="232"/>
      <c r="W2352" s="269"/>
      <c r="X2352" s="201"/>
      <c r="Y2352" s="269"/>
      <c r="Z2352" s="269"/>
      <c r="AA2352" s="134"/>
      <c r="AB2352" s="269"/>
      <c r="AC2352" s="284"/>
      <c r="AD2352" s="284"/>
      <c r="AE2352" s="269"/>
    </row>
    <row r="2353" spans="2:31">
      <c r="B2353" s="83"/>
      <c r="C2353" s="81"/>
      <c r="D2353" s="83"/>
      <c r="E2353" s="81"/>
      <c r="F2353" s="269"/>
      <c r="G2353" s="48"/>
      <c r="H2353" s="269"/>
      <c r="I2353" s="72"/>
      <c r="J2353" s="330"/>
      <c r="K2353" s="75"/>
      <c r="L2353" s="157"/>
      <c r="M2353" s="341"/>
      <c r="N2353" s="334"/>
      <c r="T2353" s="110"/>
      <c r="V2353" s="232"/>
      <c r="W2353" s="269"/>
      <c r="X2353" s="201"/>
      <c r="Y2353" s="269"/>
      <c r="Z2353" s="269"/>
      <c r="AA2353" s="134"/>
      <c r="AB2353" s="269"/>
      <c r="AC2353" s="284"/>
      <c r="AD2353" s="284"/>
      <c r="AE2353" s="269"/>
    </row>
    <row r="2354" spans="2:31">
      <c r="B2354" s="83"/>
      <c r="C2354" s="81"/>
      <c r="D2354" s="83"/>
      <c r="E2354" s="81"/>
      <c r="F2354" s="269"/>
      <c r="G2354" s="48"/>
      <c r="H2354" s="269"/>
      <c r="I2354" s="72"/>
      <c r="J2354" s="330"/>
      <c r="K2354" s="75"/>
      <c r="L2354" s="157"/>
      <c r="M2354" s="341"/>
      <c r="N2354" s="334"/>
      <c r="T2354" s="110"/>
      <c r="V2354" s="232"/>
      <c r="W2354" s="269"/>
      <c r="X2354" s="201"/>
      <c r="Y2354" s="269"/>
      <c r="Z2354" s="269"/>
      <c r="AA2354" s="134"/>
      <c r="AB2354" s="269"/>
      <c r="AC2354" s="284"/>
      <c r="AD2354" s="284"/>
      <c r="AE2354" s="269"/>
    </row>
    <row r="2355" spans="2:31">
      <c r="B2355" s="83"/>
      <c r="C2355" s="81"/>
      <c r="D2355" s="83"/>
      <c r="E2355" s="81"/>
      <c r="F2355" s="269"/>
      <c r="G2355" s="48"/>
      <c r="H2355" s="269"/>
      <c r="I2355" s="72"/>
      <c r="J2355" s="330"/>
      <c r="K2355" s="75"/>
      <c r="L2355" s="157"/>
      <c r="M2355" s="341"/>
      <c r="N2355" s="334"/>
      <c r="T2355" s="110"/>
      <c r="V2355" s="232"/>
      <c r="W2355" s="269"/>
      <c r="X2355" s="201"/>
      <c r="Y2355" s="269"/>
      <c r="Z2355" s="269"/>
      <c r="AA2355" s="134"/>
      <c r="AB2355" s="269"/>
      <c r="AC2355" s="284"/>
      <c r="AD2355" s="284"/>
      <c r="AE2355" s="269"/>
    </row>
    <row r="2356" spans="2:31">
      <c r="B2356" s="83"/>
      <c r="C2356" s="81"/>
      <c r="D2356" s="83"/>
      <c r="E2356" s="81"/>
      <c r="F2356" s="269"/>
      <c r="G2356" s="48"/>
      <c r="H2356" s="269"/>
      <c r="I2356" s="72"/>
      <c r="J2356" s="330"/>
      <c r="K2356" s="75"/>
      <c r="L2356" s="157"/>
      <c r="M2356" s="341"/>
      <c r="N2356" s="334"/>
      <c r="T2356" s="110"/>
      <c r="V2356" s="232"/>
      <c r="W2356" s="269"/>
      <c r="X2356" s="201"/>
      <c r="Y2356" s="269"/>
      <c r="Z2356" s="269"/>
      <c r="AA2356" s="134"/>
      <c r="AB2356" s="269"/>
      <c r="AC2356" s="284"/>
      <c r="AD2356" s="284"/>
      <c r="AE2356" s="269"/>
    </row>
    <row r="2357" spans="2:31">
      <c r="B2357" s="83"/>
      <c r="C2357" s="81"/>
      <c r="D2357" s="83"/>
      <c r="E2357" s="81"/>
      <c r="F2357" s="269"/>
      <c r="G2357" s="48"/>
      <c r="H2357" s="269"/>
      <c r="I2357" s="72"/>
      <c r="J2357" s="330"/>
      <c r="K2357" s="75"/>
      <c r="L2357" s="157"/>
      <c r="M2357" s="341"/>
      <c r="N2357" s="334"/>
      <c r="T2357" s="110"/>
      <c r="V2357" s="232"/>
      <c r="W2357" s="269"/>
      <c r="X2357" s="201"/>
      <c r="Y2357" s="269"/>
      <c r="Z2357" s="269"/>
      <c r="AA2357" s="134"/>
      <c r="AB2357" s="269"/>
      <c r="AC2357" s="284"/>
      <c r="AD2357" s="284"/>
      <c r="AE2357" s="269"/>
    </row>
    <row r="2358" spans="2:31">
      <c r="B2358" s="83"/>
      <c r="C2358" s="81"/>
      <c r="D2358" s="83"/>
      <c r="E2358" s="81"/>
      <c r="F2358" s="269"/>
      <c r="G2358" s="48"/>
      <c r="H2358" s="269"/>
      <c r="I2358" s="72"/>
      <c r="J2358" s="330"/>
      <c r="K2358" s="75"/>
      <c r="L2358" s="157"/>
      <c r="M2358" s="341"/>
      <c r="N2358" s="334"/>
      <c r="T2358" s="110"/>
      <c r="V2358" s="232"/>
      <c r="W2358" s="269"/>
      <c r="X2358" s="201"/>
      <c r="Y2358" s="269"/>
      <c r="Z2358" s="269"/>
      <c r="AA2358" s="134"/>
      <c r="AB2358" s="269"/>
      <c r="AC2358" s="284"/>
      <c r="AD2358" s="284"/>
      <c r="AE2358" s="269"/>
    </row>
    <row r="2359" spans="2:31">
      <c r="B2359" s="83"/>
      <c r="C2359" s="81"/>
      <c r="D2359" s="83"/>
      <c r="E2359" s="81"/>
      <c r="F2359" s="269"/>
      <c r="G2359" s="48"/>
      <c r="H2359" s="269"/>
      <c r="I2359" s="72"/>
      <c r="J2359" s="330"/>
      <c r="K2359" s="75"/>
      <c r="L2359" s="157"/>
      <c r="M2359" s="341"/>
      <c r="N2359" s="334"/>
      <c r="T2359" s="110"/>
      <c r="V2359" s="232"/>
      <c r="W2359" s="269"/>
      <c r="X2359" s="201"/>
      <c r="Y2359" s="269"/>
      <c r="Z2359" s="269"/>
      <c r="AA2359" s="134"/>
      <c r="AB2359" s="269"/>
      <c r="AC2359" s="284"/>
      <c r="AD2359" s="284"/>
      <c r="AE2359" s="269"/>
    </row>
    <row r="2360" spans="2:31">
      <c r="B2360" s="83"/>
      <c r="C2360" s="81"/>
      <c r="D2360" s="83"/>
      <c r="E2360" s="81"/>
      <c r="F2360" s="269"/>
      <c r="G2360" s="48"/>
      <c r="H2360" s="269"/>
      <c r="I2360" s="72"/>
      <c r="J2360" s="330"/>
      <c r="K2360" s="75"/>
      <c r="L2360" s="157"/>
      <c r="M2360" s="341"/>
      <c r="N2360" s="334"/>
      <c r="T2360" s="110"/>
      <c r="V2360" s="232"/>
      <c r="W2360" s="269"/>
      <c r="X2360" s="201"/>
      <c r="Y2360" s="269"/>
      <c r="Z2360" s="269"/>
      <c r="AA2360" s="134"/>
      <c r="AB2360" s="269"/>
      <c r="AC2360" s="284"/>
      <c r="AD2360" s="284"/>
      <c r="AE2360" s="269"/>
    </row>
    <row r="2361" spans="2:31">
      <c r="B2361" s="83"/>
      <c r="C2361" s="81"/>
      <c r="D2361" s="83"/>
      <c r="E2361" s="81"/>
      <c r="F2361" s="269"/>
      <c r="G2361" s="48"/>
      <c r="H2361" s="269"/>
      <c r="I2361" s="72"/>
      <c r="J2361" s="330"/>
      <c r="K2361" s="75"/>
      <c r="L2361" s="157"/>
      <c r="M2361" s="341"/>
      <c r="N2361" s="334"/>
      <c r="T2361" s="110"/>
      <c r="V2361" s="232"/>
      <c r="W2361" s="269"/>
      <c r="X2361" s="201"/>
      <c r="Y2361" s="269"/>
      <c r="Z2361" s="269"/>
      <c r="AA2361" s="134"/>
      <c r="AB2361" s="269"/>
      <c r="AC2361" s="284"/>
      <c r="AD2361" s="284"/>
      <c r="AE2361" s="269"/>
    </row>
    <row r="2362" spans="2:31">
      <c r="B2362" s="83"/>
      <c r="C2362" s="81"/>
      <c r="D2362" s="83"/>
      <c r="E2362" s="81"/>
      <c r="F2362" s="269"/>
      <c r="G2362" s="48"/>
      <c r="H2362" s="269"/>
      <c r="I2362" s="72"/>
      <c r="J2362" s="330"/>
      <c r="K2362" s="75"/>
      <c r="L2362" s="157"/>
      <c r="M2362" s="341"/>
      <c r="N2362" s="334"/>
      <c r="T2362" s="110"/>
      <c r="V2362" s="232"/>
      <c r="W2362" s="269"/>
      <c r="X2362" s="201"/>
      <c r="Y2362" s="269"/>
      <c r="Z2362" s="269"/>
      <c r="AA2362" s="134"/>
      <c r="AB2362" s="269"/>
      <c r="AC2362" s="284"/>
      <c r="AD2362" s="284"/>
      <c r="AE2362" s="269"/>
    </row>
    <row r="2363" spans="2:31">
      <c r="B2363" s="83"/>
      <c r="C2363" s="81"/>
      <c r="D2363" s="83"/>
      <c r="E2363" s="81"/>
      <c r="F2363" s="269"/>
      <c r="G2363" s="48"/>
      <c r="H2363" s="269"/>
      <c r="I2363" s="72"/>
      <c r="J2363" s="330"/>
      <c r="K2363" s="75"/>
      <c r="L2363" s="157"/>
      <c r="M2363" s="341"/>
      <c r="N2363" s="334"/>
      <c r="T2363" s="110"/>
      <c r="V2363" s="232"/>
      <c r="W2363" s="269"/>
      <c r="X2363" s="201"/>
      <c r="Y2363" s="269"/>
      <c r="Z2363" s="269"/>
      <c r="AA2363" s="134"/>
      <c r="AB2363" s="269"/>
      <c r="AC2363" s="284"/>
      <c r="AD2363" s="284"/>
      <c r="AE2363" s="269"/>
    </row>
    <row r="2364" spans="2:31">
      <c r="B2364" s="83"/>
      <c r="C2364" s="81"/>
      <c r="D2364" s="83"/>
      <c r="E2364" s="81"/>
      <c r="F2364" s="269"/>
      <c r="G2364" s="48"/>
      <c r="H2364" s="269"/>
      <c r="I2364" s="72"/>
      <c r="J2364" s="330"/>
      <c r="K2364" s="75"/>
      <c r="L2364" s="157"/>
      <c r="M2364" s="341"/>
      <c r="N2364" s="334"/>
      <c r="T2364" s="110"/>
      <c r="V2364" s="232"/>
      <c r="W2364" s="269"/>
      <c r="X2364" s="201"/>
      <c r="Y2364" s="269"/>
      <c r="Z2364" s="269"/>
      <c r="AA2364" s="134"/>
      <c r="AB2364" s="269"/>
      <c r="AC2364" s="284"/>
      <c r="AD2364" s="284"/>
      <c r="AE2364" s="269"/>
    </row>
    <row r="2365" spans="2:31">
      <c r="B2365" s="83"/>
      <c r="C2365" s="81"/>
      <c r="D2365" s="83"/>
      <c r="E2365" s="81"/>
      <c r="F2365" s="269"/>
      <c r="G2365" s="48"/>
      <c r="H2365" s="269"/>
      <c r="I2365" s="72"/>
      <c r="J2365" s="330"/>
      <c r="K2365" s="75"/>
      <c r="L2365" s="157"/>
      <c r="M2365" s="341"/>
      <c r="N2365" s="334"/>
      <c r="T2365" s="110"/>
      <c r="V2365" s="232"/>
      <c r="W2365" s="269"/>
      <c r="X2365" s="201"/>
      <c r="Y2365" s="269"/>
      <c r="Z2365" s="269"/>
      <c r="AA2365" s="134"/>
      <c r="AB2365" s="269"/>
      <c r="AC2365" s="284"/>
      <c r="AD2365" s="284"/>
      <c r="AE2365" s="269"/>
    </row>
    <row r="2366" spans="2:31">
      <c r="B2366" s="83"/>
      <c r="C2366" s="81"/>
      <c r="D2366" s="83"/>
      <c r="E2366" s="81"/>
      <c r="F2366" s="269"/>
      <c r="G2366" s="48"/>
      <c r="H2366" s="269"/>
      <c r="I2366" s="72"/>
      <c r="J2366" s="330"/>
      <c r="K2366" s="75"/>
      <c r="L2366" s="157"/>
      <c r="M2366" s="341"/>
      <c r="N2366" s="334"/>
      <c r="T2366" s="110"/>
      <c r="V2366" s="232"/>
      <c r="W2366" s="269"/>
      <c r="X2366" s="201"/>
      <c r="Y2366" s="269"/>
      <c r="Z2366" s="269"/>
      <c r="AA2366" s="134"/>
      <c r="AB2366" s="269"/>
      <c r="AC2366" s="284"/>
      <c r="AD2366" s="284"/>
      <c r="AE2366" s="269"/>
    </row>
    <row r="2367" spans="2:31">
      <c r="B2367" s="83"/>
      <c r="C2367" s="81"/>
      <c r="D2367" s="83"/>
      <c r="E2367" s="81"/>
      <c r="F2367" s="269"/>
      <c r="G2367" s="48"/>
      <c r="H2367" s="269"/>
      <c r="I2367" s="72"/>
      <c r="J2367" s="330"/>
      <c r="K2367" s="75"/>
      <c r="L2367" s="157"/>
      <c r="M2367" s="341"/>
      <c r="N2367" s="334"/>
      <c r="T2367" s="110"/>
      <c r="V2367" s="232"/>
      <c r="W2367" s="269"/>
      <c r="X2367" s="201"/>
      <c r="Y2367" s="269"/>
      <c r="Z2367" s="269"/>
      <c r="AA2367" s="134"/>
      <c r="AB2367" s="269"/>
      <c r="AC2367" s="284"/>
      <c r="AD2367" s="284"/>
      <c r="AE2367" s="269"/>
    </row>
    <row r="2368" spans="2:31">
      <c r="B2368" s="83"/>
      <c r="C2368" s="81"/>
      <c r="D2368" s="83"/>
      <c r="E2368" s="81"/>
      <c r="F2368" s="269"/>
      <c r="G2368" s="48"/>
      <c r="H2368" s="269"/>
      <c r="I2368" s="72"/>
      <c r="J2368" s="330"/>
      <c r="K2368" s="75"/>
      <c r="L2368" s="157"/>
      <c r="M2368" s="341"/>
      <c r="N2368" s="334"/>
      <c r="T2368" s="110"/>
      <c r="V2368" s="232"/>
      <c r="W2368" s="269"/>
      <c r="X2368" s="201"/>
      <c r="Y2368" s="269"/>
      <c r="Z2368" s="269"/>
      <c r="AA2368" s="134"/>
      <c r="AB2368" s="269"/>
      <c r="AC2368" s="284"/>
      <c r="AD2368" s="284"/>
      <c r="AE2368" s="269"/>
    </row>
    <row r="2369" spans="2:31">
      <c r="B2369" s="83"/>
      <c r="C2369" s="81"/>
      <c r="D2369" s="83"/>
      <c r="E2369" s="81"/>
      <c r="F2369" s="269"/>
      <c r="G2369" s="48"/>
      <c r="H2369" s="269"/>
      <c r="I2369" s="72"/>
      <c r="J2369" s="330"/>
      <c r="K2369" s="75"/>
      <c r="L2369" s="157"/>
      <c r="M2369" s="341"/>
      <c r="N2369" s="334"/>
      <c r="T2369" s="110"/>
      <c r="V2369" s="232"/>
      <c r="W2369" s="269"/>
      <c r="X2369" s="201"/>
      <c r="Y2369" s="269"/>
      <c r="Z2369" s="269"/>
      <c r="AA2369" s="134"/>
      <c r="AB2369" s="269"/>
      <c r="AC2369" s="284"/>
      <c r="AD2369" s="284"/>
      <c r="AE2369" s="269"/>
    </row>
    <row r="2370" spans="2:31">
      <c r="B2370" s="83"/>
      <c r="C2370" s="81"/>
      <c r="D2370" s="83"/>
      <c r="E2370" s="81"/>
      <c r="F2370" s="269"/>
      <c r="G2370" s="48"/>
      <c r="H2370" s="269"/>
      <c r="I2370" s="72"/>
      <c r="J2370" s="330"/>
      <c r="K2370" s="75"/>
      <c r="L2370" s="157"/>
      <c r="M2370" s="341"/>
      <c r="N2370" s="334"/>
      <c r="T2370" s="110"/>
      <c r="V2370" s="232"/>
      <c r="W2370" s="269"/>
      <c r="X2370" s="201"/>
      <c r="Y2370" s="269"/>
      <c r="Z2370" s="269"/>
      <c r="AA2370" s="134"/>
      <c r="AB2370" s="269"/>
      <c r="AC2370" s="284"/>
      <c r="AD2370" s="284"/>
      <c r="AE2370" s="269"/>
    </row>
    <row r="2371" spans="2:31">
      <c r="B2371" s="83"/>
      <c r="C2371" s="81"/>
      <c r="D2371" s="83"/>
      <c r="E2371" s="81"/>
      <c r="F2371" s="269"/>
      <c r="G2371" s="48"/>
      <c r="H2371" s="269"/>
      <c r="I2371" s="72"/>
      <c r="J2371" s="330"/>
      <c r="K2371" s="75"/>
      <c r="L2371" s="157"/>
      <c r="M2371" s="341"/>
      <c r="N2371" s="334"/>
      <c r="T2371" s="110"/>
      <c r="V2371" s="232"/>
      <c r="W2371" s="269"/>
      <c r="X2371" s="201"/>
      <c r="Y2371" s="269"/>
      <c r="Z2371" s="269"/>
      <c r="AA2371" s="134"/>
      <c r="AB2371" s="269"/>
      <c r="AC2371" s="284"/>
      <c r="AD2371" s="284"/>
      <c r="AE2371" s="269"/>
    </row>
    <row r="2372" spans="2:31">
      <c r="B2372" s="83"/>
      <c r="C2372" s="81"/>
      <c r="D2372" s="83"/>
      <c r="E2372" s="81"/>
      <c r="F2372" s="269"/>
      <c r="G2372" s="48"/>
      <c r="H2372" s="269"/>
      <c r="I2372" s="72"/>
      <c r="J2372" s="330"/>
      <c r="K2372" s="75"/>
      <c r="L2372" s="157"/>
      <c r="M2372" s="341"/>
      <c r="N2372" s="334"/>
      <c r="T2372" s="110"/>
      <c r="V2372" s="232"/>
      <c r="W2372" s="269"/>
      <c r="X2372" s="201"/>
      <c r="Y2372" s="269"/>
      <c r="Z2372" s="269"/>
      <c r="AA2372" s="134"/>
      <c r="AB2372" s="269"/>
      <c r="AC2372" s="284"/>
      <c r="AD2372" s="284"/>
      <c r="AE2372" s="269"/>
    </row>
    <row r="2373" spans="2:31">
      <c r="B2373" s="83"/>
      <c r="C2373" s="81"/>
      <c r="D2373" s="83"/>
      <c r="E2373" s="81"/>
      <c r="F2373" s="269"/>
      <c r="G2373" s="48"/>
      <c r="H2373" s="269"/>
      <c r="I2373" s="72"/>
      <c r="J2373" s="330"/>
      <c r="K2373" s="75"/>
      <c r="L2373" s="157"/>
      <c r="M2373" s="341"/>
      <c r="N2373" s="334"/>
      <c r="T2373" s="110"/>
      <c r="V2373" s="232"/>
      <c r="W2373" s="269"/>
      <c r="X2373" s="201"/>
      <c r="Y2373" s="269"/>
      <c r="Z2373" s="269"/>
      <c r="AA2373" s="134"/>
      <c r="AB2373" s="269"/>
      <c r="AC2373" s="284"/>
      <c r="AD2373" s="284"/>
      <c r="AE2373" s="269"/>
    </row>
    <row r="2374" spans="2:31">
      <c r="B2374" s="83"/>
      <c r="C2374" s="81"/>
      <c r="D2374" s="83"/>
      <c r="E2374" s="81"/>
      <c r="F2374" s="269"/>
      <c r="G2374" s="48"/>
      <c r="H2374" s="269"/>
      <c r="I2374" s="72"/>
      <c r="J2374" s="330"/>
      <c r="K2374" s="75"/>
      <c r="L2374" s="157"/>
      <c r="M2374" s="341"/>
      <c r="N2374" s="334"/>
      <c r="T2374" s="110"/>
      <c r="V2374" s="232"/>
      <c r="W2374" s="269"/>
      <c r="X2374" s="201"/>
      <c r="Y2374" s="269"/>
      <c r="Z2374" s="269"/>
      <c r="AA2374" s="134"/>
      <c r="AB2374" s="269"/>
      <c r="AC2374" s="284"/>
      <c r="AD2374" s="284"/>
      <c r="AE2374" s="269"/>
    </row>
    <row r="2375" spans="2:31">
      <c r="B2375" s="83"/>
      <c r="C2375" s="81"/>
      <c r="D2375" s="83"/>
      <c r="E2375" s="81"/>
      <c r="F2375" s="269"/>
      <c r="G2375" s="48"/>
      <c r="H2375" s="269"/>
      <c r="I2375" s="72"/>
      <c r="J2375" s="330"/>
      <c r="K2375" s="75"/>
      <c r="L2375" s="157"/>
      <c r="M2375" s="341"/>
      <c r="N2375" s="334"/>
      <c r="T2375" s="110"/>
      <c r="V2375" s="232"/>
      <c r="W2375" s="269"/>
      <c r="X2375" s="201"/>
      <c r="Y2375" s="269"/>
      <c r="Z2375" s="269"/>
      <c r="AA2375" s="134"/>
      <c r="AB2375" s="269"/>
      <c r="AC2375" s="284"/>
      <c r="AD2375" s="284"/>
      <c r="AE2375" s="269"/>
    </row>
    <row r="2376" spans="2:31">
      <c r="B2376" s="83"/>
      <c r="C2376" s="81"/>
      <c r="D2376" s="83"/>
      <c r="E2376" s="81"/>
      <c r="F2376" s="269"/>
      <c r="G2376" s="48"/>
      <c r="H2376" s="269"/>
      <c r="I2376" s="72"/>
      <c r="J2376" s="330"/>
      <c r="K2376" s="75"/>
      <c r="L2376" s="157"/>
      <c r="M2376" s="341"/>
      <c r="N2376" s="334"/>
      <c r="T2376" s="110"/>
      <c r="V2376" s="232"/>
      <c r="W2376" s="269"/>
      <c r="X2376" s="201"/>
      <c r="Y2376" s="269"/>
      <c r="Z2376" s="269"/>
      <c r="AA2376" s="134"/>
      <c r="AB2376" s="269"/>
      <c r="AC2376" s="284"/>
      <c r="AD2376" s="284"/>
      <c r="AE2376" s="269"/>
    </row>
    <row r="2377" spans="2:31">
      <c r="B2377" s="83"/>
      <c r="C2377" s="81"/>
      <c r="D2377" s="83"/>
      <c r="E2377" s="81"/>
      <c r="F2377" s="269"/>
      <c r="G2377" s="48"/>
      <c r="H2377" s="269"/>
      <c r="I2377" s="72"/>
      <c r="J2377" s="330"/>
      <c r="K2377" s="75"/>
      <c r="L2377" s="157"/>
      <c r="M2377" s="341"/>
      <c r="N2377" s="334"/>
      <c r="T2377" s="110"/>
      <c r="V2377" s="232"/>
      <c r="W2377" s="269"/>
      <c r="X2377" s="201"/>
      <c r="Y2377" s="269"/>
      <c r="Z2377" s="269"/>
      <c r="AA2377" s="134"/>
      <c r="AB2377" s="269"/>
      <c r="AC2377" s="284"/>
      <c r="AD2377" s="284"/>
      <c r="AE2377" s="269"/>
    </row>
    <row r="2378" spans="2:31">
      <c r="B2378" s="83"/>
      <c r="C2378" s="81"/>
      <c r="D2378" s="83"/>
      <c r="E2378" s="81"/>
      <c r="F2378" s="269"/>
      <c r="G2378" s="48"/>
      <c r="H2378" s="269"/>
      <c r="I2378" s="72"/>
      <c r="J2378" s="330"/>
      <c r="K2378" s="75"/>
      <c r="L2378" s="157"/>
      <c r="M2378" s="341"/>
      <c r="N2378" s="334"/>
      <c r="T2378" s="110"/>
      <c r="V2378" s="232"/>
      <c r="W2378" s="269"/>
      <c r="X2378" s="201"/>
      <c r="Y2378" s="269"/>
      <c r="Z2378" s="269"/>
      <c r="AA2378" s="134"/>
      <c r="AB2378" s="269"/>
      <c r="AC2378" s="284"/>
      <c r="AD2378" s="284"/>
      <c r="AE2378" s="269"/>
    </row>
    <row r="2379" spans="2:31">
      <c r="B2379" s="83"/>
      <c r="C2379" s="81"/>
      <c r="D2379" s="83"/>
      <c r="E2379" s="81"/>
      <c r="F2379" s="269"/>
      <c r="G2379" s="48"/>
      <c r="H2379" s="269"/>
      <c r="I2379" s="72"/>
      <c r="J2379" s="330"/>
      <c r="K2379" s="75"/>
      <c r="L2379" s="157"/>
      <c r="M2379" s="341"/>
      <c r="N2379" s="334"/>
      <c r="T2379" s="110"/>
      <c r="V2379" s="232"/>
      <c r="W2379" s="269"/>
      <c r="X2379" s="201"/>
      <c r="Y2379" s="269"/>
      <c r="Z2379" s="269"/>
      <c r="AA2379" s="134"/>
      <c r="AB2379" s="269"/>
      <c r="AC2379" s="284"/>
      <c r="AD2379" s="284"/>
      <c r="AE2379" s="269"/>
    </row>
    <row r="2380" spans="2:31">
      <c r="B2380" s="83"/>
      <c r="C2380" s="81"/>
      <c r="D2380" s="83"/>
      <c r="E2380" s="81"/>
      <c r="F2380" s="269"/>
      <c r="G2380" s="48"/>
      <c r="H2380" s="269"/>
      <c r="I2380" s="72"/>
      <c r="J2380" s="330"/>
      <c r="K2380" s="75"/>
      <c r="L2380" s="157"/>
      <c r="M2380" s="341"/>
      <c r="N2380" s="334"/>
      <c r="T2380" s="110"/>
      <c r="V2380" s="232"/>
      <c r="W2380" s="269"/>
      <c r="X2380" s="201"/>
      <c r="Y2380" s="269"/>
      <c r="Z2380" s="269"/>
      <c r="AA2380" s="134"/>
      <c r="AB2380" s="269"/>
      <c r="AC2380" s="284"/>
      <c r="AD2380" s="284"/>
      <c r="AE2380" s="269"/>
    </row>
    <row r="2381" spans="2:31">
      <c r="B2381" s="83"/>
      <c r="C2381" s="81"/>
      <c r="D2381" s="83"/>
      <c r="E2381" s="81"/>
      <c r="F2381" s="269"/>
      <c r="G2381" s="48"/>
      <c r="H2381" s="269"/>
      <c r="I2381" s="72"/>
      <c r="J2381" s="330"/>
      <c r="K2381" s="75"/>
      <c r="L2381" s="157"/>
      <c r="M2381" s="341"/>
      <c r="N2381" s="334"/>
      <c r="T2381" s="110"/>
      <c r="V2381" s="232"/>
      <c r="W2381" s="269"/>
      <c r="X2381" s="201"/>
      <c r="Y2381" s="269"/>
      <c r="Z2381" s="269"/>
      <c r="AA2381" s="134"/>
      <c r="AB2381" s="269"/>
      <c r="AC2381" s="284"/>
      <c r="AD2381" s="284"/>
      <c r="AE2381" s="269"/>
    </row>
    <row r="2382" spans="2:31">
      <c r="B2382" s="83"/>
      <c r="C2382" s="81"/>
      <c r="D2382" s="83"/>
      <c r="E2382" s="81"/>
      <c r="F2382" s="269"/>
      <c r="G2382" s="48"/>
      <c r="H2382" s="269"/>
      <c r="I2382" s="72"/>
      <c r="J2382" s="330"/>
      <c r="K2382" s="75"/>
      <c r="L2382" s="157"/>
      <c r="M2382" s="341"/>
      <c r="N2382" s="334"/>
      <c r="T2382" s="110"/>
      <c r="V2382" s="232"/>
      <c r="W2382" s="269"/>
      <c r="X2382" s="201"/>
      <c r="Y2382" s="269"/>
      <c r="Z2382" s="269"/>
      <c r="AA2382" s="134"/>
      <c r="AB2382" s="269"/>
      <c r="AC2382" s="284"/>
      <c r="AD2382" s="284"/>
      <c r="AE2382" s="269"/>
    </row>
    <row r="2383" spans="2:31">
      <c r="B2383" s="83"/>
      <c r="C2383" s="81"/>
      <c r="D2383" s="83"/>
      <c r="E2383" s="81"/>
      <c r="F2383" s="269"/>
      <c r="G2383" s="48"/>
      <c r="H2383" s="269"/>
      <c r="I2383" s="72"/>
      <c r="J2383" s="330"/>
      <c r="K2383" s="75"/>
      <c r="L2383" s="157"/>
      <c r="M2383" s="341"/>
      <c r="N2383" s="334"/>
      <c r="T2383" s="110"/>
      <c r="V2383" s="232"/>
      <c r="W2383" s="269"/>
      <c r="X2383" s="201"/>
      <c r="Y2383" s="269"/>
      <c r="Z2383" s="269"/>
      <c r="AA2383" s="134"/>
      <c r="AB2383" s="269"/>
      <c r="AC2383" s="284"/>
      <c r="AD2383" s="284"/>
      <c r="AE2383" s="269"/>
    </row>
    <row r="2384" spans="2:31">
      <c r="B2384" s="83"/>
      <c r="C2384" s="81"/>
      <c r="D2384" s="83"/>
      <c r="E2384" s="81"/>
      <c r="F2384" s="269"/>
      <c r="G2384" s="48"/>
      <c r="H2384" s="269"/>
      <c r="I2384" s="72"/>
      <c r="J2384" s="330"/>
      <c r="K2384" s="75"/>
      <c r="L2384" s="157"/>
      <c r="M2384" s="341"/>
      <c r="N2384" s="334"/>
      <c r="T2384" s="110"/>
      <c r="V2384" s="232"/>
      <c r="W2384" s="269"/>
      <c r="X2384" s="201"/>
      <c r="Y2384" s="269"/>
      <c r="Z2384" s="269"/>
      <c r="AA2384" s="134"/>
      <c r="AB2384" s="269"/>
      <c r="AC2384" s="284"/>
      <c r="AD2384" s="284"/>
      <c r="AE2384" s="269"/>
    </row>
    <row r="2385" spans="2:31">
      <c r="B2385" s="83"/>
      <c r="C2385" s="81"/>
      <c r="D2385" s="83"/>
      <c r="E2385" s="81"/>
      <c r="F2385" s="269"/>
      <c r="G2385" s="48"/>
      <c r="H2385" s="269"/>
      <c r="I2385" s="72"/>
      <c r="J2385" s="330"/>
      <c r="K2385" s="75"/>
      <c r="L2385" s="157"/>
      <c r="M2385" s="341"/>
      <c r="N2385" s="334"/>
      <c r="T2385" s="110"/>
      <c r="V2385" s="232"/>
      <c r="W2385" s="269"/>
      <c r="X2385" s="201"/>
      <c r="Y2385" s="269"/>
      <c r="Z2385" s="269"/>
      <c r="AA2385" s="134"/>
      <c r="AB2385" s="269"/>
      <c r="AC2385" s="284"/>
      <c r="AD2385" s="284"/>
      <c r="AE2385" s="269"/>
    </row>
    <row r="2386" spans="2:31">
      <c r="B2386" s="83"/>
      <c r="C2386" s="81"/>
      <c r="D2386" s="83"/>
      <c r="E2386" s="81"/>
      <c r="F2386" s="269"/>
      <c r="G2386" s="48"/>
      <c r="H2386" s="269"/>
      <c r="I2386" s="72"/>
      <c r="J2386" s="330"/>
      <c r="K2386" s="75"/>
      <c r="L2386" s="157"/>
      <c r="M2386" s="341"/>
      <c r="N2386" s="334"/>
      <c r="T2386" s="110"/>
      <c r="V2386" s="232"/>
      <c r="W2386" s="269"/>
      <c r="X2386" s="201"/>
      <c r="Y2386" s="269"/>
      <c r="Z2386" s="269"/>
      <c r="AA2386" s="134"/>
      <c r="AB2386" s="269"/>
      <c r="AC2386" s="284"/>
      <c r="AD2386" s="284"/>
      <c r="AE2386" s="269"/>
    </row>
    <row r="2387" spans="2:31">
      <c r="B2387" s="83"/>
      <c r="C2387" s="81"/>
      <c r="D2387" s="83"/>
      <c r="E2387" s="81"/>
      <c r="F2387" s="269"/>
      <c r="G2387" s="48"/>
      <c r="H2387" s="269"/>
      <c r="I2387" s="72"/>
      <c r="J2387" s="330"/>
      <c r="K2387" s="75"/>
      <c r="L2387" s="157"/>
      <c r="M2387" s="341"/>
      <c r="N2387" s="334"/>
      <c r="T2387" s="110"/>
      <c r="V2387" s="232"/>
      <c r="W2387" s="269"/>
      <c r="X2387" s="201"/>
      <c r="Y2387" s="269"/>
      <c r="Z2387" s="269"/>
      <c r="AA2387" s="134"/>
      <c r="AB2387" s="269"/>
      <c r="AC2387" s="284"/>
      <c r="AD2387" s="284"/>
      <c r="AE2387" s="269"/>
    </row>
    <row r="2388" spans="2:31">
      <c r="B2388" s="83"/>
      <c r="C2388" s="81"/>
      <c r="D2388" s="83"/>
      <c r="E2388" s="81"/>
      <c r="F2388" s="269"/>
      <c r="G2388" s="48"/>
      <c r="H2388" s="269"/>
      <c r="I2388" s="72"/>
      <c r="J2388" s="330"/>
      <c r="K2388" s="75"/>
      <c r="L2388" s="157"/>
      <c r="M2388" s="341"/>
      <c r="N2388" s="334"/>
      <c r="T2388" s="110"/>
      <c r="V2388" s="232"/>
      <c r="W2388" s="269"/>
      <c r="X2388" s="201"/>
      <c r="Y2388" s="269"/>
      <c r="Z2388" s="269"/>
      <c r="AA2388" s="134"/>
      <c r="AB2388" s="269"/>
      <c r="AC2388" s="284"/>
      <c r="AD2388" s="284"/>
      <c r="AE2388" s="269"/>
    </row>
    <row r="2389" spans="2:31">
      <c r="B2389" s="83"/>
      <c r="C2389" s="81"/>
      <c r="D2389" s="83"/>
      <c r="E2389" s="81"/>
      <c r="F2389" s="269"/>
      <c r="G2389" s="48"/>
      <c r="H2389" s="269"/>
      <c r="I2389" s="72"/>
      <c r="J2389" s="330"/>
      <c r="K2389" s="75"/>
      <c r="L2389" s="157"/>
      <c r="M2389" s="341"/>
      <c r="N2389" s="334"/>
      <c r="T2389" s="110"/>
      <c r="V2389" s="232"/>
      <c r="W2389" s="269"/>
      <c r="X2389" s="201"/>
      <c r="Y2389" s="269"/>
      <c r="Z2389" s="269"/>
      <c r="AA2389" s="134"/>
      <c r="AB2389" s="269"/>
      <c r="AC2389" s="284"/>
      <c r="AD2389" s="284"/>
      <c r="AE2389" s="269"/>
    </row>
    <row r="2390" spans="2:31">
      <c r="B2390" s="83"/>
      <c r="C2390" s="81"/>
      <c r="D2390" s="83"/>
      <c r="E2390" s="81"/>
      <c r="F2390" s="269"/>
      <c r="G2390" s="48"/>
      <c r="H2390" s="269"/>
      <c r="I2390" s="72"/>
      <c r="J2390" s="330"/>
      <c r="K2390" s="75"/>
      <c r="L2390" s="157"/>
      <c r="M2390" s="341"/>
      <c r="N2390" s="334"/>
      <c r="T2390" s="110"/>
      <c r="V2390" s="232"/>
      <c r="W2390" s="269"/>
      <c r="X2390" s="201"/>
      <c r="Y2390" s="269"/>
      <c r="Z2390" s="269"/>
      <c r="AA2390" s="134"/>
      <c r="AB2390" s="269"/>
      <c r="AC2390" s="284"/>
      <c r="AD2390" s="284"/>
      <c r="AE2390" s="269"/>
    </row>
    <row r="2391" spans="2:31">
      <c r="B2391" s="83"/>
      <c r="C2391" s="81"/>
      <c r="D2391" s="83"/>
      <c r="E2391" s="81"/>
      <c r="F2391" s="269"/>
      <c r="G2391" s="48"/>
      <c r="H2391" s="269"/>
      <c r="I2391" s="72"/>
      <c r="J2391" s="330"/>
      <c r="K2391" s="75"/>
      <c r="L2391" s="157"/>
      <c r="M2391" s="341"/>
      <c r="N2391" s="334"/>
      <c r="T2391" s="110"/>
      <c r="V2391" s="232"/>
      <c r="W2391" s="269"/>
      <c r="X2391" s="201"/>
      <c r="Y2391" s="269"/>
      <c r="Z2391" s="269"/>
      <c r="AA2391" s="134"/>
      <c r="AB2391" s="269"/>
      <c r="AC2391" s="284"/>
      <c r="AD2391" s="284"/>
      <c r="AE2391" s="269"/>
    </row>
    <row r="2392" spans="2:31">
      <c r="B2392" s="83"/>
      <c r="C2392" s="81"/>
      <c r="D2392" s="83"/>
      <c r="E2392" s="81"/>
      <c r="F2392" s="269"/>
      <c r="G2392" s="48"/>
      <c r="H2392" s="269"/>
      <c r="I2392" s="72"/>
      <c r="J2392" s="330"/>
      <c r="K2392" s="75"/>
      <c r="L2392" s="157"/>
      <c r="M2392" s="341"/>
      <c r="N2392" s="334"/>
      <c r="T2392" s="110"/>
      <c r="V2392" s="232"/>
      <c r="W2392" s="269"/>
      <c r="X2392" s="201"/>
      <c r="Y2392" s="269"/>
      <c r="Z2392" s="269"/>
      <c r="AA2392" s="134"/>
      <c r="AB2392" s="269"/>
      <c r="AC2392" s="284"/>
      <c r="AD2392" s="284"/>
      <c r="AE2392" s="269"/>
    </row>
    <row r="2393" spans="2:31">
      <c r="B2393" s="83"/>
      <c r="C2393" s="81"/>
      <c r="D2393" s="83"/>
      <c r="E2393" s="81"/>
      <c r="F2393" s="269"/>
      <c r="G2393" s="48"/>
      <c r="H2393" s="269"/>
      <c r="I2393" s="72"/>
      <c r="J2393" s="330"/>
      <c r="K2393" s="75"/>
      <c r="L2393" s="157"/>
      <c r="M2393" s="341"/>
      <c r="N2393" s="334"/>
      <c r="T2393" s="110"/>
      <c r="V2393" s="232"/>
      <c r="W2393" s="269"/>
      <c r="X2393" s="201"/>
      <c r="Y2393" s="269"/>
      <c r="Z2393" s="269"/>
      <c r="AA2393" s="134"/>
      <c r="AB2393" s="269"/>
      <c r="AC2393" s="284"/>
      <c r="AD2393" s="284"/>
      <c r="AE2393" s="269"/>
    </row>
    <row r="2394" spans="2:31">
      <c r="B2394" s="83"/>
      <c r="C2394" s="81"/>
      <c r="D2394" s="83"/>
      <c r="E2394" s="81"/>
      <c r="F2394" s="269"/>
      <c r="G2394" s="48"/>
      <c r="H2394" s="269"/>
      <c r="I2394" s="72"/>
      <c r="J2394" s="330"/>
      <c r="K2394" s="75"/>
      <c r="L2394" s="157"/>
      <c r="M2394" s="341"/>
      <c r="N2394" s="334"/>
      <c r="T2394" s="110"/>
      <c r="V2394" s="232"/>
      <c r="W2394" s="269"/>
      <c r="X2394" s="201"/>
      <c r="Y2394" s="269"/>
      <c r="Z2394" s="269"/>
      <c r="AA2394" s="134"/>
      <c r="AB2394" s="269"/>
      <c r="AC2394" s="284"/>
      <c r="AD2394" s="284"/>
      <c r="AE2394" s="269"/>
    </row>
    <row r="2395" spans="2:31">
      <c r="B2395" s="83"/>
      <c r="C2395" s="81"/>
      <c r="D2395" s="83"/>
      <c r="E2395" s="81"/>
      <c r="F2395" s="269"/>
      <c r="G2395" s="48"/>
      <c r="H2395" s="269"/>
      <c r="I2395" s="72"/>
      <c r="J2395" s="330"/>
      <c r="K2395" s="75"/>
      <c r="L2395" s="157"/>
      <c r="M2395" s="341"/>
      <c r="N2395" s="334"/>
      <c r="T2395" s="110"/>
      <c r="V2395" s="232"/>
      <c r="W2395" s="269"/>
      <c r="X2395" s="201"/>
      <c r="Y2395" s="269"/>
      <c r="Z2395" s="269"/>
      <c r="AA2395" s="134"/>
      <c r="AB2395" s="269"/>
      <c r="AC2395" s="284"/>
      <c r="AD2395" s="284"/>
      <c r="AE2395" s="269"/>
    </row>
    <row r="2396" spans="2:31">
      <c r="B2396" s="83"/>
      <c r="C2396" s="81"/>
      <c r="D2396" s="83"/>
      <c r="E2396" s="81"/>
      <c r="F2396" s="269"/>
      <c r="G2396" s="48"/>
      <c r="H2396" s="269"/>
      <c r="I2396" s="72"/>
      <c r="J2396" s="330"/>
      <c r="K2396" s="75"/>
      <c r="L2396" s="157"/>
      <c r="M2396" s="341"/>
      <c r="N2396" s="334"/>
      <c r="T2396" s="110"/>
      <c r="V2396" s="232"/>
      <c r="W2396" s="269"/>
      <c r="X2396" s="201"/>
      <c r="Y2396" s="269"/>
      <c r="Z2396" s="269"/>
      <c r="AA2396" s="134"/>
      <c r="AB2396" s="269"/>
      <c r="AC2396" s="284"/>
      <c r="AD2396" s="284"/>
      <c r="AE2396" s="269"/>
    </row>
    <row r="2397" spans="2:31">
      <c r="B2397" s="83"/>
      <c r="C2397" s="81"/>
      <c r="D2397" s="83"/>
      <c r="E2397" s="81"/>
      <c r="F2397" s="269"/>
      <c r="G2397" s="48"/>
      <c r="H2397" s="269"/>
      <c r="I2397" s="72"/>
      <c r="J2397" s="330"/>
      <c r="K2397" s="75"/>
      <c r="L2397" s="157"/>
      <c r="M2397" s="341"/>
      <c r="N2397" s="334"/>
      <c r="T2397" s="110"/>
      <c r="V2397" s="232"/>
      <c r="W2397" s="269"/>
      <c r="X2397" s="201"/>
      <c r="Y2397" s="269"/>
      <c r="Z2397" s="269"/>
      <c r="AA2397" s="134"/>
      <c r="AB2397" s="269"/>
      <c r="AC2397" s="284"/>
      <c r="AD2397" s="284"/>
      <c r="AE2397" s="269"/>
    </row>
    <row r="2398" spans="2:31">
      <c r="B2398" s="83"/>
      <c r="C2398" s="81"/>
      <c r="D2398" s="83"/>
      <c r="E2398" s="81"/>
      <c r="F2398" s="269"/>
      <c r="G2398" s="48"/>
      <c r="H2398" s="269"/>
      <c r="I2398" s="72"/>
      <c r="J2398" s="330"/>
      <c r="K2398" s="75"/>
      <c r="L2398" s="157"/>
      <c r="M2398" s="341"/>
      <c r="N2398" s="334"/>
      <c r="T2398" s="110"/>
      <c r="V2398" s="232"/>
      <c r="W2398" s="269"/>
      <c r="X2398" s="201"/>
      <c r="Y2398" s="269"/>
      <c r="Z2398" s="269"/>
      <c r="AA2398" s="134"/>
      <c r="AB2398" s="269"/>
      <c r="AC2398" s="284"/>
      <c r="AD2398" s="284"/>
      <c r="AE2398" s="269"/>
    </row>
    <row r="2399" spans="2:31">
      <c r="B2399" s="83"/>
      <c r="C2399" s="81"/>
      <c r="D2399" s="83"/>
      <c r="E2399" s="81"/>
      <c r="F2399" s="269"/>
      <c r="G2399" s="48"/>
      <c r="H2399" s="269"/>
      <c r="I2399" s="72"/>
      <c r="J2399" s="330"/>
      <c r="K2399" s="75"/>
      <c r="L2399" s="157"/>
      <c r="M2399" s="341"/>
      <c r="N2399" s="334"/>
      <c r="T2399" s="110"/>
      <c r="V2399" s="232"/>
      <c r="W2399" s="269"/>
      <c r="X2399" s="201"/>
      <c r="Y2399" s="269"/>
      <c r="Z2399" s="269"/>
      <c r="AA2399" s="134"/>
      <c r="AB2399" s="269"/>
      <c r="AC2399" s="284"/>
      <c r="AD2399" s="284"/>
      <c r="AE2399" s="269"/>
    </row>
    <row r="2400" spans="2:31">
      <c r="B2400" s="83"/>
      <c r="C2400" s="81"/>
      <c r="D2400" s="83"/>
      <c r="E2400" s="81"/>
      <c r="F2400" s="269"/>
      <c r="G2400" s="48"/>
      <c r="H2400" s="269"/>
      <c r="I2400" s="72"/>
      <c r="J2400" s="330"/>
      <c r="K2400" s="75"/>
      <c r="L2400" s="157"/>
      <c r="M2400" s="341"/>
      <c r="N2400" s="334"/>
      <c r="T2400" s="110"/>
      <c r="V2400" s="232"/>
      <c r="W2400" s="269"/>
      <c r="X2400" s="201"/>
      <c r="Y2400" s="269"/>
      <c r="Z2400" s="269"/>
      <c r="AA2400" s="134"/>
      <c r="AB2400" s="269"/>
      <c r="AC2400" s="284"/>
      <c r="AD2400" s="284"/>
      <c r="AE2400" s="269"/>
    </row>
    <row r="2401" spans="2:31">
      <c r="B2401" s="83"/>
      <c r="C2401" s="81"/>
      <c r="D2401" s="83"/>
      <c r="E2401" s="81"/>
      <c r="F2401" s="269"/>
      <c r="G2401" s="48"/>
      <c r="H2401" s="269"/>
      <c r="I2401" s="72"/>
      <c r="J2401" s="330"/>
      <c r="K2401" s="75"/>
      <c r="L2401" s="157"/>
      <c r="M2401" s="341"/>
      <c r="N2401" s="334"/>
      <c r="T2401" s="110"/>
      <c r="V2401" s="232"/>
      <c r="W2401" s="269"/>
      <c r="X2401" s="201"/>
      <c r="Y2401" s="269"/>
      <c r="Z2401" s="269"/>
      <c r="AA2401" s="134"/>
      <c r="AB2401" s="269"/>
      <c r="AC2401" s="284"/>
      <c r="AD2401" s="284"/>
      <c r="AE2401" s="269"/>
    </row>
    <row r="2402" spans="2:31">
      <c r="B2402" s="83"/>
      <c r="C2402" s="81"/>
      <c r="D2402" s="83"/>
      <c r="E2402" s="81"/>
      <c r="F2402" s="269"/>
      <c r="G2402" s="48"/>
      <c r="H2402" s="269"/>
      <c r="I2402" s="72"/>
      <c r="J2402" s="330"/>
      <c r="K2402" s="75"/>
      <c r="L2402" s="157"/>
      <c r="M2402" s="341"/>
      <c r="N2402" s="334"/>
      <c r="T2402" s="110"/>
      <c r="V2402" s="232"/>
      <c r="W2402" s="269"/>
      <c r="X2402" s="201"/>
      <c r="Y2402" s="269"/>
      <c r="Z2402" s="269"/>
      <c r="AA2402" s="134"/>
      <c r="AB2402" s="269"/>
      <c r="AC2402" s="284"/>
      <c r="AD2402" s="284"/>
      <c r="AE2402" s="269"/>
    </row>
    <row r="2403" spans="2:31">
      <c r="B2403" s="83"/>
      <c r="C2403" s="81"/>
      <c r="D2403" s="83"/>
      <c r="E2403" s="81"/>
      <c r="F2403" s="269"/>
      <c r="G2403" s="48"/>
      <c r="H2403" s="269"/>
      <c r="I2403" s="72"/>
      <c r="J2403" s="330"/>
      <c r="K2403" s="75"/>
      <c r="L2403" s="157"/>
      <c r="M2403" s="341"/>
      <c r="N2403" s="334"/>
      <c r="T2403" s="110"/>
      <c r="V2403" s="232"/>
      <c r="W2403" s="269"/>
      <c r="X2403" s="201"/>
      <c r="Y2403" s="269"/>
      <c r="Z2403" s="269"/>
      <c r="AA2403" s="134"/>
      <c r="AB2403" s="269"/>
      <c r="AC2403" s="284"/>
      <c r="AD2403" s="284"/>
      <c r="AE2403" s="269"/>
    </row>
    <row r="2404" spans="2:31">
      <c r="B2404" s="83"/>
      <c r="C2404" s="81"/>
      <c r="D2404" s="83"/>
      <c r="E2404" s="81"/>
      <c r="F2404" s="269"/>
      <c r="G2404" s="48"/>
      <c r="H2404" s="269"/>
      <c r="I2404" s="72"/>
      <c r="J2404" s="330"/>
      <c r="K2404" s="75"/>
      <c r="L2404" s="157"/>
      <c r="M2404" s="341"/>
      <c r="N2404" s="334"/>
      <c r="T2404" s="110"/>
      <c r="V2404" s="232"/>
      <c r="W2404" s="269"/>
      <c r="X2404" s="201"/>
      <c r="Y2404" s="269"/>
      <c r="Z2404" s="269"/>
      <c r="AA2404" s="134"/>
      <c r="AB2404" s="269"/>
      <c r="AC2404" s="284"/>
      <c r="AD2404" s="284"/>
      <c r="AE2404" s="269"/>
    </row>
    <row r="2405" spans="2:31">
      <c r="B2405" s="83"/>
      <c r="C2405" s="81"/>
      <c r="D2405" s="83"/>
      <c r="E2405" s="81"/>
      <c r="F2405" s="269"/>
      <c r="G2405" s="48"/>
      <c r="H2405" s="269"/>
      <c r="I2405" s="72"/>
      <c r="J2405" s="330"/>
      <c r="K2405" s="75"/>
      <c r="L2405" s="157"/>
      <c r="M2405" s="341"/>
      <c r="N2405" s="334"/>
      <c r="T2405" s="110"/>
      <c r="V2405" s="232"/>
      <c r="W2405" s="269"/>
      <c r="X2405" s="201"/>
      <c r="Y2405" s="269"/>
      <c r="Z2405" s="269"/>
      <c r="AA2405" s="134"/>
      <c r="AB2405" s="269"/>
      <c r="AC2405" s="284"/>
      <c r="AD2405" s="284"/>
      <c r="AE2405" s="269"/>
    </row>
    <row r="2406" spans="2:31">
      <c r="B2406" s="83"/>
      <c r="C2406" s="81"/>
      <c r="D2406" s="83"/>
      <c r="E2406" s="81"/>
      <c r="F2406" s="269"/>
      <c r="G2406" s="48"/>
      <c r="H2406" s="269"/>
      <c r="I2406" s="72"/>
      <c r="J2406" s="330"/>
      <c r="K2406" s="75"/>
      <c r="L2406" s="157"/>
      <c r="M2406" s="341"/>
      <c r="N2406" s="334"/>
      <c r="T2406" s="110"/>
      <c r="V2406" s="232"/>
      <c r="W2406" s="269"/>
      <c r="X2406" s="201"/>
      <c r="Y2406" s="269"/>
      <c r="Z2406" s="269"/>
      <c r="AA2406" s="134"/>
      <c r="AB2406" s="269"/>
      <c r="AC2406" s="284"/>
      <c r="AD2406" s="284"/>
      <c r="AE2406" s="269"/>
    </row>
    <row r="2407" spans="2:31">
      <c r="B2407" s="83"/>
      <c r="C2407" s="81"/>
      <c r="D2407" s="83"/>
      <c r="E2407" s="81"/>
      <c r="F2407" s="269"/>
      <c r="G2407" s="48"/>
      <c r="H2407" s="269"/>
      <c r="I2407" s="72"/>
      <c r="J2407" s="330"/>
      <c r="K2407" s="75"/>
      <c r="L2407" s="157"/>
      <c r="M2407" s="341"/>
      <c r="N2407" s="334"/>
      <c r="T2407" s="110"/>
      <c r="V2407" s="232"/>
      <c r="W2407" s="269"/>
      <c r="X2407" s="201"/>
      <c r="Y2407" s="269"/>
      <c r="Z2407" s="269"/>
      <c r="AA2407" s="134"/>
      <c r="AB2407" s="269"/>
      <c r="AC2407" s="284"/>
      <c r="AD2407" s="284"/>
      <c r="AE2407" s="269"/>
    </row>
    <row r="2408" spans="2:31">
      <c r="B2408" s="83"/>
      <c r="C2408" s="81"/>
      <c r="D2408" s="83"/>
      <c r="E2408" s="81"/>
      <c r="F2408" s="269"/>
      <c r="G2408" s="48"/>
      <c r="H2408" s="269"/>
      <c r="I2408" s="72"/>
      <c r="J2408" s="330"/>
      <c r="K2408" s="75"/>
      <c r="L2408" s="157"/>
      <c r="M2408" s="341"/>
      <c r="N2408" s="334"/>
      <c r="T2408" s="110"/>
      <c r="V2408" s="232"/>
      <c r="W2408" s="269"/>
      <c r="X2408" s="201"/>
      <c r="Y2408" s="269"/>
      <c r="Z2408" s="269"/>
      <c r="AA2408" s="134"/>
      <c r="AB2408" s="269"/>
      <c r="AC2408" s="284"/>
      <c r="AD2408" s="284"/>
      <c r="AE2408" s="269"/>
    </row>
    <row r="2423" spans="2:31">
      <c r="B2423" s="269"/>
      <c r="C2423" s="269"/>
      <c r="D2423" s="269"/>
      <c r="E2423" s="269"/>
      <c r="F2423" s="269"/>
      <c r="G2423" s="269"/>
      <c r="H2423" s="269"/>
      <c r="I2423" s="269"/>
      <c r="J2423" s="334"/>
      <c r="K2423" s="334"/>
      <c r="L2423" s="334"/>
      <c r="M2423" s="328"/>
      <c r="N2423" s="334"/>
      <c r="S2423" s="336"/>
      <c r="T2423" s="110"/>
      <c r="V2423" s="232"/>
      <c r="W2423" s="269"/>
      <c r="X2423" s="201"/>
      <c r="Y2423" s="269"/>
      <c r="Z2423" s="269"/>
      <c r="AA2423" s="134"/>
      <c r="AB2423" s="269"/>
      <c r="AC2423" s="269"/>
      <c r="AD2423" s="269"/>
      <c r="AE2423" s="269"/>
    </row>
    <row r="2447" spans="2:31">
      <c r="B2447" s="269"/>
      <c r="C2447" s="269"/>
      <c r="D2447" s="269"/>
      <c r="E2447" s="269"/>
      <c r="F2447" s="269"/>
      <c r="G2447" s="269"/>
      <c r="H2447" s="269"/>
      <c r="I2447" s="269"/>
      <c r="J2447" s="334"/>
      <c r="K2447" s="334"/>
      <c r="L2447" s="334"/>
      <c r="M2447" s="328"/>
      <c r="N2447" s="334"/>
      <c r="S2447" s="336"/>
      <c r="T2447" s="110"/>
      <c r="V2447" s="232"/>
      <c r="W2447" s="269"/>
      <c r="X2447" s="201"/>
      <c r="Y2447" s="269"/>
      <c r="Z2447" s="269"/>
      <c r="AA2447" s="134"/>
      <c r="AB2447" s="269"/>
      <c r="AC2447" s="269"/>
      <c r="AD2447" s="269"/>
      <c r="AE2447" s="269"/>
    </row>
    <row r="2456" spans="2:31">
      <c r="B2456" s="269"/>
      <c r="C2456" s="269"/>
      <c r="D2456" s="269"/>
      <c r="E2456" s="269"/>
      <c r="F2456" s="269"/>
      <c r="G2456" s="269"/>
      <c r="H2456" s="269"/>
      <c r="I2456" s="269"/>
      <c r="J2456" s="334"/>
      <c r="K2456" s="334"/>
      <c r="L2456" s="334"/>
      <c r="M2456" s="328"/>
      <c r="N2456" s="334"/>
      <c r="S2456" s="336"/>
      <c r="T2456" s="110"/>
      <c r="V2456" s="232"/>
      <c r="W2456" s="269"/>
      <c r="X2456" s="201"/>
      <c r="Y2456" s="269"/>
      <c r="Z2456" s="269"/>
      <c r="AA2456" s="134"/>
      <c r="AB2456" s="269"/>
      <c r="AC2456" s="269"/>
      <c r="AD2456" s="269"/>
      <c r="AE2456" s="269"/>
    </row>
    <row r="2462" spans="2:31">
      <c r="B2462" s="269"/>
      <c r="C2462" s="269"/>
      <c r="D2462" s="269"/>
      <c r="E2462" s="269"/>
      <c r="F2462" s="269"/>
      <c r="G2462" s="269"/>
      <c r="H2462" s="269"/>
      <c r="I2462" s="269"/>
      <c r="J2462" s="334"/>
      <c r="K2462" s="334"/>
      <c r="L2462" s="334"/>
      <c r="M2462" s="328"/>
      <c r="N2462" s="334"/>
      <c r="S2462" s="336"/>
      <c r="T2462" s="110"/>
      <c r="V2462" s="232"/>
      <c r="W2462" s="269"/>
      <c r="X2462" s="201"/>
      <c r="Y2462" s="269"/>
      <c r="Z2462" s="269"/>
      <c r="AA2462" s="134"/>
      <c r="AB2462" s="269"/>
      <c r="AC2462" s="269"/>
      <c r="AD2462" s="269"/>
      <c r="AE2462" s="269"/>
    </row>
    <row r="2471" spans="2:31">
      <c r="B2471" s="269"/>
      <c r="C2471" s="269"/>
      <c r="D2471" s="269"/>
      <c r="E2471" s="269"/>
      <c r="F2471" s="269"/>
      <c r="G2471" s="269"/>
      <c r="H2471" s="269"/>
      <c r="I2471" s="269"/>
      <c r="J2471" s="334"/>
      <c r="K2471" s="334"/>
      <c r="L2471" s="334"/>
      <c r="M2471" s="328"/>
      <c r="N2471" s="334"/>
      <c r="S2471" s="336"/>
      <c r="T2471" s="110"/>
      <c r="V2471" s="232"/>
      <c r="W2471" s="269"/>
      <c r="X2471" s="201"/>
      <c r="Y2471" s="269"/>
      <c r="Z2471" s="269"/>
      <c r="AA2471" s="134"/>
      <c r="AB2471" s="269"/>
      <c r="AC2471" s="269"/>
      <c r="AD2471" s="269"/>
      <c r="AE2471" s="269"/>
    </row>
    <row r="2484" spans="2:31">
      <c r="B2484" s="269"/>
      <c r="C2484" s="269"/>
      <c r="D2484" s="269"/>
      <c r="E2484" s="269"/>
      <c r="F2484" s="269"/>
      <c r="G2484" s="269"/>
      <c r="H2484" s="269"/>
      <c r="I2484" s="269"/>
      <c r="J2484" s="334"/>
      <c r="K2484" s="334"/>
      <c r="L2484" s="334"/>
      <c r="M2484" s="328"/>
      <c r="N2484" s="334"/>
      <c r="S2484" s="336"/>
      <c r="T2484" s="110"/>
      <c r="V2484" s="232"/>
      <c r="W2484" s="269"/>
      <c r="X2484" s="201"/>
      <c r="Y2484" s="269"/>
      <c r="Z2484" s="269"/>
      <c r="AA2484" s="134"/>
      <c r="AB2484" s="269"/>
      <c r="AC2484" s="269"/>
      <c r="AD2484" s="269"/>
      <c r="AE2484" s="269"/>
    </row>
    <row r="2508" spans="2:31">
      <c r="B2508" s="269"/>
      <c r="C2508" s="269"/>
      <c r="D2508" s="269"/>
      <c r="E2508" s="269"/>
      <c r="F2508" s="269"/>
      <c r="G2508" s="269"/>
      <c r="H2508" s="269"/>
      <c r="I2508" s="269"/>
      <c r="J2508" s="334"/>
      <c r="K2508" s="334"/>
      <c r="L2508" s="334"/>
      <c r="M2508" s="328"/>
      <c r="N2508" s="334"/>
      <c r="S2508" s="336"/>
      <c r="T2508" s="110"/>
      <c r="V2508" s="232"/>
      <c r="W2508" s="269"/>
      <c r="X2508" s="201"/>
      <c r="Y2508" s="269"/>
      <c r="Z2508" s="269"/>
      <c r="AA2508" s="134"/>
      <c r="AB2508" s="269"/>
      <c r="AC2508" s="269"/>
      <c r="AD2508" s="269"/>
      <c r="AE2508" s="269"/>
    </row>
    <row r="2515" spans="2:31">
      <c r="B2515" s="269"/>
      <c r="C2515" s="269"/>
      <c r="D2515" s="269"/>
      <c r="E2515" s="269"/>
      <c r="F2515" s="269"/>
      <c r="G2515" s="269"/>
      <c r="H2515" s="269"/>
      <c r="I2515" s="269"/>
      <c r="J2515" s="334"/>
      <c r="K2515" s="334"/>
      <c r="L2515" s="334"/>
      <c r="M2515" s="328"/>
      <c r="N2515" s="334"/>
      <c r="S2515" s="336"/>
      <c r="T2515" s="110"/>
      <c r="V2515" s="232"/>
      <c r="W2515" s="269"/>
      <c r="X2515" s="201"/>
      <c r="Y2515" s="269"/>
      <c r="Z2515" s="269"/>
      <c r="AA2515" s="134"/>
      <c r="AB2515" s="269"/>
      <c r="AC2515" s="269"/>
      <c r="AD2515" s="269"/>
      <c r="AE2515" s="269"/>
    </row>
    <row r="2543" spans="2:31">
      <c r="B2543" s="269"/>
      <c r="C2543" s="269"/>
      <c r="D2543" s="269"/>
      <c r="E2543" s="269"/>
      <c r="F2543" s="269"/>
      <c r="G2543" s="269"/>
      <c r="H2543" s="269"/>
      <c r="I2543" s="269"/>
      <c r="J2543" s="334"/>
      <c r="K2543" s="334"/>
      <c r="L2543" s="334"/>
      <c r="M2543" s="328"/>
      <c r="N2543" s="334"/>
      <c r="S2543" s="336"/>
      <c r="T2543" s="110"/>
      <c r="V2543" s="232"/>
      <c r="W2543" s="269"/>
      <c r="X2543" s="201"/>
      <c r="Y2543" s="269"/>
      <c r="Z2543" s="269"/>
      <c r="AA2543" s="134"/>
      <c r="AB2543" s="269"/>
      <c r="AC2543" s="269"/>
      <c r="AD2543" s="269"/>
      <c r="AE2543" s="269"/>
    </row>
    <row r="2550" spans="2:31">
      <c r="B2550" s="269"/>
      <c r="C2550" s="269"/>
      <c r="D2550" s="269"/>
      <c r="E2550" s="269"/>
      <c r="F2550" s="269"/>
      <c r="G2550" s="269"/>
      <c r="H2550" s="269"/>
      <c r="I2550" s="269"/>
      <c r="J2550" s="334"/>
      <c r="K2550" s="334"/>
      <c r="L2550" s="334"/>
      <c r="M2550" s="328"/>
      <c r="N2550" s="334"/>
      <c r="S2550" s="336"/>
      <c r="T2550" s="110"/>
      <c r="V2550" s="232"/>
      <c r="W2550" s="269"/>
      <c r="X2550" s="201"/>
      <c r="Y2550" s="269"/>
      <c r="Z2550" s="269"/>
      <c r="AA2550" s="134"/>
      <c r="AB2550" s="269"/>
      <c r="AC2550" s="269"/>
      <c r="AD2550" s="269"/>
      <c r="AE2550" s="269"/>
    </row>
    <row r="2556" spans="2:31">
      <c r="B2556" s="269"/>
      <c r="C2556" s="269"/>
      <c r="D2556" s="269"/>
      <c r="E2556" s="269"/>
      <c r="F2556" s="269"/>
      <c r="G2556" s="269"/>
      <c r="H2556" s="269"/>
      <c r="I2556" s="269"/>
      <c r="J2556" s="334"/>
      <c r="K2556" s="334"/>
      <c r="L2556" s="334"/>
      <c r="M2556" s="328"/>
      <c r="N2556" s="334"/>
      <c r="S2556" s="336"/>
      <c r="T2556" s="110"/>
      <c r="V2556" s="232"/>
      <c r="W2556" s="269"/>
      <c r="X2556" s="201"/>
      <c r="Y2556" s="269"/>
      <c r="Z2556" s="269"/>
      <c r="AA2556" s="134"/>
      <c r="AB2556" s="269"/>
      <c r="AC2556" s="269"/>
      <c r="AD2556" s="269"/>
      <c r="AE2556" s="269"/>
    </row>
    <row r="2559" spans="2:31">
      <c r="B2559" s="269"/>
      <c r="C2559" s="269"/>
      <c r="D2559" s="269"/>
      <c r="E2559" s="269"/>
      <c r="F2559" s="269"/>
      <c r="G2559" s="269"/>
      <c r="H2559" s="269"/>
      <c r="I2559" s="269"/>
      <c r="J2559" s="334"/>
      <c r="K2559" s="334"/>
      <c r="L2559" s="334"/>
      <c r="M2559" s="328"/>
      <c r="N2559" s="334"/>
      <c r="S2559" s="336"/>
      <c r="T2559" s="110"/>
      <c r="V2559" s="232"/>
      <c r="W2559" s="269"/>
      <c r="X2559" s="201"/>
      <c r="Y2559" s="269"/>
      <c r="Z2559" s="269"/>
      <c r="AA2559" s="134"/>
      <c r="AB2559" s="269"/>
      <c r="AC2559" s="269"/>
      <c r="AD2559" s="269"/>
      <c r="AE2559" s="269"/>
    </row>
    <row r="2595" spans="2:31">
      <c r="B2595" s="269"/>
      <c r="C2595" s="269"/>
      <c r="D2595" s="269"/>
      <c r="E2595" s="269"/>
      <c r="F2595" s="269"/>
      <c r="G2595" s="269"/>
      <c r="H2595" s="269"/>
      <c r="I2595" s="269"/>
      <c r="J2595" s="334"/>
      <c r="K2595" s="334"/>
      <c r="L2595" s="334"/>
      <c r="M2595" s="328"/>
      <c r="N2595" s="334"/>
      <c r="S2595" s="336"/>
      <c r="T2595" s="110"/>
      <c r="V2595" s="232"/>
      <c r="W2595" s="269"/>
      <c r="X2595" s="201"/>
      <c r="Y2595" s="269"/>
      <c r="Z2595" s="269"/>
      <c r="AA2595" s="134"/>
      <c r="AB2595" s="269"/>
      <c r="AC2595" s="269"/>
      <c r="AD2595" s="269"/>
      <c r="AE2595" s="269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15"/>
  <dimension ref="A1:CN169"/>
  <sheetViews>
    <sheetView workbookViewId="0">
      <selection activeCell="D5" sqref="D5"/>
    </sheetView>
  </sheetViews>
  <sheetFormatPr defaultRowHeight="16.5"/>
  <cols>
    <col min="1" max="2" width="15.7109375" style="214" customWidth="1"/>
    <col min="3" max="3" width="16.7109375" style="214" customWidth="1"/>
    <col min="4" max="5" width="15.7109375" style="214" customWidth="1"/>
    <col min="6" max="6" width="15.7109375" style="268" customWidth="1"/>
    <col min="7" max="7" width="5.42578125" style="268" customWidth="1"/>
    <col min="8" max="8" width="11.7109375" style="268" customWidth="1"/>
    <col min="9" max="10" width="12.7109375" style="268" customWidth="1"/>
    <col min="11" max="11" width="10.7109375" style="268" customWidth="1"/>
    <col min="12" max="14" width="10.7109375" style="7" customWidth="1"/>
    <col min="15" max="15" width="12.7109375" style="268" customWidth="1"/>
    <col min="16" max="16" width="12.7109375" style="24" customWidth="1"/>
    <col min="17" max="17" width="12.7109375" style="7" customWidth="1"/>
    <col min="18" max="18" width="10.7109375" style="7" customWidth="1"/>
    <col min="19" max="19" width="9.7109375" style="7" customWidth="1"/>
    <col min="20" max="20" width="9.7109375" style="222" customWidth="1"/>
    <col min="21" max="21" width="10.7109375" style="67" customWidth="1"/>
    <col min="22" max="22" width="9.7109375" style="7" customWidth="1"/>
    <col min="23" max="24" width="7.7109375" style="7" customWidth="1"/>
    <col min="25" max="35" width="9.140625" style="7"/>
    <col min="36" max="36" width="5.7109375" style="7" customWidth="1"/>
    <col min="37" max="37" width="20.7109375" style="7" customWidth="1"/>
    <col min="38" max="38" width="6.7109375" style="7" customWidth="1"/>
    <col min="39" max="39" width="10.7109375" style="7" customWidth="1"/>
    <col min="40" max="40" width="9.140625" style="7"/>
    <col min="41" max="41" width="12.7109375" style="7" customWidth="1"/>
    <col min="42" max="43" width="10.7109375" style="7" customWidth="1"/>
    <col min="44" max="44" width="5.7109375" style="7" customWidth="1"/>
    <col min="45" max="45" width="35.7109375" style="7" customWidth="1"/>
    <col min="46" max="46" width="5.7109375" style="7" customWidth="1"/>
    <col min="47" max="47" width="10.7109375" style="7" customWidth="1"/>
    <col min="48" max="48" width="35.7109375" style="7" customWidth="1"/>
    <col min="49" max="50" width="5.7109375" style="214" customWidth="1"/>
    <col min="51" max="51" width="10.7109375" style="7" customWidth="1"/>
    <col min="52" max="52" width="35.7109375" style="7" customWidth="1"/>
    <col min="53" max="54" width="5.7109375" style="214" customWidth="1"/>
    <col min="55" max="55" width="9.140625" style="7"/>
    <col min="56" max="56" width="15.7109375" style="7" customWidth="1"/>
    <col min="57" max="64" width="9.140625" style="7"/>
    <col min="65" max="65" width="15.140625" style="7" customWidth="1"/>
    <col min="66" max="66" width="50.7109375" style="7" customWidth="1"/>
    <col min="67" max="67" width="15.7109375" style="7" customWidth="1"/>
    <col min="68" max="68" width="30.7109375" style="7" customWidth="1"/>
    <col min="69" max="69" width="20.7109375" style="7" customWidth="1"/>
    <col min="70" max="71" width="9.140625" style="7"/>
    <col min="72" max="72" width="12.7109375" style="22" customWidth="1"/>
    <col min="73" max="73" width="5.7109375" style="9" customWidth="1"/>
    <col min="74" max="74" width="6.7109375" style="20" customWidth="1"/>
    <col min="75" max="75" width="5.7109375" style="30" customWidth="1"/>
    <col min="76" max="76" width="5.7109375" style="50" customWidth="1"/>
    <col min="77" max="78" width="6.7109375" style="1" customWidth="1"/>
    <col min="79" max="79" width="5.7109375" style="30" customWidth="1"/>
    <col min="80" max="80" width="5.7109375" style="50" customWidth="1"/>
    <col min="81" max="82" width="5.7109375" style="1" customWidth="1"/>
    <col min="83" max="16384" width="9.140625" style="269"/>
  </cols>
  <sheetData>
    <row r="1" spans="1:92">
      <c r="A1" s="8" t="s">
        <v>4124</v>
      </c>
      <c r="B1" s="217" t="s">
        <v>1201</v>
      </c>
      <c r="C1" s="113">
        <v>54193806</v>
      </c>
      <c r="D1" s="238">
        <v>54186755</v>
      </c>
      <c r="G1" s="26"/>
      <c r="H1" s="1" t="s">
        <v>1536</v>
      </c>
      <c r="I1" s="30" t="s">
        <v>1537</v>
      </c>
      <c r="J1" s="8" t="s">
        <v>1538</v>
      </c>
      <c r="K1" s="30" t="s">
        <v>1540</v>
      </c>
      <c r="L1" s="8" t="s">
        <v>3</v>
      </c>
      <c r="M1" s="50" t="s">
        <v>3820</v>
      </c>
      <c r="N1" s="17" t="s">
        <v>3821</v>
      </c>
      <c r="O1" s="30" t="s">
        <v>4093</v>
      </c>
      <c r="P1" s="24" t="s">
        <v>3987</v>
      </c>
      <c r="V1" s="8"/>
      <c r="W1" s="127" t="s">
        <v>2081</v>
      </c>
      <c r="X1" s="127"/>
      <c r="Y1" s="127"/>
      <c r="Z1" s="111"/>
      <c r="AA1" s="7" t="s">
        <v>1225</v>
      </c>
      <c r="AK1" s="9" t="s">
        <v>1247</v>
      </c>
      <c r="AL1" s="7" t="s">
        <v>1243</v>
      </c>
      <c r="AM1" s="7" t="s">
        <v>1242</v>
      </c>
      <c r="AN1" s="7" t="s">
        <v>1249</v>
      </c>
      <c r="AO1" s="7" t="s">
        <v>1253</v>
      </c>
      <c r="AP1" s="7" t="s">
        <v>1262</v>
      </c>
      <c r="AQ1" s="7" t="s">
        <v>1265</v>
      </c>
      <c r="AS1" s="9" t="s">
        <v>1282</v>
      </c>
      <c r="AU1" s="214" t="s">
        <v>1309</v>
      </c>
      <c r="AV1" s="214" t="s">
        <v>1312</v>
      </c>
      <c r="AW1" s="214" t="s">
        <v>1313</v>
      </c>
      <c r="AY1" s="214" t="s">
        <v>1309</v>
      </c>
      <c r="AZ1" s="214" t="s">
        <v>1222</v>
      </c>
      <c r="BA1" s="214" t="s">
        <v>1313</v>
      </c>
      <c r="BD1" s="8" t="s">
        <v>1339</v>
      </c>
      <c r="BE1" s="7" t="s">
        <v>1364</v>
      </c>
      <c r="BN1" s="8" t="s">
        <v>1377</v>
      </c>
      <c r="BO1" s="8" t="s">
        <v>1394</v>
      </c>
      <c r="BP1" s="30" t="s">
        <v>1390</v>
      </c>
      <c r="BQ1" s="30" t="s">
        <v>1413</v>
      </c>
    </row>
    <row r="2" spans="1:92">
      <c r="A2" s="50" t="s">
        <v>4125</v>
      </c>
      <c r="B2" s="217" t="s">
        <v>2174</v>
      </c>
      <c r="C2" s="113" t="s">
        <v>4033</v>
      </c>
      <c r="D2" s="238">
        <v>54186755</v>
      </c>
      <c r="G2" s="266"/>
      <c r="H2" s="1"/>
      <c r="I2" s="30"/>
      <c r="J2" s="8"/>
      <c r="K2" s="30"/>
      <c r="L2" s="8"/>
      <c r="M2" s="50"/>
      <c r="N2" s="17"/>
      <c r="O2" s="30"/>
      <c r="P2" s="24" t="s">
        <v>3988</v>
      </c>
      <c r="V2" s="154"/>
      <c r="W2" s="41" t="s">
        <v>2082</v>
      </c>
      <c r="X2" s="27" t="s">
        <v>2083</v>
      </c>
      <c r="Y2" s="127" t="s">
        <v>2084</v>
      </c>
      <c r="Z2" s="57"/>
      <c r="AA2" s="7" t="s">
        <v>1226</v>
      </c>
      <c r="AB2" s="7" t="s">
        <v>1227</v>
      </c>
      <c r="AK2" s="286" t="s">
        <v>1270</v>
      </c>
      <c r="AL2" s="7" t="s">
        <v>1243</v>
      </c>
      <c r="AM2" s="7" t="s">
        <v>1271</v>
      </c>
      <c r="AS2" s="286" t="s">
        <v>1288</v>
      </c>
      <c r="AU2" s="7" t="s">
        <v>1315</v>
      </c>
      <c r="AV2" s="7" t="s">
        <v>1319</v>
      </c>
      <c r="AY2" s="7" t="s">
        <v>1310</v>
      </c>
      <c r="AZ2" s="7" t="s">
        <v>1329</v>
      </c>
      <c r="BA2" s="214">
        <v>5</v>
      </c>
      <c r="BD2" s="7" t="s">
        <v>1338</v>
      </c>
      <c r="BE2" s="7" t="s">
        <v>1345</v>
      </c>
      <c r="BN2" s="7" t="s">
        <v>1367</v>
      </c>
      <c r="BO2" s="7" t="s">
        <v>1395</v>
      </c>
      <c r="BP2" s="7" t="s">
        <v>1396</v>
      </c>
      <c r="BQ2" s="7" t="s">
        <v>1414</v>
      </c>
    </row>
    <row r="3" spans="1:92">
      <c r="E3" s="1"/>
      <c r="H3" s="1"/>
      <c r="I3" s="30"/>
      <c r="J3" s="8"/>
      <c r="K3" s="30"/>
      <c r="L3" s="8"/>
      <c r="M3" s="50"/>
      <c r="N3" s="17"/>
      <c r="O3" s="30"/>
      <c r="P3" s="24" t="s">
        <v>3989</v>
      </c>
      <c r="V3" s="154"/>
      <c r="W3" s="41"/>
      <c r="X3" s="27" t="s">
        <v>2085</v>
      </c>
      <c r="Y3" s="127" t="s">
        <v>2086</v>
      </c>
      <c r="Z3" s="57"/>
      <c r="AA3" s="7" t="s">
        <v>1228</v>
      </c>
      <c r="AB3" s="7" t="s">
        <v>1229</v>
      </c>
      <c r="AK3" s="286" t="s">
        <v>1250</v>
      </c>
      <c r="AL3" s="7" t="s">
        <v>1243</v>
      </c>
      <c r="AN3" s="7" t="s">
        <v>1249</v>
      </c>
      <c r="AS3" s="286" t="s">
        <v>1297</v>
      </c>
      <c r="AV3" s="7" t="s">
        <v>1277</v>
      </c>
      <c r="AW3" s="214">
        <v>4</v>
      </c>
      <c r="AZ3" s="7" t="s">
        <v>1311</v>
      </c>
      <c r="BA3" s="214">
        <v>3</v>
      </c>
      <c r="BD3" s="7" t="s">
        <v>1340</v>
      </c>
      <c r="BE3" s="7" t="s">
        <v>1346</v>
      </c>
      <c r="BN3" s="7" t="s">
        <v>1366</v>
      </c>
      <c r="BO3" s="7" t="s">
        <v>1397</v>
      </c>
      <c r="BP3" s="7" t="s">
        <v>1398</v>
      </c>
      <c r="BQ3" s="7" t="s">
        <v>1415</v>
      </c>
    </row>
    <row r="4" spans="1:92">
      <c r="A4" s="8" t="s">
        <v>3813</v>
      </c>
      <c r="B4" s="215" t="s">
        <v>905</v>
      </c>
      <c r="C4" s="89"/>
      <c r="D4" s="8" t="s">
        <v>3813</v>
      </c>
      <c r="E4" s="89"/>
      <c r="H4" s="1"/>
      <c r="I4" s="30"/>
      <c r="J4" s="8"/>
      <c r="K4" s="30"/>
      <c r="L4" s="8"/>
      <c r="M4" s="50"/>
      <c r="N4" s="17"/>
      <c r="O4" s="30"/>
      <c r="V4" s="8"/>
      <c r="W4" s="41"/>
      <c r="X4" s="27" t="s">
        <v>2088</v>
      </c>
      <c r="Y4" s="46" t="s">
        <v>2087</v>
      </c>
      <c r="Z4" s="57"/>
      <c r="AA4" s="7" t="s">
        <v>1231</v>
      </c>
      <c r="AK4" s="286" t="s">
        <v>1281</v>
      </c>
      <c r="AM4" s="7" t="s">
        <v>1243</v>
      </c>
      <c r="AO4" s="7" t="s">
        <v>1255</v>
      </c>
      <c r="AS4" s="286" t="s">
        <v>1285</v>
      </c>
      <c r="AV4" s="7" t="s">
        <v>1316</v>
      </c>
      <c r="AW4" s="214">
        <v>1</v>
      </c>
      <c r="AZ4" s="7" t="s">
        <v>1314</v>
      </c>
      <c r="BA4" s="214">
        <v>2</v>
      </c>
      <c r="BD4" s="7" t="s">
        <v>1341</v>
      </c>
      <c r="BE4" s="7" t="s">
        <v>1362</v>
      </c>
      <c r="BN4" s="7" t="s">
        <v>1365</v>
      </c>
      <c r="BO4" s="7" t="s">
        <v>1399</v>
      </c>
      <c r="BP4" s="7" t="s">
        <v>1400</v>
      </c>
      <c r="BQ4" s="7" t="s">
        <v>1416</v>
      </c>
    </row>
    <row r="5" spans="1:92">
      <c r="A5" s="30" t="s">
        <v>898</v>
      </c>
      <c r="B5" s="302" t="s">
        <v>6177</v>
      </c>
      <c r="C5" s="89"/>
      <c r="D5" s="152" t="s">
        <v>3830</v>
      </c>
      <c r="E5" s="89"/>
      <c r="F5" s="89"/>
      <c r="G5" s="89"/>
      <c r="H5" s="1"/>
      <c r="I5" s="30"/>
      <c r="J5" s="8"/>
      <c r="K5" s="30"/>
      <c r="L5" s="8"/>
      <c r="M5" s="50"/>
      <c r="N5" s="17"/>
      <c r="O5" s="30"/>
      <c r="P5" s="26" t="s">
        <v>1577</v>
      </c>
      <c r="Q5" s="70" t="s">
        <v>3979</v>
      </c>
      <c r="R5" s="214"/>
      <c r="V5" s="107"/>
      <c r="W5" s="19" t="s">
        <v>2089</v>
      </c>
      <c r="X5" s="26" t="s">
        <v>2090</v>
      </c>
      <c r="Y5" s="119" t="s">
        <v>2095</v>
      </c>
      <c r="Z5" s="57"/>
      <c r="AA5" s="7" t="s">
        <v>1231</v>
      </c>
      <c r="AK5" s="286" t="s">
        <v>1277</v>
      </c>
      <c r="AQ5" s="7" t="s">
        <v>1276</v>
      </c>
      <c r="AS5" s="286" t="s">
        <v>1293</v>
      </c>
      <c r="AV5" s="7" t="s">
        <v>1317</v>
      </c>
      <c r="AW5" s="214">
        <v>1</v>
      </c>
      <c r="BD5" s="7" t="s">
        <v>1342</v>
      </c>
      <c r="BE5" s="7" t="s">
        <v>1363</v>
      </c>
      <c r="BN5" s="7" t="s">
        <v>1368</v>
      </c>
      <c r="BO5" s="7" t="s">
        <v>1401</v>
      </c>
      <c r="BP5" s="7" t="s">
        <v>1402</v>
      </c>
      <c r="BQ5" s="7" t="s">
        <v>1417</v>
      </c>
    </row>
    <row r="6" spans="1:92">
      <c r="A6" s="285" t="s">
        <v>4302</v>
      </c>
      <c r="B6" s="371" t="s">
        <v>6178</v>
      </c>
      <c r="C6" s="269"/>
      <c r="D6" s="152" t="s">
        <v>3815</v>
      </c>
      <c r="E6" s="89"/>
      <c r="H6" s="1"/>
      <c r="I6" s="30"/>
      <c r="J6" s="8"/>
      <c r="K6" s="30"/>
      <c r="L6" s="8"/>
      <c r="M6" s="50"/>
      <c r="N6" s="17"/>
      <c r="O6" s="30"/>
      <c r="P6" s="214"/>
      <c r="Q6" s="2" t="s">
        <v>3980</v>
      </c>
      <c r="R6" s="214"/>
      <c r="V6" s="107"/>
      <c r="W6" s="19"/>
      <c r="X6" s="26" t="s">
        <v>2091</v>
      </c>
      <c r="Y6" s="119" t="s">
        <v>2100</v>
      </c>
      <c r="Z6" s="57"/>
      <c r="AA6" s="7" t="s">
        <v>1233</v>
      </c>
      <c r="AK6" s="286" t="s">
        <v>1260</v>
      </c>
      <c r="AL6" s="7" t="s">
        <v>1243</v>
      </c>
      <c r="AN6" s="7" t="s">
        <v>1249</v>
      </c>
      <c r="AO6" s="7" t="s">
        <v>1261</v>
      </c>
      <c r="AP6" s="7" t="s">
        <v>1263</v>
      </c>
      <c r="AQ6" s="7" t="s">
        <v>1264</v>
      </c>
      <c r="AS6" s="7" t="s">
        <v>1290</v>
      </c>
      <c r="AV6" s="7" t="s">
        <v>1269</v>
      </c>
      <c r="AW6" s="214">
        <v>1</v>
      </c>
      <c r="AY6" s="7" t="s">
        <v>1333</v>
      </c>
      <c r="AZ6" s="7" t="s">
        <v>1322</v>
      </c>
      <c r="BA6" s="214">
        <v>12</v>
      </c>
      <c r="BD6" s="7" t="s">
        <v>1343</v>
      </c>
      <c r="BE6" s="7" t="s">
        <v>1373</v>
      </c>
      <c r="BN6" s="7" t="s">
        <v>1369</v>
      </c>
      <c r="BO6" s="7" t="s">
        <v>1403</v>
      </c>
      <c r="BP6" s="7" t="s">
        <v>1404</v>
      </c>
      <c r="BQ6" s="7" t="s">
        <v>1418</v>
      </c>
    </row>
    <row r="7" spans="1:92">
      <c r="A7" s="50" t="s">
        <v>288</v>
      </c>
      <c r="B7" s="148" t="s">
        <v>6120</v>
      </c>
      <c r="C7" s="89"/>
      <c r="D7" s="152" t="s">
        <v>3814</v>
      </c>
      <c r="E7" s="89"/>
      <c r="H7" s="1"/>
      <c r="I7" s="30"/>
      <c r="J7" s="8"/>
      <c r="K7" s="30"/>
      <c r="L7" s="8"/>
      <c r="M7" s="50"/>
      <c r="N7" s="17"/>
      <c r="O7" s="30"/>
      <c r="P7" s="214"/>
      <c r="Q7" s="2" t="s">
        <v>3981</v>
      </c>
      <c r="R7" s="214"/>
      <c r="V7" s="107"/>
      <c r="W7" s="19"/>
      <c r="X7" s="26" t="s">
        <v>2092</v>
      </c>
      <c r="Y7" s="119" t="s">
        <v>2096</v>
      </c>
      <c r="Z7" s="57"/>
      <c r="AK7" s="286" t="s">
        <v>1245</v>
      </c>
      <c r="AL7" s="7" t="s">
        <v>1243</v>
      </c>
      <c r="AM7" s="7" t="s">
        <v>1242</v>
      </c>
      <c r="AN7" s="7" t="s">
        <v>1249</v>
      </c>
      <c r="AO7" s="7" t="s">
        <v>1255</v>
      </c>
      <c r="AS7" s="7" t="s">
        <v>1295</v>
      </c>
      <c r="AV7" s="7" t="s">
        <v>1330</v>
      </c>
      <c r="AW7" s="214">
        <v>1</v>
      </c>
      <c r="AY7" s="7" t="s">
        <v>1327</v>
      </c>
      <c r="AZ7" s="7" t="s">
        <v>1320</v>
      </c>
      <c r="BA7" s="214">
        <v>1</v>
      </c>
      <c r="BD7" s="7" t="s">
        <v>1344</v>
      </c>
      <c r="BE7" s="7" t="s">
        <v>1374</v>
      </c>
      <c r="BN7" s="7" t="s">
        <v>1370</v>
      </c>
      <c r="BO7" s="7" t="s">
        <v>1391</v>
      </c>
      <c r="BP7" s="7" t="s">
        <v>1405</v>
      </c>
      <c r="BQ7" s="7" t="s">
        <v>1419</v>
      </c>
    </row>
    <row r="8" spans="1:92">
      <c r="A8" s="8" t="s">
        <v>897</v>
      </c>
      <c r="B8" s="215" t="s">
        <v>904</v>
      </c>
      <c r="C8" s="89"/>
      <c r="D8" s="152" t="s">
        <v>900</v>
      </c>
      <c r="E8" s="89"/>
      <c r="H8" s="1"/>
      <c r="I8" s="30"/>
      <c r="J8" s="8"/>
      <c r="K8" s="30"/>
      <c r="L8" s="8"/>
      <c r="M8" s="50"/>
      <c r="N8" s="17"/>
      <c r="O8" s="30"/>
      <c r="P8" s="214"/>
      <c r="Q8" s="2" t="s">
        <v>3982</v>
      </c>
      <c r="R8" s="214"/>
      <c r="V8" s="107"/>
      <c r="W8" s="19"/>
      <c r="X8" s="26"/>
      <c r="Y8" s="119"/>
      <c r="Z8" s="57"/>
      <c r="AK8" s="286"/>
    </row>
    <row r="9" spans="1:92">
      <c r="A9" s="287"/>
      <c r="B9" s="217" t="s">
        <v>3831</v>
      </c>
      <c r="C9" s="290"/>
      <c r="D9" s="42" t="s">
        <v>2338</v>
      </c>
      <c r="E9" s="89"/>
      <c r="H9" s="1"/>
      <c r="I9" s="30"/>
      <c r="J9" s="8"/>
      <c r="K9" s="30"/>
      <c r="L9" s="8"/>
      <c r="M9" s="50"/>
      <c r="N9" s="17"/>
      <c r="O9" s="30"/>
      <c r="P9" s="214"/>
      <c r="Q9" s="2" t="s">
        <v>3983</v>
      </c>
      <c r="R9" s="214"/>
      <c r="V9" s="107"/>
      <c r="W9" s="19"/>
      <c r="X9" s="26"/>
      <c r="Y9" s="119"/>
      <c r="Z9" s="57"/>
      <c r="AK9" s="286"/>
    </row>
    <row r="10" spans="1:92">
      <c r="A10" s="148" t="s">
        <v>1201</v>
      </c>
      <c r="B10" s="217" t="s">
        <v>1711</v>
      </c>
      <c r="C10" s="225" t="s">
        <v>3825</v>
      </c>
      <c r="D10" s="42" t="s">
        <v>4407</v>
      </c>
      <c r="E10" s="269"/>
      <c r="F10" s="269"/>
      <c r="H10" s="1"/>
      <c r="I10" s="30"/>
      <c r="J10" s="8"/>
      <c r="K10" s="30"/>
      <c r="L10" s="8"/>
      <c r="M10" s="50"/>
      <c r="N10" s="17"/>
      <c r="O10" s="30"/>
      <c r="V10" s="107"/>
      <c r="W10" s="19"/>
      <c r="X10" s="26" t="s">
        <v>2093</v>
      </c>
      <c r="Y10" s="119" t="s">
        <v>2097</v>
      </c>
      <c r="Z10" s="57"/>
      <c r="AA10" s="288" t="s">
        <v>1236</v>
      </c>
      <c r="AK10" s="286" t="s">
        <v>1246</v>
      </c>
      <c r="AM10" s="7" t="s">
        <v>1242</v>
      </c>
      <c r="AO10" s="7" t="s">
        <v>1267</v>
      </c>
      <c r="AS10" s="7" t="s">
        <v>1294</v>
      </c>
      <c r="AV10" s="7" t="s">
        <v>1318</v>
      </c>
      <c r="AW10" s="214">
        <v>1</v>
      </c>
      <c r="AY10" s="128" t="s">
        <v>1332</v>
      </c>
      <c r="AZ10" s="7" t="s">
        <v>1321</v>
      </c>
      <c r="BA10" s="214">
        <v>1</v>
      </c>
      <c r="BD10" s="7" t="s">
        <v>1347</v>
      </c>
      <c r="BE10" s="7" t="s">
        <v>1375</v>
      </c>
      <c r="BN10" s="7" t="s">
        <v>1371</v>
      </c>
      <c r="BO10" s="7" t="s">
        <v>1406</v>
      </c>
      <c r="BP10" s="7" t="s">
        <v>1407</v>
      </c>
      <c r="BQ10" s="7" t="s">
        <v>1420</v>
      </c>
    </row>
    <row r="11" spans="1:92">
      <c r="A11" s="148" t="s">
        <v>2174</v>
      </c>
      <c r="B11" s="217" t="s">
        <v>1712</v>
      </c>
      <c r="C11" s="225" t="s">
        <v>3826</v>
      </c>
      <c r="F11" s="269"/>
      <c r="H11" s="1"/>
      <c r="I11" s="30"/>
      <c r="J11" s="8"/>
      <c r="K11" s="30"/>
      <c r="L11" s="8"/>
      <c r="M11" s="50"/>
      <c r="N11" s="17"/>
      <c r="O11" s="30"/>
      <c r="V11" s="107"/>
      <c r="W11" s="19"/>
      <c r="X11" s="26" t="s">
        <v>2094</v>
      </c>
      <c r="Y11" s="119" t="s">
        <v>2098</v>
      </c>
      <c r="Z11" s="57"/>
      <c r="AA11" s="288" t="s">
        <v>1238</v>
      </c>
      <c r="AK11" s="286" t="s">
        <v>1274</v>
      </c>
      <c r="AL11" s="7" t="s">
        <v>1243</v>
      </c>
      <c r="AO11" s="7" t="s">
        <v>1252</v>
      </c>
      <c r="AS11" s="7" t="s">
        <v>1289</v>
      </c>
      <c r="AV11" s="7" t="s">
        <v>1293</v>
      </c>
      <c r="AW11" s="214">
        <v>1</v>
      </c>
      <c r="AY11" s="7" t="s">
        <v>1392</v>
      </c>
      <c r="AZ11" s="7" t="s">
        <v>1328</v>
      </c>
      <c r="BA11" s="214">
        <v>1</v>
      </c>
      <c r="BD11" s="7" t="s">
        <v>1349</v>
      </c>
      <c r="BE11" s="7" t="s">
        <v>1376</v>
      </c>
      <c r="BN11" s="7" t="s">
        <v>1372</v>
      </c>
      <c r="BO11" s="7" t="s">
        <v>1408</v>
      </c>
      <c r="BP11" s="7" t="s">
        <v>1409</v>
      </c>
      <c r="BQ11" s="7" t="s">
        <v>1421</v>
      </c>
    </row>
    <row r="12" spans="1:92">
      <c r="A12" s="148" t="s">
        <v>1200</v>
      </c>
      <c r="B12" s="217" t="s">
        <v>1713</v>
      </c>
      <c r="C12" s="225" t="s">
        <v>3827</v>
      </c>
      <c r="F12" s="269"/>
      <c r="H12" s="41" t="s">
        <v>6444</v>
      </c>
      <c r="I12" s="172">
        <v>125</v>
      </c>
      <c r="J12" s="162">
        <v>115</v>
      </c>
      <c r="K12" s="109">
        <f t="shared" ref="K12" si="0">I12-J12</f>
        <v>10</v>
      </c>
      <c r="L12" s="158">
        <f t="shared" ref="L12" si="1">K12/J12</f>
        <v>8.6956521739130432E-2</v>
      </c>
      <c r="M12" s="221">
        <f t="shared" ref="M12" si="2">I12*(0.001425*0.5)+J12*(0.001425*0.5)+I12*0.003</f>
        <v>0.54600000000000004</v>
      </c>
      <c r="N12" s="162">
        <f t="shared" ref="N12" si="3">K12-M12</f>
        <v>9.4540000000000006</v>
      </c>
      <c r="O12" s="30"/>
      <c r="V12" s="107"/>
      <c r="W12" s="19"/>
      <c r="X12" s="26" t="s">
        <v>2099</v>
      </c>
      <c r="Y12" s="156" t="s">
        <v>2102</v>
      </c>
      <c r="Z12" s="57"/>
      <c r="AA12" s="288" t="s">
        <v>1240</v>
      </c>
      <c r="AK12" s="286" t="s">
        <v>1280</v>
      </c>
      <c r="AL12" s="7" t="s">
        <v>1243</v>
      </c>
      <c r="AO12" s="7" t="s">
        <v>1255</v>
      </c>
      <c r="AQ12" s="7" t="s">
        <v>1276</v>
      </c>
      <c r="AS12" s="7" t="s">
        <v>1308</v>
      </c>
      <c r="BD12" s="7" t="s">
        <v>1350</v>
      </c>
      <c r="BE12" s="7" t="s">
        <v>1378</v>
      </c>
      <c r="BP12" s="7" t="s">
        <v>1410</v>
      </c>
      <c r="BQ12" s="7" t="s">
        <v>1422</v>
      </c>
    </row>
    <row r="13" spans="1:92">
      <c r="A13" s="269"/>
      <c r="B13" s="269"/>
      <c r="C13" s="269"/>
      <c r="D13" s="268"/>
      <c r="E13" s="8" t="s">
        <v>3894</v>
      </c>
      <c r="F13" s="269"/>
      <c r="H13" s="41" t="s">
        <v>6362</v>
      </c>
      <c r="I13" s="172">
        <v>125</v>
      </c>
      <c r="J13" s="162">
        <v>115</v>
      </c>
      <c r="K13" s="109">
        <f t="shared" ref="K13" si="4">I13-J13</f>
        <v>10</v>
      </c>
      <c r="L13" s="158">
        <f t="shared" ref="L13" si="5">K13/J13</f>
        <v>8.6956521739130432E-2</v>
      </c>
      <c r="M13" s="221">
        <f t="shared" ref="M13" si="6">I13*(0.001425*0.5)+J13*(0.001425*0.5)+I13*0.003</f>
        <v>0.54600000000000004</v>
      </c>
      <c r="N13" s="162">
        <f t="shared" ref="N13" si="7">K13-M13</f>
        <v>9.4540000000000006</v>
      </c>
      <c r="O13" s="30"/>
      <c r="V13" s="107"/>
      <c r="W13" s="19"/>
      <c r="X13" s="26" t="s">
        <v>2101</v>
      </c>
      <c r="Y13" s="119" t="s">
        <v>2103</v>
      </c>
      <c r="Z13" s="57"/>
      <c r="AA13" s="288" t="s">
        <v>1241</v>
      </c>
      <c r="AK13" s="286" t="s">
        <v>1278</v>
      </c>
      <c r="AQ13" s="7" t="s">
        <v>1276</v>
      </c>
      <c r="AS13" s="7" t="s">
        <v>1296</v>
      </c>
      <c r="AV13" s="7" t="s">
        <v>1453</v>
      </c>
      <c r="AW13" s="214">
        <v>1</v>
      </c>
      <c r="AY13" s="7" t="s">
        <v>1325</v>
      </c>
      <c r="AZ13" s="7" t="s">
        <v>1326</v>
      </c>
      <c r="BA13" s="214">
        <v>2</v>
      </c>
      <c r="BD13" s="7" t="s">
        <v>1351</v>
      </c>
      <c r="BE13" s="7" t="s">
        <v>1379</v>
      </c>
      <c r="BO13" s="7" t="s">
        <v>1411</v>
      </c>
      <c r="BP13" s="7" t="s">
        <v>1412</v>
      </c>
      <c r="BQ13" s="30" t="s">
        <v>1423</v>
      </c>
    </row>
    <row r="14" spans="1:92">
      <c r="A14" s="289" t="s">
        <v>898</v>
      </c>
      <c r="B14" s="289" t="s">
        <v>901</v>
      </c>
      <c r="C14" s="291">
        <v>44901</v>
      </c>
      <c r="D14" s="214" t="s">
        <v>3829</v>
      </c>
      <c r="E14" s="225" t="s">
        <v>3828</v>
      </c>
      <c r="F14" s="269"/>
      <c r="H14" s="41" t="s">
        <v>6077</v>
      </c>
      <c r="I14" s="172">
        <v>374.05</v>
      </c>
      <c r="J14" s="162">
        <v>344.06</v>
      </c>
      <c r="K14" s="109">
        <v>30.69</v>
      </c>
      <c r="L14" s="158">
        <f t="shared" ref="L14:L15" si="8">K14/J14</f>
        <v>8.9199558216590133E-2</v>
      </c>
      <c r="M14" s="221">
        <f t="shared" ref="M14" si="9">I14*(0.001425*0.5)+J14*(0.001425*0.5)+I14*0.003</f>
        <v>1.6338033750000001</v>
      </c>
      <c r="N14" s="162">
        <f t="shared" ref="N14" si="10">K14-M14</f>
        <v>29.056196625000002</v>
      </c>
      <c r="O14" s="30"/>
      <c r="V14" s="178"/>
      <c r="W14" s="41"/>
      <c r="X14" s="27" t="s">
        <v>2106</v>
      </c>
      <c r="Y14" s="127" t="s">
        <v>2113</v>
      </c>
      <c r="Z14" s="57"/>
      <c r="AA14" s="7" t="s">
        <v>1230</v>
      </c>
      <c r="AK14" s="7" t="s">
        <v>1244</v>
      </c>
      <c r="AL14" s="7" t="s">
        <v>1243</v>
      </c>
      <c r="AM14" s="7" t="s">
        <v>1242</v>
      </c>
      <c r="AN14" s="7" t="s">
        <v>1249</v>
      </c>
      <c r="AS14" s="7" t="s">
        <v>1286</v>
      </c>
      <c r="AV14" s="7" t="s">
        <v>1447</v>
      </c>
      <c r="AW14" s="214">
        <v>2</v>
      </c>
      <c r="AZ14" s="7" t="s">
        <v>1444</v>
      </c>
      <c r="BA14" s="214">
        <v>1</v>
      </c>
      <c r="BD14" s="7" t="s">
        <v>1348</v>
      </c>
      <c r="BE14" s="7" t="s">
        <v>1383</v>
      </c>
      <c r="BQ14" s="7" t="s">
        <v>1424</v>
      </c>
    </row>
    <row r="15" spans="1:92">
      <c r="A15" s="289"/>
      <c r="B15" s="289" t="s">
        <v>902</v>
      </c>
      <c r="C15" s="291">
        <v>44760</v>
      </c>
      <c r="D15" s="214" t="s">
        <v>901</v>
      </c>
      <c r="E15" s="225" t="s">
        <v>3825</v>
      </c>
      <c r="F15" s="269"/>
      <c r="H15" s="1" t="s">
        <v>3799</v>
      </c>
      <c r="I15" s="172">
        <f>SUM(I13:I14)</f>
        <v>499.05</v>
      </c>
      <c r="J15" s="162">
        <f>SUM(J13:J14)</f>
        <v>459.06</v>
      </c>
      <c r="K15" s="109">
        <f t="shared" ref="K15" si="11">SUM(K14)</f>
        <v>30.69</v>
      </c>
      <c r="L15" s="158">
        <f t="shared" si="8"/>
        <v>6.6854006012285971E-2</v>
      </c>
      <c r="M15" s="221">
        <f>SUM(M14)</f>
        <v>1.6338033750000001</v>
      </c>
      <c r="N15" s="162">
        <f>SUM(N14)</f>
        <v>29.056196625000002</v>
      </c>
      <c r="O15" s="172">
        <f>I15/10</f>
        <v>49.905000000000001</v>
      </c>
      <c r="W15" s="41"/>
      <c r="X15" s="27" t="s">
        <v>2107</v>
      </c>
      <c r="Y15" s="127" t="s">
        <v>2114</v>
      </c>
      <c r="Z15" s="57"/>
      <c r="AA15" s="7" t="s">
        <v>1232</v>
      </c>
      <c r="AK15" s="7" t="s">
        <v>1266</v>
      </c>
      <c r="AS15" s="7" t="s">
        <v>1301</v>
      </c>
      <c r="AU15" s="128"/>
      <c r="AV15" s="7" t="s">
        <v>1449</v>
      </c>
      <c r="AW15" s="214">
        <v>2</v>
      </c>
      <c r="AZ15" s="7" t="s">
        <v>1323</v>
      </c>
      <c r="BA15" s="214">
        <v>1</v>
      </c>
      <c r="BD15" s="7" t="s">
        <v>1352</v>
      </c>
      <c r="BE15" s="7" t="s">
        <v>1384</v>
      </c>
      <c r="BQ15" s="7" t="s">
        <v>1425</v>
      </c>
      <c r="CE15" s="7"/>
      <c r="CF15" s="7"/>
      <c r="CG15" s="7"/>
      <c r="CH15" s="7"/>
      <c r="CI15" s="7"/>
      <c r="CJ15" s="7"/>
      <c r="CK15" s="7"/>
      <c r="CL15" s="7"/>
      <c r="CM15" s="7"/>
      <c r="CN15" s="7"/>
    </row>
    <row r="16" spans="1:92">
      <c r="A16" s="289"/>
      <c r="B16" s="289" t="s">
        <v>903</v>
      </c>
      <c r="C16" s="291">
        <v>45013</v>
      </c>
      <c r="D16" s="214" t="s">
        <v>902</v>
      </c>
      <c r="E16" s="225" t="s">
        <v>3826</v>
      </c>
      <c r="H16" s="1"/>
      <c r="I16" s="172"/>
      <c r="J16" s="162"/>
      <c r="K16" s="109"/>
      <c r="L16" s="158"/>
      <c r="M16" s="221"/>
      <c r="N16" s="162"/>
      <c r="O16" s="172"/>
      <c r="W16" s="41"/>
      <c r="X16" s="27" t="s">
        <v>2108</v>
      </c>
      <c r="Y16" s="127" t="s">
        <v>2115</v>
      </c>
      <c r="Z16" s="57"/>
      <c r="AK16" s="7" t="s">
        <v>1248</v>
      </c>
      <c r="AL16" s="7" t="s">
        <v>1243</v>
      </c>
      <c r="AV16" s="7" t="s">
        <v>1452</v>
      </c>
      <c r="AW16" s="214">
        <v>2</v>
      </c>
      <c r="AZ16" s="7" t="s">
        <v>1324</v>
      </c>
      <c r="BA16" s="214">
        <v>1</v>
      </c>
      <c r="BD16" s="7" t="s">
        <v>1353</v>
      </c>
      <c r="BE16" s="7" t="s">
        <v>1385</v>
      </c>
      <c r="BQ16" s="7" t="s">
        <v>1426</v>
      </c>
    </row>
    <row r="17" spans="1:92">
      <c r="A17" s="289"/>
      <c r="B17" s="289"/>
      <c r="C17" s="292"/>
      <c r="D17" s="214" t="s">
        <v>903</v>
      </c>
      <c r="E17" s="225" t="s">
        <v>3827</v>
      </c>
      <c r="H17" s="41" t="s">
        <v>4290</v>
      </c>
      <c r="I17" s="172">
        <v>49.3</v>
      </c>
      <c r="J17" s="162">
        <v>40</v>
      </c>
      <c r="K17" s="109">
        <f t="shared" ref="K17" si="12">I17-J17</f>
        <v>9.2999999999999972</v>
      </c>
      <c r="L17" s="158">
        <f t="shared" ref="L17" si="13">K17/J17</f>
        <v>0.23249999999999993</v>
      </c>
      <c r="M17" s="221">
        <f t="shared" ref="M17:M22" si="14">I17*(0.001425*0.5)+J17*(0.001425*0.5)+I17*0.003</f>
        <v>0.21152625</v>
      </c>
      <c r="N17" s="162">
        <f t="shared" ref="N17" si="15">K17-M17</f>
        <v>9.0884737499999968</v>
      </c>
      <c r="O17" s="30"/>
      <c r="W17" s="41"/>
      <c r="X17" s="27" t="s">
        <v>2109</v>
      </c>
      <c r="Y17" s="127" t="s">
        <v>2116</v>
      </c>
      <c r="Z17" s="57"/>
      <c r="AA17" s="7" t="s">
        <v>1234</v>
      </c>
      <c r="AK17" s="7" t="s">
        <v>1251</v>
      </c>
      <c r="AO17" s="7" t="s">
        <v>1252</v>
      </c>
      <c r="AS17" s="7" t="s">
        <v>1283</v>
      </c>
      <c r="AV17" s="7" t="s">
        <v>1451</v>
      </c>
      <c r="AW17" s="214">
        <v>2</v>
      </c>
      <c r="AZ17" s="7" t="s">
        <v>1331</v>
      </c>
      <c r="BA17" s="214">
        <v>1</v>
      </c>
      <c r="BD17" s="7" t="s">
        <v>1354</v>
      </c>
      <c r="BE17" s="7" t="s">
        <v>1386</v>
      </c>
      <c r="BQ17" s="7" t="s">
        <v>1427</v>
      </c>
    </row>
    <row r="18" spans="1:92">
      <c r="A18" s="289" t="s">
        <v>897</v>
      </c>
      <c r="B18" s="289" t="s">
        <v>901</v>
      </c>
      <c r="C18" s="291">
        <v>44800</v>
      </c>
      <c r="D18" s="269"/>
      <c r="E18" s="269"/>
      <c r="H18" s="41" t="s">
        <v>4205</v>
      </c>
      <c r="I18" s="172">
        <v>606.5</v>
      </c>
      <c r="J18" s="162">
        <v>527.6</v>
      </c>
      <c r="K18" s="109">
        <f t="shared" ref="K18" si="16">I18-J18</f>
        <v>78.899999999999977</v>
      </c>
      <c r="L18" s="158">
        <f t="shared" ref="L18" si="17">K18/J18</f>
        <v>0.14954510993176645</v>
      </c>
      <c r="M18" s="221">
        <f t="shared" si="14"/>
        <v>2.62754625</v>
      </c>
      <c r="N18" s="162">
        <f t="shared" ref="N18:N24" si="18">K18-M18</f>
        <v>76.272453749999983</v>
      </c>
      <c r="O18" s="40"/>
      <c r="W18" s="19" t="s">
        <v>2117</v>
      </c>
      <c r="X18" s="26" t="s">
        <v>2104</v>
      </c>
      <c r="Y18" s="156" t="s">
        <v>2111</v>
      </c>
      <c r="Z18" s="111"/>
      <c r="AA18" s="7" t="s">
        <v>1235</v>
      </c>
      <c r="AK18" s="7" t="s">
        <v>1254</v>
      </c>
      <c r="AL18" s="7" t="s">
        <v>1243</v>
      </c>
      <c r="AO18" s="7" t="s">
        <v>1255</v>
      </c>
      <c r="AS18" s="7" t="s">
        <v>1284</v>
      </c>
      <c r="AV18" s="7" t="s">
        <v>1450</v>
      </c>
      <c r="AW18" s="214">
        <v>1</v>
      </c>
      <c r="AX18" s="214">
        <v>4</v>
      </c>
      <c r="AZ18" s="7" t="s">
        <v>1337</v>
      </c>
      <c r="BA18" s="214">
        <v>1</v>
      </c>
      <c r="BD18" s="7" t="s">
        <v>1355</v>
      </c>
      <c r="BE18" s="7" t="s">
        <v>1387</v>
      </c>
      <c r="BQ18" s="7" t="s">
        <v>1428</v>
      </c>
    </row>
    <row r="19" spans="1:92">
      <c r="B19" s="289" t="s">
        <v>902</v>
      </c>
      <c r="C19" s="291">
        <v>44697</v>
      </c>
      <c r="H19" s="41" t="s">
        <v>4162</v>
      </c>
      <c r="I19" s="172">
        <v>0</v>
      </c>
      <c r="J19" s="162">
        <v>0</v>
      </c>
      <c r="K19" s="109">
        <f t="shared" ref="K19" si="19">I19-J19</f>
        <v>0</v>
      </c>
      <c r="L19" s="158">
        <v>0</v>
      </c>
      <c r="M19" s="221">
        <f t="shared" si="14"/>
        <v>0</v>
      </c>
      <c r="N19" s="162">
        <f t="shared" si="18"/>
        <v>0</v>
      </c>
      <c r="O19" s="13"/>
      <c r="W19" s="156"/>
      <c r="X19" s="26" t="s">
        <v>2105</v>
      </c>
      <c r="Y19" s="156" t="s">
        <v>2112</v>
      </c>
      <c r="Z19" s="57"/>
      <c r="AA19" s="7" t="s">
        <v>1237</v>
      </c>
      <c r="AK19" s="7" t="s">
        <v>1256</v>
      </c>
      <c r="AO19" s="7" t="s">
        <v>1252</v>
      </c>
      <c r="AP19" s="7" t="s">
        <v>1257</v>
      </c>
      <c r="AS19" s="7" t="s">
        <v>1287</v>
      </c>
      <c r="AV19" s="7" t="s">
        <v>1461</v>
      </c>
      <c r="AW19" s="214">
        <v>1</v>
      </c>
      <c r="AX19" s="214">
        <v>2</v>
      </c>
      <c r="BD19" s="7" t="s">
        <v>1356</v>
      </c>
      <c r="BE19" s="7" t="s">
        <v>1389</v>
      </c>
      <c r="BQ19" s="30" t="s">
        <v>1429</v>
      </c>
    </row>
    <row r="20" spans="1:92">
      <c r="C20" s="292"/>
      <c r="D20" s="269"/>
      <c r="H20" s="41" t="s">
        <v>4123</v>
      </c>
      <c r="I20" s="172">
        <v>528.6</v>
      </c>
      <c r="J20" s="162">
        <v>464.15</v>
      </c>
      <c r="K20" s="109">
        <f t="shared" ref="K20" si="20">I20-J20</f>
        <v>64.450000000000045</v>
      </c>
      <c r="L20" s="158">
        <f t="shared" ref="L20" si="21">K20/J20</f>
        <v>0.13885597328449864</v>
      </c>
      <c r="M20" s="221">
        <f t="shared" si="14"/>
        <v>2.2931343750000002</v>
      </c>
      <c r="N20" s="162">
        <f t="shared" si="18"/>
        <v>62.156865625000044</v>
      </c>
      <c r="O20" s="30"/>
      <c r="W20" s="127"/>
      <c r="X20" s="5"/>
      <c r="Y20" s="11"/>
      <c r="Z20" s="57"/>
      <c r="AA20" s="7" t="s">
        <v>1239</v>
      </c>
      <c r="AK20" s="7" t="s">
        <v>1258</v>
      </c>
      <c r="AM20" s="7" t="s">
        <v>1242</v>
      </c>
      <c r="AO20" s="7" t="s">
        <v>1255</v>
      </c>
      <c r="AS20" s="7" t="s">
        <v>1291</v>
      </c>
      <c r="AV20" s="7" t="s">
        <v>1446</v>
      </c>
      <c r="AW20" s="214">
        <v>1</v>
      </c>
      <c r="AX20" s="214">
        <v>1</v>
      </c>
      <c r="BD20" s="7" t="s">
        <v>1357</v>
      </c>
      <c r="BQ20" s="7" t="s">
        <v>1430</v>
      </c>
    </row>
    <row r="21" spans="1:92">
      <c r="A21" s="289" t="s">
        <v>288</v>
      </c>
      <c r="B21" s="289" t="s">
        <v>4261</v>
      </c>
      <c r="C21" s="291">
        <v>44847</v>
      </c>
      <c r="H21" s="41" t="s">
        <v>4100</v>
      </c>
      <c r="I21" s="172">
        <v>175.1</v>
      </c>
      <c r="J21" s="162">
        <v>160.30000000000001</v>
      </c>
      <c r="K21" s="109">
        <f t="shared" ref="K21" si="22">I21-J21</f>
        <v>14.799999999999983</v>
      </c>
      <c r="L21" s="158">
        <f t="shared" ref="L21" si="23">K21/J21</f>
        <v>9.23268870867123E-2</v>
      </c>
      <c r="M21" s="221">
        <f t="shared" si="14"/>
        <v>0.76427250000000002</v>
      </c>
      <c r="N21" s="162">
        <f t="shared" si="18"/>
        <v>14.035727499999982</v>
      </c>
      <c r="O21" s="7"/>
      <c r="W21" s="127"/>
      <c r="X21" s="5"/>
      <c r="Y21" s="11"/>
      <c r="Z21" s="57"/>
      <c r="AK21" s="7" t="s">
        <v>1259</v>
      </c>
      <c r="AO21" s="7" t="s">
        <v>1252</v>
      </c>
      <c r="AS21" s="7" t="s">
        <v>1292</v>
      </c>
      <c r="AV21" s="7" t="s">
        <v>1469</v>
      </c>
      <c r="AW21" s="214">
        <v>1</v>
      </c>
      <c r="AX21" s="214">
        <v>1</v>
      </c>
      <c r="AZ21" s="7" t="s">
        <v>1336</v>
      </c>
      <c r="BD21" s="7" t="s">
        <v>1358</v>
      </c>
      <c r="BQ21" s="7" t="s">
        <v>1431</v>
      </c>
    </row>
    <row r="22" spans="1:92">
      <c r="B22" s="289" t="s">
        <v>902</v>
      </c>
      <c r="C22" s="291">
        <v>44747</v>
      </c>
      <c r="H22" s="41" t="s">
        <v>4026</v>
      </c>
      <c r="I22" s="172">
        <v>5598.6</v>
      </c>
      <c r="J22" s="162">
        <v>5343.05</v>
      </c>
      <c r="K22" s="109">
        <f t="shared" ref="K22" si="24">I22-J22</f>
        <v>255.55000000000018</v>
      </c>
      <c r="L22" s="158">
        <f t="shared" ref="L22" si="25">K22/J22</f>
        <v>4.782848747438264E-2</v>
      </c>
      <c r="M22" s="221">
        <f t="shared" si="14"/>
        <v>24.591725625000002</v>
      </c>
      <c r="N22" s="162">
        <f t="shared" si="18"/>
        <v>230.95827437500017</v>
      </c>
      <c r="O22" s="172"/>
      <c r="AA22" s="214"/>
      <c r="AK22" s="7" t="s">
        <v>1268</v>
      </c>
      <c r="AO22" s="7" t="s">
        <v>1255</v>
      </c>
      <c r="AS22" s="7" t="s">
        <v>1298</v>
      </c>
      <c r="AV22" s="7" t="s">
        <v>1448</v>
      </c>
      <c r="AW22" s="214">
        <v>1</v>
      </c>
      <c r="AX22" s="214">
        <v>1</v>
      </c>
      <c r="BD22" s="7" t="s">
        <v>1359</v>
      </c>
      <c r="BQ22" s="7" t="s">
        <v>1432</v>
      </c>
    </row>
    <row r="23" spans="1:92">
      <c r="B23" s="289" t="s">
        <v>4280</v>
      </c>
      <c r="C23" s="291" t="s">
        <v>4281</v>
      </c>
      <c r="D23" s="289" t="s">
        <v>4283</v>
      </c>
      <c r="H23" s="41" t="s">
        <v>3893</v>
      </c>
      <c r="I23" s="172">
        <v>4124</v>
      </c>
      <c r="J23" s="162">
        <v>3941</v>
      </c>
      <c r="K23" s="109">
        <f t="shared" ref="K23" si="26">I23-J23</f>
        <v>183</v>
      </c>
      <c r="L23" s="158">
        <f t="shared" ref="L23" si="27">K23/J23</f>
        <v>4.6434914996193857E-2</v>
      </c>
      <c r="M23" s="221">
        <f>I23*(0.001425*0.65)+J23*(0.001425*0.65)+I23*0.003</f>
        <v>19.84220625</v>
      </c>
      <c r="N23" s="162">
        <f t="shared" si="18"/>
        <v>163.15779375</v>
      </c>
      <c r="O23" s="172"/>
      <c r="AA23" s="214"/>
      <c r="AK23" s="7" t="s">
        <v>1272</v>
      </c>
      <c r="AO23" s="7" t="s">
        <v>1252</v>
      </c>
      <c r="AQ23" s="7" t="s">
        <v>1273</v>
      </c>
      <c r="AS23" s="7" t="s">
        <v>1307</v>
      </c>
      <c r="AV23" s="7" t="s">
        <v>1459</v>
      </c>
      <c r="AW23" s="214">
        <v>1</v>
      </c>
      <c r="BD23" s="7" t="s">
        <v>1360</v>
      </c>
      <c r="BQ23" s="7" t="s">
        <v>1435</v>
      </c>
    </row>
    <row r="24" spans="1:92">
      <c r="A24" s="289" t="s">
        <v>4284</v>
      </c>
      <c r="B24" s="289">
        <v>29467359</v>
      </c>
      <c r="C24" s="291" t="s">
        <v>4282</v>
      </c>
      <c r="D24" s="89" t="s">
        <v>6179</v>
      </c>
      <c r="H24" s="41" t="s">
        <v>3788</v>
      </c>
      <c r="I24" s="172">
        <v>1672.55</v>
      </c>
      <c r="J24" s="162">
        <v>1594.82</v>
      </c>
      <c r="K24" s="109">
        <f t="shared" ref="K24" si="28">I24-J24</f>
        <v>77.730000000000018</v>
      </c>
      <c r="L24" s="158">
        <f t="shared" ref="L24" si="29">K24/J24</f>
        <v>4.8739042650581273E-2</v>
      </c>
      <c r="M24" s="221">
        <f>I24*(0.001425*0.65)+J24*(0.001425*0.65)+I24*0.003</f>
        <v>8.0440514625000006</v>
      </c>
      <c r="N24" s="162">
        <f t="shared" si="18"/>
        <v>69.685948537500025</v>
      </c>
      <c r="O24" s="172"/>
      <c r="AA24" s="214"/>
      <c r="AK24" s="7" t="s">
        <v>1275</v>
      </c>
      <c r="AQ24" s="7" t="s">
        <v>1276</v>
      </c>
      <c r="AS24" s="7" t="s">
        <v>1299</v>
      </c>
      <c r="AV24" s="7" t="s">
        <v>1454</v>
      </c>
      <c r="AW24" s="214">
        <v>1</v>
      </c>
      <c r="BD24" s="7" t="s">
        <v>1361</v>
      </c>
      <c r="BQ24" s="7" t="s">
        <v>1433</v>
      </c>
    </row>
    <row r="25" spans="1:92">
      <c r="C25" s="291"/>
      <c r="D25" s="2"/>
      <c r="H25" s="41" t="s">
        <v>3773</v>
      </c>
      <c r="I25" s="172">
        <v>990.9</v>
      </c>
      <c r="J25" s="162">
        <v>937.75</v>
      </c>
      <c r="K25" s="109">
        <f t="shared" ref="K25" si="30">I25-J25</f>
        <v>53.149999999999977</v>
      </c>
      <c r="L25" s="158">
        <f t="shared" ref="L25" si="31">K25/J25</f>
        <v>5.6678219141562229E-2</v>
      </c>
      <c r="M25" s="221">
        <f t="shared" ref="M25:M27" si="32">I25*(0.001425*0.65)+J25*(0.001425*0.65)+I25*0.003</f>
        <v>4.7591120624999999</v>
      </c>
      <c r="N25" s="162">
        <f t="shared" ref="N25:N27" si="33">K25-M25</f>
        <v>48.390887937499976</v>
      </c>
      <c r="O25" s="172"/>
      <c r="AA25" s="214"/>
    </row>
    <row r="26" spans="1:92">
      <c r="A26" s="27" t="s">
        <v>3812</v>
      </c>
      <c r="B26" s="89" t="s">
        <v>1196</v>
      </c>
      <c r="C26" s="89" t="s">
        <v>1202</v>
      </c>
      <c r="D26" s="89" t="s">
        <v>1204</v>
      </c>
      <c r="E26" s="89" t="s">
        <v>1193</v>
      </c>
      <c r="H26" s="41" t="s">
        <v>3428</v>
      </c>
      <c r="I26" s="172">
        <v>1351.95</v>
      </c>
      <c r="J26" s="162">
        <v>1318.8</v>
      </c>
      <c r="K26" s="109">
        <f t="shared" ref="K26" si="34">I26-J26</f>
        <v>33.150000000000091</v>
      </c>
      <c r="L26" s="158">
        <f t="shared" ref="L26" si="35">K26/J26</f>
        <v>2.5136487716105622E-2</v>
      </c>
      <c r="M26" s="221">
        <f t="shared" si="32"/>
        <v>6.5296321875000007</v>
      </c>
      <c r="N26" s="162">
        <f t="shared" si="33"/>
        <v>26.620367812500092</v>
      </c>
      <c r="O26" s="172"/>
      <c r="AA26" s="214"/>
    </row>
    <row r="27" spans="1:92">
      <c r="B27" s="268" t="s">
        <v>1197</v>
      </c>
      <c r="C27" s="268" t="s">
        <v>1203</v>
      </c>
      <c r="D27" s="268" t="s">
        <v>1205</v>
      </c>
      <c r="E27" s="268" t="s">
        <v>1194</v>
      </c>
      <c r="H27" s="41" t="s">
        <v>2764</v>
      </c>
      <c r="I27" s="172">
        <v>208.2</v>
      </c>
      <c r="J27" s="162">
        <v>174.3</v>
      </c>
      <c r="K27" s="109">
        <f t="shared" ref="K27" si="36">I27-J27</f>
        <v>33.899999999999977</v>
      </c>
      <c r="L27" s="158">
        <f t="shared" ref="L27:L28" si="37">K27/J27</f>
        <v>0.19449225473321843</v>
      </c>
      <c r="M27" s="221">
        <f t="shared" si="32"/>
        <v>0.97889062500000001</v>
      </c>
      <c r="N27" s="162">
        <f t="shared" si="33"/>
        <v>32.921109374999979</v>
      </c>
      <c r="O27" s="172"/>
      <c r="AA27" s="214"/>
    </row>
    <row r="28" spans="1:92">
      <c r="B28" s="266" t="s">
        <v>1198</v>
      </c>
      <c r="C28" s="266" t="s">
        <v>1195</v>
      </c>
      <c r="D28" s="266" t="s">
        <v>1195</v>
      </c>
      <c r="E28" s="266" t="s">
        <v>1195</v>
      </c>
      <c r="H28" s="1" t="s">
        <v>3799</v>
      </c>
      <c r="I28" s="172">
        <f>SUM(I17:I27)</f>
        <v>15305.7</v>
      </c>
      <c r="J28" s="162">
        <f>SUM(J17:J27)</f>
        <v>14501.769999999999</v>
      </c>
      <c r="K28" s="169">
        <f>SUM(K17:K27)</f>
        <v>803.93000000000029</v>
      </c>
      <c r="L28" s="158">
        <f t="shared" si="37"/>
        <v>5.5436681177539041E-2</v>
      </c>
      <c r="M28" s="221">
        <f>SUM(M18:M27)</f>
        <v>70.430571337500012</v>
      </c>
      <c r="N28" s="162">
        <f>SUM(N18:N27)</f>
        <v>724.1994286625004</v>
      </c>
      <c r="O28" s="172">
        <f>I28/10</f>
        <v>1530.5700000000002</v>
      </c>
      <c r="AA28" s="214"/>
    </row>
    <row r="29" spans="1:92">
      <c r="B29" s="266"/>
      <c r="C29" s="266"/>
      <c r="D29" s="266"/>
      <c r="E29" s="266"/>
      <c r="AA29" s="214"/>
    </row>
    <row r="30" spans="1:92">
      <c r="A30" s="214" t="s">
        <v>4343</v>
      </c>
      <c r="B30" s="297" t="s">
        <v>4344</v>
      </c>
      <c r="C30" s="266"/>
      <c r="D30" s="266" t="s">
        <v>4430</v>
      </c>
      <c r="E30" s="266" t="s">
        <v>4431</v>
      </c>
      <c r="AA30" s="214"/>
      <c r="AK30" s="7" t="s">
        <v>1279</v>
      </c>
      <c r="AQ30" s="7" t="s">
        <v>1276</v>
      </c>
      <c r="AS30" s="7" t="s">
        <v>1300</v>
      </c>
      <c r="AV30" s="7" t="s">
        <v>1445</v>
      </c>
      <c r="AW30" s="214">
        <v>1</v>
      </c>
      <c r="BD30" s="7" t="s">
        <v>1380</v>
      </c>
      <c r="BQ30" s="7" t="s">
        <v>1434</v>
      </c>
      <c r="CE30" s="7"/>
      <c r="CF30" s="7"/>
      <c r="CG30" s="7"/>
      <c r="CH30" s="7"/>
      <c r="CI30" s="7"/>
      <c r="CJ30" s="7"/>
      <c r="CK30" s="7"/>
      <c r="CL30" s="7"/>
      <c r="CM30" s="7"/>
      <c r="CN30" s="7"/>
    </row>
    <row r="31" spans="1:92">
      <c r="B31" s="30" t="s">
        <v>4138</v>
      </c>
      <c r="C31" s="269"/>
      <c r="D31" s="26" t="s">
        <v>4140</v>
      </c>
      <c r="AA31" s="214"/>
      <c r="AS31" s="7" t="s">
        <v>1302</v>
      </c>
      <c r="AV31" s="7" t="s">
        <v>1455</v>
      </c>
      <c r="BD31" s="7" t="s">
        <v>1381</v>
      </c>
      <c r="BQ31" s="30" t="s">
        <v>1436</v>
      </c>
    </row>
    <row r="32" spans="1:92">
      <c r="A32" s="214" t="s">
        <v>4248</v>
      </c>
      <c r="B32" s="298" t="s">
        <v>4139</v>
      </c>
      <c r="C32" s="110"/>
      <c r="D32" s="299" t="s">
        <v>4141</v>
      </c>
      <c r="AA32" s="214"/>
      <c r="BQ32" s="30"/>
    </row>
    <row r="33" spans="1:82">
      <c r="A33" s="214" t="s">
        <v>4249</v>
      </c>
      <c r="B33" s="110" t="s">
        <v>4252</v>
      </c>
      <c r="C33" s="110"/>
      <c r="D33" s="299" t="s">
        <v>4251</v>
      </c>
      <c r="AA33" s="214"/>
      <c r="BQ33" s="30"/>
    </row>
    <row r="34" spans="1:82">
      <c r="A34" s="214" t="s">
        <v>4250</v>
      </c>
      <c r="B34" t="s">
        <v>4253</v>
      </c>
      <c r="C34" s="266"/>
      <c r="D34" s="297" t="s">
        <v>4254</v>
      </c>
      <c r="AA34" s="214"/>
      <c r="BQ34" s="30"/>
    </row>
    <row r="35" spans="1:82">
      <c r="C35" s="268"/>
      <c r="D35" s="268"/>
      <c r="AA35" s="214"/>
      <c r="BQ35" s="30"/>
    </row>
    <row r="36" spans="1:82">
      <c r="A36" s="248" t="s">
        <v>3957</v>
      </c>
      <c r="B36" s="294" t="s">
        <v>1199</v>
      </c>
      <c r="C36" s="8"/>
      <c r="D36" s="135" t="s">
        <v>905</v>
      </c>
      <c r="E36" s="248" t="s">
        <v>1646</v>
      </c>
      <c r="AS36" s="7" t="s">
        <v>1305</v>
      </c>
      <c r="AV36" s="7" t="s">
        <v>1458</v>
      </c>
      <c r="BQ36" s="7" t="s">
        <v>1439</v>
      </c>
    </row>
    <row r="37" spans="1:82">
      <c r="A37" s="268" t="s">
        <v>1206</v>
      </c>
      <c r="B37" s="268" t="s">
        <v>1207</v>
      </c>
      <c r="C37" s="268" t="s">
        <v>1208</v>
      </c>
      <c r="D37" s="268" t="s">
        <v>1209</v>
      </c>
      <c r="AA37" s="214"/>
      <c r="AK37" s="7" t="s">
        <v>1334</v>
      </c>
      <c r="AL37" s="7" t="s">
        <v>1335</v>
      </c>
      <c r="AS37" s="7" t="s">
        <v>1303</v>
      </c>
      <c r="AV37" s="7" t="s">
        <v>1456</v>
      </c>
      <c r="BD37" s="7" t="s">
        <v>1382</v>
      </c>
      <c r="BQ37" s="7" t="s">
        <v>1437</v>
      </c>
    </row>
    <row r="38" spans="1:82">
      <c r="A38" s="268" t="s">
        <v>1210</v>
      </c>
      <c r="B38" s="268" t="s">
        <v>1207</v>
      </c>
      <c r="C38" s="268" t="s">
        <v>1208</v>
      </c>
      <c r="D38" s="301" t="s">
        <v>1211</v>
      </c>
      <c r="AA38" s="214"/>
      <c r="AS38" s="7" t="s">
        <v>1304</v>
      </c>
      <c r="AV38" s="7" t="s">
        <v>1457</v>
      </c>
      <c r="BD38" s="7" t="s">
        <v>1388</v>
      </c>
      <c r="BQ38" s="7" t="s">
        <v>1438</v>
      </c>
      <c r="BW38" s="8"/>
      <c r="BX38" s="8"/>
      <c r="BY38" s="8"/>
      <c r="BZ38" s="8"/>
      <c r="CA38" s="8"/>
      <c r="CB38" s="8"/>
      <c r="CC38" s="8"/>
      <c r="CD38" s="8"/>
    </row>
    <row r="39" spans="1:82">
      <c r="A39" s="268" t="s">
        <v>1643</v>
      </c>
      <c r="B39" s="268" t="s">
        <v>1644</v>
      </c>
      <c r="C39" s="268" t="s">
        <v>1645</v>
      </c>
      <c r="AS39" s="7" t="s">
        <v>1306</v>
      </c>
      <c r="BQ39" s="7" t="s">
        <v>1440</v>
      </c>
    </row>
    <row r="40" spans="1:82">
      <c r="A40" s="268" t="s">
        <v>1640</v>
      </c>
      <c r="B40" s="293" t="s">
        <v>1641</v>
      </c>
      <c r="D40" s="268" t="s">
        <v>1642</v>
      </c>
      <c r="AV40" s="7" t="s">
        <v>1460</v>
      </c>
      <c r="BQ40" s="7" t="s">
        <v>1441</v>
      </c>
    </row>
    <row r="41" spans="1:82">
      <c r="A41" s="214" t="s">
        <v>4163</v>
      </c>
      <c r="B41" s="214" t="s">
        <v>4164</v>
      </c>
      <c r="C41" s="214" t="s">
        <v>4166</v>
      </c>
      <c r="D41" s="214" t="s">
        <v>4165</v>
      </c>
      <c r="E41" s="269"/>
      <c r="BQ41" s="7" t="s">
        <v>1442</v>
      </c>
    </row>
    <row r="42" spans="1:82">
      <c r="A42" s="268"/>
      <c r="B42" s="268"/>
      <c r="C42" s="268"/>
      <c r="D42" s="268"/>
      <c r="E42" s="268"/>
      <c r="F42" s="7"/>
      <c r="G42" s="7"/>
      <c r="H42" s="7"/>
      <c r="J42" s="24"/>
      <c r="K42" s="7"/>
      <c r="N42" s="222"/>
      <c r="O42" s="67"/>
      <c r="P42" s="7"/>
      <c r="T42" s="7"/>
      <c r="U42" s="7"/>
      <c r="AQ42" s="214"/>
      <c r="AR42" s="214"/>
      <c r="AU42" s="214"/>
      <c r="AV42" s="214"/>
      <c r="AW42" s="7"/>
      <c r="AX42" s="7"/>
      <c r="BA42" s="7"/>
      <c r="BB42" s="7"/>
      <c r="BK42" s="7" t="s">
        <v>1443</v>
      </c>
      <c r="BN42" s="22"/>
      <c r="BO42" s="9"/>
      <c r="BP42" s="20"/>
      <c r="BQ42" s="30"/>
      <c r="BR42" s="50"/>
      <c r="BS42" s="1"/>
      <c r="BT42" s="1"/>
      <c r="BU42" s="30"/>
      <c r="BV42" s="50"/>
      <c r="BW42" s="1"/>
      <c r="BX42" s="1"/>
      <c r="BY42" s="269"/>
      <c r="BZ42" s="269"/>
      <c r="CA42" s="269"/>
      <c r="CB42" s="269"/>
      <c r="CC42" s="269"/>
      <c r="CD42" s="269"/>
    </row>
    <row r="43" spans="1:82">
      <c r="A43" s="42" t="s">
        <v>198</v>
      </c>
      <c r="B43" s="268"/>
      <c r="C43" s="2" t="s">
        <v>1717</v>
      </c>
      <c r="E43" s="268"/>
      <c r="I43" s="51"/>
      <c r="L43" s="145"/>
      <c r="O43" s="51"/>
      <c r="T43" s="173"/>
      <c r="AU43" s="214"/>
      <c r="AV43" s="214"/>
      <c r="AW43" s="7"/>
      <c r="AX43" s="7"/>
      <c r="AY43" s="214"/>
      <c r="AZ43" s="214"/>
      <c r="BA43" s="7"/>
      <c r="BB43" s="7"/>
      <c r="BR43" s="22"/>
      <c r="BS43" s="9"/>
      <c r="BT43" s="20"/>
      <c r="BU43" s="30"/>
      <c r="BV43" s="50"/>
      <c r="BW43" s="1"/>
      <c r="BX43" s="1"/>
      <c r="BY43" s="30"/>
      <c r="BZ43" s="50"/>
      <c r="CA43" s="1"/>
      <c r="CB43" s="1"/>
      <c r="CC43" s="269"/>
      <c r="CD43" s="269"/>
    </row>
    <row r="44" spans="1:82">
      <c r="A44" s="20" t="s">
        <v>199</v>
      </c>
      <c r="B44" s="268"/>
      <c r="C44" s="2" t="s">
        <v>1718</v>
      </c>
      <c r="E44" s="268"/>
      <c r="I44" s="51"/>
      <c r="L44" s="145"/>
      <c r="O44" s="51"/>
      <c r="T44" s="220"/>
      <c r="AU44" s="214"/>
      <c r="AV44" s="214"/>
      <c r="AW44" s="7"/>
      <c r="AX44" s="7"/>
      <c r="AY44" s="214"/>
      <c r="AZ44" s="214"/>
      <c r="BA44" s="7"/>
      <c r="BB44" s="7"/>
      <c r="BR44" s="22"/>
      <c r="BS44" s="9"/>
      <c r="BT44" s="20"/>
      <c r="BU44" s="30"/>
      <c r="BV44" s="50"/>
      <c r="BW44" s="1"/>
      <c r="BX44" s="1"/>
      <c r="BY44" s="30"/>
      <c r="BZ44" s="50"/>
      <c r="CA44" s="1"/>
      <c r="CB44" s="1"/>
      <c r="CC44" s="269"/>
      <c r="CD44" s="269"/>
    </row>
    <row r="45" spans="1:82">
      <c r="A45" s="2" t="s">
        <v>200</v>
      </c>
      <c r="B45" s="268"/>
      <c r="C45" s="2" t="s">
        <v>1719</v>
      </c>
      <c r="E45" s="268"/>
      <c r="H45" s="7"/>
      <c r="I45" s="51"/>
      <c r="L45" s="145"/>
      <c r="O45" s="51"/>
      <c r="T45" s="220"/>
      <c r="W45" s="214"/>
      <c r="X45" s="214"/>
      <c r="Y45" s="214"/>
      <c r="Z45" s="214"/>
      <c r="AU45" s="214"/>
      <c r="AV45" s="214"/>
      <c r="AW45" s="7"/>
      <c r="AX45" s="7"/>
      <c r="AY45" s="214"/>
      <c r="AZ45" s="214"/>
      <c r="BA45" s="7"/>
      <c r="BB45" s="7"/>
      <c r="BR45" s="22"/>
      <c r="BS45" s="9"/>
      <c r="BT45" s="20"/>
      <c r="BU45" s="30"/>
      <c r="BV45" s="50"/>
      <c r="BW45" s="1"/>
      <c r="BX45" s="1"/>
      <c r="BY45" s="30"/>
      <c r="BZ45" s="50"/>
      <c r="CA45" s="1"/>
      <c r="CB45" s="1"/>
      <c r="CC45" s="269"/>
      <c r="CD45" s="269"/>
    </row>
    <row r="46" spans="1:82">
      <c r="A46" s="12" t="s">
        <v>201</v>
      </c>
      <c r="B46" s="268"/>
      <c r="C46" s="2" t="s">
        <v>1720</v>
      </c>
      <c r="E46" s="268"/>
      <c r="H46" s="7"/>
      <c r="I46" s="51"/>
      <c r="L46" s="145"/>
      <c r="O46" s="51"/>
      <c r="T46" s="220"/>
      <c r="AU46" s="214"/>
      <c r="AV46" s="214"/>
      <c r="AW46" s="7"/>
      <c r="AX46" s="7"/>
      <c r="AY46" s="214"/>
      <c r="AZ46" s="214"/>
      <c r="BA46" s="7"/>
      <c r="BB46" s="7"/>
      <c r="BR46" s="22"/>
      <c r="BS46" s="9"/>
      <c r="BT46" s="20"/>
      <c r="BU46" s="30"/>
      <c r="BV46" s="50"/>
      <c r="BW46" s="1"/>
      <c r="BX46" s="1"/>
      <c r="BY46" s="30"/>
      <c r="BZ46" s="50"/>
      <c r="CA46" s="1"/>
      <c r="CB46" s="1"/>
      <c r="CC46" s="269"/>
      <c r="CD46" s="269"/>
    </row>
    <row r="47" spans="1:82">
      <c r="A47" s="2" t="s">
        <v>202</v>
      </c>
      <c r="B47" s="268"/>
      <c r="C47" s="2" t="s">
        <v>1721</v>
      </c>
      <c r="E47" s="268"/>
      <c r="H47" s="7"/>
      <c r="I47" s="51"/>
      <c r="K47" s="214"/>
      <c r="L47" s="145"/>
      <c r="O47" s="51"/>
      <c r="T47" s="220"/>
      <c r="AU47" s="214"/>
      <c r="AV47" s="214"/>
      <c r="AW47" s="7"/>
      <c r="AX47" s="7"/>
      <c r="AY47" s="214"/>
      <c r="AZ47" s="214"/>
      <c r="BA47" s="7"/>
      <c r="BB47" s="7"/>
      <c r="BR47" s="22"/>
      <c r="BS47" s="9"/>
      <c r="BT47" s="20"/>
      <c r="BU47" s="30"/>
      <c r="BV47" s="50"/>
      <c r="BW47" s="1"/>
      <c r="BX47" s="1"/>
      <c r="BY47" s="30"/>
      <c r="BZ47" s="50"/>
      <c r="CA47" s="1"/>
      <c r="CB47" s="1"/>
      <c r="CC47" s="269"/>
      <c r="CD47" s="269"/>
    </row>
    <row r="48" spans="1:82">
      <c r="A48" s="12" t="s">
        <v>203</v>
      </c>
      <c r="B48" s="268"/>
      <c r="C48" s="2" t="s">
        <v>1722</v>
      </c>
      <c r="E48" s="268"/>
      <c r="F48" s="7"/>
      <c r="G48" s="7"/>
      <c r="H48" s="7"/>
      <c r="I48" s="94"/>
      <c r="J48" s="94"/>
      <c r="K48" s="214"/>
      <c r="O48" s="94"/>
      <c r="T48" s="220"/>
      <c r="AU48" s="214"/>
      <c r="AV48" s="214"/>
      <c r="AW48" s="7"/>
      <c r="AX48" s="7"/>
      <c r="AY48" s="214"/>
      <c r="AZ48" s="214"/>
      <c r="BA48" s="7"/>
      <c r="BB48" s="7"/>
      <c r="BR48" s="22"/>
      <c r="BS48" s="9"/>
      <c r="BT48" s="20"/>
      <c r="BU48" s="30"/>
      <c r="BV48" s="50"/>
      <c r="BW48" s="1"/>
      <c r="BX48" s="1"/>
      <c r="BY48" s="30"/>
      <c r="BZ48" s="50"/>
      <c r="CA48" s="1"/>
      <c r="CB48" s="1"/>
      <c r="CC48" s="269"/>
      <c r="CD48" s="269"/>
    </row>
    <row r="49" spans="1:90">
      <c r="A49" s="2" t="s">
        <v>204</v>
      </c>
      <c r="B49" s="268"/>
      <c r="C49" s="22" t="s">
        <v>1723</v>
      </c>
      <c r="E49" s="268"/>
      <c r="F49" s="7"/>
      <c r="G49" s="7"/>
      <c r="H49" s="7"/>
      <c r="I49" s="137"/>
      <c r="J49" s="94"/>
      <c r="K49" s="214"/>
      <c r="O49" s="137"/>
      <c r="T49" s="220"/>
      <c r="AU49" s="214"/>
      <c r="AV49" s="214"/>
      <c r="AW49" s="7"/>
      <c r="AX49" s="7"/>
      <c r="AY49" s="214"/>
      <c r="AZ49" s="214"/>
      <c r="BA49" s="7"/>
      <c r="BB49" s="7"/>
      <c r="BR49" s="22"/>
      <c r="BS49" s="9"/>
      <c r="BT49" s="20"/>
      <c r="BU49" s="30"/>
      <c r="BV49" s="50"/>
      <c r="BW49" s="1"/>
      <c r="BX49" s="1"/>
      <c r="BY49" s="30"/>
      <c r="BZ49" s="50"/>
      <c r="CA49" s="1"/>
      <c r="CB49" s="1"/>
      <c r="CC49" s="269"/>
      <c r="CD49" s="269"/>
    </row>
    <row r="50" spans="1:90">
      <c r="A50" s="12" t="s">
        <v>205</v>
      </c>
      <c r="B50" s="268"/>
      <c r="C50" s="22" t="s">
        <v>1724</v>
      </c>
      <c r="E50" s="268"/>
      <c r="F50" s="7"/>
      <c r="G50" s="7"/>
      <c r="H50" s="7"/>
      <c r="I50" s="94"/>
      <c r="J50" s="94"/>
      <c r="K50" s="214"/>
      <c r="O50" s="94"/>
      <c r="T50" s="220"/>
      <c r="AU50" s="214"/>
      <c r="AV50" s="214"/>
      <c r="AW50" s="7"/>
      <c r="AX50" s="7"/>
      <c r="AY50" s="214"/>
      <c r="AZ50" s="214"/>
      <c r="BA50" s="7"/>
      <c r="BB50" s="7"/>
      <c r="BR50" s="22"/>
      <c r="BS50" s="9"/>
      <c r="BT50" s="20"/>
      <c r="BU50" s="30"/>
      <c r="BV50" s="50"/>
      <c r="BW50" s="1"/>
      <c r="BX50" s="1"/>
      <c r="BY50" s="30"/>
      <c r="BZ50" s="50"/>
      <c r="CA50" s="1"/>
      <c r="CB50" s="1"/>
      <c r="CC50" s="269"/>
      <c r="CD50" s="269"/>
    </row>
    <row r="51" spans="1:90">
      <c r="A51" s="2" t="s">
        <v>206</v>
      </c>
      <c r="B51" s="268"/>
      <c r="C51" s="22" t="s">
        <v>1725</v>
      </c>
      <c r="E51" s="268"/>
      <c r="F51" s="7"/>
      <c r="G51" s="7"/>
      <c r="H51" s="127"/>
      <c r="I51" s="94"/>
      <c r="J51" s="94"/>
      <c r="K51" s="214"/>
      <c r="O51" s="94"/>
      <c r="T51" s="220"/>
      <c r="AU51" s="214"/>
      <c r="AV51" s="214"/>
      <c r="AW51" s="7"/>
      <c r="AX51" s="7"/>
      <c r="AY51" s="214"/>
      <c r="AZ51" s="214"/>
      <c r="BA51" s="7"/>
      <c r="BB51" s="7"/>
      <c r="BR51" s="22"/>
      <c r="BS51" s="9"/>
      <c r="BT51" s="20"/>
      <c r="BU51" s="30"/>
      <c r="BV51" s="50"/>
      <c r="BW51" s="1"/>
      <c r="BX51" s="1"/>
      <c r="BY51" s="30"/>
      <c r="BZ51" s="50"/>
      <c r="CA51" s="1"/>
      <c r="CB51" s="1"/>
      <c r="CC51" s="269"/>
      <c r="CD51" s="269"/>
    </row>
    <row r="52" spans="1:90">
      <c r="A52" s="12" t="s">
        <v>207</v>
      </c>
      <c r="B52" s="268"/>
      <c r="C52" s="22" t="s">
        <v>1726</v>
      </c>
      <c r="E52" s="268"/>
      <c r="F52" s="7"/>
      <c r="G52" s="7"/>
      <c r="H52" s="127"/>
      <c r="I52" s="94"/>
      <c r="J52" s="94"/>
      <c r="K52" s="214"/>
      <c r="O52" s="94"/>
      <c r="AU52" s="214"/>
      <c r="AV52" s="214"/>
      <c r="AW52" s="7"/>
      <c r="AX52" s="7"/>
      <c r="AY52" s="214"/>
      <c r="AZ52" s="214"/>
      <c r="BA52" s="7"/>
      <c r="BB52" s="7"/>
      <c r="BR52" s="22"/>
      <c r="BS52" s="9"/>
      <c r="BT52" s="20"/>
      <c r="BU52" s="30"/>
      <c r="BV52" s="50"/>
      <c r="BW52" s="1"/>
      <c r="BX52" s="1"/>
      <c r="BY52" s="30"/>
      <c r="BZ52" s="50"/>
      <c r="CA52" s="1"/>
      <c r="CB52" s="1"/>
      <c r="CC52" s="269"/>
      <c r="CD52" s="269"/>
    </row>
    <row r="53" spans="1:90">
      <c r="A53" s="2" t="s">
        <v>208</v>
      </c>
      <c r="B53" s="268"/>
      <c r="C53" s="22" t="s">
        <v>1727</v>
      </c>
      <c r="E53" s="268"/>
      <c r="F53" s="7"/>
      <c r="G53" s="7"/>
      <c r="H53" s="127"/>
      <c r="AU53" s="214"/>
      <c r="AV53" s="214"/>
      <c r="AW53" s="7"/>
      <c r="AX53" s="7"/>
      <c r="AY53" s="214"/>
      <c r="AZ53" s="214"/>
      <c r="BA53" s="7"/>
      <c r="BB53" s="7"/>
      <c r="BR53" s="22"/>
      <c r="BS53" s="9"/>
      <c r="BT53" s="20"/>
      <c r="BU53" s="30"/>
      <c r="BV53" s="50"/>
      <c r="BW53" s="1"/>
      <c r="BX53" s="1"/>
      <c r="BY53" s="30"/>
      <c r="BZ53" s="50"/>
      <c r="CA53" s="1"/>
      <c r="CB53" s="1"/>
      <c r="CC53" s="269"/>
      <c r="CD53" s="269"/>
    </row>
    <row r="54" spans="1:90">
      <c r="A54" s="12" t="s">
        <v>209</v>
      </c>
      <c r="B54" s="268"/>
      <c r="C54" s="2" t="s">
        <v>1728</v>
      </c>
      <c r="E54" s="268"/>
      <c r="F54" s="27"/>
      <c r="G54" s="27"/>
      <c r="H54" s="127"/>
      <c r="AU54" s="214"/>
      <c r="AV54" s="214"/>
      <c r="AW54" s="7"/>
      <c r="AX54" s="7"/>
      <c r="AY54" s="214"/>
      <c r="AZ54" s="214"/>
      <c r="BA54" s="7"/>
      <c r="BB54" s="7"/>
      <c r="BR54" s="22"/>
      <c r="BS54" s="9"/>
      <c r="BT54" s="20"/>
      <c r="BU54" s="30"/>
      <c r="BV54" s="50"/>
      <c r="BW54" s="1"/>
      <c r="BX54" s="1"/>
      <c r="BY54" s="30"/>
      <c r="BZ54" s="50"/>
      <c r="CA54" s="1"/>
      <c r="CB54" s="1"/>
      <c r="CC54" s="269"/>
      <c r="CD54" s="269"/>
    </row>
    <row r="55" spans="1:90">
      <c r="A55" s="2" t="s">
        <v>210</v>
      </c>
      <c r="B55" s="268"/>
      <c r="C55" s="268"/>
      <c r="D55" s="27"/>
      <c r="E55" s="268"/>
      <c r="F55" s="27"/>
      <c r="G55" s="27"/>
      <c r="H55" s="127"/>
      <c r="AU55" s="214"/>
      <c r="AV55" s="214"/>
      <c r="AW55" s="7"/>
      <c r="AX55" s="7"/>
      <c r="AY55" s="214"/>
      <c r="AZ55" s="214"/>
      <c r="BA55" s="7"/>
      <c r="BB55" s="7"/>
      <c r="BR55" s="22"/>
      <c r="BS55" s="9"/>
      <c r="BT55" s="20"/>
      <c r="BU55" s="30"/>
      <c r="BV55" s="50"/>
      <c r="BW55" s="1"/>
      <c r="BX55" s="1"/>
      <c r="BY55" s="30"/>
      <c r="BZ55" s="50"/>
      <c r="CA55" s="1"/>
      <c r="CB55" s="1"/>
      <c r="CC55" s="269"/>
      <c r="CD55" s="269"/>
    </row>
    <row r="56" spans="1:90">
      <c r="A56" s="12" t="s">
        <v>211</v>
      </c>
      <c r="B56" s="268"/>
      <c r="C56" s="268"/>
      <c r="D56" s="51"/>
      <c r="E56" s="268"/>
      <c r="F56" s="27"/>
      <c r="G56" s="27"/>
      <c r="H56" s="127"/>
      <c r="AU56" s="214"/>
      <c r="AV56" s="214"/>
      <c r="AW56" s="7"/>
      <c r="AX56" s="7"/>
      <c r="AY56" s="214"/>
      <c r="AZ56" s="214"/>
      <c r="BA56" s="7"/>
      <c r="BB56" s="7"/>
      <c r="BR56" s="22"/>
      <c r="BS56" s="9"/>
      <c r="BT56" s="20"/>
      <c r="BU56" s="30"/>
      <c r="BV56" s="50"/>
      <c r="BW56" s="1"/>
      <c r="BX56" s="1"/>
      <c r="BY56" s="30"/>
      <c r="BZ56" s="50"/>
      <c r="CA56" s="1"/>
      <c r="CB56" s="1"/>
      <c r="CC56" s="7"/>
      <c r="CD56" s="7"/>
      <c r="CE56" s="7"/>
      <c r="CF56" s="7"/>
      <c r="CG56" s="7"/>
      <c r="CH56" s="7"/>
      <c r="CI56" s="7"/>
      <c r="CJ56" s="7"/>
      <c r="CK56" s="7"/>
      <c r="CL56" s="7"/>
    </row>
    <row r="57" spans="1:90">
      <c r="A57" s="42" t="s">
        <v>212</v>
      </c>
      <c r="B57" s="268"/>
      <c r="C57" s="268"/>
      <c r="D57" s="27"/>
      <c r="E57" s="268"/>
      <c r="F57" s="127"/>
      <c r="G57" s="127"/>
      <c r="H57" s="128"/>
      <c r="AU57" s="214"/>
      <c r="AV57" s="214"/>
      <c r="AW57" s="7"/>
      <c r="AX57" s="7"/>
      <c r="AY57" s="214"/>
      <c r="AZ57" s="214"/>
      <c r="BA57" s="7"/>
      <c r="BB57" s="7"/>
      <c r="BR57" s="22"/>
      <c r="BS57" s="9"/>
      <c r="BT57" s="20"/>
      <c r="BU57" s="30"/>
      <c r="BV57" s="50"/>
      <c r="BW57" s="1"/>
      <c r="BX57" s="1"/>
      <c r="BY57" s="30"/>
      <c r="BZ57" s="50"/>
      <c r="CA57" s="1"/>
      <c r="CB57" s="1"/>
      <c r="CC57" s="269"/>
      <c r="CD57" s="269"/>
    </row>
    <row r="58" spans="1:90">
      <c r="F58" s="127"/>
      <c r="G58" s="127"/>
      <c r="H58" s="7"/>
      <c r="W58" s="270"/>
      <c r="X58" s="68"/>
      <c r="Y58" s="59"/>
      <c r="Z58" s="11"/>
      <c r="AA58" s="101"/>
      <c r="AB58" s="9"/>
      <c r="AC58" s="90"/>
      <c r="AD58" s="12"/>
      <c r="AE58" s="86"/>
      <c r="AF58" s="85"/>
      <c r="AG58" s="80"/>
      <c r="AH58" s="121"/>
      <c r="AI58" s="269"/>
      <c r="AJ58" s="269"/>
      <c r="AK58" s="269"/>
      <c r="AL58" s="269"/>
      <c r="AM58" s="269"/>
      <c r="AN58" s="269"/>
      <c r="AO58" s="269"/>
      <c r="AP58" s="269"/>
      <c r="AQ58" s="269"/>
      <c r="AR58" s="269"/>
      <c r="AS58" s="269"/>
      <c r="AT58" s="269"/>
      <c r="AU58" s="269"/>
      <c r="AV58" s="269"/>
      <c r="AW58" s="269"/>
      <c r="AX58" s="269"/>
      <c r="AY58" s="269"/>
      <c r="AZ58" s="269"/>
      <c r="BA58" s="269"/>
      <c r="BB58" s="269"/>
      <c r="BC58" s="269"/>
      <c r="BD58" s="269"/>
      <c r="BE58" s="269"/>
      <c r="BF58" s="269"/>
      <c r="BG58" s="269"/>
      <c r="BH58" s="269"/>
      <c r="BI58" s="269"/>
      <c r="BJ58" s="269"/>
      <c r="BK58" s="269"/>
      <c r="BL58" s="269"/>
      <c r="BM58" s="269"/>
      <c r="BN58" s="269"/>
      <c r="BO58" s="269"/>
      <c r="BP58" s="269"/>
      <c r="BQ58" s="269"/>
      <c r="BR58" s="269"/>
      <c r="BS58" s="269"/>
      <c r="BT58" s="269"/>
      <c r="BU58" s="269"/>
      <c r="BV58" s="269"/>
      <c r="BW58" s="269"/>
      <c r="BX58" s="269"/>
      <c r="BY58" s="269"/>
      <c r="BZ58" s="269"/>
      <c r="CA58" s="269"/>
      <c r="CB58" s="269"/>
      <c r="CC58" s="269"/>
      <c r="CD58" s="269"/>
    </row>
    <row r="59" spans="1:90">
      <c r="A59" s="23" t="s">
        <v>213</v>
      </c>
      <c r="B59" s="145"/>
      <c r="F59" s="127"/>
      <c r="G59" s="127"/>
      <c r="H59" s="7"/>
      <c r="W59" s="270"/>
      <c r="X59" s="68"/>
      <c r="Y59" s="59"/>
      <c r="Z59" s="11"/>
      <c r="AA59" s="101"/>
      <c r="AB59" s="9"/>
      <c r="AC59" s="90"/>
      <c r="AD59" s="12"/>
      <c r="AE59" s="86"/>
      <c r="AF59" s="85"/>
      <c r="AG59" s="80"/>
      <c r="AH59" s="121"/>
      <c r="AI59" s="269"/>
      <c r="AJ59" s="269"/>
      <c r="AK59" s="269"/>
      <c r="AL59" s="269"/>
      <c r="AM59" s="269"/>
      <c r="AN59" s="269"/>
      <c r="AO59" s="269"/>
      <c r="AP59" s="269"/>
      <c r="AQ59" s="269"/>
      <c r="AR59" s="269"/>
      <c r="AS59" s="269"/>
      <c r="AT59" s="269"/>
      <c r="AU59" s="269"/>
      <c r="AV59" s="269"/>
      <c r="AW59" s="269"/>
      <c r="AX59" s="269"/>
      <c r="AY59" s="269"/>
      <c r="AZ59" s="269"/>
      <c r="BA59" s="269"/>
      <c r="BB59" s="269"/>
      <c r="BC59" s="269"/>
      <c r="BD59" s="269"/>
      <c r="BE59" s="269"/>
      <c r="BF59" s="269"/>
      <c r="BG59" s="269"/>
      <c r="BH59" s="269"/>
      <c r="BI59" s="269"/>
      <c r="BJ59" s="269"/>
      <c r="BK59" s="269"/>
      <c r="BL59" s="269"/>
      <c r="BM59" s="269"/>
      <c r="BN59" s="269"/>
      <c r="BO59" s="269"/>
      <c r="BP59" s="269"/>
      <c r="BQ59" s="269"/>
      <c r="BR59" s="269"/>
      <c r="BS59" s="269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</row>
    <row r="60" spans="1:90">
      <c r="A60" s="23" t="s">
        <v>214</v>
      </c>
      <c r="B60" s="145"/>
      <c r="F60" s="129"/>
      <c r="G60" s="129"/>
      <c r="W60" s="270"/>
      <c r="X60" s="68"/>
      <c r="Y60" s="59"/>
      <c r="Z60" s="11"/>
      <c r="AA60" s="101"/>
      <c r="AB60" s="9"/>
      <c r="AC60" s="90"/>
      <c r="AD60" s="12"/>
      <c r="AE60" s="86"/>
      <c r="AF60" s="85"/>
      <c r="AG60" s="80"/>
      <c r="AH60" s="121"/>
      <c r="AI60" s="269"/>
      <c r="AJ60" s="269"/>
      <c r="AK60" s="269"/>
      <c r="AL60" s="269"/>
      <c r="AM60" s="269"/>
      <c r="AN60" s="269"/>
      <c r="AO60" s="269"/>
      <c r="AP60" s="269"/>
      <c r="AQ60" s="269"/>
      <c r="AR60" s="269"/>
      <c r="AS60" s="269"/>
      <c r="AT60" s="269"/>
      <c r="AU60" s="269"/>
      <c r="AV60" s="269"/>
      <c r="AW60" s="269"/>
      <c r="AX60" s="269"/>
      <c r="AY60" s="269"/>
      <c r="AZ60" s="269"/>
      <c r="BA60" s="269"/>
      <c r="BB60" s="269"/>
      <c r="BC60" s="269"/>
      <c r="BD60" s="269"/>
      <c r="BE60" s="269"/>
      <c r="BF60" s="269"/>
      <c r="BG60" s="269"/>
      <c r="BH60" s="269"/>
      <c r="BI60" s="269"/>
      <c r="BJ60" s="269"/>
      <c r="BK60" s="269"/>
      <c r="BL60" s="269"/>
      <c r="BM60" s="269"/>
      <c r="BN60" s="269"/>
      <c r="BO60" s="269"/>
      <c r="BP60" s="269"/>
      <c r="BQ60" s="269"/>
      <c r="BR60" s="269"/>
      <c r="BS60" s="269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</row>
    <row r="61" spans="1:90">
      <c r="A61" s="23" t="s">
        <v>215</v>
      </c>
      <c r="B61" s="145"/>
      <c r="F61" s="269"/>
      <c r="G61" s="269"/>
      <c r="W61" s="270"/>
      <c r="X61" s="68"/>
      <c r="Y61" s="59"/>
      <c r="Z61" s="11"/>
      <c r="AA61" s="101"/>
      <c r="AB61" s="9"/>
      <c r="AC61" s="90"/>
      <c r="AD61" s="12"/>
      <c r="AE61" s="86"/>
      <c r="AF61" s="85"/>
      <c r="AG61" s="80"/>
      <c r="AH61" s="121"/>
      <c r="AI61" s="269"/>
      <c r="AJ61" s="269"/>
      <c r="AK61" s="269"/>
      <c r="AL61" s="269"/>
      <c r="AM61" s="269"/>
      <c r="AN61" s="269"/>
      <c r="AO61" s="269"/>
      <c r="AP61" s="269"/>
      <c r="AQ61" s="269"/>
      <c r="AR61" s="269"/>
      <c r="AS61" s="269"/>
      <c r="AT61" s="269"/>
      <c r="AU61" s="269"/>
      <c r="AV61" s="269"/>
      <c r="AW61" s="269"/>
      <c r="AX61" s="269"/>
      <c r="AY61" s="269"/>
      <c r="AZ61" s="269"/>
      <c r="BA61" s="269"/>
      <c r="BB61" s="269"/>
      <c r="BC61" s="269"/>
      <c r="BD61" s="269"/>
      <c r="BE61" s="269"/>
      <c r="BF61" s="269"/>
      <c r="BG61" s="269"/>
      <c r="BH61" s="269"/>
      <c r="BI61" s="269"/>
      <c r="BJ61" s="269"/>
      <c r="BK61" s="269"/>
      <c r="BL61" s="269"/>
      <c r="BM61" s="269"/>
      <c r="BN61" s="269"/>
      <c r="BO61" s="269"/>
      <c r="BP61" s="269"/>
      <c r="BQ61" s="269"/>
      <c r="BR61" s="269"/>
      <c r="BS61" s="269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</row>
    <row r="62" spans="1:90">
      <c r="A62" s="22" t="s">
        <v>216</v>
      </c>
      <c r="B62" s="145"/>
      <c r="F62" s="269"/>
      <c r="G62" s="269"/>
      <c r="W62" s="270"/>
      <c r="X62" s="68"/>
      <c r="Y62" s="59"/>
      <c r="Z62" s="11"/>
      <c r="AA62" s="101"/>
      <c r="AB62" s="9"/>
      <c r="AC62" s="90"/>
      <c r="AD62" s="12"/>
      <c r="AE62" s="86"/>
      <c r="AF62" s="85"/>
      <c r="AG62" s="80"/>
      <c r="AH62" s="121"/>
      <c r="AI62" s="269"/>
      <c r="AJ62" s="269"/>
      <c r="AK62" s="269"/>
      <c r="AL62" s="269"/>
      <c r="AM62" s="269"/>
      <c r="AN62" s="269"/>
      <c r="AO62" s="269"/>
      <c r="AP62" s="269"/>
      <c r="AQ62" s="269"/>
      <c r="AR62" s="269"/>
      <c r="AS62" s="269"/>
      <c r="AT62" s="269"/>
      <c r="AU62" s="269"/>
      <c r="AV62" s="269"/>
      <c r="AW62" s="269"/>
      <c r="AX62" s="269"/>
      <c r="AY62" s="269"/>
      <c r="AZ62" s="269"/>
      <c r="BA62" s="269"/>
      <c r="BB62" s="269"/>
      <c r="BC62" s="269"/>
      <c r="BD62" s="269"/>
      <c r="BE62" s="269"/>
      <c r="BF62" s="269"/>
      <c r="BG62" s="269"/>
      <c r="BH62" s="269"/>
      <c r="BI62" s="269"/>
      <c r="BJ62" s="269"/>
      <c r="BK62" s="269"/>
      <c r="BL62" s="269"/>
      <c r="BM62" s="269"/>
      <c r="BN62" s="269"/>
      <c r="BO62" s="269"/>
      <c r="BP62" s="269"/>
      <c r="BQ62" s="269"/>
      <c r="BR62" s="269"/>
      <c r="BS62" s="269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</row>
    <row r="63" spans="1:90">
      <c r="A63" s="22" t="s">
        <v>217</v>
      </c>
      <c r="B63" s="145"/>
      <c r="W63" s="270"/>
      <c r="X63" s="68"/>
      <c r="Y63" s="59"/>
      <c r="Z63" s="11"/>
      <c r="AA63" s="101"/>
      <c r="AB63" s="9"/>
      <c r="AC63" s="90"/>
      <c r="AD63" s="12"/>
      <c r="AE63" s="86"/>
      <c r="AF63" s="85"/>
      <c r="AG63" s="80"/>
      <c r="AH63" s="121"/>
      <c r="AI63" s="269"/>
      <c r="AJ63" s="269"/>
      <c r="AK63" s="269"/>
      <c r="AL63" s="269"/>
      <c r="AM63" s="269"/>
      <c r="AN63" s="269"/>
      <c r="AO63" s="269"/>
      <c r="AP63" s="269"/>
      <c r="AQ63" s="269"/>
      <c r="AR63" s="269"/>
      <c r="AS63" s="269"/>
      <c r="AT63" s="269"/>
      <c r="AU63" s="269"/>
      <c r="AV63" s="269"/>
      <c r="AW63" s="269"/>
      <c r="AX63" s="269"/>
      <c r="AY63" s="269"/>
      <c r="AZ63" s="269"/>
      <c r="BA63" s="269"/>
      <c r="BB63" s="269"/>
      <c r="BC63" s="269"/>
      <c r="BD63" s="269"/>
      <c r="BE63" s="269"/>
      <c r="BF63" s="269"/>
      <c r="BG63" s="269"/>
      <c r="BH63" s="269"/>
      <c r="BI63" s="269"/>
      <c r="BJ63" s="269"/>
      <c r="BK63" s="269"/>
      <c r="BL63" s="269"/>
      <c r="BM63" s="269"/>
      <c r="BN63" s="269"/>
      <c r="BO63" s="269"/>
      <c r="BP63" s="269"/>
      <c r="BQ63" s="269"/>
      <c r="BR63" s="269"/>
      <c r="BS63" s="269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</row>
    <row r="64" spans="1:90">
      <c r="A64" s="22" t="s">
        <v>218</v>
      </c>
      <c r="B64" s="145"/>
      <c r="W64" s="270"/>
      <c r="X64" s="68"/>
      <c r="Y64" s="59"/>
      <c r="Z64" s="11"/>
      <c r="AA64" s="101"/>
      <c r="AB64" s="9"/>
      <c r="AC64" s="90"/>
      <c r="AD64" s="12"/>
      <c r="AE64" s="86"/>
      <c r="AF64" s="85"/>
      <c r="AG64" s="80"/>
      <c r="AH64" s="121"/>
      <c r="AI64" s="269"/>
      <c r="AJ64" s="269"/>
      <c r="AK64" s="269"/>
      <c r="AL64" s="269"/>
      <c r="AM64" s="269"/>
      <c r="AN64" s="269"/>
      <c r="AO64" s="269"/>
      <c r="AP64" s="269"/>
      <c r="AQ64" s="269"/>
      <c r="AR64" s="269"/>
      <c r="AS64" s="269"/>
      <c r="AT64" s="269"/>
      <c r="AU64" s="269"/>
      <c r="AV64" s="269"/>
      <c r="AW64" s="269"/>
      <c r="AX64" s="269"/>
      <c r="AY64" s="269"/>
      <c r="AZ64" s="269"/>
      <c r="BA64" s="269"/>
      <c r="BB64" s="269"/>
      <c r="BC64" s="269"/>
      <c r="BD64" s="269"/>
      <c r="BE64" s="269"/>
      <c r="BF64" s="269"/>
      <c r="BG64" s="269"/>
      <c r="BH64" s="269"/>
      <c r="BI64" s="269"/>
      <c r="BJ64" s="269"/>
      <c r="BK64" s="269"/>
      <c r="BL64" s="269"/>
      <c r="BM64" s="269"/>
      <c r="BN64" s="269"/>
      <c r="BO64" s="269"/>
      <c r="BP64" s="269"/>
      <c r="BQ64" s="269"/>
      <c r="BR64" s="269"/>
      <c r="BS64" s="269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</row>
    <row r="65" spans="1:82">
      <c r="W65" s="270"/>
      <c r="X65" s="68"/>
      <c r="Y65" s="59"/>
      <c r="Z65" s="11"/>
      <c r="AA65" s="101"/>
      <c r="AB65" s="9"/>
      <c r="AC65" s="90"/>
      <c r="AD65" s="12"/>
      <c r="AE65" s="86"/>
      <c r="AF65" s="85"/>
      <c r="AG65" s="80"/>
      <c r="AH65" s="121"/>
      <c r="AI65" s="269"/>
      <c r="AJ65" s="269"/>
      <c r="AK65" s="269"/>
      <c r="AL65" s="269"/>
      <c r="AM65" s="269"/>
      <c r="AN65" s="269"/>
      <c r="AO65" s="269"/>
      <c r="AP65" s="269"/>
      <c r="AQ65" s="269"/>
      <c r="AR65" s="269"/>
      <c r="AS65" s="269"/>
      <c r="AT65" s="269"/>
      <c r="AU65" s="269"/>
      <c r="AV65" s="269"/>
      <c r="AW65" s="269"/>
      <c r="AX65" s="269"/>
      <c r="AY65" s="269"/>
      <c r="AZ65" s="269"/>
      <c r="BA65" s="269"/>
      <c r="BB65" s="269"/>
      <c r="BC65" s="269"/>
      <c r="BD65" s="269"/>
      <c r="BE65" s="269"/>
      <c r="BF65" s="269"/>
      <c r="BG65" s="269"/>
      <c r="BH65" s="269"/>
      <c r="BI65" s="269"/>
      <c r="BJ65" s="269"/>
      <c r="BK65" s="269"/>
      <c r="BL65" s="269"/>
      <c r="BM65" s="269"/>
      <c r="BN65" s="269"/>
      <c r="BO65" s="269"/>
      <c r="BP65" s="269"/>
      <c r="BQ65" s="269"/>
      <c r="BR65" s="269"/>
      <c r="BS65" s="269"/>
      <c r="BT65" s="269"/>
      <c r="BU65" s="269"/>
      <c r="BV65" s="269"/>
      <c r="BW65" s="269"/>
      <c r="BX65" s="269"/>
      <c r="BY65" s="269"/>
      <c r="BZ65" s="269"/>
      <c r="CA65" s="269"/>
      <c r="CB65" s="269"/>
      <c r="CC65" s="269"/>
      <c r="CD65" s="269"/>
    </row>
    <row r="66" spans="1:82">
      <c r="A66" s="214" t="s">
        <v>1536</v>
      </c>
      <c r="B66" s="30" t="s">
        <v>1537</v>
      </c>
      <c r="C66" s="8" t="s">
        <v>1538</v>
      </c>
      <c r="D66" s="30" t="s">
        <v>1540</v>
      </c>
      <c r="E66" s="8" t="s">
        <v>3</v>
      </c>
    </row>
    <row r="67" spans="1:82">
      <c r="A67" s="215" t="s">
        <v>2035</v>
      </c>
      <c r="B67" s="40">
        <v>87</v>
      </c>
      <c r="C67" s="6">
        <v>89.6</v>
      </c>
      <c r="D67" s="63">
        <f>B67-C67</f>
        <v>-2.5999999999999943</v>
      </c>
      <c r="E67" s="154">
        <f>D67/C67</f>
        <v>-2.9017857142857081E-2</v>
      </c>
    </row>
    <row r="68" spans="1:82">
      <c r="A68" s="214" t="s">
        <v>2034</v>
      </c>
      <c r="B68" s="13">
        <f>SUM(B67:B67)</f>
        <v>87</v>
      </c>
      <c r="C68" s="45">
        <f>SUM(C67:C67)</f>
        <v>89.6</v>
      </c>
      <c r="D68" s="63">
        <f>B68-C68</f>
        <v>-2.5999999999999943</v>
      </c>
      <c r="E68" s="154">
        <f>D68/C68</f>
        <v>-2.9017857142857081E-2</v>
      </c>
    </row>
    <row r="69" spans="1:82">
      <c r="A69" s="214" t="s">
        <v>1536</v>
      </c>
      <c r="B69" s="30" t="s">
        <v>1537</v>
      </c>
      <c r="C69" s="8" t="s">
        <v>1538</v>
      </c>
      <c r="D69" s="30" t="s">
        <v>1540</v>
      </c>
      <c r="E69" s="8" t="s">
        <v>1539</v>
      </c>
    </row>
    <row r="70" spans="1:82">
      <c r="A70" s="216" t="s">
        <v>1541</v>
      </c>
      <c r="B70" s="7"/>
      <c r="C70" s="7"/>
      <c r="D70" s="15">
        <v>8.8800000000000008</v>
      </c>
      <c r="E70" s="107"/>
    </row>
    <row r="71" spans="1:82">
      <c r="A71" s="215" t="s">
        <v>1563</v>
      </c>
      <c r="B71" s="40">
        <v>294.64999999999998</v>
      </c>
      <c r="C71" s="6">
        <v>277</v>
      </c>
      <c r="D71" s="63">
        <f t="shared" ref="D71:D76" si="38">B71-C71</f>
        <v>17.649999999999977</v>
      </c>
      <c r="E71" s="107">
        <f t="shared" ref="E71:E77" si="39">D71/C71</f>
        <v>6.3718411552346491E-2</v>
      </c>
    </row>
    <row r="72" spans="1:82">
      <c r="A72" s="215" t="s">
        <v>1562</v>
      </c>
      <c r="B72" s="40">
        <v>406.8</v>
      </c>
      <c r="C72" s="6">
        <v>411.67</v>
      </c>
      <c r="D72" s="63">
        <f t="shared" si="38"/>
        <v>-4.8700000000000045</v>
      </c>
      <c r="E72" s="107">
        <f t="shared" si="39"/>
        <v>-1.1829863725799802E-2</v>
      </c>
      <c r="I72" s="98"/>
      <c r="O72" s="98"/>
    </row>
    <row r="73" spans="1:82">
      <c r="A73" s="215" t="s">
        <v>1561</v>
      </c>
      <c r="B73" s="40">
        <v>187.7</v>
      </c>
      <c r="C73" s="6">
        <v>179.88</v>
      </c>
      <c r="D73" s="63">
        <f t="shared" si="38"/>
        <v>7.8199999999999932</v>
      </c>
      <c r="E73" s="107">
        <f t="shared" si="39"/>
        <v>4.3473426728930363E-2</v>
      </c>
      <c r="I73" s="98"/>
      <c r="O73" s="98"/>
    </row>
    <row r="74" spans="1:82">
      <c r="A74" s="215" t="s">
        <v>1560</v>
      </c>
      <c r="B74" s="40">
        <v>696.4</v>
      </c>
      <c r="C74" s="6">
        <v>675.66</v>
      </c>
      <c r="D74" s="63">
        <f t="shared" si="38"/>
        <v>20.740000000000009</v>
      </c>
      <c r="E74" s="107">
        <f t="shared" si="39"/>
        <v>3.0695912145161784E-2</v>
      </c>
      <c r="I74" s="98"/>
      <c r="M74" s="44"/>
      <c r="O74" s="98"/>
    </row>
    <row r="75" spans="1:82">
      <c r="A75" s="215" t="s">
        <v>1559</v>
      </c>
      <c r="B75" s="40">
        <v>80.45</v>
      </c>
      <c r="C75" s="6">
        <v>77.39</v>
      </c>
      <c r="D75" s="63">
        <f t="shared" si="38"/>
        <v>3.0600000000000023</v>
      </c>
      <c r="E75" s="107">
        <f t="shared" si="39"/>
        <v>3.9539992247060375E-2</v>
      </c>
      <c r="I75" s="99"/>
      <c r="M75" s="44"/>
      <c r="O75" s="99"/>
    </row>
    <row r="76" spans="1:82">
      <c r="A76" s="215" t="s">
        <v>1532</v>
      </c>
      <c r="B76" s="40">
        <v>235.25</v>
      </c>
      <c r="C76" s="6">
        <v>187.37</v>
      </c>
      <c r="D76" s="63">
        <f t="shared" si="38"/>
        <v>47.879999999999995</v>
      </c>
      <c r="E76" s="107">
        <f t="shared" si="39"/>
        <v>0.25553717243955804</v>
      </c>
      <c r="I76" s="99"/>
      <c r="M76" s="44"/>
      <c r="O76" s="99"/>
    </row>
    <row r="77" spans="1:82">
      <c r="A77" s="214" t="s">
        <v>1547</v>
      </c>
      <c r="B77" s="13">
        <f>SUM(B71:B76)</f>
        <v>1901.2500000000002</v>
      </c>
      <c r="C77" s="45">
        <f>SUM(C71:C76)</f>
        <v>1808.9700000000003</v>
      </c>
      <c r="D77" s="15">
        <f>SUM(D70:D76)</f>
        <v>101.15999999999997</v>
      </c>
      <c r="E77" s="107">
        <f t="shared" si="39"/>
        <v>5.5921325395114324E-2</v>
      </c>
      <c r="I77" s="99"/>
      <c r="M77" s="44"/>
      <c r="O77" s="99"/>
    </row>
    <row r="78" spans="1:82">
      <c r="I78" s="99"/>
      <c r="M78" s="44"/>
      <c r="O78" s="99"/>
    </row>
    <row r="79" spans="1:82">
      <c r="I79" s="99"/>
      <c r="O79" s="99"/>
    </row>
    <row r="80" spans="1:82">
      <c r="A80" s="89" t="s">
        <v>899</v>
      </c>
      <c r="B80" s="268" t="s">
        <v>1578</v>
      </c>
      <c r="C80" s="268" t="s">
        <v>1637</v>
      </c>
      <c r="D80" s="268" t="s">
        <v>4145</v>
      </c>
      <c r="E80" s="268" t="s">
        <v>1173</v>
      </c>
      <c r="I80" s="99"/>
      <c r="M80" s="27"/>
      <c r="O80" s="99"/>
    </row>
    <row r="81" spans="1:92">
      <c r="A81" s="89" t="s">
        <v>1933</v>
      </c>
      <c r="B81" s="268" t="s">
        <v>1178</v>
      </c>
      <c r="C81" s="268" t="s">
        <v>1638</v>
      </c>
      <c r="D81" s="268" t="s">
        <v>4147</v>
      </c>
      <c r="E81" s="268" t="s">
        <v>1175</v>
      </c>
      <c r="I81" s="99"/>
      <c r="M81" s="27"/>
      <c r="O81" s="99"/>
    </row>
    <row r="82" spans="1:92">
      <c r="A82" s="89" t="s">
        <v>2120</v>
      </c>
      <c r="B82" s="268" t="s">
        <v>1179</v>
      </c>
      <c r="C82" s="268" t="s">
        <v>1647</v>
      </c>
      <c r="D82" s="268"/>
      <c r="E82" s="268" t="s">
        <v>1176</v>
      </c>
      <c r="I82" s="100"/>
      <c r="M82" s="27"/>
      <c r="O82" s="100"/>
    </row>
    <row r="83" spans="1:92">
      <c r="A83" s="89" t="s">
        <v>901</v>
      </c>
      <c r="B83" s="268" t="s">
        <v>1215</v>
      </c>
      <c r="C83" s="268" t="s">
        <v>1639</v>
      </c>
      <c r="D83" s="268" t="s">
        <v>4146</v>
      </c>
      <c r="E83" s="268" t="s">
        <v>1214</v>
      </c>
      <c r="I83" s="100"/>
      <c r="M83" s="138"/>
      <c r="O83" s="100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2">
      <c r="A84" s="268" t="s">
        <v>1116</v>
      </c>
      <c r="B84" s="268" t="s">
        <v>1166</v>
      </c>
      <c r="C84" s="268" t="s">
        <v>1166</v>
      </c>
      <c r="D84" s="268" t="s">
        <v>1170</v>
      </c>
      <c r="E84" s="268" t="s">
        <v>1166</v>
      </c>
      <c r="I84" s="42"/>
      <c r="L84" s="127"/>
      <c r="M84" s="138"/>
      <c r="O84" s="42"/>
    </row>
    <row r="85" spans="1:92">
      <c r="A85" s="268" t="s">
        <v>1220</v>
      </c>
      <c r="B85" s="89" t="s">
        <v>1202</v>
      </c>
      <c r="C85" s="89" t="s">
        <v>1196</v>
      </c>
      <c r="D85" s="89" t="s">
        <v>1193</v>
      </c>
      <c r="E85" s="89" t="s">
        <v>1193</v>
      </c>
      <c r="I85" s="100"/>
      <c r="L85" s="127"/>
      <c r="M85" s="138"/>
      <c r="O85" s="100"/>
    </row>
    <row r="86" spans="1:92">
      <c r="A86" s="268" t="s">
        <v>1165</v>
      </c>
      <c r="B86" s="266" t="s">
        <v>1989</v>
      </c>
      <c r="C86" s="285" t="s">
        <v>1988</v>
      </c>
      <c r="E86" s="268"/>
      <c r="I86" s="100"/>
      <c r="J86" s="7"/>
      <c r="K86" s="7"/>
      <c r="L86" s="127"/>
      <c r="O86" s="100"/>
    </row>
    <row r="87" spans="1:92">
      <c r="A87" s="268" t="s">
        <v>1221</v>
      </c>
      <c r="H87" s="9"/>
      <c r="L87" s="2"/>
    </row>
    <row r="88" spans="1:92">
      <c r="A88" s="268" t="s">
        <v>1166</v>
      </c>
      <c r="H88" s="9"/>
      <c r="L88" s="9"/>
    </row>
    <row r="89" spans="1:92">
      <c r="A89" s="89" t="s">
        <v>1202</v>
      </c>
      <c r="H89" s="9"/>
      <c r="L89" s="43"/>
    </row>
    <row r="90" spans="1:92">
      <c r="F90" s="29"/>
      <c r="G90" s="29"/>
      <c r="H90" s="9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2">
      <c r="H91" s="9"/>
    </row>
    <row r="92" spans="1:92">
      <c r="H92" s="9"/>
    </row>
    <row r="93" spans="1:92">
      <c r="H93" s="9"/>
    </row>
    <row r="99" spans="1:5">
      <c r="E99" s="7"/>
    </row>
    <row r="100" spans="1:5">
      <c r="A100" s="42" t="s">
        <v>1743</v>
      </c>
      <c r="D100" s="94"/>
      <c r="E100" s="94"/>
    </row>
    <row r="101" spans="1:5">
      <c r="A101" s="70" t="s">
        <v>1742</v>
      </c>
      <c r="D101" s="94"/>
      <c r="E101" s="94"/>
    </row>
    <row r="102" spans="1:5">
      <c r="A102" s="6"/>
      <c r="D102" s="94"/>
      <c r="E102" s="94"/>
    </row>
    <row r="103" spans="1:5">
      <c r="A103" s="2" t="s">
        <v>1745</v>
      </c>
      <c r="D103" s="94"/>
      <c r="E103" s="94"/>
    </row>
    <row r="104" spans="1:5">
      <c r="A104" s="70" t="s">
        <v>1746</v>
      </c>
      <c r="D104" s="94"/>
      <c r="E104" s="94"/>
    </row>
    <row r="105" spans="1:5">
      <c r="A105" s="70" t="s">
        <v>1747</v>
      </c>
      <c r="D105" s="94"/>
      <c r="E105" s="94"/>
    </row>
    <row r="106" spans="1:5">
      <c r="A106" s="6"/>
      <c r="D106" s="94"/>
      <c r="E106" s="94"/>
    </row>
    <row r="107" spans="1:5">
      <c r="A107" s="2" t="s">
        <v>2028</v>
      </c>
      <c r="D107" s="94"/>
      <c r="E107" s="94"/>
    </row>
    <row r="109" spans="1:5">
      <c r="A109" s="145" t="s">
        <v>1990</v>
      </c>
    </row>
    <row r="110" spans="1:5">
      <c r="A110" s="145" t="s">
        <v>1991</v>
      </c>
    </row>
    <row r="111" spans="1:5">
      <c r="A111" s="145" t="s">
        <v>2004</v>
      </c>
    </row>
    <row r="112" spans="1:5">
      <c r="A112" s="145" t="s">
        <v>2003</v>
      </c>
    </row>
    <row r="113" spans="1:1">
      <c r="A113" s="145" t="s">
        <v>2005</v>
      </c>
    </row>
    <row r="114" spans="1:1">
      <c r="A114" s="145" t="s">
        <v>2006</v>
      </c>
    </row>
    <row r="115" spans="1:1">
      <c r="A115" s="145" t="s">
        <v>2007</v>
      </c>
    </row>
    <row r="116" spans="1:1">
      <c r="A116" s="145" t="s">
        <v>2008</v>
      </c>
    </row>
    <row r="117" spans="1:1">
      <c r="A117" s="145" t="s">
        <v>2009</v>
      </c>
    </row>
    <row r="118" spans="1:1">
      <c r="A118" s="145" t="s">
        <v>2010</v>
      </c>
    </row>
    <row r="119" spans="1:1">
      <c r="A119" s="9"/>
    </row>
    <row r="120" spans="1:1">
      <c r="A120" s="9" t="s">
        <v>1992</v>
      </c>
    </row>
    <row r="121" spans="1:1">
      <c r="A121" s="9" t="s">
        <v>1993</v>
      </c>
    </row>
    <row r="122" spans="1:1">
      <c r="A122" s="9" t="s">
        <v>1994</v>
      </c>
    </row>
    <row r="123" spans="1:1">
      <c r="A123" s="9" t="s">
        <v>1995</v>
      </c>
    </row>
    <row r="124" spans="1:1">
      <c r="A124" s="9" t="s">
        <v>1996</v>
      </c>
    </row>
    <row r="125" spans="1:1">
      <c r="A125" s="9" t="s">
        <v>1997</v>
      </c>
    </row>
    <row r="126" spans="1:1">
      <c r="A126" s="9" t="s">
        <v>1998</v>
      </c>
    </row>
    <row r="127" spans="1:1">
      <c r="A127" s="9" t="s">
        <v>1999</v>
      </c>
    </row>
    <row r="128" spans="1:1">
      <c r="A128" s="9" t="s">
        <v>2000</v>
      </c>
    </row>
    <row r="129" spans="1:5">
      <c r="A129" s="9" t="s">
        <v>2001</v>
      </c>
    </row>
    <row r="130" spans="1:5">
      <c r="A130" s="9" t="s">
        <v>2002</v>
      </c>
    </row>
    <row r="133" spans="1:5">
      <c r="A133" s="268" t="s">
        <v>1174</v>
      </c>
      <c r="B133" s="268" t="s">
        <v>1173</v>
      </c>
      <c r="C133" s="268" t="s">
        <v>1147</v>
      </c>
      <c r="D133" s="268" t="s">
        <v>1117</v>
      </c>
      <c r="E133" s="268" t="s">
        <v>1118</v>
      </c>
    </row>
    <row r="134" spans="1:5">
      <c r="A134" s="268" t="s">
        <v>1175</v>
      </c>
      <c r="B134" s="268" t="s">
        <v>1175</v>
      </c>
      <c r="C134" s="268" t="s">
        <v>1218</v>
      </c>
      <c r="D134" s="268" t="s">
        <v>1168</v>
      </c>
      <c r="E134" s="268" t="s">
        <v>1579</v>
      </c>
    </row>
    <row r="135" spans="1:5">
      <c r="A135" s="268" t="s">
        <v>1176</v>
      </c>
      <c r="B135" s="268" t="s">
        <v>1176</v>
      </c>
      <c r="C135" s="268" t="s">
        <v>1219</v>
      </c>
      <c r="D135" s="268" t="s">
        <v>1167</v>
      </c>
      <c r="E135" s="268" t="s">
        <v>1169</v>
      </c>
    </row>
    <row r="136" spans="1:5">
      <c r="A136" s="268" t="s">
        <v>1478</v>
      </c>
      <c r="B136" s="268" t="s">
        <v>1477</v>
      </c>
      <c r="C136" s="268" t="s">
        <v>1215</v>
      </c>
      <c r="D136" s="268" t="s">
        <v>1216</v>
      </c>
      <c r="E136" s="268" t="s">
        <v>1214</v>
      </c>
    </row>
    <row r="137" spans="1:5">
      <c r="A137" s="268" t="s">
        <v>1166</v>
      </c>
      <c r="B137" s="268" t="s">
        <v>1177</v>
      </c>
      <c r="C137" s="268" t="s">
        <v>1166</v>
      </c>
      <c r="D137" s="268" t="s">
        <v>1166</v>
      </c>
      <c r="E137" s="268" t="s">
        <v>1170</v>
      </c>
    </row>
    <row r="139" spans="1:5">
      <c r="A139" s="2" t="s">
        <v>3806</v>
      </c>
    </row>
    <row r="140" spans="1:5">
      <c r="A140" s="2" t="s">
        <v>3807</v>
      </c>
    </row>
    <row r="141" spans="1:5">
      <c r="A141" s="137" t="s">
        <v>1731</v>
      </c>
    </row>
    <row r="142" spans="1:5">
      <c r="A142" s="2" t="s">
        <v>1917</v>
      </c>
    </row>
    <row r="143" spans="1:5">
      <c r="A143" s="42" t="s">
        <v>1474</v>
      </c>
    </row>
    <row r="144" spans="1:5">
      <c r="A144" s="42" t="s">
        <v>1523</v>
      </c>
    </row>
    <row r="145" spans="1:1">
      <c r="A145" s="46" t="s">
        <v>1648</v>
      </c>
    </row>
    <row r="146" spans="1:1">
      <c r="A146" s="139" t="s">
        <v>1633</v>
      </c>
    </row>
    <row r="147" spans="1:1">
      <c r="A147" s="46" t="s">
        <v>1947</v>
      </c>
    </row>
    <row r="148" spans="1:1">
      <c r="A148" s="139" t="s">
        <v>1948</v>
      </c>
    </row>
    <row r="149" spans="1:1">
      <c r="A149" s="46" t="s">
        <v>2128</v>
      </c>
    </row>
    <row r="150" spans="1:1">
      <c r="A150" s="42" t="s">
        <v>2129</v>
      </c>
    </row>
    <row r="151" spans="1:1">
      <c r="A151" s="46" t="s">
        <v>3808</v>
      </c>
    </row>
    <row r="152" spans="1:1">
      <c r="A152" s="46" t="s">
        <v>3809</v>
      </c>
    </row>
    <row r="153" spans="1:1">
      <c r="A153" s="139" t="s">
        <v>3810</v>
      </c>
    </row>
    <row r="154" spans="1:1">
      <c r="A154" s="139" t="s">
        <v>3811</v>
      </c>
    </row>
    <row r="155" spans="1:1">
      <c r="A155" s="46" t="s">
        <v>2130</v>
      </c>
    </row>
    <row r="158" spans="1:1">
      <c r="A158" s="145" t="s">
        <v>1698</v>
      </c>
    </row>
    <row r="159" spans="1:1">
      <c r="A159" s="145" t="s">
        <v>3802</v>
      </c>
    </row>
    <row r="160" spans="1:1">
      <c r="A160" s="145" t="s">
        <v>3803</v>
      </c>
    </row>
    <row r="161" spans="1:1">
      <c r="A161" s="145" t="s">
        <v>1699</v>
      </c>
    </row>
    <row r="162" spans="1:1">
      <c r="A162" s="145" t="s">
        <v>3804</v>
      </c>
    </row>
    <row r="163" spans="1:1">
      <c r="A163" s="145" t="s">
        <v>3805</v>
      </c>
    </row>
    <row r="164" spans="1:1">
      <c r="A164" s="145" t="s">
        <v>1697</v>
      </c>
    </row>
    <row r="165" spans="1:1">
      <c r="A165" s="145" t="s">
        <v>1700</v>
      </c>
    </row>
    <row r="166" spans="1:1">
      <c r="A166" s="145" t="s">
        <v>3800</v>
      </c>
    </row>
    <row r="167" spans="1:1">
      <c r="A167" s="145" t="s">
        <v>3801</v>
      </c>
    </row>
    <row r="168" spans="1:1">
      <c r="A168" s="145" t="s">
        <v>1701</v>
      </c>
    </row>
    <row r="169" spans="1:1">
      <c r="A169" s="145" t="s">
        <v>1696</v>
      </c>
    </row>
  </sheetData>
  <phoneticPr fontId="1" type="noConversion"/>
  <hyperlinks>
    <hyperlink ref="B36" r:id="rId1"/>
    <hyperlink ref="D38" r:id="rId2"/>
    <hyperlink ref="B40" r:id="rId3"/>
  </hyperlinks>
  <pageMargins left="0.7" right="0.7" top="0.75" bottom="0.75" header="0.3" footer="0.3"/>
  <pageSetup paperSize="9" orientation="portrait" horizontalDpi="300" verticalDpi="300" r:id="rId4"/>
</worksheet>
</file>

<file path=xl/worksheets/sheet7.xml><?xml version="1.0" encoding="utf-8"?>
<worksheet xmlns="http://schemas.openxmlformats.org/spreadsheetml/2006/main" xmlns:r="http://schemas.openxmlformats.org/officeDocument/2006/relationships">
  <dimension ref="E1:Z35"/>
  <sheetViews>
    <sheetView workbookViewId="0">
      <selection activeCell="T38" sqref="T38"/>
    </sheetView>
  </sheetViews>
  <sheetFormatPr defaultRowHeight="16.5"/>
  <cols>
    <col min="1" max="4" width="9.140625" style="7"/>
    <col min="5" max="5" width="5.7109375" style="60" customWidth="1"/>
    <col min="6" max="6" width="8.7109375" style="44" customWidth="1"/>
    <col min="7" max="7" width="9.7109375" style="7" customWidth="1"/>
    <col min="8" max="8" width="4.7109375" style="8" customWidth="1"/>
    <col min="9" max="9" width="4.7109375" style="5" customWidth="1"/>
    <col min="10" max="11" width="4.7109375" style="30" customWidth="1"/>
    <col min="12" max="12" width="5.7109375" style="60" customWidth="1"/>
    <col min="13" max="13" width="8.7109375" style="7" customWidth="1"/>
    <col min="14" max="14" width="9.7109375" style="7" customWidth="1"/>
    <col min="15" max="15" width="4.7109375" style="8" customWidth="1"/>
    <col min="16" max="16" width="4.7109375" style="5" customWidth="1"/>
    <col min="17" max="17" width="4.7109375" style="30" customWidth="1"/>
    <col min="18" max="19" width="9.140625" style="7"/>
    <col min="20" max="20" width="11.140625" style="7" bestFit="1" customWidth="1"/>
    <col min="21" max="23" width="9.140625" style="7"/>
    <col min="24" max="24" width="26" style="9" customWidth="1"/>
    <col min="25" max="26" width="6.7109375" style="9" customWidth="1"/>
    <col min="27" max="16384" width="9.140625" style="7"/>
  </cols>
  <sheetData>
    <row r="1" spans="5:26">
      <c r="E1" s="218" t="s">
        <v>4190</v>
      </c>
      <c r="F1" s="28" t="s">
        <v>1549</v>
      </c>
      <c r="G1" s="6" t="s">
        <v>1524</v>
      </c>
      <c r="H1" s="8" t="s">
        <v>4134</v>
      </c>
      <c r="I1" s="5" t="s">
        <v>4135</v>
      </c>
      <c r="J1" s="50" t="s">
        <v>4189</v>
      </c>
      <c r="K1" s="50"/>
      <c r="L1" s="218" t="s">
        <v>4190</v>
      </c>
      <c r="M1" s="1" t="s">
        <v>1099</v>
      </c>
      <c r="N1" s="6" t="s">
        <v>1525</v>
      </c>
      <c r="O1" s="8" t="s">
        <v>4134</v>
      </c>
      <c r="P1" s="5" t="s">
        <v>4135</v>
      </c>
      <c r="Q1" s="50" t="s">
        <v>4189</v>
      </c>
      <c r="S1" s="10" t="s">
        <v>1550</v>
      </c>
      <c r="T1" s="28" t="s">
        <v>3762</v>
      </c>
      <c r="X1" s="9" t="s">
        <v>4182</v>
      </c>
      <c r="Y1" s="9">
        <v>385</v>
      </c>
      <c r="Z1" s="9">
        <v>274</v>
      </c>
    </row>
    <row r="2" spans="5:26">
      <c r="E2" s="2">
        <f>H2+I2+J2</f>
        <v>102</v>
      </c>
      <c r="F2" s="163" t="s">
        <v>4079</v>
      </c>
      <c r="G2" s="6"/>
      <c r="H2" s="8">
        <v>58</v>
      </c>
      <c r="I2" s="5">
        <v>34</v>
      </c>
      <c r="J2" s="50">
        <v>10</v>
      </c>
      <c r="K2" s="50"/>
      <c r="L2" s="2">
        <f>O2+P2+Q2</f>
        <v>107</v>
      </c>
      <c r="M2" s="163" t="s">
        <v>4079</v>
      </c>
      <c r="N2" s="6"/>
      <c r="O2" s="8">
        <v>65</v>
      </c>
      <c r="P2" s="5">
        <v>29</v>
      </c>
      <c r="Q2" s="50">
        <v>13</v>
      </c>
      <c r="S2" s="30" t="s">
        <v>1462</v>
      </c>
      <c r="T2" s="39">
        <f>RTD("money.excel",,"$TWIT","Price")</f>
        <v>23056.53</v>
      </c>
      <c r="X2" s="295" t="s">
        <v>4239</v>
      </c>
      <c r="Y2" s="295">
        <v>384</v>
      </c>
      <c r="Z2" s="295">
        <v>250</v>
      </c>
    </row>
    <row r="3" spans="5:26">
      <c r="E3" s="20">
        <f>H3+I3+J3</f>
        <v>114</v>
      </c>
      <c r="F3" s="30" t="s">
        <v>326</v>
      </c>
      <c r="G3" s="39">
        <f>RTD("money.excel",,"$TWT24","Price")</f>
        <v>400.45</v>
      </c>
      <c r="H3" s="8">
        <v>65</v>
      </c>
      <c r="I3" s="5">
        <v>36</v>
      </c>
      <c r="J3" s="50">
        <v>13</v>
      </c>
      <c r="K3" s="50"/>
      <c r="L3" s="20">
        <f t="shared" ref="L3:L19" si="0">O3+P3+Q3</f>
        <v>85</v>
      </c>
      <c r="M3" s="50" t="s">
        <v>326</v>
      </c>
      <c r="N3" s="97">
        <f>RTD("money.excel",,"$TWO24","Price")</f>
        <v>127.94</v>
      </c>
      <c r="O3" s="8">
        <v>46</v>
      </c>
      <c r="P3" s="5">
        <v>25</v>
      </c>
      <c r="Q3" s="50">
        <v>14</v>
      </c>
      <c r="S3" s="30" t="s">
        <v>1213</v>
      </c>
      <c r="T3" s="39">
        <f>RTD("money.excel",,"$TWMC","Price")</f>
        <v>14407.33</v>
      </c>
      <c r="X3" s="9" t="s">
        <v>4238</v>
      </c>
      <c r="Y3" s="9">
        <v>340</v>
      </c>
      <c r="Z3" s="9">
        <v>224</v>
      </c>
    </row>
    <row r="4" spans="5:26">
      <c r="E4" s="20">
        <f t="shared" ref="E4:E30" si="1">H4+I4+J4</f>
        <v>42</v>
      </c>
      <c r="F4" s="30" t="s">
        <v>1212</v>
      </c>
      <c r="G4" s="39">
        <f>RTD("money.excel",,"$TWT25","Price")</f>
        <v>142.11000000000001</v>
      </c>
      <c r="H4" s="8">
        <v>23</v>
      </c>
      <c r="I4" s="5">
        <v>16</v>
      </c>
      <c r="J4" s="50">
        <v>3</v>
      </c>
      <c r="K4" s="50"/>
      <c r="L4" s="20">
        <f t="shared" si="0"/>
        <v>63</v>
      </c>
      <c r="M4" s="50" t="s">
        <v>1212</v>
      </c>
      <c r="N4" s="97">
        <f>RTD("money.excel",,"$TWO25","Price")</f>
        <v>86.07</v>
      </c>
      <c r="O4" s="8">
        <v>19</v>
      </c>
      <c r="P4" s="5">
        <v>37</v>
      </c>
      <c r="Q4" s="50">
        <v>7</v>
      </c>
      <c r="S4" s="30" t="s">
        <v>116</v>
      </c>
      <c r="T4" s="39">
        <f>RTD("money.excel",,"$TWC100","Price")</f>
        <v>10033.02</v>
      </c>
      <c r="X4" s="9" t="s">
        <v>4180</v>
      </c>
      <c r="Y4" s="9">
        <v>400</v>
      </c>
      <c r="Z4" s="9">
        <v>224</v>
      </c>
    </row>
    <row r="5" spans="5:26">
      <c r="E5" s="20">
        <f t="shared" si="1"/>
        <v>95</v>
      </c>
      <c r="F5" s="30" t="s">
        <v>2167</v>
      </c>
      <c r="G5" s="39">
        <f>RTD("money.excel",,"$TWT26","Price")</f>
        <v>39.229999999999997</v>
      </c>
      <c r="H5" s="8">
        <v>47</v>
      </c>
      <c r="I5" s="5">
        <v>37</v>
      </c>
      <c r="J5" s="50">
        <v>11</v>
      </c>
      <c r="K5" s="50"/>
      <c r="L5" s="20">
        <f t="shared" si="0"/>
        <v>48</v>
      </c>
      <c r="M5" s="50" t="s">
        <v>325</v>
      </c>
      <c r="N5" s="97">
        <f>RTD("money.excel",,"$TWO26","Price")</f>
        <v>45.93</v>
      </c>
      <c r="O5" s="8">
        <v>26</v>
      </c>
      <c r="P5" s="5">
        <v>13</v>
      </c>
      <c r="Q5" s="50">
        <v>9</v>
      </c>
      <c r="S5" s="50" t="s">
        <v>1152</v>
      </c>
      <c r="T5" s="97">
        <f>RTD("money.excel",,"$TWOI50","Price")</f>
        <v>259.97000000000003</v>
      </c>
      <c r="X5" s="22" t="s">
        <v>4235</v>
      </c>
      <c r="Y5" s="22">
        <v>370</v>
      </c>
      <c r="Z5" s="22">
        <v>220</v>
      </c>
    </row>
    <row r="6" spans="5:26">
      <c r="E6" s="20">
        <f t="shared" si="1"/>
        <v>68</v>
      </c>
      <c r="F6" s="30" t="s">
        <v>331</v>
      </c>
      <c r="G6" s="39">
        <f>RTD("money.excel",,"$TWT27","Price")</f>
        <v>134.41999999999999</v>
      </c>
      <c r="H6" s="8">
        <v>27</v>
      </c>
      <c r="I6" s="5">
        <v>30</v>
      </c>
      <c r="J6" s="50">
        <v>11</v>
      </c>
      <c r="K6" s="50"/>
      <c r="L6" s="20">
        <f t="shared" si="0"/>
        <v>83</v>
      </c>
      <c r="M6" s="50" t="s">
        <v>331</v>
      </c>
      <c r="N6" s="97">
        <f>RTD("money.excel",,"$TWO27","Price")</f>
        <v>77.67</v>
      </c>
      <c r="O6" s="8">
        <v>35</v>
      </c>
      <c r="P6" s="5">
        <v>36</v>
      </c>
      <c r="Q6" s="50">
        <v>12</v>
      </c>
      <c r="S6" s="50" t="s">
        <v>1393</v>
      </c>
      <c r="T6" s="97">
        <f>RTD("money.excel",,"$TWOIHD","Price")</f>
        <v>180.76</v>
      </c>
      <c r="W6" s="1" t="s">
        <v>4184</v>
      </c>
      <c r="X6" s="2" t="s">
        <v>4234</v>
      </c>
      <c r="Y6" s="2">
        <v>394</v>
      </c>
      <c r="Z6" s="2">
        <v>217</v>
      </c>
    </row>
    <row r="7" spans="5:26">
      <c r="E7" s="20">
        <f t="shared" si="1"/>
        <v>86</v>
      </c>
      <c r="F7" s="30" t="s">
        <v>327</v>
      </c>
      <c r="G7" s="39">
        <f>RTD("money.excel",,"$TWT28","Price")</f>
        <v>183.18</v>
      </c>
      <c r="H7" s="8">
        <v>30</v>
      </c>
      <c r="I7" s="5">
        <v>46</v>
      </c>
      <c r="J7" s="50">
        <v>10</v>
      </c>
      <c r="K7" s="50"/>
      <c r="L7" s="20">
        <f t="shared" si="0"/>
        <v>80</v>
      </c>
      <c r="M7" s="50" t="s">
        <v>327</v>
      </c>
      <c r="N7" s="97">
        <f>RTD("money.excel",,"$TWO28","Price")</f>
        <v>101.44</v>
      </c>
      <c r="O7" s="8">
        <v>41</v>
      </c>
      <c r="P7" s="5">
        <v>27</v>
      </c>
      <c r="Q7" s="50">
        <v>12</v>
      </c>
      <c r="S7" s="50" t="s">
        <v>116</v>
      </c>
      <c r="T7" s="97">
        <f>RTD("money.excel",,"$TWOIGI","Price")</f>
        <v>179.21</v>
      </c>
      <c r="X7" s="9" t="s">
        <v>4236</v>
      </c>
      <c r="Y7" s="9">
        <v>412</v>
      </c>
      <c r="Z7" s="9">
        <v>215</v>
      </c>
    </row>
    <row r="8" spans="5:26">
      <c r="E8" s="20">
        <f t="shared" si="1"/>
        <v>38</v>
      </c>
      <c r="F8" s="26" t="s">
        <v>3967</v>
      </c>
      <c r="G8" s="39">
        <f>RTD("money.excel",,"$TWT29","Price")</f>
        <v>205.76</v>
      </c>
      <c r="H8" s="8">
        <v>14</v>
      </c>
      <c r="I8" s="5">
        <v>14</v>
      </c>
      <c r="J8" s="50">
        <v>10</v>
      </c>
      <c r="K8" s="50"/>
      <c r="L8" s="20">
        <f t="shared" si="0"/>
        <v>14</v>
      </c>
      <c r="M8" s="50" t="s">
        <v>3967</v>
      </c>
      <c r="N8" s="97">
        <f>RTD("money.excel",,"$TWO29","Price")</f>
        <v>82.68</v>
      </c>
      <c r="O8" s="8">
        <v>0</v>
      </c>
      <c r="P8" s="5">
        <v>0</v>
      </c>
      <c r="Q8" s="50">
        <v>14</v>
      </c>
      <c r="S8" s="8" t="s">
        <v>1550</v>
      </c>
      <c r="T8" s="28" t="s">
        <v>3762</v>
      </c>
      <c r="X8" s="9" t="s">
        <v>4181</v>
      </c>
      <c r="Y8" s="9">
        <v>385</v>
      </c>
      <c r="Z8" s="9">
        <v>206</v>
      </c>
    </row>
    <row r="9" spans="5:26">
      <c r="E9" s="20">
        <f t="shared" si="1"/>
        <v>26</v>
      </c>
      <c r="F9" s="30" t="s">
        <v>333</v>
      </c>
      <c r="G9" s="39">
        <f>RTD("money.excel",,"$TWT30","Price")</f>
        <v>132.91</v>
      </c>
      <c r="H9" s="8">
        <v>14</v>
      </c>
      <c r="I9" s="5">
        <v>7</v>
      </c>
      <c r="J9" s="50">
        <v>5</v>
      </c>
      <c r="K9" s="50"/>
      <c r="L9" s="20">
        <f t="shared" si="0"/>
        <v>22</v>
      </c>
      <c r="M9" s="50" t="s">
        <v>333</v>
      </c>
      <c r="N9" s="97">
        <f>RTD("money.excel",,"$TWO30","Price")</f>
        <v>116.1</v>
      </c>
      <c r="O9" s="8">
        <v>8</v>
      </c>
      <c r="P9" s="5">
        <v>5</v>
      </c>
      <c r="Q9" s="50">
        <v>9</v>
      </c>
      <c r="S9" s="30" t="s">
        <v>1098</v>
      </c>
      <c r="T9" s="39">
        <f>RTD("money.excel",,"$TWT","Price")</f>
        <v>17264.740000000002</v>
      </c>
      <c r="X9" s="9" t="s">
        <v>4240</v>
      </c>
      <c r="Y9" s="9">
        <v>384</v>
      </c>
      <c r="Z9" s="9">
        <v>202</v>
      </c>
    </row>
    <row r="10" spans="5:26">
      <c r="E10" s="20">
        <f t="shared" si="1"/>
        <v>71</v>
      </c>
      <c r="F10" s="30" t="s">
        <v>4112</v>
      </c>
      <c r="G10" s="39">
        <f>RTD("money.excel",,"$TWT31","Price")</f>
        <v>97.73</v>
      </c>
      <c r="H10" s="8">
        <v>37</v>
      </c>
      <c r="I10" s="5">
        <v>24</v>
      </c>
      <c r="J10" s="50">
        <v>10</v>
      </c>
      <c r="K10" s="50"/>
      <c r="L10" s="20">
        <f t="shared" si="0"/>
        <v>70</v>
      </c>
      <c r="M10" s="50" t="s">
        <v>4112</v>
      </c>
      <c r="N10" s="97">
        <f>RTD("money.excel",,"$TWO31","Price")</f>
        <v>153.05000000000001</v>
      </c>
      <c r="O10" s="8">
        <v>37</v>
      </c>
      <c r="P10" s="5">
        <v>24</v>
      </c>
      <c r="Q10" s="50">
        <v>9</v>
      </c>
      <c r="S10" s="30" t="s">
        <v>3918</v>
      </c>
      <c r="T10" s="40">
        <f>RTD("money.excel",,"$TWO","Price")</f>
        <v>209.8</v>
      </c>
      <c r="X10" s="295" t="s">
        <v>4185</v>
      </c>
      <c r="Y10" s="295">
        <v>385</v>
      </c>
      <c r="Z10" s="295">
        <v>199</v>
      </c>
    </row>
    <row r="11" spans="5:26">
      <c r="E11" s="2">
        <f t="shared" si="1"/>
        <v>104</v>
      </c>
      <c r="F11" s="8" t="s">
        <v>4201</v>
      </c>
      <c r="G11" s="39"/>
      <c r="H11" s="8">
        <v>49</v>
      </c>
      <c r="I11" s="5">
        <v>42</v>
      </c>
      <c r="J11" s="50">
        <v>13</v>
      </c>
      <c r="K11" s="50"/>
      <c r="L11" s="20">
        <f t="shared" si="0"/>
        <v>13</v>
      </c>
      <c r="M11" s="50" t="s">
        <v>312</v>
      </c>
      <c r="N11" s="97">
        <f>RTD("money.excel",,"$TWO04","Price")</f>
        <v>106.92</v>
      </c>
      <c r="O11" s="8">
        <v>1</v>
      </c>
      <c r="P11" s="5">
        <v>2</v>
      </c>
      <c r="Q11" s="50">
        <v>10</v>
      </c>
      <c r="W11" s="1" t="s">
        <v>4184</v>
      </c>
      <c r="X11" s="2" t="s">
        <v>4237</v>
      </c>
      <c r="Y11" s="2">
        <v>350</v>
      </c>
      <c r="Z11" s="2">
        <v>198</v>
      </c>
    </row>
    <row r="12" spans="5:26">
      <c r="E12" s="20">
        <f t="shared" si="1"/>
        <v>55</v>
      </c>
      <c r="F12" s="30" t="s">
        <v>309</v>
      </c>
      <c r="G12" s="39">
        <f>RTD("money.excel",,"$TWT01","Price")</f>
        <v>186.04</v>
      </c>
      <c r="H12" s="8">
        <v>10</v>
      </c>
      <c r="I12" s="5">
        <v>31</v>
      </c>
      <c r="J12" s="50">
        <v>14</v>
      </c>
      <c r="K12" s="50"/>
      <c r="L12" s="20">
        <f t="shared" si="0"/>
        <v>43</v>
      </c>
      <c r="M12" s="50" t="s">
        <v>4114</v>
      </c>
      <c r="N12" s="97">
        <f>RTD("money.excel",,"$TWO05","Price")</f>
        <v>156.78</v>
      </c>
      <c r="O12" s="8">
        <v>17</v>
      </c>
      <c r="P12" s="5">
        <v>18</v>
      </c>
      <c r="Q12" s="50">
        <v>8</v>
      </c>
      <c r="X12" s="2" t="s">
        <v>4233</v>
      </c>
      <c r="Y12" s="2">
        <v>365</v>
      </c>
      <c r="Z12" s="2">
        <v>180</v>
      </c>
    </row>
    <row r="13" spans="5:26">
      <c r="E13" s="20">
        <f t="shared" si="1"/>
        <v>70</v>
      </c>
      <c r="F13" s="30" t="s">
        <v>310</v>
      </c>
      <c r="G13" s="39">
        <f>RTD("money.excel",,"$TWT02","Price")</f>
        <v>1876.89</v>
      </c>
      <c r="H13" s="8">
        <v>13</v>
      </c>
      <c r="I13" s="5">
        <v>46</v>
      </c>
      <c r="J13" s="50">
        <v>11</v>
      </c>
      <c r="K13" s="50"/>
      <c r="L13" s="20">
        <f t="shared" si="0"/>
        <v>19</v>
      </c>
      <c r="M13" s="50" t="s">
        <v>3816</v>
      </c>
      <c r="N13" s="97">
        <f>RTD("money.excel",,"$TWO10","Price")</f>
        <v>166.7</v>
      </c>
      <c r="O13" s="8">
        <v>7</v>
      </c>
      <c r="P13" s="5">
        <v>1</v>
      </c>
      <c r="Q13" s="50">
        <v>11</v>
      </c>
      <c r="X13" s="295" t="s">
        <v>4241</v>
      </c>
      <c r="Y13" s="295">
        <v>385</v>
      </c>
      <c r="Z13" s="295">
        <v>173</v>
      </c>
    </row>
    <row r="14" spans="5:26">
      <c r="E14" s="20">
        <f t="shared" si="1"/>
        <v>78</v>
      </c>
      <c r="F14" s="30" t="s">
        <v>311</v>
      </c>
      <c r="G14" s="39">
        <f>RTD("money.excel",,"$TWT03","Price")</f>
        <v>288.81</v>
      </c>
      <c r="H14" s="8">
        <v>36</v>
      </c>
      <c r="I14" s="5">
        <v>33</v>
      </c>
      <c r="J14" s="50">
        <v>9</v>
      </c>
      <c r="K14" s="50"/>
      <c r="L14" s="20">
        <f t="shared" si="0"/>
        <v>22</v>
      </c>
      <c r="M14" s="50" t="s">
        <v>931</v>
      </c>
      <c r="N14" s="97">
        <f>RTD("money.excel",,"$TWO14","Price")</f>
        <v>175.19</v>
      </c>
      <c r="O14" s="8">
        <v>0</v>
      </c>
      <c r="P14" s="5">
        <v>0</v>
      </c>
      <c r="Q14" s="50">
        <v>22</v>
      </c>
    </row>
    <row r="15" spans="5:26">
      <c r="E15" s="20">
        <f t="shared" si="1"/>
        <v>70</v>
      </c>
      <c r="F15" s="30" t="s">
        <v>312</v>
      </c>
      <c r="G15" s="39">
        <f>RTD("money.excel",,"$TWT04","Price")</f>
        <v>576.6</v>
      </c>
      <c r="H15" s="8">
        <v>28</v>
      </c>
      <c r="I15" s="5">
        <v>33</v>
      </c>
      <c r="J15" s="50">
        <v>9</v>
      </c>
      <c r="K15" s="50"/>
      <c r="L15" s="20">
        <f t="shared" si="0"/>
        <v>19</v>
      </c>
      <c r="M15" s="50" t="s">
        <v>320</v>
      </c>
      <c r="N15" s="97">
        <f>RTD("money.excel",,"$TWO15","Price")</f>
        <v>218.96</v>
      </c>
      <c r="O15" s="8">
        <v>4</v>
      </c>
      <c r="P15" s="5">
        <v>3</v>
      </c>
      <c r="Q15" s="50">
        <v>12</v>
      </c>
    </row>
    <row r="16" spans="5:26">
      <c r="E16" s="20">
        <f t="shared" si="1"/>
        <v>56</v>
      </c>
      <c r="F16" s="30" t="s">
        <v>4114</v>
      </c>
      <c r="G16" s="39">
        <f>RTD("money.excel",,"$TWT05","Price")</f>
        <v>227.67</v>
      </c>
      <c r="H16" s="8">
        <v>20</v>
      </c>
      <c r="I16" s="5">
        <v>26</v>
      </c>
      <c r="J16" s="50">
        <v>10</v>
      </c>
      <c r="K16" s="50"/>
      <c r="L16" s="20">
        <f t="shared" si="0"/>
        <v>20</v>
      </c>
      <c r="M16" s="50" t="s">
        <v>321</v>
      </c>
      <c r="N16" s="97">
        <f>RTD("money.excel",,"$TWO16","Price")</f>
        <v>66.099999999999994</v>
      </c>
      <c r="O16" s="8">
        <v>5</v>
      </c>
      <c r="P16" s="5">
        <v>8</v>
      </c>
      <c r="Q16" s="50">
        <v>7</v>
      </c>
    </row>
    <row r="17" spans="5:17">
      <c r="E17" s="20">
        <f t="shared" si="1"/>
        <v>39</v>
      </c>
      <c r="F17" s="30" t="s">
        <v>314</v>
      </c>
      <c r="G17" s="39">
        <f>RTD("money.excel",,"$TWT06","Price")</f>
        <v>84.32</v>
      </c>
      <c r="H17" s="8">
        <v>12</v>
      </c>
      <c r="I17" s="5">
        <v>14</v>
      </c>
      <c r="J17" s="50">
        <v>13</v>
      </c>
      <c r="K17" s="50"/>
      <c r="L17" s="20">
        <f t="shared" si="0"/>
        <v>22</v>
      </c>
      <c r="M17" s="50" t="s">
        <v>806</v>
      </c>
      <c r="N17" s="97">
        <f>RTD("money.excel",,"$TWO21","Price")</f>
        <v>145.36000000000001</v>
      </c>
      <c r="O17" s="8">
        <v>0</v>
      </c>
      <c r="P17" s="5">
        <v>9</v>
      </c>
      <c r="Q17" s="50">
        <v>13</v>
      </c>
    </row>
    <row r="18" spans="5:17">
      <c r="E18" s="20">
        <f t="shared" si="1"/>
        <v>40</v>
      </c>
      <c r="F18" s="30" t="s">
        <v>315</v>
      </c>
      <c r="G18" s="39">
        <f>RTD("money.excel",,"$TWT08","Price")</f>
        <v>62.93</v>
      </c>
      <c r="H18" s="8">
        <v>22</v>
      </c>
      <c r="I18" s="5">
        <v>9</v>
      </c>
      <c r="J18" s="50">
        <v>9</v>
      </c>
      <c r="K18" s="50"/>
      <c r="L18" s="20">
        <f t="shared" si="0"/>
        <v>51</v>
      </c>
      <c r="M18" s="50" t="s">
        <v>1081</v>
      </c>
      <c r="N18" s="97">
        <f>RTD("money.excel",,"$TWO32","Price")</f>
        <v>108.28</v>
      </c>
      <c r="O18" s="8">
        <v>16</v>
      </c>
      <c r="P18" s="5">
        <v>29</v>
      </c>
      <c r="Q18" s="50">
        <v>6</v>
      </c>
    </row>
    <row r="19" spans="5:17">
      <c r="E19" s="20">
        <f t="shared" si="1"/>
        <v>58</v>
      </c>
      <c r="F19" s="30" t="s">
        <v>4188</v>
      </c>
      <c r="G19" s="39">
        <f>RTD("money.excel",,"$TWT09","Price")</f>
        <v>381.68</v>
      </c>
      <c r="H19" s="8">
        <v>21</v>
      </c>
      <c r="I19" s="5">
        <v>27</v>
      </c>
      <c r="J19" s="50">
        <v>10</v>
      </c>
      <c r="K19" s="50"/>
      <c r="L19" s="20">
        <f t="shared" si="0"/>
        <v>58</v>
      </c>
      <c r="M19" s="50" t="s">
        <v>2303</v>
      </c>
      <c r="N19" s="97">
        <f>RTD("money.excel",,"$TWO20","Price")</f>
        <v>119.21</v>
      </c>
      <c r="O19" s="8">
        <v>24</v>
      </c>
      <c r="P19" s="5">
        <v>25</v>
      </c>
      <c r="Q19" s="50">
        <v>9</v>
      </c>
    </row>
    <row r="20" spans="5:17">
      <c r="E20" s="20">
        <f t="shared" si="1"/>
        <v>92</v>
      </c>
      <c r="F20" s="30" t="s">
        <v>3816</v>
      </c>
      <c r="G20" s="39">
        <f>RTD("money.excel",,"$TWT10","Price")</f>
        <v>184.97</v>
      </c>
      <c r="H20" s="8">
        <v>52</v>
      </c>
      <c r="I20" s="5">
        <v>30</v>
      </c>
      <c r="J20" s="50">
        <v>10</v>
      </c>
      <c r="K20" s="50"/>
      <c r="L20" s="2">
        <f>O20+P20+Q20</f>
        <v>87</v>
      </c>
      <c r="M20" s="8" t="s">
        <v>328</v>
      </c>
      <c r="N20" s="97">
        <f>RTD("money.excel",,"$TWO22","Price")</f>
        <v>173.99</v>
      </c>
      <c r="O20" s="8">
        <v>26</v>
      </c>
      <c r="P20" s="5">
        <v>48</v>
      </c>
      <c r="Q20" s="50">
        <v>13</v>
      </c>
    </row>
    <row r="21" spans="5:17">
      <c r="E21" s="20">
        <f t="shared" si="1"/>
        <v>54</v>
      </c>
      <c r="F21" s="30" t="s">
        <v>318</v>
      </c>
      <c r="G21" s="39">
        <f>RTD("money.excel",,"$TWT11","Price")</f>
        <v>281.58</v>
      </c>
      <c r="H21" s="8">
        <v>26</v>
      </c>
      <c r="I21" s="5">
        <v>22</v>
      </c>
      <c r="J21" s="50">
        <v>6</v>
      </c>
      <c r="K21" s="50"/>
      <c r="L21" s="20"/>
      <c r="Q21" s="48"/>
    </row>
    <row r="22" spans="5:17">
      <c r="E22" s="20">
        <f t="shared" si="1"/>
        <v>61</v>
      </c>
      <c r="F22" s="30" t="s">
        <v>2125</v>
      </c>
      <c r="G22" s="39">
        <f>RTD("money.excel",,"$TWT12","Price")</f>
        <v>315.08</v>
      </c>
      <c r="H22" s="8">
        <v>20</v>
      </c>
      <c r="I22" s="5">
        <v>36</v>
      </c>
      <c r="J22" s="50">
        <v>5</v>
      </c>
      <c r="K22" s="50"/>
      <c r="L22" s="20"/>
      <c r="Q22" s="48"/>
    </row>
    <row r="23" spans="5:17">
      <c r="E23" s="20">
        <f t="shared" si="1"/>
        <v>60</v>
      </c>
      <c r="F23" s="30" t="s">
        <v>931</v>
      </c>
      <c r="G23" s="39">
        <f>RTD("money.excel",,"$TWT14","Price")</f>
        <v>363.36</v>
      </c>
      <c r="H23" s="8">
        <v>24</v>
      </c>
      <c r="I23" s="5">
        <v>23</v>
      </c>
      <c r="J23" s="50">
        <v>13</v>
      </c>
      <c r="K23" s="50"/>
      <c r="L23" s="20"/>
      <c r="Q23" s="48"/>
    </row>
    <row r="24" spans="5:17">
      <c r="E24" s="20">
        <f t="shared" si="1"/>
        <v>79</v>
      </c>
      <c r="F24" s="30" t="s">
        <v>320</v>
      </c>
      <c r="G24" s="39">
        <f>RTD("money.excel",,"$TWT15","Price")</f>
        <v>285.29000000000002</v>
      </c>
      <c r="H24" s="8">
        <v>39</v>
      </c>
      <c r="I24" s="5">
        <v>27</v>
      </c>
      <c r="J24" s="50">
        <v>13</v>
      </c>
      <c r="K24" s="50"/>
      <c r="L24" s="20"/>
      <c r="Q24" s="48"/>
    </row>
    <row r="25" spans="5:17">
      <c r="E25" s="20">
        <f t="shared" si="1"/>
        <v>53</v>
      </c>
      <c r="F25" s="30" t="s">
        <v>321</v>
      </c>
      <c r="G25" s="39">
        <f>RTD("money.excel",,"$TWT16","Price")</f>
        <v>94.96</v>
      </c>
      <c r="H25" s="8">
        <v>22</v>
      </c>
      <c r="I25" s="5">
        <v>25</v>
      </c>
      <c r="J25" s="50">
        <v>6</v>
      </c>
      <c r="K25" s="50"/>
      <c r="L25" s="20"/>
      <c r="Q25" s="48"/>
    </row>
    <row r="26" spans="5:17">
      <c r="E26" s="20">
        <f t="shared" si="1"/>
        <v>58</v>
      </c>
      <c r="F26" s="30" t="s">
        <v>330</v>
      </c>
      <c r="G26" s="39">
        <f>RTD("money.excel",,"$TWT18","Price")</f>
        <v>302.22000000000003</v>
      </c>
      <c r="H26" s="8">
        <v>15</v>
      </c>
      <c r="I26" s="5">
        <v>27</v>
      </c>
      <c r="J26" s="50">
        <v>16</v>
      </c>
      <c r="K26" s="50"/>
      <c r="L26" s="20"/>
      <c r="Q26" s="48"/>
    </row>
    <row r="27" spans="5:17">
      <c r="E27" s="20">
        <f t="shared" si="1"/>
        <v>53</v>
      </c>
      <c r="F27" s="30" t="s">
        <v>249</v>
      </c>
      <c r="G27" s="39">
        <f>RTD("money.excel",,"$TWT20","Price")</f>
        <v>377.47</v>
      </c>
      <c r="H27" s="8">
        <v>21</v>
      </c>
      <c r="I27" s="5">
        <v>23</v>
      </c>
      <c r="J27" s="50">
        <v>9</v>
      </c>
      <c r="K27" s="50"/>
      <c r="L27" s="20"/>
      <c r="Q27" s="48"/>
    </row>
    <row r="28" spans="5:17">
      <c r="E28" s="20">
        <f t="shared" si="1"/>
        <v>57</v>
      </c>
      <c r="F28" s="30" t="s">
        <v>806</v>
      </c>
      <c r="G28" s="39">
        <f>RTD("money.excel",,"$TWT21","Price")</f>
        <v>146.35</v>
      </c>
      <c r="H28" s="8">
        <v>20</v>
      </c>
      <c r="I28" s="5">
        <v>27</v>
      </c>
      <c r="J28" s="50">
        <v>10</v>
      </c>
      <c r="K28" s="50"/>
      <c r="L28" s="20"/>
      <c r="Q28" s="48"/>
    </row>
    <row r="29" spans="5:17">
      <c r="E29" s="20">
        <f t="shared" si="1"/>
        <v>71</v>
      </c>
      <c r="F29" s="30" t="s">
        <v>328</v>
      </c>
      <c r="G29" s="39">
        <f>RTD("money.excel",,"$TWT22","Price")</f>
        <v>63.52</v>
      </c>
      <c r="H29" s="8">
        <v>26</v>
      </c>
      <c r="I29" s="5">
        <v>33</v>
      </c>
      <c r="J29" s="50">
        <v>12</v>
      </c>
      <c r="K29" s="50"/>
      <c r="L29" s="20"/>
      <c r="Q29" s="48"/>
    </row>
    <row r="30" spans="5:17">
      <c r="E30" s="20">
        <f t="shared" si="1"/>
        <v>52</v>
      </c>
      <c r="F30" s="30" t="s">
        <v>332</v>
      </c>
      <c r="G30" s="39">
        <f>RTD("money.excel",,"$TWT23","Price")</f>
        <v>124.44</v>
      </c>
      <c r="H30" s="8">
        <v>15</v>
      </c>
      <c r="I30" s="5">
        <v>30</v>
      </c>
      <c r="J30" s="50">
        <v>7</v>
      </c>
      <c r="K30" s="50"/>
      <c r="L30" s="20"/>
      <c r="Q30" s="48"/>
    </row>
    <row r="31" spans="5:17">
      <c r="E31" s="2">
        <f>H31+I31+J31</f>
        <v>61</v>
      </c>
      <c r="F31" s="8" t="s">
        <v>322</v>
      </c>
      <c r="G31" s="39"/>
      <c r="H31" s="8">
        <v>29</v>
      </c>
      <c r="I31" s="5">
        <v>19</v>
      </c>
      <c r="J31" s="50">
        <v>13</v>
      </c>
      <c r="L31" s="20"/>
    </row>
    <row r="34" spans="24:24">
      <c r="X34" s="2" t="s">
        <v>4275</v>
      </c>
    </row>
    <row r="35" spans="24:24">
      <c r="X35" s="295" t="s">
        <v>4276</v>
      </c>
    </row>
  </sheetData>
  <sortState ref="X1:Z29">
    <sortCondition descending="1" ref="Z1:Z29"/>
  </sortState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0"/>
  <sheetViews>
    <sheetView workbookViewId="0">
      <selection activeCell="E2" sqref="E2"/>
    </sheetView>
  </sheetViews>
  <sheetFormatPr defaultRowHeight="16.5"/>
  <cols>
    <col min="1" max="1" width="15.7109375" style="8" customWidth="1"/>
    <col min="2" max="2" width="20.7109375" style="397" customWidth="1"/>
    <col min="3" max="3" width="10.7109375" style="4" customWidth="1"/>
    <col min="4" max="4" width="11.7109375" style="398" customWidth="1"/>
    <col min="5" max="5" width="11.7109375" style="111" customWidth="1"/>
    <col min="6" max="6" width="10.7109375" style="50" customWidth="1"/>
    <col min="7" max="7" width="10.7109375" style="8" customWidth="1"/>
    <col min="8" max="8" width="11.7109375" style="20" customWidth="1"/>
    <col min="9" max="9" width="10.7109375" style="160" customWidth="1"/>
    <col min="10" max="10" width="10.7109375" style="396" customWidth="1"/>
    <col min="11" max="11" width="10.7109375" style="50" customWidth="1"/>
    <col min="12" max="12" width="10.7109375" style="395" customWidth="1"/>
    <col min="13" max="16384" width="9.140625" style="395"/>
  </cols>
  <sheetData>
    <row r="1" spans="1:11" s="1" customFormat="1">
      <c r="A1" s="8" t="s">
        <v>6365</v>
      </c>
      <c r="B1" s="397" t="s">
        <v>6366</v>
      </c>
      <c r="C1" s="4" t="s">
        <v>6349</v>
      </c>
      <c r="D1" s="398" t="s">
        <v>6359</v>
      </c>
      <c r="E1" s="111" t="s">
        <v>6352</v>
      </c>
      <c r="F1" s="50" t="s">
        <v>6353</v>
      </c>
      <c r="G1" s="8" t="s">
        <v>6350</v>
      </c>
      <c r="H1" s="4" t="s">
        <v>6351</v>
      </c>
      <c r="I1" s="160" t="s">
        <v>6354</v>
      </c>
      <c r="J1" s="5" t="s">
        <v>6358</v>
      </c>
      <c r="K1" s="50" t="s">
        <v>6355</v>
      </c>
    </row>
    <row r="2" spans="1:11" s="1" customFormat="1">
      <c r="A2" s="8" t="s">
        <v>6438</v>
      </c>
      <c r="B2" s="397" t="s">
        <v>6439</v>
      </c>
      <c r="C2" s="4" t="s">
        <v>6357</v>
      </c>
      <c r="D2" s="398">
        <v>44621</v>
      </c>
      <c r="E2" s="111"/>
      <c r="F2" s="50">
        <f t="shared" ref="F2" si="0">E2-D2</f>
        <v>-44621</v>
      </c>
      <c r="G2" s="8"/>
      <c r="H2" s="4"/>
      <c r="I2" s="160"/>
      <c r="J2" s="5"/>
      <c r="K2" s="50"/>
    </row>
    <row r="3" spans="1:11" s="1" customFormat="1">
      <c r="A3" s="8" t="s">
        <v>6437</v>
      </c>
      <c r="B3" s="397" t="s">
        <v>6440</v>
      </c>
      <c r="C3" s="4" t="s">
        <v>6357</v>
      </c>
      <c r="D3" s="398">
        <v>44618</v>
      </c>
      <c r="E3" s="111">
        <v>44622</v>
      </c>
      <c r="F3" s="50">
        <f t="shared" ref="F3" si="1">E3-D3</f>
        <v>4</v>
      </c>
      <c r="G3" s="8"/>
      <c r="H3" s="4"/>
      <c r="I3" s="160"/>
      <c r="J3" s="5"/>
      <c r="K3" s="50"/>
    </row>
    <row r="4" spans="1:11" s="1" customFormat="1">
      <c r="A4" s="8" t="s">
        <v>6361</v>
      </c>
      <c r="B4" s="397" t="s">
        <v>6371</v>
      </c>
      <c r="C4" s="4" t="s">
        <v>6357</v>
      </c>
      <c r="D4" s="398">
        <v>44611</v>
      </c>
      <c r="E4" s="111">
        <v>44614</v>
      </c>
      <c r="F4" s="50">
        <f t="shared" ref="F4" si="2">E4-D4</f>
        <v>3</v>
      </c>
      <c r="G4" s="8"/>
      <c r="H4" s="4"/>
      <c r="I4" s="160"/>
      <c r="J4" s="5"/>
      <c r="K4" s="50"/>
    </row>
    <row r="5" spans="1:11" s="1" customFormat="1">
      <c r="A5" s="8" t="s">
        <v>1280</v>
      </c>
      <c r="B5" s="397" t="s">
        <v>6370</v>
      </c>
      <c r="C5" s="4" t="s">
        <v>6357</v>
      </c>
      <c r="D5" s="398">
        <v>44610</v>
      </c>
      <c r="E5" s="111">
        <v>44622</v>
      </c>
      <c r="F5" s="50">
        <f t="shared" ref="F5" si="3">E5-D5</f>
        <v>12</v>
      </c>
      <c r="G5" s="8"/>
      <c r="H5" s="4"/>
      <c r="I5" s="160"/>
      <c r="J5" s="5"/>
      <c r="K5" s="50"/>
    </row>
    <row r="6" spans="1:11" s="1" customFormat="1">
      <c r="A6" s="8" t="s">
        <v>6360</v>
      </c>
      <c r="B6" s="397" t="s">
        <v>6369</v>
      </c>
      <c r="C6" s="4" t="s">
        <v>6357</v>
      </c>
      <c r="D6" s="398">
        <v>44606</v>
      </c>
      <c r="E6" s="111">
        <v>44611</v>
      </c>
      <c r="F6" s="50">
        <f t="shared" ref="F6" si="4">E6-D6</f>
        <v>5</v>
      </c>
      <c r="G6" s="8"/>
      <c r="H6" s="4"/>
      <c r="I6" s="160"/>
      <c r="J6" s="5"/>
      <c r="K6" s="50"/>
    </row>
    <row r="7" spans="1:11" s="1" customFormat="1">
      <c r="A7" s="8" t="s">
        <v>6356</v>
      </c>
      <c r="B7" s="397" t="s">
        <v>6368</v>
      </c>
      <c r="C7" s="4" t="s">
        <v>6357</v>
      </c>
      <c r="D7" s="398">
        <v>44606</v>
      </c>
      <c r="E7" s="111">
        <v>44609</v>
      </c>
      <c r="F7" s="50">
        <f t="shared" ref="F7:F8" si="5">E7-D7</f>
        <v>3</v>
      </c>
      <c r="G7" s="8"/>
      <c r="H7" s="4"/>
      <c r="I7" s="160"/>
      <c r="J7" s="5"/>
      <c r="K7" s="50"/>
    </row>
    <row r="8" spans="1:11">
      <c r="A8" s="8" t="s">
        <v>1268</v>
      </c>
      <c r="C8" s="4" t="s">
        <v>6363</v>
      </c>
      <c r="D8" s="398">
        <v>44601</v>
      </c>
      <c r="F8" s="50">
        <f t="shared" si="5"/>
        <v>-44601</v>
      </c>
    </row>
    <row r="9" spans="1:11">
      <c r="A9" s="8" t="s">
        <v>1277</v>
      </c>
      <c r="B9" s="397" t="s">
        <v>6367</v>
      </c>
      <c r="C9" s="4" t="s">
        <v>6364</v>
      </c>
      <c r="D9" s="398">
        <v>44600</v>
      </c>
      <c r="E9" s="111">
        <v>44615</v>
      </c>
      <c r="F9" s="50">
        <f>E9-D9</f>
        <v>15</v>
      </c>
    </row>
    <row r="10" spans="1:11">
      <c r="A10" s="8" t="s">
        <v>6372</v>
      </c>
      <c r="C10" s="4" t="s">
        <v>6363</v>
      </c>
      <c r="D10" s="398" t="s">
        <v>6373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雙比2元不限</vt:lpstr>
      <vt:lpstr>雙準單準15%季S</vt:lpstr>
      <vt:lpstr>TSE OTC全部</vt:lpstr>
      <vt:lpstr>看盤</vt:lpstr>
      <vt:lpstr>stock</vt:lpstr>
      <vt:lpstr>MEMO</vt:lpstr>
      <vt:lpstr>分類</vt:lpstr>
      <vt:lpstr>植物日記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RobertPan</dc:creator>
  <cp:lastModifiedBy>pandong</cp:lastModifiedBy>
  <dcterms:created xsi:type="dcterms:W3CDTF">2017-08-30T00:03:45Z</dcterms:created>
  <dcterms:modified xsi:type="dcterms:W3CDTF">2022-03-13T13:54:43Z</dcterms:modified>
</cp:coreProperties>
</file>